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Axis Dump\"/>
    </mc:Choice>
  </mc:AlternateContent>
  <xr:revisionPtr revIDLastSave="0" documentId="13_ncr:1_{A1CBA9D7-050B-4C1B-A5B2-E420A05B48A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C77" i="1" l="1"/>
  <c r="C76" i="1"/>
  <c r="D136" i="1"/>
  <c r="F136" i="1" s="1"/>
  <c r="D135" i="1"/>
  <c r="F135" i="1" s="1"/>
  <c r="D134" i="1"/>
  <c r="F134" i="1" s="1"/>
  <c r="D133" i="1"/>
  <c r="F133" i="1" s="1"/>
  <c r="D132" i="1"/>
  <c r="F132" i="1" s="1"/>
  <c r="I132" i="1" s="1"/>
  <c r="D131" i="1"/>
  <c r="F131" i="1" s="1"/>
  <c r="I131" i="1" s="1"/>
  <c r="D130" i="1"/>
  <c r="F130" i="1" s="1"/>
  <c r="K132" i="1" s="1"/>
  <c r="D128" i="1"/>
  <c r="F128" i="1" s="1"/>
  <c r="D127" i="1"/>
  <c r="F127" i="1" s="1"/>
  <c r="D124" i="1"/>
  <c r="F124" i="1" s="1"/>
  <c r="D123" i="1"/>
  <c r="D122" i="1"/>
  <c r="F122" i="1" s="1"/>
  <c r="D120" i="1"/>
  <c r="F120" i="1" s="1"/>
  <c r="J130" i="1" s="1"/>
  <c r="D119" i="1"/>
  <c r="F119" i="1" s="1"/>
  <c r="D118" i="1"/>
  <c r="F118" i="1" s="1"/>
  <c r="D117" i="1"/>
  <c r="D116" i="1"/>
  <c r="D115" i="1"/>
  <c r="D114" i="1"/>
  <c r="I114" i="1"/>
  <c r="G130" i="1"/>
  <c r="G131" i="1" s="1"/>
  <c r="G132" i="1" s="1"/>
  <c r="G133" i="1" s="1"/>
  <c r="G134" i="1" s="1"/>
  <c r="G135" i="1" s="1"/>
  <c r="G136" i="1" s="1"/>
  <c r="F123" i="1"/>
  <c r="G122" i="1"/>
  <c r="G123" i="1" s="1"/>
  <c r="G124" i="1" s="1"/>
  <c r="G125" i="1" s="1"/>
  <c r="G126" i="1" s="1"/>
  <c r="G127" i="1" s="1"/>
  <c r="G128" i="1" s="1"/>
  <c r="E98" i="1" l="1"/>
  <c r="C98" i="1"/>
  <c r="J131" i="1"/>
  <c r="K131" i="1"/>
  <c r="K130" i="1"/>
  <c r="K133" i="1" s="1"/>
  <c r="I130" i="1"/>
  <c r="I133" i="1" s="1"/>
  <c r="Z12" i="1"/>
  <c r="I14" i="1"/>
  <c r="F114" i="1" l="1"/>
  <c r="F104" i="1"/>
  <c r="E43" i="1" l="1"/>
  <c r="E44" i="1" s="1"/>
  <c r="C15" i="1" l="1"/>
  <c r="E30" i="1" l="1"/>
  <c r="F115" i="1" l="1"/>
  <c r="F116" i="1"/>
  <c r="F117" i="1"/>
  <c r="G114" i="1"/>
  <c r="G98" i="1" l="1"/>
  <c r="F95" i="1"/>
  <c r="F105" i="1" l="1"/>
  <c r="F106" i="1"/>
  <c r="F107" i="1"/>
  <c r="B139" i="1" l="1"/>
  <c r="B14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4" i="1"/>
  <c r="A105" i="1"/>
  <c r="A106" i="1" s="1"/>
  <c r="A107" i="1" s="1"/>
  <c r="G104" i="1"/>
  <c r="G105" i="1" s="1"/>
  <c r="G106" i="1" s="1"/>
  <c r="G107" i="1" s="1"/>
  <c r="C68" i="1"/>
  <c r="B69" i="1" s="1"/>
  <c r="D57" i="1"/>
  <c r="G50" i="1"/>
  <c r="C50" i="1"/>
  <c r="E27" i="1"/>
  <c r="E25" i="1"/>
  <c r="E7" i="1"/>
  <c r="E3" i="1"/>
  <c r="D62" i="1" l="1"/>
  <c r="H69" i="1"/>
  <c r="D81" i="1" l="1"/>
  <c r="D79" i="1"/>
  <c r="D78" i="1"/>
  <c r="D75" i="1"/>
  <c r="D77" i="1"/>
  <c r="J74" i="1"/>
  <c r="J75" i="1" s="1"/>
  <c r="D80" i="1"/>
  <c r="J68" i="1"/>
  <c r="J70" i="1" s="1"/>
  <c r="D76" i="1"/>
  <c r="J72" i="1"/>
  <c r="J73" i="1"/>
  <c r="C72" i="1" s="1"/>
  <c r="D72" i="1" s="1"/>
  <c r="J71" i="1"/>
  <c r="J76" i="1"/>
  <c r="J77" i="1" s="1"/>
  <c r="J78" i="1" s="1"/>
  <c r="J79" i="1" s="1"/>
  <c r="D74" i="1"/>
  <c r="J80" i="1" l="1"/>
  <c r="J81" i="1" s="1"/>
  <c r="C73" i="1" s="1"/>
  <c r="G72" i="1" l="1"/>
  <c r="D66" i="1" s="1"/>
  <c r="D67" i="1" s="1"/>
  <c r="J69" i="1"/>
  <c r="D73" i="1"/>
  <c r="I69" i="1" s="1"/>
  <c r="I70" i="1" s="1"/>
  <c r="E72" i="1"/>
  <c r="F67" i="1" l="1"/>
  <c r="I68" i="1"/>
  <c r="C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<sst xmlns="http://schemas.openxmlformats.org/spreadsheetml/2006/main" count="390" uniqueCount="290">
  <si>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</si>
  <si>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</si>
  <si>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</si>
  <si>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</si>
  <si>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</si>
  <si>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</si>
  <si>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</si>
  <si>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</si>
  <si>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</si>
  <si>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</si>
  <si>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</si>
  <si>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</si>
  <si>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</si>
  <si>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</si>
  <si>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</si>
  <si>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</si>
  <si>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</si>
  <si>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</si>
  <si>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</si>
  <si>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</si>
  <si>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</si>
  <si>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</si>
  <si>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</si>
  <si>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</si>
  <si>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</si>
  <si>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</si>
  <si>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</si>
  <si>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</si>
  <si>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</si>
  <si>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</si>
  <si>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</si>
  <si>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</si>
  <si>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</si>
  <si>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</si>
  <si>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</si>
  <si>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</si>
  <si>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</si>
  <si>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</si>
  <si>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</si>
  <si>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</si>
  <si>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</si>
  <si>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</si>
  <si>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</si>
  <si>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</si>
  <si>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</si>
  <si>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</si>
  <si>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</si>
  <si>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</si>
  <si>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</si>
  <si>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</si>
  <si>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</si>
  <si>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</si>
  <si>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</si>
  <si>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</si>
  <si>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</si>
  <si>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</si>
  <si>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</si>
  <si>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</si>
  <si>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</si>
  <si>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</si>
  <si>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</si>
  <si>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</si>
  <si>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</si>
  <si>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</si>
  <si>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</si>
  <si>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</si>
  <si>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</si>
  <si>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</si>
  <si>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</si>
  <si>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</si>
  <si>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</si>
  <si>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</si>
  <si>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</si>
  <si>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</si>
  <si>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</si>
  <si>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</si>
  <si>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</si>
  <si>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</si>
  <si>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</si>
  <si>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</si>
  <si>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</si>
  <si>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</si>
  <si>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</si>
  <si>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</si>
  <si>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</si>
  <si>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</si>
  <si>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</si>
  <si>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</si>
  <si>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</si>
  <si>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</si>
  <si>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</si>
  <si>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</si>
  <si>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</si>
  <si>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</si>
  <si>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</si>
  <si>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</si>
  <si>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</si>
  <si>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</si>
  <si>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</si>
  <si>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</si>
  <si>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</si>
  <si>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</si>
  <si>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</si>
  <si>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</si>
  <si>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</si>
  <si>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</si>
  <si>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</si>
  <si>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</si>
  <si>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</si>
  <si>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</si>
  <si>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</si>
  <si>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</si>
  <si>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</si>
  <si>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</si>
  <si>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</si>
  <si>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</si>
  <si>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</si>
  <si>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</si>
  <si>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</si>
  <si>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</si>
  <si>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</si>
  <si>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</si>
  <si>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</si>
  <si>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</si>
  <si>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</si>
  <si>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</si>
  <si>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</si>
  <si>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</si>
  <si>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</si>
  <si>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</si>
  <si>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</si>
  <si>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</si>
  <si>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</si>
  <si>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</si>
  <si>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</si>
  <si>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</si>
  <si>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</si>
  <si>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</si>
  <si>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</si>
  <si>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</si>
  <si>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</si>
  <si>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</si>
  <si>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</si>
  <si>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</si>
  <si>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</si>
  <si>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</si>
  <si>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</si>
  <si>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</si>
  <si>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</si>
  <si>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</si>
  <si>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</si>
  <si>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</si>
  <si>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</si>
  <si>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</si>
  <si>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</si>
  <si>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</si>
  <si>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</si>
  <si>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</si>
  <si>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</si>
  <si>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</si>
  <si>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</si>
  <si>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</si>
  <si>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</si>
  <si>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</si>
  <si>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</si>
  <si>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</si>
  <si>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</si>
  <si>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</si>
  <si>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</si>
  <si>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</si>
  <si>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</si>
  <si>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</si>
  <si>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</si>
  <si>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</si>
  <si>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</si>
  <si>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</si>
  <si>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</si>
  <si>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</si>
  <si>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</si>
  <si>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</si>
  <si>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</si>
  <si>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</si>
  <si>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</si>
  <si>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</si>
  <si>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</si>
  <si>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</si>
  <si>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</si>
  <si>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</si>
  <si>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</si>
  <si>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</si>
  <si>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</si>
  <si>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</si>
  <si>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</si>
  <si>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</si>
  <si>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</si>
  <si>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</si>
  <si>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</si>
  <si>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</si>
  <si>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</si>
  <si>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</si>
  <si>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</si>
  <si>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</si>
  <si>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</si>
  <si>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</si>
  <si>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</si>
  <si>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</si>
  <si>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</si>
  <si>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</si>
  <si>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</si>
  <si>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</si>
  <si>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</si>
  <si>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</si>
  <si>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</si>
  <si>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</si>
  <si>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</si>
  <si>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</si>
  <si>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</si>
  <si>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</si>
  <si>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</si>
  <si>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</si>
  <si>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</si>
  <si>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</si>
  <si>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</si>
  <si>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</si>
  <si>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</si>
  <si>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</si>
  <si>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</si>
  <si>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</si>
  <si>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</si>
  <si>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</si>
  <si>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</si>
  <si>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</si>
  <si>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</si>
  <si>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</si>
  <si>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</si>
  <si>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Puneet Edifice Pvt Ltd</t>
  </si>
  <si>
    <t>Puneet Amarjyoti</t>
  </si>
  <si>
    <t>Building No.27 (Tagore Nagar Amar Jyoti CHS)</t>
  </si>
  <si>
    <t>Approved Plans, CC, Sale Plans, Builder Saleable Area, Airport Noc</t>
  </si>
  <si>
    <t>351(Pt)</t>
  </si>
  <si>
    <t>Tagore Nagar</t>
  </si>
  <si>
    <t>Vikhroli</t>
  </si>
  <si>
    <t>Vikhroli (East)</t>
  </si>
  <si>
    <t>https://maps.app.goo.gl/fYMqPFi3EkFcW6UM8</t>
  </si>
  <si>
    <t>19.114004, 72.932995</t>
  </si>
  <si>
    <t>Internal Road</t>
  </si>
  <si>
    <t>P51800046906</t>
  </si>
  <si>
    <t>Shraddha Paramount</t>
  </si>
  <si>
    <t>1 KM from Vikhroli Railway Station</t>
  </si>
  <si>
    <t>Building No.09</t>
  </si>
  <si>
    <t>Building No. 25</t>
  </si>
  <si>
    <t>12.20 M Wide Road</t>
  </si>
  <si>
    <t>Building No. 26</t>
  </si>
  <si>
    <t>Shivchayya Co-operative Housing Society.</t>
  </si>
  <si>
    <t>Shraddha Pinnacle</t>
  </si>
  <si>
    <t>MHADA-8/1110/2022</t>
  </si>
  <si>
    <t xml:space="preserve">Airport NOC No
Valid Up to: </t>
  </si>
  <si>
    <t>SNCR/WEST/B/062322/678875</t>
  </si>
  <si>
    <t>93.51 AMSL</t>
  </si>
  <si>
    <t>Gr + 1st to 22nd Floor</t>
  </si>
  <si>
    <t>Gr + 1st to 23rd Floor</t>
  </si>
  <si>
    <t>As per RERA -  31/12/2026</t>
  </si>
  <si>
    <t>Recreation Garden on Terrace, Play Zone for kids, Fitness Centre, Yoga &amp; Meditation Space, Advanced Fire Fighting System,CCTV 24 X 7 Security, Video Door Phone system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</si>
  <si>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</si>
  <si>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Ground Floor for Stack Parking, Society Office &amp; Entrance Lobby</t>
  </si>
  <si>
    <t>1st to 7th, 9th to 14th, 16th to 21st Floor for Residential</t>
  </si>
  <si>
    <t>2BHK</t>
  </si>
  <si>
    <t>22nd Floor (Part Refuge Area)</t>
  </si>
  <si>
    <t>8th &amp; 15th Floor (Part Refuge Area)</t>
  </si>
  <si>
    <t>MP Room</t>
  </si>
  <si>
    <t>Refuge Area</t>
  </si>
  <si>
    <t xml:space="preserve">We considered Gross carpet area = Net carpet </t>
  </si>
  <si>
    <t>Flats</t>
  </si>
  <si>
    <t>Flats - 150</t>
  </si>
  <si>
    <t>Cost Sheet</t>
  </si>
  <si>
    <t>Housing</t>
  </si>
  <si>
    <t xml:space="preserve">https://housing.com/in/buy/projects/page/285414-puneet-amarjyoti-by-puneet-urban-spaces-in-vikhroli-east </t>
  </si>
  <si>
    <t xml:space="preserve">Building No.27 </t>
  </si>
  <si>
    <t xml:space="preserve">https://www.magicbricks.com/puneet-amarjyoti-vikhroli-mumbai-pdpid-4d4235333336383133 </t>
  </si>
  <si>
    <t xml:space="preserve">This further CC is granted for building comprising of Ground floor partly use entrance lobby, Society office, Meter
Room, Pump room &amp; partly use mechanized car parking system with 2 pit &amp; 2 stack parking + 1st to 13th upper Residential floor with total building height 41.38 mt.from AGL as per last approved Amended plans issued on dtd. 14.09.2023 vide u/no. MH/EE/(B.P.)/GM/MHADA-8/1110/2023.
</t>
  </si>
  <si>
    <t>MH/EE/(BP)/GM/MHADA-8/1110/
2024/FCC/1/New</t>
  </si>
  <si>
    <t>We have updated revised approved C.C from Mhada Site (on 22/02/2024).</t>
  </si>
  <si>
    <t>Maharashtra Housing and Area Development Authority (MHADA)</t>
  </si>
  <si>
    <t>On site we met Mrs. Samita sethi (sales)-9653645458 &amp; Mr. Akshay Gaikwad 9653645543.</t>
  </si>
  <si>
    <t>Mr. Akshay Gaikwad 9653645543</t>
  </si>
  <si>
    <t xml:space="preserve">Validity of CC is expired on 03/07/2024. 
</t>
  </si>
  <si>
    <t>Please provide revised approved CC, As the construction work  goes beyond the CC permission.</t>
  </si>
  <si>
    <t>Kunal Kadam</t>
  </si>
  <si>
    <t>Akash Kadam</t>
  </si>
  <si>
    <t>Construction work is in process at the time of visit. (Slow Speed)
Internal photographs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</si>
</sst>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26" fillId="0" borderId="0" xfId="10" applyNumberFormat="1" applyAlignment="1">
      <alignment horizontal="center" vertical="center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65687</xdr:colOff>
      <xdr:row>13</xdr:row>
      <xdr:rowOff>170793</xdr:rowOff>
    </xdr:from>
    <xdr:to>
      <xdr:col>13</xdr:col>
      <xdr:colOff>799979</xdr:colOff>
      <xdr:row>15</xdr:row>
      <xdr:rowOff>172358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0721" y="3350172"/>
          <a:ext cx="4990476" cy="6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637189</xdr:colOff>
      <xdr:row>254</xdr:row>
      <xdr:rowOff>19708</xdr:rowOff>
    </xdr:from>
    <xdr:to>
      <xdr:col>5</xdr:col>
      <xdr:colOff>728261</xdr:colOff>
      <xdr:row>268</xdr:row>
      <xdr:rowOff>140742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99189" y="62129277"/>
          <a:ext cx="346752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663465</xdr:colOff>
      <xdr:row>269</xdr:row>
      <xdr:rowOff>10511</xdr:rowOff>
    </xdr:from>
    <xdr:to>
      <xdr:col>5</xdr:col>
      <xdr:colOff>747663</xdr:colOff>
      <xdr:row>283</xdr:row>
      <xdr:rowOff>131544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5465" y="65076114"/>
          <a:ext cx="346064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518949</xdr:colOff>
      <xdr:row>209</xdr:row>
      <xdr:rowOff>192306</xdr:rowOff>
    </xdr:from>
    <xdr:to>
      <xdr:col>7</xdr:col>
      <xdr:colOff>62361</xdr:colOff>
      <xdr:row>224</xdr:row>
      <xdr:rowOff>116272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949" y="53433772"/>
          <a:ext cx="5225567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498090</xdr:colOff>
      <xdr:row>224</xdr:row>
      <xdr:rowOff>177362</xdr:rowOff>
    </xdr:from>
    <xdr:to>
      <xdr:col>4</xdr:col>
      <xdr:colOff>775395</xdr:colOff>
      <xdr:row>239</xdr:row>
      <xdr:rowOff>101329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61504" y="56374862"/>
          <a:ext cx="2070632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606354</xdr:colOff>
      <xdr:row>272</xdr:row>
      <xdr:rowOff>184435</xdr:rowOff>
    </xdr:from>
    <xdr:to>
      <xdr:col>3</xdr:col>
      <xdr:colOff>926184</xdr:colOff>
      <xdr:row>276</xdr:row>
      <xdr:rowOff>9330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369145">
          <a:off x="3017164" y="55087849"/>
          <a:ext cx="319830" cy="613171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588646</xdr:colOff>
      <xdr:row>163</xdr:row>
      <xdr:rowOff>190500</xdr:rowOff>
    </xdr:from>
    <xdr:to>
      <xdr:col>17</xdr:col>
      <xdr:colOff>72390</xdr:colOff>
      <xdr:row>197</xdr:row>
      <xdr:rowOff>87630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B10F1407-9619-464E-8A0D-401D2F8ACF11}"/>
            </a:ext>
          </a:extLst>
        </xdr:cNvPr>
        <xdr:cNvGrpSpPr/>
      </xdr:nvGrpSpPr>
      <xdr:grpSpPr>
        <a:xfrm>
          <a:off x="7751446" y="34610040"/>
          <a:ext cx="6829424" cy="6625590"/>
          <a:chOff x="500062" y="666750"/>
          <a:chExt cx="5483155" cy="5740501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654D5720-69C0-474C-B500-518116DCD6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8662" y="666750"/>
            <a:ext cx="2436778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D3678717-A483-495D-93E4-F70856B1F6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52800" y="666750"/>
            <a:ext cx="2436778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60CFC4FA-408C-43C0-9C70-72142703A5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062" y="4067251"/>
            <a:ext cx="1759895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90F14909-22DC-43CE-B765-3AAF25C3C8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5358" y="4067251"/>
            <a:ext cx="1752563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FA8D7C17-DE47-422F-A033-15ADE46918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23322" y="4067251"/>
            <a:ext cx="1759895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525780</xdr:colOff>
      <xdr:row>165</xdr:row>
      <xdr:rowOff>22860</xdr:rowOff>
    </xdr:from>
    <xdr:to>
      <xdr:col>7</xdr:col>
      <xdr:colOff>690088</xdr:colOff>
      <xdr:row>196</xdr:row>
      <xdr:rowOff>131135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6A384A09-801D-EF13-B831-28EA42C8AC40}"/>
            </a:ext>
          </a:extLst>
        </xdr:cNvPr>
        <xdr:cNvGrpSpPr/>
      </xdr:nvGrpSpPr>
      <xdr:grpSpPr>
        <a:xfrm>
          <a:off x="525780" y="34838640"/>
          <a:ext cx="5993608" cy="6242375"/>
          <a:chOff x="313635" y="379985"/>
          <a:chExt cx="5993608" cy="6242375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C534A8A6-6BE0-0F0A-54E1-7F2F313D2EE1}"/>
              </a:ext>
            </a:extLst>
          </xdr:cNvPr>
          <xdr:cNvGrpSpPr/>
        </xdr:nvGrpSpPr>
        <xdr:grpSpPr>
          <a:xfrm>
            <a:off x="1204687" y="5002360"/>
            <a:ext cx="4211505" cy="1620000"/>
            <a:chOff x="988636" y="5002360"/>
            <a:chExt cx="4211505" cy="162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6D3A51B4-D551-4F76-1D6C-F848BBFE415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20141" y="5002360"/>
              <a:ext cx="2880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A2A8D8C7-728A-7056-D342-4C583DF6B2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88636" y="5002360"/>
              <a:ext cx="1214999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BF786FB3-CDF2-CA35-A9D8-050D082ABFEA}"/>
              </a:ext>
            </a:extLst>
          </xdr:cNvPr>
          <xdr:cNvGrpSpPr/>
        </xdr:nvGrpSpPr>
        <xdr:grpSpPr>
          <a:xfrm>
            <a:off x="977186" y="3051172"/>
            <a:ext cx="4666506" cy="1800000"/>
            <a:chOff x="853635" y="3051172"/>
            <a:chExt cx="4666506" cy="180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CE3F67B4-188B-5AFE-1CB4-5F89F79758D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20141" y="3051172"/>
              <a:ext cx="320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B090247A-B08E-71A7-C9FF-EB5A47D485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53635" y="3051172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ECB64AD5-6E48-9B31-164E-F56EDC4A95AB}"/>
              </a:ext>
            </a:extLst>
          </xdr:cNvPr>
          <xdr:cNvGrpSpPr/>
        </xdr:nvGrpSpPr>
        <xdr:grpSpPr>
          <a:xfrm>
            <a:off x="313635" y="379985"/>
            <a:ext cx="5993608" cy="2520000"/>
            <a:chOff x="313635" y="379985"/>
            <a:chExt cx="5993608" cy="252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0F972234-B8CA-BA9F-5EF2-5E05C59FB4F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65440" y="379985"/>
              <a:ext cx="1889998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52A70FD9-6E45-C0CF-795D-25D627CBBA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13635" y="379985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505D63FB-5434-64F9-E518-7D7A2460B36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17243" y="379985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1165412</xdr:colOff>
      <xdr:row>4</xdr:row>
      <xdr:rowOff>11206</xdr:rowOff>
    </xdr:from>
    <xdr:to>
      <xdr:col>7</xdr:col>
      <xdr:colOff>566686</xdr:colOff>
      <xdr:row>21</xdr:row>
      <xdr:rowOff>182230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8118" y="784412"/>
          <a:ext cx="7133333" cy="34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magicbricks.com/puneet-amarjyoti-vikhroli-mumbai-pdpid-4d4235333336383133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housing.com/in/buy/projects/page/285414-puneet-amarjyoti-by-puneet-urban-spaces-in-vikhroli-east" TargetMode="External"/><Relationship Id="rId1" Type="http://schemas.openxmlformats.org/officeDocument/2006/relationships/hyperlink" Target="https://maps.app.goo.gl/fYMqPFi3EkFcW6UM8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53"/>
  <sheetViews>
    <sheetView tabSelected="1" view="pageBreakPreview" topLeftCell="A182" zoomScaleNormal="100" zoomScaleSheetLayoutView="100" zoomScalePageLayoutView="85" workbookViewId="0">
      <selection activeCell="L59" sqref="L59"/>
    </sheetView>
  </sheetViews>
  <sheetFormatPr defaultColWidth="9.109375" defaultRowHeight="15.6" x14ac:dyDescent="0.3"/>
  <cols>
    <col min="1" max="1" width="11.44140625" style="37" customWidth="1"/>
    <col min="2" max="2" width="12" style="37" customWidth="1"/>
    <col min="3" max="3" width="12.6640625" style="37" customWidth="1"/>
    <col min="4" max="4" width="14.109375" style="37" customWidth="1"/>
    <col min="5" max="6" width="11.6640625" style="37" customWidth="1"/>
    <col min="7" max="7" width="11.44140625" style="37" customWidth="1"/>
    <col min="8" max="8" width="19.44140625" style="37" customWidth="1"/>
    <col min="9" max="9" width="17.44140625" style="18" customWidth="1"/>
    <col min="10" max="10" width="11.44140625" style="18" customWidth="1"/>
    <col min="11" max="11" width="12.5546875" style="18" customWidth="1"/>
    <col min="12" max="12" width="10.5546875" style="18" customWidth="1"/>
    <col min="13" max="13" width="11.88671875" style="18" customWidth="1"/>
    <col min="14" max="14" width="12.5546875" style="18" customWidth="1"/>
    <col min="15" max="15" width="9.88671875" style="18" customWidth="1"/>
    <col min="16" max="16" width="11.6640625" style="18" customWidth="1"/>
    <col min="17" max="247" width="9.109375" style="18"/>
    <col min="248" max="248" width="8.6640625" style="18" customWidth="1"/>
    <col min="249" max="249" width="9.88671875" style="18" customWidth="1"/>
    <col min="250" max="250" width="14.44140625" style="18" customWidth="1"/>
    <col min="251" max="251" width="7.33203125" style="18" customWidth="1"/>
    <col min="252" max="252" width="5.5546875" style="18" customWidth="1"/>
    <col min="253" max="253" width="9" style="18" customWidth="1"/>
    <col min="254" max="255" width="9.88671875" style="18" customWidth="1"/>
    <col min="256" max="256" width="11.109375" style="18" customWidth="1"/>
    <col min="257" max="257" width="2.88671875" style="18" customWidth="1"/>
    <col min="258" max="258" width="3.5546875" style="18" customWidth="1"/>
    <col min="259" max="503" width="9.109375" style="18"/>
    <col min="504" max="504" width="8.6640625" style="18" customWidth="1"/>
    <col min="505" max="505" width="9.88671875" style="18" customWidth="1"/>
    <col min="506" max="506" width="14.44140625" style="18" customWidth="1"/>
    <col min="507" max="507" width="7.33203125" style="18" customWidth="1"/>
    <col min="508" max="508" width="5.5546875" style="18" customWidth="1"/>
    <col min="509" max="509" width="9" style="18" customWidth="1"/>
    <col min="510" max="511" width="9.88671875" style="18" customWidth="1"/>
    <col min="512" max="512" width="11.109375" style="18" customWidth="1"/>
    <col min="513" max="513" width="2.88671875" style="18" customWidth="1"/>
    <col min="514" max="514" width="3.5546875" style="18" customWidth="1"/>
    <col min="515" max="759" width="9.109375" style="18"/>
    <col min="760" max="760" width="8.6640625" style="18" customWidth="1"/>
    <col min="761" max="761" width="9.88671875" style="18" customWidth="1"/>
    <col min="762" max="762" width="14.44140625" style="18" customWidth="1"/>
    <col min="763" max="763" width="7.33203125" style="18" customWidth="1"/>
    <col min="764" max="764" width="5.5546875" style="18" customWidth="1"/>
    <col min="765" max="765" width="9" style="18" customWidth="1"/>
    <col min="766" max="767" width="9.88671875" style="18" customWidth="1"/>
    <col min="768" max="768" width="11.109375" style="18" customWidth="1"/>
    <col min="769" max="769" width="2.88671875" style="18" customWidth="1"/>
    <col min="770" max="770" width="3.5546875" style="18" customWidth="1"/>
    <col min="771" max="1015" width="9.109375" style="18"/>
    <col min="1016" max="1016" width="8.6640625" style="18" customWidth="1"/>
    <col min="1017" max="1017" width="9.88671875" style="18" customWidth="1"/>
    <col min="1018" max="1018" width="14.44140625" style="18" customWidth="1"/>
    <col min="1019" max="1019" width="7.33203125" style="18" customWidth="1"/>
    <col min="1020" max="1020" width="5.5546875" style="18" customWidth="1"/>
    <col min="1021" max="1021" width="9" style="18" customWidth="1"/>
    <col min="1022" max="1023" width="9.88671875" style="18" customWidth="1"/>
    <col min="1024" max="1024" width="11.109375" style="18" customWidth="1"/>
    <col min="1025" max="1025" width="2.88671875" style="18" customWidth="1"/>
    <col min="1026" max="1026" width="3.5546875" style="18" customWidth="1"/>
    <col min="1027" max="1271" width="9.109375" style="18"/>
    <col min="1272" max="1272" width="8.6640625" style="18" customWidth="1"/>
    <col min="1273" max="1273" width="9.88671875" style="18" customWidth="1"/>
    <col min="1274" max="1274" width="14.44140625" style="18" customWidth="1"/>
    <col min="1275" max="1275" width="7.33203125" style="18" customWidth="1"/>
    <col min="1276" max="1276" width="5.5546875" style="18" customWidth="1"/>
    <col min="1277" max="1277" width="9" style="18" customWidth="1"/>
    <col min="1278" max="1279" width="9.88671875" style="18" customWidth="1"/>
    <col min="1280" max="1280" width="11.109375" style="18" customWidth="1"/>
    <col min="1281" max="1281" width="2.88671875" style="18" customWidth="1"/>
    <col min="1282" max="1282" width="3.5546875" style="18" customWidth="1"/>
    <col min="1283" max="1527" width="9.109375" style="18"/>
    <col min="1528" max="1528" width="8.6640625" style="18" customWidth="1"/>
    <col min="1529" max="1529" width="9.88671875" style="18" customWidth="1"/>
    <col min="1530" max="1530" width="14.44140625" style="18" customWidth="1"/>
    <col min="1531" max="1531" width="7.33203125" style="18" customWidth="1"/>
    <col min="1532" max="1532" width="5.5546875" style="18" customWidth="1"/>
    <col min="1533" max="1533" width="9" style="18" customWidth="1"/>
    <col min="1534" max="1535" width="9.88671875" style="18" customWidth="1"/>
    <col min="1536" max="1536" width="11.109375" style="18" customWidth="1"/>
    <col min="1537" max="1537" width="2.88671875" style="18" customWidth="1"/>
    <col min="1538" max="1538" width="3.5546875" style="18" customWidth="1"/>
    <col min="1539" max="1783" width="9.109375" style="18"/>
    <col min="1784" max="1784" width="8.6640625" style="18" customWidth="1"/>
    <col min="1785" max="1785" width="9.88671875" style="18" customWidth="1"/>
    <col min="1786" max="1786" width="14.44140625" style="18" customWidth="1"/>
    <col min="1787" max="1787" width="7.33203125" style="18" customWidth="1"/>
    <col min="1788" max="1788" width="5.5546875" style="18" customWidth="1"/>
    <col min="1789" max="1789" width="9" style="18" customWidth="1"/>
    <col min="1790" max="1791" width="9.88671875" style="18" customWidth="1"/>
    <col min="1792" max="1792" width="11.109375" style="18" customWidth="1"/>
    <col min="1793" max="1793" width="2.88671875" style="18" customWidth="1"/>
    <col min="1794" max="1794" width="3.5546875" style="18" customWidth="1"/>
    <col min="1795" max="2039" width="9.109375" style="18"/>
    <col min="2040" max="2040" width="8.6640625" style="18" customWidth="1"/>
    <col min="2041" max="2041" width="9.88671875" style="18" customWidth="1"/>
    <col min="2042" max="2042" width="14.44140625" style="18" customWidth="1"/>
    <col min="2043" max="2043" width="7.33203125" style="18" customWidth="1"/>
    <col min="2044" max="2044" width="5.5546875" style="18" customWidth="1"/>
    <col min="2045" max="2045" width="9" style="18" customWidth="1"/>
    <col min="2046" max="2047" width="9.88671875" style="18" customWidth="1"/>
    <col min="2048" max="2048" width="11.109375" style="18" customWidth="1"/>
    <col min="2049" max="2049" width="2.88671875" style="18" customWidth="1"/>
    <col min="2050" max="2050" width="3.5546875" style="18" customWidth="1"/>
    <col min="2051" max="2295" width="9.109375" style="18"/>
    <col min="2296" max="2296" width="8.6640625" style="18" customWidth="1"/>
    <col min="2297" max="2297" width="9.88671875" style="18" customWidth="1"/>
    <col min="2298" max="2298" width="14.44140625" style="18" customWidth="1"/>
    <col min="2299" max="2299" width="7.33203125" style="18" customWidth="1"/>
    <col min="2300" max="2300" width="5.5546875" style="18" customWidth="1"/>
    <col min="2301" max="2301" width="9" style="18" customWidth="1"/>
    <col min="2302" max="2303" width="9.88671875" style="18" customWidth="1"/>
    <col min="2304" max="2304" width="11.109375" style="18" customWidth="1"/>
    <col min="2305" max="2305" width="2.88671875" style="18" customWidth="1"/>
    <col min="2306" max="2306" width="3.5546875" style="18" customWidth="1"/>
    <col min="2307" max="2551" width="9.109375" style="18"/>
    <col min="2552" max="2552" width="8.6640625" style="18" customWidth="1"/>
    <col min="2553" max="2553" width="9.88671875" style="18" customWidth="1"/>
    <col min="2554" max="2554" width="14.44140625" style="18" customWidth="1"/>
    <col min="2555" max="2555" width="7.33203125" style="18" customWidth="1"/>
    <col min="2556" max="2556" width="5.5546875" style="18" customWidth="1"/>
    <col min="2557" max="2557" width="9" style="18" customWidth="1"/>
    <col min="2558" max="2559" width="9.88671875" style="18" customWidth="1"/>
    <col min="2560" max="2560" width="11.109375" style="18" customWidth="1"/>
    <col min="2561" max="2561" width="2.88671875" style="18" customWidth="1"/>
    <col min="2562" max="2562" width="3.5546875" style="18" customWidth="1"/>
    <col min="2563" max="2807" width="9.109375" style="18"/>
    <col min="2808" max="2808" width="8.6640625" style="18" customWidth="1"/>
    <col min="2809" max="2809" width="9.88671875" style="18" customWidth="1"/>
    <col min="2810" max="2810" width="14.44140625" style="18" customWidth="1"/>
    <col min="2811" max="2811" width="7.33203125" style="18" customWidth="1"/>
    <col min="2812" max="2812" width="5.5546875" style="18" customWidth="1"/>
    <col min="2813" max="2813" width="9" style="18" customWidth="1"/>
    <col min="2814" max="2815" width="9.88671875" style="18" customWidth="1"/>
    <col min="2816" max="2816" width="11.109375" style="18" customWidth="1"/>
    <col min="2817" max="2817" width="2.88671875" style="18" customWidth="1"/>
    <col min="2818" max="2818" width="3.5546875" style="18" customWidth="1"/>
    <col min="2819" max="3063" width="9.109375" style="18"/>
    <col min="3064" max="3064" width="8.6640625" style="18" customWidth="1"/>
    <col min="3065" max="3065" width="9.88671875" style="18" customWidth="1"/>
    <col min="3066" max="3066" width="14.44140625" style="18" customWidth="1"/>
    <col min="3067" max="3067" width="7.33203125" style="18" customWidth="1"/>
    <col min="3068" max="3068" width="5.5546875" style="18" customWidth="1"/>
    <col min="3069" max="3069" width="9" style="18" customWidth="1"/>
    <col min="3070" max="3071" width="9.88671875" style="18" customWidth="1"/>
    <col min="3072" max="3072" width="11.109375" style="18" customWidth="1"/>
    <col min="3073" max="3073" width="2.88671875" style="18" customWidth="1"/>
    <col min="3074" max="3074" width="3.5546875" style="18" customWidth="1"/>
    <col min="3075" max="3319" width="9.109375" style="18"/>
    <col min="3320" max="3320" width="8.6640625" style="18" customWidth="1"/>
    <col min="3321" max="3321" width="9.88671875" style="18" customWidth="1"/>
    <col min="3322" max="3322" width="14.44140625" style="18" customWidth="1"/>
    <col min="3323" max="3323" width="7.33203125" style="18" customWidth="1"/>
    <col min="3324" max="3324" width="5.5546875" style="18" customWidth="1"/>
    <col min="3325" max="3325" width="9" style="18" customWidth="1"/>
    <col min="3326" max="3327" width="9.88671875" style="18" customWidth="1"/>
    <col min="3328" max="3328" width="11.109375" style="18" customWidth="1"/>
    <col min="3329" max="3329" width="2.88671875" style="18" customWidth="1"/>
    <col min="3330" max="3330" width="3.5546875" style="18" customWidth="1"/>
    <col min="3331" max="3575" width="9.109375" style="18"/>
    <col min="3576" max="3576" width="8.6640625" style="18" customWidth="1"/>
    <col min="3577" max="3577" width="9.88671875" style="18" customWidth="1"/>
    <col min="3578" max="3578" width="14.44140625" style="18" customWidth="1"/>
    <col min="3579" max="3579" width="7.33203125" style="18" customWidth="1"/>
    <col min="3580" max="3580" width="5.5546875" style="18" customWidth="1"/>
    <col min="3581" max="3581" width="9" style="18" customWidth="1"/>
    <col min="3582" max="3583" width="9.88671875" style="18" customWidth="1"/>
    <col min="3584" max="3584" width="11.109375" style="18" customWidth="1"/>
    <col min="3585" max="3585" width="2.88671875" style="18" customWidth="1"/>
    <col min="3586" max="3586" width="3.5546875" style="18" customWidth="1"/>
    <col min="3587" max="3831" width="9.109375" style="18"/>
    <col min="3832" max="3832" width="8.6640625" style="18" customWidth="1"/>
    <col min="3833" max="3833" width="9.88671875" style="18" customWidth="1"/>
    <col min="3834" max="3834" width="14.44140625" style="18" customWidth="1"/>
    <col min="3835" max="3835" width="7.33203125" style="18" customWidth="1"/>
    <col min="3836" max="3836" width="5.5546875" style="18" customWidth="1"/>
    <col min="3837" max="3837" width="9" style="18" customWidth="1"/>
    <col min="3838" max="3839" width="9.88671875" style="18" customWidth="1"/>
    <col min="3840" max="3840" width="11.109375" style="18" customWidth="1"/>
    <col min="3841" max="3841" width="2.88671875" style="18" customWidth="1"/>
    <col min="3842" max="3842" width="3.5546875" style="18" customWidth="1"/>
    <col min="3843" max="4087" width="9.109375" style="18"/>
    <col min="4088" max="4088" width="8.6640625" style="18" customWidth="1"/>
    <col min="4089" max="4089" width="9.88671875" style="18" customWidth="1"/>
    <col min="4090" max="4090" width="14.44140625" style="18" customWidth="1"/>
    <col min="4091" max="4091" width="7.33203125" style="18" customWidth="1"/>
    <col min="4092" max="4092" width="5.5546875" style="18" customWidth="1"/>
    <col min="4093" max="4093" width="9" style="18" customWidth="1"/>
    <col min="4094" max="4095" width="9.88671875" style="18" customWidth="1"/>
    <col min="4096" max="4096" width="11.109375" style="18" customWidth="1"/>
    <col min="4097" max="4097" width="2.88671875" style="18" customWidth="1"/>
    <col min="4098" max="4098" width="3.5546875" style="18" customWidth="1"/>
    <col min="4099" max="4343" width="9.109375" style="18"/>
    <col min="4344" max="4344" width="8.6640625" style="18" customWidth="1"/>
    <col min="4345" max="4345" width="9.88671875" style="18" customWidth="1"/>
    <col min="4346" max="4346" width="14.44140625" style="18" customWidth="1"/>
    <col min="4347" max="4347" width="7.33203125" style="18" customWidth="1"/>
    <col min="4348" max="4348" width="5.5546875" style="18" customWidth="1"/>
    <col min="4349" max="4349" width="9" style="18" customWidth="1"/>
    <col min="4350" max="4351" width="9.88671875" style="18" customWidth="1"/>
    <col min="4352" max="4352" width="11.109375" style="18" customWidth="1"/>
    <col min="4353" max="4353" width="2.88671875" style="18" customWidth="1"/>
    <col min="4354" max="4354" width="3.5546875" style="18" customWidth="1"/>
    <col min="4355" max="4599" width="9.109375" style="18"/>
    <col min="4600" max="4600" width="8.6640625" style="18" customWidth="1"/>
    <col min="4601" max="4601" width="9.88671875" style="18" customWidth="1"/>
    <col min="4602" max="4602" width="14.44140625" style="18" customWidth="1"/>
    <col min="4603" max="4603" width="7.33203125" style="18" customWidth="1"/>
    <col min="4604" max="4604" width="5.5546875" style="18" customWidth="1"/>
    <col min="4605" max="4605" width="9" style="18" customWidth="1"/>
    <col min="4606" max="4607" width="9.88671875" style="18" customWidth="1"/>
    <col min="4608" max="4608" width="11.109375" style="18" customWidth="1"/>
    <col min="4609" max="4609" width="2.88671875" style="18" customWidth="1"/>
    <col min="4610" max="4610" width="3.5546875" style="18" customWidth="1"/>
    <col min="4611" max="4855" width="9.109375" style="18"/>
    <col min="4856" max="4856" width="8.6640625" style="18" customWidth="1"/>
    <col min="4857" max="4857" width="9.88671875" style="18" customWidth="1"/>
    <col min="4858" max="4858" width="14.44140625" style="18" customWidth="1"/>
    <col min="4859" max="4859" width="7.33203125" style="18" customWidth="1"/>
    <col min="4860" max="4860" width="5.5546875" style="18" customWidth="1"/>
    <col min="4861" max="4861" width="9" style="18" customWidth="1"/>
    <col min="4862" max="4863" width="9.88671875" style="18" customWidth="1"/>
    <col min="4864" max="4864" width="11.109375" style="18" customWidth="1"/>
    <col min="4865" max="4865" width="2.88671875" style="18" customWidth="1"/>
    <col min="4866" max="4866" width="3.5546875" style="18" customWidth="1"/>
    <col min="4867" max="5111" width="9.109375" style="18"/>
    <col min="5112" max="5112" width="8.6640625" style="18" customWidth="1"/>
    <col min="5113" max="5113" width="9.88671875" style="18" customWidth="1"/>
    <col min="5114" max="5114" width="14.44140625" style="18" customWidth="1"/>
    <col min="5115" max="5115" width="7.33203125" style="18" customWidth="1"/>
    <col min="5116" max="5116" width="5.5546875" style="18" customWidth="1"/>
    <col min="5117" max="5117" width="9" style="18" customWidth="1"/>
    <col min="5118" max="5119" width="9.88671875" style="18" customWidth="1"/>
    <col min="5120" max="5120" width="11.109375" style="18" customWidth="1"/>
    <col min="5121" max="5121" width="2.88671875" style="18" customWidth="1"/>
    <col min="5122" max="5122" width="3.5546875" style="18" customWidth="1"/>
    <col min="5123" max="5367" width="9.109375" style="18"/>
    <col min="5368" max="5368" width="8.6640625" style="18" customWidth="1"/>
    <col min="5369" max="5369" width="9.88671875" style="18" customWidth="1"/>
    <col min="5370" max="5370" width="14.44140625" style="18" customWidth="1"/>
    <col min="5371" max="5371" width="7.33203125" style="18" customWidth="1"/>
    <col min="5372" max="5372" width="5.5546875" style="18" customWidth="1"/>
    <col min="5373" max="5373" width="9" style="18" customWidth="1"/>
    <col min="5374" max="5375" width="9.88671875" style="18" customWidth="1"/>
    <col min="5376" max="5376" width="11.109375" style="18" customWidth="1"/>
    <col min="5377" max="5377" width="2.88671875" style="18" customWidth="1"/>
    <col min="5378" max="5378" width="3.5546875" style="18" customWidth="1"/>
    <col min="5379" max="5623" width="9.109375" style="18"/>
    <col min="5624" max="5624" width="8.6640625" style="18" customWidth="1"/>
    <col min="5625" max="5625" width="9.88671875" style="18" customWidth="1"/>
    <col min="5626" max="5626" width="14.44140625" style="18" customWidth="1"/>
    <col min="5627" max="5627" width="7.33203125" style="18" customWidth="1"/>
    <col min="5628" max="5628" width="5.5546875" style="18" customWidth="1"/>
    <col min="5629" max="5629" width="9" style="18" customWidth="1"/>
    <col min="5630" max="5631" width="9.88671875" style="18" customWidth="1"/>
    <col min="5632" max="5632" width="11.109375" style="18" customWidth="1"/>
    <col min="5633" max="5633" width="2.88671875" style="18" customWidth="1"/>
    <col min="5634" max="5634" width="3.5546875" style="18" customWidth="1"/>
    <col min="5635" max="5879" width="9.109375" style="18"/>
    <col min="5880" max="5880" width="8.6640625" style="18" customWidth="1"/>
    <col min="5881" max="5881" width="9.88671875" style="18" customWidth="1"/>
    <col min="5882" max="5882" width="14.44140625" style="18" customWidth="1"/>
    <col min="5883" max="5883" width="7.33203125" style="18" customWidth="1"/>
    <col min="5884" max="5884" width="5.5546875" style="18" customWidth="1"/>
    <col min="5885" max="5885" width="9" style="18" customWidth="1"/>
    <col min="5886" max="5887" width="9.88671875" style="18" customWidth="1"/>
    <col min="5888" max="5888" width="11.109375" style="18" customWidth="1"/>
    <col min="5889" max="5889" width="2.88671875" style="18" customWidth="1"/>
    <col min="5890" max="5890" width="3.5546875" style="18" customWidth="1"/>
    <col min="5891" max="6135" width="9.109375" style="18"/>
    <col min="6136" max="6136" width="8.6640625" style="18" customWidth="1"/>
    <col min="6137" max="6137" width="9.88671875" style="18" customWidth="1"/>
    <col min="6138" max="6138" width="14.44140625" style="18" customWidth="1"/>
    <col min="6139" max="6139" width="7.33203125" style="18" customWidth="1"/>
    <col min="6140" max="6140" width="5.5546875" style="18" customWidth="1"/>
    <col min="6141" max="6141" width="9" style="18" customWidth="1"/>
    <col min="6142" max="6143" width="9.88671875" style="18" customWidth="1"/>
    <col min="6144" max="6144" width="11.109375" style="18" customWidth="1"/>
    <col min="6145" max="6145" width="2.88671875" style="18" customWidth="1"/>
    <col min="6146" max="6146" width="3.5546875" style="18" customWidth="1"/>
    <col min="6147" max="6391" width="9.109375" style="18"/>
    <col min="6392" max="6392" width="8.6640625" style="18" customWidth="1"/>
    <col min="6393" max="6393" width="9.88671875" style="18" customWidth="1"/>
    <col min="6394" max="6394" width="14.44140625" style="18" customWidth="1"/>
    <col min="6395" max="6395" width="7.33203125" style="18" customWidth="1"/>
    <col min="6396" max="6396" width="5.5546875" style="18" customWidth="1"/>
    <col min="6397" max="6397" width="9" style="18" customWidth="1"/>
    <col min="6398" max="6399" width="9.88671875" style="18" customWidth="1"/>
    <col min="6400" max="6400" width="11.109375" style="18" customWidth="1"/>
    <col min="6401" max="6401" width="2.88671875" style="18" customWidth="1"/>
    <col min="6402" max="6402" width="3.5546875" style="18" customWidth="1"/>
    <col min="6403" max="6647" width="9.109375" style="18"/>
    <col min="6648" max="6648" width="8.6640625" style="18" customWidth="1"/>
    <col min="6649" max="6649" width="9.88671875" style="18" customWidth="1"/>
    <col min="6650" max="6650" width="14.44140625" style="18" customWidth="1"/>
    <col min="6651" max="6651" width="7.33203125" style="18" customWidth="1"/>
    <col min="6652" max="6652" width="5.5546875" style="18" customWidth="1"/>
    <col min="6653" max="6653" width="9" style="18" customWidth="1"/>
    <col min="6654" max="6655" width="9.88671875" style="18" customWidth="1"/>
    <col min="6656" max="6656" width="11.109375" style="18" customWidth="1"/>
    <col min="6657" max="6657" width="2.88671875" style="18" customWidth="1"/>
    <col min="6658" max="6658" width="3.5546875" style="18" customWidth="1"/>
    <col min="6659" max="6903" width="9.109375" style="18"/>
    <col min="6904" max="6904" width="8.6640625" style="18" customWidth="1"/>
    <col min="6905" max="6905" width="9.88671875" style="18" customWidth="1"/>
    <col min="6906" max="6906" width="14.44140625" style="18" customWidth="1"/>
    <col min="6907" max="6907" width="7.33203125" style="18" customWidth="1"/>
    <col min="6908" max="6908" width="5.5546875" style="18" customWidth="1"/>
    <col min="6909" max="6909" width="9" style="18" customWidth="1"/>
    <col min="6910" max="6911" width="9.88671875" style="18" customWidth="1"/>
    <col min="6912" max="6912" width="11.109375" style="18" customWidth="1"/>
    <col min="6913" max="6913" width="2.88671875" style="18" customWidth="1"/>
    <col min="6914" max="6914" width="3.5546875" style="18" customWidth="1"/>
    <col min="6915" max="7159" width="9.109375" style="18"/>
    <col min="7160" max="7160" width="8.6640625" style="18" customWidth="1"/>
    <col min="7161" max="7161" width="9.88671875" style="18" customWidth="1"/>
    <col min="7162" max="7162" width="14.44140625" style="18" customWidth="1"/>
    <col min="7163" max="7163" width="7.33203125" style="18" customWidth="1"/>
    <col min="7164" max="7164" width="5.5546875" style="18" customWidth="1"/>
    <col min="7165" max="7165" width="9" style="18" customWidth="1"/>
    <col min="7166" max="7167" width="9.88671875" style="18" customWidth="1"/>
    <col min="7168" max="7168" width="11.109375" style="18" customWidth="1"/>
    <col min="7169" max="7169" width="2.88671875" style="18" customWidth="1"/>
    <col min="7170" max="7170" width="3.5546875" style="18" customWidth="1"/>
    <col min="7171" max="7415" width="9.109375" style="18"/>
    <col min="7416" max="7416" width="8.6640625" style="18" customWidth="1"/>
    <col min="7417" max="7417" width="9.88671875" style="18" customWidth="1"/>
    <col min="7418" max="7418" width="14.44140625" style="18" customWidth="1"/>
    <col min="7419" max="7419" width="7.33203125" style="18" customWidth="1"/>
    <col min="7420" max="7420" width="5.5546875" style="18" customWidth="1"/>
    <col min="7421" max="7421" width="9" style="18" customWidth="1"/>
    <col min="7422" max="7423" width="9.88671875" style="18" customWidth="1"/>
    <col min="7424" max="7424" width="11.109375" style="18" customWidth="1"/>
    <col min="7425" max="7425" width="2.88671875" style="18" customWidth="1"/>
    <col min="7426" max="7426" width="3.5546875" style="18" customWidth="1"/>
    <col min="7427" max="7671" width="9.109375" style="18"/>
    <col min="7672" max="7672" width="8.6640625" style="18" customWidth="1"/>
    <col min="7673" max="7673" width="9.88671875" style="18" customWidth="1"/>
    <col min="7674" max="7674" width="14.44140625" style="18" customWidth="1"/>
    <col min="7675" max="7675" width="7.33203125" style="18" customWidth="1"/>
    <col min="7676" max="7676" width="5.5546875" style="18" customWidth="1"/>
    <col min="7677" max="7677" width="9" style="18" customWidth="1"/>
    <col min="7678" max="7679" width="9.88671875" style="18" customWidth="1"/>
    <col min="7680" max="7680" width="11.109375" style="18" customWidth="1"/>
    <col min="7681" max="7681" width="2.88671875" style="18" customWidth="1"/>
    <col min="7682" max="7682" width="3.5546875" style="18" customWidth="1"/>
    <col min="7683" max="7927" width="9.109375" style="18"/>
    <col min="7928" max="7928" width="8.6640625" style="18" customWidth="1"/>
    <col min="7929" max="7929" width="9.88671875" style="18" customWidth="1"/>
    <col min="7930" max="7930" width="14.44140625" style="18" customWidth="1"/>
    <col min="7931" max="7931" width="7.33203125" style="18" customWidth="1"/>
    <col min="7932" max="7932" width="5.5546875" style="18" customWidth="1"/>
    <col min="7933" max="7933" width="9" style="18" customWidth="1"/>
    <col min="7934" max="7935" width="9.88671875" style="18" customWidth="1"/>
    <col min="7936" max="7936" width="11.109375" style="18" customWidth="1"/>
    <col min="7937" max="7937" width="2.88671875" style="18" customWidth="1"/>
    <col min="7938" max="7938" width="3.5546875" style="18" customWidth="1"/>
    <col min="7939" max="8183" width="9.109375" style="18"/>
    <col min="8184" max="8184" width="8.6640625" style="18" customWidth="1"/>
    <col min="8185" max="8185" width="9.88671875" style="18" customWidth="1"/>
    <col min="8186" max="8186" width="14.44140625" style="18" customWidth="1"/>
    <col min="8187" max="8187" width="7.33203125" style="18" customWidth="1"/>
    <col min="8188" max="8188" width="5.5546875" style="18" customWidth="1"/>
    <col min="8189" max="8189" width="9" style="18" customWidth="1"/>
    <col min="8190" max="8191" width="9.88671875" style="18" customWidth="1"/>
    <col min="8192" max="8192" width="11.109375" style="18" customWidth="1"/>
    <col min="8193" max="8193" width="2.88671875" style="18" customWidth="1"/>
    <col min="8194" max="8194" width="3.5546875" style="18" customWidth="1"/>
    <col min="8195" max="8439" width="9.109375" style="18"/>
    <col min="8440" max="8440" width="8.6640625" style="18" customWidth="1"/>
    <col min="8441" max="8441" width="9.88671875" style="18" customWidth="1"/>
    <col min="8442" max="8442" width="14.44140625" style="18" customWidth="1"/>
    <col min="8443" max="8443" width="7.33203125" style="18" customWidth="1"/>
    <col min="8444" max="8444" width="5.5546875" style="18" customWidth="1"/>
    <col min="8445" max="8445" width="9" style="18" customWidth="1"/>
    <col min="8446" max="8447" width="9.88671875" style="18" customWidth="1"/>
    <col min="8448" max="8448" width="11.109375" style="18" customWidth="1"/>
    <col min="8449" max="8449" width="2.88671875" style="18" customWidth="1"/>
    <col min="8450" max="8450" width="3.5546875" style="18" customWidth="1"/>
    <col min="8451" max="8695" width="9.109375" style="18"/>
    <col min="8696" max="8696" width="8.6640625" style="18" customWidth="1"/>
    <col min="8697" max="8697" width="9.88671875" style="18" customWidth="1"/>
    <col min="8698" max="8698" width="14.44140625" style="18" customWidth="1"/>
    <col min="8699" max="8699" width="7.33203125" style="18" customWidth="1"/>
    <col min="8700" max="8700" width="5.5546875" style="18" customWidth="1"/>
    <col min="8701" max="8701" width="9" style="18" customWidth="1"/>
    <col min="8702" max="8703" width="9.88671875" style="18" customWidth="1"/>
    <col min="8704" max="8704" width="11.109375" style="18" customWidth="1"/>
    <col min="8705" max="8705" width="2.88671875" style="18" customWidth="1"/>
    <col min="8706" max="8706" width="3.5546875" style="18" customWidth="1"/>
    <col min="8707" max="8951" width="9.109375" style="18"/>
    <col min="8952" max="8952" width="8.6640625" style="18" customWidth="1"/>
    <col min="8953" max="8953" width="9.88671875" style="18" customWidth="1"/>
    <col min="8954" max="8954" width="14.44140625" style="18" customWidth="1"/>
    <col min="8955" max="8955" width="7.33203125" style="18" customWidth="1"/>
    <col min="8956" max="8956" width="5.5546875" style="18" customWidth="1"/>
    <col min="8957" max="8957" width="9" style="18" customWidth="1"/>
    <col min="8958" max="8959" width="9.88671875" style="18" customWidth="1"/>
    <col min="8960" max="8960" width="11.109375" style="18" customWidth="1"/>
    <col min="8961" max="8961" width="2.88671875" style="18" customWidth="1"/>
    <col min="8962" max="8962" width="3.5546875" style="18" customWidth="1"/>
    <col min="8963" max="9207" width="9.109375" style="18"/>
    <col min="9208" max="9208" width="8.6640625" style="18" customWidth="1"/>
    <col min="9209" max="9209" width="9.88671875" style="18" customWidth="1"/>
    <col min="9210" max="9210" width="14.44140625" style="18" customWidth="1"/>
    <col min="9211" max="9211" width="7.33203125" style="18" customWidth="1"/>
    <col min="9212" max="9212" width="5.5546875" style="18" customWidth="1"/>
    <col min="9213" max="9213" width="9" style="18" customWidth="1"/>
    <col min="9214" max="9215" width="9.88671875" style="18" customWidth="1"/>
    <col min="9216" max="9216" width="11.109375" style="18" customWidth="1"/>
    <col min="9217" max="9217" width="2.88671875" style="18" customWidth="1"/>
    <col min="9218" max="9218" width="3.5546875" style="18" customWidth="1"/>
    <col min="9219" max="9463" width="9.109375" style="18"/>
    <col min="9464" max="9464" width="8.6640625" style="18" customWidth="1"/>
    <col min="9465" max="9465" width="9.88671875" style="18" customWidth="1"/>
    <col min="9466" max="9466" width="14.44140625" style="18" customWidth="1"/>
    <col min="9467" max="9467" width="7.33203125" style="18" customWidth="1"/>
    <col min="9468" max="9468" width="5.5546875" style="18" customWidth="1"/>
    <col min="9469" max="9469" width="9" style="18" customWidth="1"/>
    <col min="9470" max="9471" width="9.88671875" style="18" customWidth="1"/>
    <col min="9472" max="9472" width="11.109375" style="18" customWidth="1"/>
    <col min="9473" max="9473" width="2.88671875" style="18" customWidth="1"/>
    <col min="9474" max="9474" width="3.5546875" style="18" customWidth="1"/>
    <col min="9475" max="9719" width="9.109375" style="18"/>
    <col min="9720" max="9720" width="8.6640625" style="18" customWidth="1"/>
    <col min="9721" max="9721" width="9.88671875" style="18" customWidth="1"/>
    <col min="9722" max="9722" width="14.44140625" style="18" customWidth="1"/>
    <col min="9723" max="9723" width="7.33203125" style="18" customWidth="1"/>
    <col min="9724" max="9724" width="5.5546875" style="18" customWidth="1"/>
    <col min="9725" max="9725" width="9" style="18" customWidth="1"/>
    <col min="9726" max="9727" width="9.88671875" style="18" customWidth="1"/>
    <col min="9728" max="9728" width="11.109375" style="18" customWidth="1"/>
    <col min="9729" max="9729" width="2.88671875" style="18" customWidth="1"/>
    <col min="9730" max="9730" width="3.5546875" style="18" customWidth="1"/>
    <col min="9731" max="9975" width="9.109375" style="18"/>
    <col min="9976" max="9976" width="8.6640625" style="18" customWidth="1"/>
    <col min="9977" max="9977" width="9.88671875" style="18" customWidth="1"/>
    <col min="9978" max="9978" width="14.44140625" style="18" customWidth="1"/>
    <col min="9979" max="9979" width="7.33203125" style="18" customWidth="1"/>
    <col min="9980" max="9980" width="5.5546875" style="18" customWidth="1"/>
    <col min="9981" max="9981" width="9" style="18" customWidth="1"/>
    <col min="9982" max="9983" width="9.88671875" style="18" customWidth="1"/>
    <col min="9984" max="9984" width="11.109375" style="18" customWidth="1"/>
    <col min="9985" max="9985" width="2.88671875" style="18" customWidth="1"/>
    <col min="9986" max="9986" width="3.5546875" style="18" customWidth="1"/>
    <col min="9987" max="10231" width="9.109375" style="18"/>
    <col min="10232" max="10232" width="8.6640625" style="18" customWidth="1"/>
    <col min="10233" max="10233" width="9.88671875" style="18" customWidth="1"/>
    <col min="10234" max="10234" width="14.44140625" style="18" customWidth="1"/>
    <col min="10235" max="10235" width="7.33203125" style="18" customWidth="1"/>
    <col min="10236" max="10236" width="5.5546875" style="18" customWidth="1"/>
    <col min="10237" max="10237" width="9" style="18" customWidth="1"/>
    <col min="10238" max="10239" width="9.88671875" style="18" customWidth="1"/>
    <col min="10240" max="10240" width="11.109375" style="18" customWidth="1"/>
    <col min="10241" max="10241" width="2.88671875" style="18" customWidth="1"/>
    <col min="10242" max="10242" width="3.5546875" style="18" customWidth="1"/>
    <col min="10243" max="10487" width="9.109375" style="18"/>
    <col min="10488" max="10488" width="8.6640625" style="18" customWidth="1"/>
    <col min="10489" max="10489" width="9.88671875" style="18" customWidth="1"/>
    <col min="10490" max="10490" width="14.44140625" style="18" customWidth="1"/>
    <col min="10491" max="10491" width="7.33203125" style="18" customWidth="1"/>
    <col min="10492" max="10492" width="5.5546875" style="18" customWidth="1"/>
    <col min="10493" max="10493" width="9" style="18" customWidth="1"/>
    <col min="10494" max="10495" width="9.88671875" style="18" customWidth="1"/>
    <col min="10496" max="10496" width="11.109375" style="18" customWidth="1"/>
    <col min="10497" max="10497" width="2.88671875" style="18" customWidth="1"/>
    <col min="10498" max="10498" width="3.5546875" style="18" customWidth="1"/>
    <col min="10499" max="10743" width="9.109375" style="18"/>
    <col min="10744" max="10744" width="8.6640625" style="18" customWidth="1"/>
    <col min="10745" max="10745" width="9.88671875" style="18" customWidth="1"/>
    <col min="10746" max="10746" width="14.44140625" style="18" customWidth="1"/>
    <col min="10747" max="10747" width="7.33203125" style="18" customWidth="1"/>
    <col min="10748" max="10748" width="5.5546875" style="18" customWidth="1"/>
    <col min="10749" max="10749" width="9" style="18" customWidth="1"/>
    <col min="10750" max="10751" width="9.88671875" style="18" customWidth="1"/>
    <col min="10752" max="10752" width="11.109375" style="18" customWidth="1"/>
    <col min="10753" max="10753" width="2.88671875" style="18" customWidth="1"/>
    <col min="10754" max="10754" width="3.5546875" style="18" customWidth="1"/>
    <col min="10755" max="10999" width="9.109375" style="18"/>
    <col min="11000" max="11000" width="8.6640625" style="18" customWidth="1"/>
    <col min="11001" max="11001" width="9.88671875" style="18" customWidth="1"/>
    <col min="11002" max="11002" width="14.44140625" style="18" customWidth="1"/>
    <col min="11003" max="11003" width="7.33203125" style="18" customWidth="1"/>
    <col min="11004" max="11004" width="5.5546875" style="18" customWidth="1"/>
    <col min="11005" max="11005" width="9" style="18" customWidth="1"/>
    <col min="11006" max="11007" width="9.88671875" style="18" customWidth="1"/>
    <col min="11008" max="11008" width="11.109375" style="18" customWidth="1"/>
    <col min="11009" max="11009" width="2.88671875" style="18" customWidth="1"/>
    <col min="11010" max="11010" width="3.5546875" style="18" customWidth="1"/>
    <col min="11011" max="11255" width="9.109375" style="18"/>
    <col min="11256" max="11256" width="8.6640625" style="18" customWidth="1"/>
    <col min="11257" max="11257" width="9.88671875" style="18" customWidth="1"/>
    <col min="11258" max="11258" width="14.44140625" style="18" customWidth="1"/>
    <col min="11259" max="11259" width="7.33203125" style="18" customWidth="1"/>
    <col min="11260" max="11260" width="5.5546875" style="18" customWidth="1"/>
    <col min="11261" max="11261" width="9" style="18" customWidth="1"/>
    <col min="11262" max="11263" width="9.88671875" style="18" customWidth="1"/>
    <col min="11264" max="11264" width="11.109375" style="18" customWidth="1"/>
    <col min="11265" max="11265" width="2.88671875" style="18" customWidth="1"/>
    <col min="11266" max="11266" width="3.5546875" style="18" customWidth="1"/>
    <col min="11267" max="11511" width="9.109375" style="18"/>
    <col min="11512" max="11512" width="8.6640625" style="18" customWidth="1"/>
    <col min="11513" max="11513" width="9.88671875" style="18" customWidth="1"/>
    <col min="11514" max="11514" width="14.44140625" style="18" customWidth="1"/>
    <col min="11515" max="11515" width="7.33203125" style="18" customWidth="1"/>
    <col min="11516" max="11516" width="5.5546875" style="18" customWidth="1"/>
    <col min="11517" max="11517" width="9" style="18" customWidth="1"/>
    <col min="11518" max="11519" width="9.88671875" style="18" customWidth="1"/>
    <col min="11520" max="11520" width="11.109375" style="18" customWidth="1"/>
    <col min="11521" max="11521" width="2.88671875" style="18" customWidth="1"/>
    <col min="11522" max="11522" width="3.5546875" style="18" customWidth="1"/>
    <col min="11523" max="11767" width="9.109375" style="18"/>
    <col min="11768" max="11768" width="8.6640625" style="18" customWidth="1"/>
    <col min="11769" max="11769" width="9.88671875" style="18" customWidth="1"/>
    <col min="11770" max="11770" width="14.44140625" style="18" customWidth="1"/>
    <col min="11771" max="11771" width="7.33203125" style="18" customWidth="1"/>
    <col min="11772" max="11772" width="5.5546875" style="18" customWidth="1"/>
    <col min="11773" max="11773" width="9" style="18" customWidth="1"/>
    <col min="11774" max="11775" width="9.88671875" style="18" customWidth="1"/>
    <col min="11776" max="11776" width="11.109375" style="18" customWidth="1"/>
    <col min="11777" max="11777" width="2.88671875" style="18" customWidth="1"/>
    <col min="11778" max="11778" width="3.5546875" style="18" customWidth="1"/>
    <col min="11779" max="12023" width="9.109375" style="18"/>
    <col min="12024" max="12024" width="8.6640625" style="18" customWidth="1"/>
    <col min="12025" max="12025" width="9.88671875" style="18" customWidth="1"/>
    <col min="12026" max="12026" width="14.44140625" style="18" customWidth="1"/>
    <col min="12027" max="12027" width="7.33203125" style="18" customWidth="1"/>
    <col min="12028" max="12028" width="5.5546875" style="18" customWidth="1"/>
    <col min="12029" max="12029" width="9" style="18" customWidth="1"/>
    <col min="12030" max="12031" width="9.88671875" style="18" customWidth="1"/>
    <col min="12032" max="12032" width="11.109375" style="18" customWidth="1"/>
    <col min="12033" max="12033" width="2.88671875" style="18" customWidth="1"/>
    <col min="12034" max="12034" width="3.5546875" style="18" customWidth="1"/>
    <col min="12035" max="12279" width="9.109375" style="18"/>
    <col min="12280" max="12280" width="8.6640625" style="18" customWidth="1"/>
    <col min="12281" max="12281" width="9.88671875" style="18" customWidth="1"/>
    <col min="12282" max="12282" width="14.44140625" style="18" customWidth="1"/>
    <col min="12283" max="12283" width="7.33203125" style="18" customWidth="1"/>
    <col min="12284" max="12284" width="5.5546875" style="18" customWidth="1"/>
    <col min="12285" max="12285" width="9" style="18" customWidth="1"/>
    <col min="12286" max="12287" width="9.88671875" style="18" customWidth="1"/>
    <col min="12288" max="12288" width="11.109375" style="18" customWidth="1"/>
    <col min="12289" max="12289" width="2.88671875" style="18" customWidth="1"/>
    <col min="12290" max="12290" width="3.5546875" style="18" customWidth="1"/>
    <col min="12291" max="12535" width="9.109375" style="18"/>
    <col min="12536" max="12536" width="8.6640625" style="18" customWidth="1"/>
    <col min="12537" max="12537" width="9.88671875" style="18" customWidth="1"/>
    <col min="12538" max="12538" width="14.44140625" style="18" customWidth="1"/>
    <col min="12539" max="12539" width="7.33203125" style="18" customWidth="1"/>
    <col min="12540" max="12540" width="5.5546875" style="18" customWidth="1"/>
    <col min="12541" max="12541" width="9" style="18" customWidth="1"/>
    <col min="12542" max="12543" width="9.88671875" style="18" customWidth="1"/>
    <col min="12544" max="12544" width="11.109375" style="18" customWidth="1"/>
    <col min="12545" max="12545" width="2.88671875" style="18" customWidth="1"/>
    <col min="12546" max="12546" width="3.5546875" style="18" customWidth="1"/>
    <col min="12547" max="12791" width="9.109375" style="18"/>
    <col min="12792" max="12792" width="8.6640625" style="18" customWidth="1"/>
    <col min="12793" max="12793" width="9.88671875" style="18" customWidth="1"/>
    <col min="12794" max="12794" width="14.44140625" style="18" customWidth="1"/>
    <col min="12795" max="12795" width="7.33203125" style="18" customWidth="1"/>
    <col min="12796" max="12796" width="5.5546875" style="18" customWidth="1"/>
    <col min="12797" max="12797" width="9" style="18" customWidth="1"/>
    <col min="12798" max="12799" width="9.88671875" style="18" customWidth="1"/>
    <col min="12800" max="12800" width="11.109375" style="18" customWidth="1"/>
    <col min="12801" max="12801" width="2.88671875" style="18" customWidth="1"/>
    <col min="12802" max="12802" width="3.5546875" style="18" customWidth="1"/>
    <col min="12803" max="13047" width="9.109375" style="18"/>
    <col min="13048" max="13048" width="8.6640625" style="18" customWidth="1"/>
    <col min="13049" max="13049" width="9.88671875" style="18" customWidth="1"/>
    <col min="13050" max="13050" width="14.44140625" style="18" customWidth="1"/>
    <col min="13051" max="13051" width="7.33203125" style="18" customWidth="1"/>
    <col min="13052" max="13052" width="5.5546875" style="18" customWidth="1"/>
    <col min="13053" max="13053" width="9" style="18" customWidth="1"/>
    <col min="13054" max="13055" width="9.88671875" style="18" customWidth="1"/>
    <col min="13056" max="13056" width="11.109375" style="18" customWidth="1"/>
    <col min="13057" max="13057" width="2.88671875" style="18" customWidth="1"/>
    <col min="13058" max="13058" width="3.5546875" style="18" customWidth="1"/>
    <col min="13059" max="13303" width="9.109375" style="18"/>
    <col min="13304" max="13304" width="8.6640625" style="18" customWidth="1"/>
    <col min="13305" max="13305" width="9.88671875" style="18" customWidth="1"/>
    <col min="13306" max="13306" width="14.44140625" style="18" customWidth="1"/>
    <col min="13307" max="13307" width="7.33203125" style="18" customWidth="1"/>
    <col min="13308" max="13308" width="5.5546875" style="18" customWidth="1"/>
    <col min="13309" max="13309" width="9" style="18" customWidth="1"/>
    <col min="13310" max="13311" width="9.88671875" style="18" customWidth="1"/>
    <col min="13312" max="13312" width="11.109375" style="18" customWidth="1"/>
    <col min="13313" max="13313" width="2.88671875" style="18" customWidth="1"/>
    <col min="13314" max="13314" width="3.5546875" style="18" customWidth="1"/>
    <col min="13315" max="13559" width="9.109375" style="18"/>
    <col min="13560" max="13560" width="8.6640625" style="18" customWidth="1"/>
    <col min="13561" max="13561" width="9.88671875" style="18" customWidth="1"/>
    <col min="13562" max="13562" width="14.44140625" style="18" customWidth="1"/>
    <col min="13563" max="13563" width="7.33203125" style="18" customWidth="1"/>
    <col min="13564" max="13564" width="5.5546875" style="18" customWidth="1"/>
    <col min="13565" max="13565" width="9" style="18" customWidth="1"/>
    <col min="13566" max="13567" width="9.88671875" style="18" customWidth="1"/>
    <col min="13568" max="13568" width="11.109375" style="18" customWidth="1"/>
    <col min="13569" max="13569" width="2.88671875" style="18" customWidth="1"/>
    <col min="13570" max="13570" width="3.5546875" style="18" customWidth="1"/>
    <col min="13571" max="13815" width="9.109375" style="18"/>
    <col min="13816" max="13816" width="8.6640625" style="18" customWidth="1"/>
    <col min="13817" max="13817" width="9.88671875" style="18" customWidth="1"/>
    <col min="13818" max="13818" width="14.44140625" style="18" customWidth="1"/>
    <col min="13819" max="13819" width="7.33203125" style="18" customWidth="1"/>
    <col min="13820" max="13820" width="5.5546875" style="18" customWidth="1"/>
    <col min="13821" max="13821" width="9" style="18" customWidth="1"/>
    <col min="13822" max="13823" width="9.88671875" style="18" customWidth="1"/>
    <col min="13824" max="13824" width="11.109375" style="18" customWidth="1"/>
    <col min="13825" max="13825" width="2.88671875" style="18" customWidth="1"/>
    <col min="13826" max="13826" width="3.5546875" style="18" customWidth="1"/>
    <col min="13827" max="14071" width="9.109375" style="18"/>
    <col min="14072" max="14072" width="8.6640625" style="18" customWidth="1"/>
    <col min="14073" max="14073" width="9.88671875" style="18" customWidth="1"/>
    <col min="14074" max="14074" width="14.44140625" style="18" customWidth="1"/>
    <col min="14075" max="14075" width="7.33203125" style="18" customWidth="1"/>
    <col min="14076" max="14076" width="5.5546875" style="18" customWidth="1"/>
    <col min="14077" max="14077" width="9" style="18" customWidth="1"/>
    <col min="14078" max="14079" width="9.88671875" style="18" customWidth="1"/>
    <col min="14080" max="14080" width="11.109375" style="18" customWidth="1"/>
    <col min="14081" max="14081" width="2.88671875" style="18" customWidth="1"/>
    <col min="14082" max="14082" width="3.5546875" style="18" customWidth="1"/>
    <col min="14083" max="14327" width="9.109375" style="18"/>
    <col min="14328" max="14328" width="8.6640625" style="18" customWidth="1"/>
    <col min="14329" max="14329" width="9.88671875" style="18" customWidth="1"/>
    <col min="14330" max="14330" width="14.44140625" style="18" customWidth="1"/>
    <col min="14331" max="14331" width="7.33203125" style="18" customWidth="1"/>
    <col min="14332" max="14332" width="5.5546875" style="18" customWidth="1"/>
    <col min="14333" max="14333" width="9" style="18" customWidth="1"/>
    <col min="14334" max="14335" width="9.88671875" style="18" customWidth="1"/>
    <col min="14336" max="14336" width="11.109375" style="18" customWidth="1"/>
    <col min="14337" max="14337" width="2.88671875" style="18" customWidth="1"/>
    <col min="14338" max="14338" width="3.5546875" style="18" customWidth="1"/>
    <col min="14339" max="14583" width="9.109375" style="18"/>
    <col min="14584" max="14584" width="8.6640625" style="18" customWidth="1"/>
    <col min="14585" max="14585" width="9.88671875" style="18" customWidth="1"/>
    <col min="14586" max="14586" width="14.44140625" style="18" customWidth="1"/>
    <col min="14587" max="14587" width="7.33203125" style="18" customWidth="1"/>
    <col min="14588" max="14588" width="5.5546875" style="18" customWidth="1"/>
    <col min="14589" max="14589" width="9" style="18" customWidth="1"/>
    <col min="14590" max="14591" width="9.88671875" style="18" customWidth="1"/>
    <col min="14592" max="14592" width="11.109375" style="18" customWidth="1"/>
    <col min="14593" max="14593" width="2.88671875" style="18" customWidth="1"/>
    <col min="14594" max="14594" width="3.5546875" style="18" customWidth="1"/>
    <col min="14595" max="14839" width="9.109375" style="18"/>
    <col min="14840" max="14840" width="8.6640625" style="18" customWidth="1"/>
    <col min="14841" max="14841" width="9.88671875" style="18" customWidth="1"/>
    <col min="14842" max="14842" width="14.44140625" style="18" customWidth="1"/>
    <col min="14843" max="14843" width="7.33203125" style="18" customWidth="1"/>
    <col min="14844" max="14844" width="5.5546875" style="18" customWidth="1"/>
    <col min="14845" max="14845" width="9" style="18" customWidth="1"/>
    <col min="14846" max="14847" width="9.88671875" style="18" customWidth="1"/>
    <col min="14848" max="14848" width="11.109375" style="18" customWidth="1"/>
    <col min="14849" max="14849" width="2.88671875" style="18" customWidth="1"/>
    <col min="14850" max="14850" width="3.5546875" style="18" customWidth="1"/>
    <col min="14851" max="15095" width="9.109375" style="18"/>
    <col min="15096" max="15096" width="8.6640625" style="18" customWidth="1"/>
    <col min="15097" max="15097" width="9.88671875" style="18" customWidth="1"/>
    <col min="15098" max="15098" width="14.44140625" style="18" customWidth="1"/>
    <col min="15099" max="15099" width="7.33203125" style="18" customWidth="1"/>
    <col min="15100" max="15100" width="5.5546875" style="18" customWidth="1"/>
    <col min="15101" max="15101" width="9" style="18" customWidth="1"/>
    <col min="15102" max="15103" width="9.88671875" style="18" customWidth="1"/>
    <col min="15104" max="15104" width="11.109375" style="18" customWidth="1"/>
    <col min="15105" max="15105" width="2.88671875" style="18" customWidth="1"/>
    <col min="15106" max="15106" width="3.5546875" style="18" customWidth="1"/>
    <col min="15107" max="15351" width="9.109375" style="18"/>
    <col min="15352" max="15352" width="8.6640625" style="18" customWidth="1"/>
    <col min="15353" max="15353" width="9.88671875" style="18" customWidth="1"/>
    <col min="15354" max="15354" width="14.44140625" style="18" customWidth="1"/>
    <col min="15355" max="15355" width="7.33203125" style="18" customWidth="1"/>
    <col min="15356" max="15356" width="5.5546875" style="18" customWidth="1"/>
    <col min="15357" max="15357" width="9" style="18" customWidth="1"/>
    <col min="15358" max="15359" width="9.88671875" style="18" customWidth="1"/>
    <col min="15360" max="15360" width="11.109375" style="18" customWidth="1"/>
    <col min="15361" max="15361" width="2.88671875" style="18" customWidth="1"/>
    <col min="15362" max="15362" width="3.5546875" style="18" customWidth="1"/>
    <col min="15363" max="15607" width="9.109375" style="18"/>
    <col min="15608" max="15608" width="8.6640625" style="18" customWidth="1"/>
    <col min="15609" max="15609" width="9.88671875" style="18" customWidth="1"/>
    <col min="15610" max="15610" width="14.44140625" style="18" customWidth="1"/>
    <col min="15611" max="15611" width="7.33203125" style="18" customWidth="1"/>
    <col min="15612" max="15612" width="5.5546875" style="18" customWidth="1"/>
    <col min="15613" max="15613" width="9" style="18" customWidth="1"/>
    <col min="15614" max="15615" width="9.88671875" style="18" customWidth="1"/>
    <col min="15616" max="15616" width="11.109375" style="18" customWidth="1"/>
    <col min="15617" max="15617" width="2.88671875" style="18" customWidth="1"/>
    <col min="15618" max="15618" width="3.5546875" style="18" customWidth="1"/>
    <col min="15619" max="15863" width="9.109375" style="18"/>
    <col min="15864" max="15864" width="8.6640625" style="18" customWidth="1"/>
    <col min="15865" max="15865" width="9.88671875" style="18" customWidth="1"/>
    <col min="15866" max="15866" width="14.44140625" style="18" customWidth="1"/>
    <col min="15867" max="15867" width="7.33203125" style="18" customWidth="1"/>
    <col min="15868" max="15868" width="5.5546875" style="18" customWidth="1"/>
    <col min="15869" max="15869" width="9" style="18" customWidth="1"/>
    <col min="15870" max="15871" width="9.88671875" style="18" customWidth="1"/>
    <col min="15872" max="15872" width="11.109375" style="18" customWidth="1"/>
    <col min="15873" max="15873" width="2.88671875" style="18" customWidth="1"/>
    <col min="15874" max="15874" width="3.5546875" style="18" customWidth="1"/>
    <col min="15875" max="16119" width="9.109375" style="18"/>
    <col min="16120" max="16120" width="8.6640625" style="18" customWidth="1"/>
    <col min="16121" max="16121" width="9.88671875" style="18" customWidth="1"/>
    <col min="16122" max="16122" width="14.44140625" style="18" customWidth="1"/>
    <col min="16123" max="16123" width="7.33203125" style="18" customWidth="1"/>
    <col min="16124" max="16124" width="5.5546875" style="18" customWidth="1"/>
    <col min="16125" max="16125" width="9" style="18" customWidth="1"/>
    <col min="16126" max="16127" width="9.88671875" style="18" customWidth="1"/>
    <col min="16128" max="16128" width="11.109375" style="18" customWidth="1"/>
    <col min="16129" max="16129" width="2.88671875" style="18" customWidth="1"/>
    <col min="16130" max="16130" width="3.5546875" style="18" customWidth="1"/>
    <col min="16131" max="16384" width="9.109375" style="18"/>
  </cols>
  <sheetData>
    <row r="1" spans="1:26" ht="46.5" customHeight="1" x14ac:dyDescent="0.3">
      <c r="A1" s="137" t="s">
        <v>167</v>
      </c>
      <c r="B1" s="137"/>
      <c r="C1" s="137"/>
      <c r="D1" s="137"/>
      <c r="E1" s="137"/>
      <c r="F1" s="137"/>
      <c r="G1" s="137"/>
      <c r="H1" s="137"/>
    </row>
    <row r="2" spans="1:26" ht="16.5" customHeight="1" x14ac:dyDescent="0.3">
      <c r="A2" s="138" t="s">
        <v>0</v>
      </c>
      <c r="B2" s="138"/>
      <c r="C2" s="138"/>
      <c r="D2" s="138"/>
      <c r="E2" s="138"/>
      <c r="F2" s="138"/>
      <c r="G2" s="138"/>
      <c r="H2" s="138"/>
    </row>
    <row r="3" spans="1:26" x14ac:dyDescent="0.3">
      <c r="A3" s="71" t="s">
        <v>1</v>
      </c>
      <c r="B3" s="71"/>
      <c r="C3" s="71"/>
      <c r="D3" s="71"/>
      <c r="E3" s="71" t="str">
        <f ca="1">TEXT(TODAY(),"DD/MM/YYYY")</f>
        <v>20/08/2025</v>
      </c>
      <c r="F3" s="71"/>
      <c r="G3" s="71"/>
      <c r="H3" s="71"/>
    </row>
    <row r="4" spans="1:26" ht="15" customHeight="1" x14ac:dyDescent="0.3">
      <c r="A4" s="71" t="s">
        <v>2</v>
      </c>
      <c r="B4" s="71"/>
      <c r="C4" s="71"/>
      <c r="D4" s="71"/>
      <c r="E4" s="71" t="s">
        <v>172</v>
      </c>
      <c r="F4" s="71"/>
      <c r="G4" s="71"/>
      <c r="H4" s="71"/>
    </row>
    <row r="5" spans="1:26" x14ac:dyDescent="0.3">
      <c r="A5" s="71" t="s">
        <v>3</v>
      </c>
      <c r="B5" s="71"/>
      <c r="C5" s="71"/>
      <c r="D5" s="71"/>
      <c r="E5" s="139">
        <v>45881</v>
      </c>
      <c r="F5" s="140"/>
      <c r="G5" s="140"/>
      <c r="H5" s="140"/>
    </row>
    <row r="6" spans="1:26" ht="16.5" customHeight="1" x14ac:dyDescent="0.3">
      <c r="A6" s="71" t="s">
        <v>4</v>
      </c>
      <c r="B6" s="71"/>
      <c r="C6" s="71"/>
      <c r="D6" s="71"/>
      <c r="E6" s="71" t="s">
        <v>235</v>
      </c>
      <c r="F6" s="71"/>
      <c r="G6" s="71"/>
      <c r="H6" s="71"/>
    </row>
    <row r="7" spans="1:26" ht="15" customHeight="1" x14ac:dyDescent="0.3">
      <c r="A7" s="71" t="s">
        <v>5</v>
      </c>
      <c r="B7" s="71"/>
      <c r="C7" s="71"/>
      <c r="D7" s="71"/>
      <c r="E7" s="71" t="str">
        <f>E6</f>
        <v>Puneet Edifice Pvt Ltd</v>
      </c>
      <c r="F7" s="71"/>
      <c r="G7" s="71"/>
      <c r="H7" s="71"/>
    </row>
    <row r="8" spans="1:26" x14ac:dyDescent="0.3">
      <c r="A8" s="71" t="s">
        <v>6</v>
      </c>
      <c r="B8" s="71"/>
      <c r="C8" s="71"/>
      <c r="D8" s="71"/>
      <c r="E8" s="120" t="s">
        <v>236</v>
      </c>
      <c r="F8" s="120"/>
      <c r="G8" s="120"/>
      <c r="H8" s="120"/>
    </row>
    <row r="9" spans="1:26" x14ac:dyDescent="0.3">
      <c r="A9" s="71" t="s">
        <v>169</v>
      </c>
      <c r="B9" s="71"/>
      <c r="C9" s="71"/>
      <c r="D9" s="71"/>
      <c r="E9" s="71">
        <v>8657586996</v>
      </c>
      <c r="F9" s="71"/>
      <c r="G9" s="71"/>
      <c r="H9" s="71"/>
    </row>
    <row r="10" spans="1:26" x14ac:dyDescent="0.3">
      <c r="A10" s="71" t="s">
        <v>170</v>
      </c>
      <c r="B10" s="71"/>
      <c r="C10" s="71"/>
      <c r="D10" s="71"/>
      <c r="E10" s="71" t="s">
        <v>284</v>
      </c>
      <c r="F10" s="71"/>
      <c r="G10" s="71"/>
      <c r="H10" s="71"/>
    </row>
    <row r="11" spans="1:26" x14ac:dyDescent="0.3">
      <c r="A11" s="71" t="s">
        <v>7</v>
      </c>
      <c r="B11" s="71"/>
      <c r="C11" s="71"/>
      <c r="D11" s="71"/>
      <c r="E11" s="71" t="s">
        <v>122</v>
      </c>
      <c r="F11" s="71"/>
      <c r="G11" s="71"/>
      <c r="H11" s="71"/>
    </row>
    <row r="12" spans="1:26" x14ac:dyDescent="0.3">
      <c r="A12" s="71" t="s">
        <v>173</v>
      </c>
      <c r="B12" s="71"/>
      <c r="C12" s="71"/>
      <c r="D12" s="71"/>
      <c r="E12" s="71" t="s">
        <v>237</v>
      </c>
      <c r="F12" s="71"/>
      <c r="G12" s="71"/>
      <c r="H12" s="71"/>
      <c r="S12" s="49" t="s">
        <v>182</v>
      </c>
      <c r="T12" s="49" t="s">
        <v>192</v>
      </c>
      <c r="U12" s="49" t="s">
        <v>174</v>
      </c>
      <c r="V12" s="49" t="s">
        <v>197</v>
      </c>
      <c r="W12" s="49" t="s">
        <v>215</v>
      </c>
      <c r="X12"/>
      <c r="Y12" t="s">
        <v>197</v>
      </c>
      <c r="Z12" t="e">
        <f ca="1">OFFSET($S$12,1,MATCH($G19,$S$12:$W$12,0)-1,15,1)</f>
        <v>#VALUE!</v>
      </c>
    </row>
    <row r="13" spans="1:26" ht="32.25" customHeight="1" x14ac:dyDescent="0.3">
      <c r="A13" s="71" t="s">
        <v>8</v>
      </c>
      <c r="B13" s="71"/>
      <c r="C13" s="71"/>
      <c r="D13" s="71"/>
      <c r="E13" s="61" t="s">
        <v>238</v>
      </c>
      <c r="F13" s="61"/>
      <c r="G13" s="61"/>
      <c r="H13" s="61"/>
      <c r="S13" s="49" t="s">
        <v>183</v>
      </c>
      <c r="T13" s="49" t="s">
        <v>190</v>
      </c>
      <c r="U13" s="49" t="s">
        <v>212</v>
      </c>
      <c r="V13" s="49" t="s">
        <v>198</v>
      </c>
      <c r="W13" s="49" t="s">
        <v>216</v>
      </c>
      <c r="X13"/>
      <c r="Y13"/>
      <c r="Z13"/>
    </row>
    <row r="14" spans="1:26" x14ac:dyDescent="0.3">
      <c r="A14" s="71" t="s">
        <v>9</v>
      </c>
      <c r="B14" s="71"/>
      <c r="C14" s="71"/>
      <c r="D14" s="71"/>
      <c r="E14" s="61" t="s">
        <v>246</v>
      </c>
      <c r="F14" s="71"/>
      <c r="G14" s="71"/>
      <c r="H14" s="71"/>
      <c r="I14" s="163" t="e">
        <f ca="1">OFFSET($D$4,1,MATCH($J12,$D$4:$H$4,0)-1,15,1)</f>
        <v>#N/A</v>
      </c>
      <c r="J14" s="164"/>
      <c r="K14" s="164"/>
      <c r="L14" s="164"/>
      <c r="M14" s="164"/>
      <c r="N14" s="164"/>
      <c r="O14" s="164"/>
      <c r="P14" s="164"/>
      <c r="S14" s="49" t="s">
        <v>184</v>
      </c>
      <c r="T14" s="49" t="s">
        <v>191</v>
      </c>
      <c r="U14" s="49" t="s">
        <v>213</v>
      </c>
      <c r="V14" s="49" t="s">
        <v>199</v>
      </c>
      <c r="W14" s="49" t="s">
        <v>229</v>
      </c>
      <c r="X14"/>
      <c r="Y14"/>
      <c r="Z14"/>
    </row>
    <row r="15" spans="1:26" ht="33" customHeight="1" x14ac:dyDescent="0.3">
      <c r="A15" s="61" t="s">
        <v>10</v>
      </c>
      <c r="B15" s="61"/>
      <c r="C15" s="6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Puneet Amarjyoti, CTS No.351(Pt), near Shraddha Paramount, Internal Road, Tagore Nagar, Vikhroli, Vikhroli (East), Kurla, Mumbai - 400083.</v>
      </c>
      <c r="D15" s="61"/>
      <c r="E15" s="61"/>
      <c r="F15" s="61"/>
      <c r="G15" s="61"/>
      <c r="H15" s="61"/>
      <c r="S15" s="49" t="s">
        <v>185</v>
      </c>
      <c r="T15" s="49" t="s">
        <v>193</v>
      </c>
      <c r="U15" s="49" t="s">
        <v>214</v>
      </c>
      <c r="V15" s="49" t="s">
        <v>200</v>
      </c>
      <c r="W15" s="49" t="s">
        <v>217</v>
      </c>
      <c r="X15"/>
      <c r="Y15"/>
      <c r="Z15"/>
    </row>
    <row r="16" spans="1:26" x14ac:dyDescent="0.3">
      <c r="A16" s="61" t="s">
        <v>178</v>
      </c>
      <c r="B16" s="61"/>
      <c r="C16" s="61" t="s">
        <v>239</v>
      </c>
      <c r="D16" s="61"/>
      <c r="E16" s="61"/>
      <c r="F16" s="61"/>
      <c r="G16" s="61"/>
      <c r="H16" s="61"/>
      <c r="S16" s="49" t="s">
        <v>186</v>
      </c>
      <c r="T16" s="49" t="s">
        <v>194</v>
      </c>
      <c r="U16" s="49"/>
      <c r="V16" s="49" t="s">
        <v>201</v>
      </c>
      <c r="W16" s="49" t="s">
        <v>218</v>
      </c>
      <c r="X16"/>
      <c r="Y16"/>
      <c r="Z16"/>
    </row>
    <row r="17" spans="1:26" ht="15.75" customHeight="1" x14ac:dyDescent="0.3">
      <c r="A17" s="61" t="s">
        <v>165</v>
      </c>
      <c r="B17" s="61"/>
      <c r="C17" s="61" t="s">
        <v>240</v>
      </c>
      <c r="D17" s="61"/>
      <c r="E17" s="61"/>
      <c r="F17" s="61"/>
      <c r="G17" s="61"/>
      <c r="H17" s="61"/>
      <c r="S17" s="49" t="s">
        <v>187</v>
      </c>
      <c r="T17" s="49" t="s">
        <v>192</v>
      </c>
      <c r="U17" s="49"/>
      <c r="V17" s="49" t="s">
        <v>202</v>
      </c>
      <c r="W17" s="49" t="s">
        <v>219</v>
      </c>
      <c r="X17"/>
      <c r="Y17"/>
      <c r="Z17"/>
    </row>
    <row r="18" spans="1:26" ht="15.75" customHeight="1" x14ac:dyDescent="0.3">
      <c r="A18" s="61" t="s">
        <v>11</v>
      </c>
      <c r="B18" s="61"/>
      <c r="C18" s="71" t="s">
        <v>245</v>
      </c>
      <c r="D18" s="71"/>
      <c r="E18" s="61" t="s">
        <v>73</v>
      </c>
      <c r="F18" s="61"/>
      <c r="G18" s="61" t="s">
        <v>241</v>
      </c>
      <c r="H18" s="61"/>
      <c r="S18" s="49" t="s">
        <v>188</v>
      </c>
      <c r="T18" s="49" t="s">
        <v>195</v>
      </c>
      <c r="U18" s="49"/>
      <c r="V18" s="49" t="s">
        <v>203</v>
      </c>
      <c r="W18" s="49" t="s">
        <v>220</v>
      </c>
      <c r="X18"/>
      <c r="Y18"/>
      <c r="Z18"/>
    </row>
    <row r="19" spans="1:26" x14ac:dyDescent="0.3">
      <c r="A19" s="71" t="s">
        <v>13</v>
      </c>
      <c r="B19" s="71"/>
      <c r="C19" s="61" t="s">
        <v>242</v>
      </c>
      <c r="D19" s="61"/>
      <c r="E19" s="61" t="s">
        <v>12</v>
      </c>
      <c r="F19" s="61"/>
      <c r="G19" s="136" t="s">
        <v>174</v>
      </c>
      <c r="H19" s="136"/>
      <c r="S19" s="49" t="s">
        <v>189</v>
      </c>
      <c r="T19" s="49" t="s">
        <v>196</v>
      </c>
      <c r="U19" s="49"/>
      <c r="V19" s="49" t="s">
        <v>204</v>
      </c>
      <c r="W19" s="49" t="s">
        <v>221</v>
      </c>
      <c r="X19"/>
      <c r="Y19"/>
      <c r="Z19"/>
    </row>
    <row r="20" spans="1:26" x14ac:dyDescent="0.3">
      <c r="A20" s="71" t="s">
        <v>74</v>
      </c>
      <c r="B20" s="71"/>
      <c r="C20" s="61" t="s">
        <v>214</v>
      </c>
      <c r="D20" s="61"/>
      <c r="E20" s="61" t="s">
        <v>14</v>
      </c>
      <c r="F20" s="61"/>
      <c r="G20" s="61">
        <v>400083</v>
      </c>
      <c r="H20" s="61"/>
      <c r="S20" s="49"/>
      <c r="T20" s="49"/>
      <c r="U20" s="49"/>
      <c r="V20" s="49" t="s">
        <v>205</v>
      </c>
      <c r="W20" s="49" t="s">
        <v>222</v>
      </c>
      <c r="X20"/>
      <c r="Y20"/>
      <c r="Z20"/>
    </row>
    <row r="21" spans="1:26" ht="32.25" customHeight="1" x14ac:dyDescent="0.3">
      <c r="A21" s="71" t="s">
        <v>124</v>
      </c>
      <c r="B21" s="71"/>
      <c r="C21" s="61" t="s">
        <v>247</v>
      </c>
      <c r="D21" s="61"/>
      <c r="E21" s="61" t="s">
        <v>15</v>
      </c>
      <c r="F21" s="61"/>
      <c r="G21" s="61" t="s">
        <v>248</v>
      </c>
      <c r="H21" s="61"/>
      <c r="S21" s="49"/>
      <c r="T21" s="49"/>
      <c r="U21" s="49"/>
      <c r="V21" s="49" t="s">
        <v>206</v>
      </c>
      <c r="W21" s="49" t="s">
        <v>223</v>
      </c>
      <c r="X21"/>
      <c r="Y21"/>
      <c r="Z21"/>
    </row>
    <row r="22" spans="1:26" ht="15" customHeight="1" x14ac:dyDescent="0.3">
      <c r="A22" s="107" t="s">
        <v>75</v>
      </c>
      <c r="B22" s="107"/>
      <c r="C22" s="107"/>
      <c r="D22" s="107"/>
      <c r="E22" s="71" t="s">
        <v>16</v>
      </c>
      <c r="F22" s="71"/>
      <c r="G22" s="71"/>
      <c r="H22" s="71"/>
      <c r="S22" s="49"/>
      <c r="T22" s="49"/>
      <c r="U22" s="49"/>
      <c r="V22" s="49" t="s">
        <v>207</v>
      </c>
      <c r="W22" s="49" t="s">
        <v>224</v>
      </c>
      <c r="X22"/>
      <c r="Y22"/>
      <c r="Z22"/>
    </row>
    <row r="23" spans="1:26" ht="18.75" customHeight="1" x14ac:dyDescent="0.3">
      <c r="A23" s="107"/>
      <c r="B23" s="107"/>
      <c r="C23" s="107"/>
      <c r="D23" s="107"/>
      <c r="E23" s="71"/>
      <c r="F23" s="71"/>
      <c r="G23" s="71"/>
      <c r="H23" s="71"/>
      <c r="S23" s="49"/>
      <c r="T23" s="49"/>
      <c r="U23" s="49"/>
      <c r="V23" s="49" t="s">
        <v>208</v>
      </c>
      <c r="W23" s="49" t="s">
        <v>225</v>
      </c>
      <c r="X23"/>
      <c r="Y23"/>
      <c r="Z23"/>
    </row>
    <row r="24" spans="1:26" ht="15" customHeight="1" x14ac:dyDescent="0.3">
      <c r="A24" s="107" t="s">
        <v>17</v>
      </c>
      <c r="B24" s="107"/>
      <c r="C24" s="107"/>
      <c r="D24" s="107"/>
      <c r="E24" s="61" t="s">
        <v>18</v>
      </c>
      <c r="F24" s="61"/>
      <c r="G24" s="61"/>
      <c r="H24" s="61"/>
      <c r="S24" s="49"/>
      <c r="T24" s="49"/>
      <c r="U24" s="49"/>
      <c r="V24" s="49" t="s">
        <v>209</v>
      </c>
      <c r="W24" s="49" t="s">
        <v>226</v>
      </c>
      <c r="X24"/>
      <c r="Y24"/>
      <c r="Z24"/>
    </row>
    <row r="25" spans="1:26" ht="15" customHeight="1" x14ac:dyDescent="0.3">
      <c r="A25" s="101" t="s">
        <v>19</v>
      </c>
      <c r="B25" s="101"/>
      <c r="C25" s="101"/>
      <c r="D25" s="101"/>
      <c r="E25" s="61" t="str">
        <f>IF(AND(G19="Mumbai"),"Upper Class","Middle Class")</f>
        <v>Upper Class</v>
      </c>
      <c r="F25" s="61"/>
      <c r="G25" s="61"/>
      <c r="H25" s="61"/>
      <c r="S25" s="49"/>
      <c r="T25" s="49"/>
      <c r="U25" s="49"/>
      <c r="V25" s="49" t="s">
        <v>210</v>
      </c>
      <c r="W25" s="49" t="s">
        <v>227</v>
      </c>
      <c r="X25"/>
      <c r="Y25"/>
      <c r="Z25"/>
    </row>
    <row r="26" spans="1:26" x14ac:dyDescent="0.3">
      <c r="A26" s="101" t="s">
        <v>20</v>
      </c>
      <c r="B26" s="101"/>
      <c r="C26" s="101"/>
      <c r="D26" s="101"/>
      <c r="E26" s="61" t="s">
        <v>21</v>
      </c>
      <c r="F26" s="61"/>
      <c r="G26" s="61"/>
      <c r="H26" s="61"/>
      <c r="S26" s="49"/>
      <c r="T26" s="49"/>
      <c r="U26" s="49"/>
      <c r="V26" s="49" t="s">
        <v>211</v>
      </c>
      <c r="W26" s="49" t="s">
        <v>228</v>
      </c>
      <c r="X26"/>
      <c r="Y26"/>
      <c r="Z26"/>
    </row>
    <row r="27" spans="1:26" ht="15.75" customHeight="1" x14ac:dyDescent="0.3">
      <c r="A27" s="101" t="s">
        <v>22</v>
      </c>
      <c r="B27" s="101"/>
      <c r="C27" s="101"/>
      <c r="D27" s="101"/>
      <c r="E27" s="61" t="str">
        <f>IF(AND(G19="Mumbai"),"Developed","Developing")</f>
        <v>Developed</v>
      </c>
      <c r="F27" s="61"/>
      <c r="G27" s="61"/>
      <c r="H27" s="61"/>
    </row>
    <row r="28" spans="1:26" x14ac:dyDescent="0.3">
      <c r="A28" s="101" t="s">
        <v>23</v>
      </c>
      <c r="B28" s="101"/>
      <c r="C28" s="101"/>
      <c r="D28" s="101"/>
      <c r="E28" s="61" t="s">
        <v>24</v>
      </c>
      <c r="F28" s="61"/>
      <c r="G28" s="61"/>
      <c r="H28" s="61"/>
    </row>
    <row r="29" spans="1:26" ht="15.75" customHeight="1" x14ac:dyDescent="0.3">
      <c r="A29" s="101" t="s">
        <v>80</v>
      </c>
      <c r="B29" s="101"/>
      <c r="C29" s="101"/>
      <c r="D29" s="101"/>
      <c r="E29" s="61" t="s">
        <v>81</v>
      </c>
      <c r="F29" s="61"/>
      <c r="G29" s="61"/>
      <c r="H29" s="61"/>
    </row>
    <row r="30" spans="1:26" ht="15" customHeight="1" x14ac:dyDescent="0.3">
      <c r="A30" s="101" t="s">
        <v>32</v>
      </c>
      <c r="B30" s="101"/>
      <c r="C30" s="101"/>
      <c r="D30" s="101"/>
      <c r="E30" s="61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30" s="61"/>
      <c r="G30" s="61"/>
      <c r="H30" s="61"/>
    </row>
    <row r="31" spans="1:26" ht="15.75" customHeight="1" x14ac:dyDescent="0.3">
      <c r="A31" s="101" t="s">
        <v>92</v>
      </c>
      <c r="B31" s="101"/>
      <c r="C31" s="101"/>
      <c r="D31" s="101"/>
      <c r="E31" s="61" t="s">
        <v>33</v>
      </c>
      <c r="F31" s="61"/>
      <c r="G31" s="61"/>
      <c r="H31" s="61"/>
    </row>
    <row r="32" spans="1:26" s="19" customFormat="1" x14ac:dyDescent="0.3">
      <c r="A32" s="135" t="s">
        <v>93</v>
      </c>
      <c r="B32" s="135"/>
      <c r="C32" s="131" t="s">
        <v>175</v>
      </c>
      <c r="D32" s="132"/>
      <c r="E32" s="133"/>
      <c r="F32" s="131" t="s">
        <v>30</v>
      </c>
      <c r="G32" s="132"/>
      <c r="H32" s="133"/>
    </row>
    <row r="33" spans="1:8" s="19" customFormat="1" x14ac:dyDescent="0.3">
      <c r="A33" s="115" t="s">
        <v>25</v>
      </c>
      <c r="B33" s="115" t="s">
        <v>29</v>
      </c>
      <c r="C33" s="116" t="s">
        <v>251</v>
      </c>
      <c r="D33" s="117"/>
      <c r="E33" s="118"/>
      <c r="F33" s="116" t="s">
        <v>245</v>
      </c>
      <c r="G33" s="117"/>
      <c r="H33" s="118"/>
    </row>
    <row r="34" spans="1:8" x14ac:dyDescent="0.3">
      <c r="A34" s="115" t="s">
        <v>26</v>
      </c>
      <c r="B34" s="115" t="s">
        <v>29</v>
      </c>
      <c r="C34" s="116" t="s">
        <v>252</v>
      </c>
      <c r="D34" s="117"/>
      <c r="E34" s="118"/>
      <c r="F34" s="116" t="s">
        <v>254</v>
      </c>
      <c r="G34" s="117"/>
      <c r="H34" s="118"/>
    </row>
    <row r="35" spans="1:8" s="19" customFormat="1" x14ac:dyDescent="0.3">
      <c r="A35" s="127" t="s">
        <v>28</v>
      </c>
      <c r="B35" s="127" t="s">
        <v>29</v>
      </c>
      <c r="C35" s="128" t="s">
        <v>249</v>
      </c>
      <c r="D35" s="129"/>
      <c r="E35" s="130"/>
      <c r="F35" s="134" t="s">
        <v>253</v>
      </c>
      <c r="G35" s="129"/>
      <c r="H35" s="130"/>
    </row>
    <row r="36" spans="1:8" x14ac:dyDescent="0.3">
      <c r="A36" s="115" t="s">
        <v>27</v>
      </c>
      <c r="B36" s="115" t="s">
        <v>29</v>
      </c>
      <c r="C36" s="116" t="s">
        <v>250</v>
      </c>
      <c r="D36" s="117"/>
      <c r="E36" s="118"/>
      <c r="F36" s="116" t="s">
        <v>247</v>
      </c>
      <c r="G36" s="117"/>
      <c r="H36" s="118"/>
    </row>
    <row r="37" spans="1:8" x14ac:dyDescent="0.3">
      <c r="A37" s="101" t="s">
        <v>31</v>
      </c>
      <c r="B37" s="101"/>
      <c r="C37" s="101"/>
      <c r="D37" s="101"/>
      <c r="E37" s="101"/>
      <c r="F37" s="101"/>
      <c r="G37" s="101"/>
      <c r="H37" s="101"/>
    </row>
    <row r="38" spans="1:8" ht="15.75" customHeight="1" x14ac:dyDescent="0.3">
      <c r="A38" s="101" t="s">
        <v>168</v>
      </c>
      <c r="B38" s="101"/>
      <c r="C38" s="125" t="s">
        <v>244</v>
      </c>
      <c r="D38" s="125"/>
      <c r="E38" s="125"/>
      <c r="F38" s="125"/>
      <c r="G38" s="125"/>
      <c r="H38" s="125"/>
    </row>
    <row r="39" spans="1:8" x14ac:dyDescent="0.3">
      <c r="A39" s="101" t="s">
        <v>164</v>
      </c>
      <c r="B39" s="101"/>
      <c r="C39" s="60" t="s">
        <v>243</v>
      </c>
      <c r="D39" s="61"/>
      <c r="E39" s="61"/>
      <c r="F39" s="61"/>
      <c r="G39" s="61"/>
      <c r="H39" s="61"/>
    </row>
    <row r="40" spans="1:8" x14ac:dyDescent="0.3">
      <c r="A40" s="120" t="s">
        <v>34</v>
      </c>
      <c r="B40" s="120"/>
      <c r="C40" s="120"/>
      <c r="D40" s="120"/>
      <c r="E40" s="120"/>
      <c r="F40" s="120"/>
      <c r="G40" s="120"/>
      <c r="H40" s="120"/>
    </row>
    <row r="41" spans="1:8" x14ac:dyDescent="0.3">
      <c r="A41" s="71" t="s">
        <v>35</v>
      </c>
      <c r="B41" s="71"/>
      <c r="C41" s="71"/>
      <c r="D41" s="71"/>
      <c r="E41" s="119">
        <v>845.19</v>
      </c>
      <c r="F41" s="119"/>
      <c r="G41" s="119"/>
      <c r="H41" s="119"/>
    </row>
    <row r="42" spans="1:8" x14ac:dyDescent="0.3">
      <c r="A42" s="71" t="s">
        <v>36</v>
      </c>
      <c r="B42" s="71"/>
      <c r="C42" s="71"/>
      <c r="D42" s="71"/>
      <c r="E42" s="123">
        <v>1</v>
      </c>
      <c r="F42" s="123"/>
      <c r="G42" s="123"/>
      <c r="H42" s="123"/>
    </row>
    <row r="43" spans="1:8" x14ac:dyDescent="0.3">
      <c r="A43" s="71" t="s">
        <v>37</v>
      </c>
      <c r="B43" s="71"/>
      <c r="C43" s="71"/>
      <c r="D43" s="71"/>
      <c r="E43" s="123">
        <f>E45/E41-E42</f>
        <v>5.9739466865438544</v>
      </c>
      <c r="F43" s="123"/>
      <c r="G43" s="123"/>
      <c r="H43" s="123"/>
    </row>
    <row r="44" spans="1:8" x14ac:dyDescent="0.3">
      <c r="A44" s="71" t="s">
        <v>38</v>
      </c>
      <c r="B44" s="71"/>
      <c r="C44" s="71"/>
      <c r="D44" s="71"/>
      <c r="E44" s="123">
        <f>E42+E43</f>
        <v>6.9739466865438544</v>
      </c>
      <c r="F44" s="123"/>
      <c r="G44" s="123"/>
      <c r="H44" s="123"/>
    </row>
    <row r="45" spans="1:8" x14ac:dyDescent="0.3">
      <c r="A45" s="71" t="s">
        <v>91</v>
      </c>
      <c r="B45" s="71"/>
      <c r="C45" s="71"/>
      <c r="D45" s="71"/>
      <c r="E45" s="124">
        <v>5894.31</v>
      </c>
      <c r="F45" s="124"/>
      <c r="G45" s="124"/>
      <c r="H45" s="124"/>
    </row>
    <row r="46" spans="1:8" x14ac:dyDescent="0.3">
      <c r="A46" s="71" t="s">
        <v>39</v>
      </c>
      <c r="B46" s="71"/>
      <c r="C46" s="71"/>
      <c r="D46" s="71"/>
      <c r="E46" s="71" t="s">
        <v>122</v>
      </c>
      <c r="F46" s="71"/>
      <c r="G46" s="71"/>
      <c r="H46" s="71"/>
    </row>
    <row r="47" spans="1:8" x14ac:dyDescent="0.3">
      <c r="A47" s="125" t="s">
        <v>40</v>
      </c>
      <c r="B47" s="125"/>
      <c r="C47" s="125"/>
      <c r="D47" s="125"/>
      <c r="E47" s="125"/>
      <c r="F47" s="125"/>
      <c r="G47" s="125"/>
      <c r="H47" s="125"/>
    </row>
    <row r="48" spans="1:8" ht="33.75" customHeight="1" x14ac:dyDescent="0.3">
      <c r="A48" s="65" t="s">
        <v>152</v>
      </c>
      <c r="B48" s="66"/>
      <c r="C48" s="67" t="s">
        <v>282</v>
      </c>
      <c r="D48" s="68"/>
      <c r="E48" s="68"/>
      <c r="F48" s="68"/>
      <c r="G48" s="68"/>
      <c r="H48" s="69"/>
    </row>
    <row r="49" spans="1:14" ht="15.75" customHeight="1" x14ac:dyDescent="0.3">
      <c r="A49" s="65" t="s">
        <v>41</v>
      </c>
      <c r="B49" s="66"/>
      <c r="C49" s="65" t="s">
        <v>255</v>
      </c>
      <c r="D49" s="126"/>
      <c r="E49" s="66"/>
      <c r="F49" s="51" t="s">
        <v>42</v>
      </c>
      <c r="G49" s="79">
        <v>45183</v>
      </c>
      <c r="H49" s="66"/>
    </row>
    <row r="50" spans="1:14" x14ac:dyDescent="0.3">
      <c r="A50" s="65" t="s">
        <v>43</v>
      </c>
      <c r="B50" s="66"/>
      <c r="C50" s="65" t="str">
        <f>C49</f>
        <v>MHADA-8/1110/2022</v>
      </c>
      <c r="D50" s="126"/>
      <c r="E50" s="66"/>
      <c r="F50" s="51" t="s">
        <v>42</v>
      </c>
      <c r="G50" s="79">
        <f>G49</f>
        <v>45183</v>
      </c>
      <c r="H50" s="66"/>
    </row>
    <row r="51" spans="1:14" s="20" customFormat="1" ht="33" customHeight="1" x14ac:dyDescent="0.3">
      <c r="A51" s="80" t="s">
        <v>156</v>
      </c>
      <c r="B51" s="81"/>
      <c r="C51" s="65" t="s">
        <v>280</v>
      </c>
      <c r="D51" s="126"/>
      <c r="E51" s="66"/>
      <c r="F51" s="51" t="s">
        <v>42</v>
      </c>
      <c r="G51" s="79">
        <v>45337</v>
      </c>
      <c r="H51" s="66"/>
    </row>
    <row r="52" spans="1:14" s="20" customFormat="1" ht="172.5" customHeight="1" x14ac:dyDescent="0.3">
      <c r="A52" s="82"/>
      <c r="B52" s="83"/>
      <c r="C52" s="65" t="s">
        <v>279</v>
      </c>
      <c r="D52" s="126"/>
      <c r="E52" s="66"/>
      <c r="F52" s="51" t="s">
        <v>123</v>
      </c>
      <c r="G52" s="79">
        <v>45476</v>
      </c>
      <c r="H52" s="66"/>
    </row>
    <row r="53" spans="1:14" s="20" customFormat="1" ht="15.75" customHeight="1" x14ac:dyDescent="0.3">
      <c r="A53" s="80" t="s">
        <v>256</v>
      </c>
      <c r="B53" s="81"/>
      <c r="C53" s="65" t="s">
        <v>257</v>
      </c>
      <c r="D53" s="126"/>
      <c r="E53" s="66"/>
      <c r="F53" s="51" t="s">
        <v>42</v>
      </c>
      <c r="G53" s="79">
        <v>44825</v>
      </c>
      <c r="H53" s="66"/>
    </row>
    <row r="54" spans="1:14" s="20" customFormat="1" ht="31.2" x14ac:dyDescent="0.3">
      <c r="A54" s="82"/>
      <c r="B54" s="83"/>
      <c r="C54" s="65" t="s">
        <v>258</v>
      </c>
      <c r="D54" s="126"/>
      <c r="E54" s="66"/>
      <c r="F54" s="51" t="s">
        <v>123</v>
      </c>
      <c r="G54" s="79">
        <v>47746</v>
      </c>
      <c r="H54" s="66"/>
    </row>
    <row r="55" spans="1:14" x14ac:dyDescent="0.3">
      <c r="A55" s="166" t="s">
        <v>44</v>
      </c>
      <c r="B55" s="167"/>
      <c r="C55" s="166" t="s">
        <v>105</v>
      </c>
      <c r="D55" s="168"/>
      <c r="E55" s="167"/>
      <c r="F55" s="41" t="s">
        <v>42</v>
      </c>
      <c r="G55" s="161" t="s">
        <v>29</v>
      </c>
      <c r="H55" s="162"/>
    </row>
    <row r="56" spans="1:14" x14ac:dyDescent="0.3">
      <c r="A56" s="145" t="s">
        <v>46</v>
      </c>
      <c r="B56" s="145"/>
      <c r="C56" s="145"/>
      <c r="D56" s="145"/>
      <c r="E56" s="145"/>
      <c r="F56" s="145"/>
      <c r="G56" s="145"/>
      <c r="H56" s="145"/>
    </row>
    <row r="57" spans="1:14" x14ac:dyDescent="0.3">
      <c r="A57" s="107" t="s">
        <v>90</v>
      </c>
      <c r="B57" s="107"/>
      <c r="C57" s="107"/>
      <c r="D57" s="101">
        <f>E45</f>
        <v>5894.31</v>
      </c>
      <c r="E57" s="101"/>
      <c r="F57" s="101"/>
      <c r="G57" s="101"/>
      <c r="H57" s="101"/>
    </row>
    <row r="58" spans="1:14" x14ac:dyDescent="0.3">
      <c r="A58" s="61" t="s">
        <v>47</v>
      </c>
      <c r="B58" s="71"/>
      <c r="C58" s="71"/>
      <c r="D58" s="71" t="s">
        <v>273</v>
      </c>
      <c r="E58" s="71"/>
      <c r="F58" s="71"/>
      <c r="G58" s="71"/>
      <c r="H58" s="71"/>
      <c r="I58" s="21"/>
    </row>
    <row r="59" spans="1:14" x14ac:dyDescent="0.3">
      <c r="A59" s="80" t="s">
        <v>48</v>
      </c>
      <c r="B59" s="159"/>
      <c r="C59" s="81"/>
      <c r="D59" s="111" t="s">
        <v>259</v>
      </c>
      <c r="E59" s="158"/>
      <c r="F59" s="158"/>
      <c r="G59" s="158"/>
      <c r="H59" s="158"/>
    </row>
    <row r="60" spans="1:14" ht="15.75" customHeight="1" x14ac:dyDescent="0.3">
      <c r="A60" s="80" t="s">
        <v>88</v>
      </c>
      <c r="B60" s="159"/>
      <c r="C60" s="159"/>
      <c r="D60" s="61" t="s">
        <v>260</v>
      </c>
      <c r="E60" s="71"/>
      <c r="F60" s="71"/>
      <c r="G60" s="71"/>
      <c r="H60" s="71"/>
    </row>
    <row r="61" spans="1:14" ht="15.75" customHeight="1" x14ac:dyDescent="0.3">
      <c r="A61" s="101" t="s">
        <v>45</v>
      </c>
      <c r="B61" s="101"/>
      <c r="C61" s="101"/>
      <c r="D61" s="121" t="s">
        <v>261</v>
      </c>
      <c r="E61" s="121"/>
      <c r="F61" s="121"/>
      <c r="G61" s="121"/>
      <c r="H61" s="121"/>
      <c r="J61" s="22"/>
      <c r="K61" s="21"/>
      <c r="N61" s="21"/>
    </row>
    <row r="62" spans="1:14" ht="15.75" customHeight="1" x14ac:dyDescent="0.3">
      <c r="A62" s="101" t="s">
        <v>86</v>
      </c>
      <c r="B62" s="101"/>
      <c r="C62" s="101"/>
      <c r="D62" s="122" t="str">
        <f>(IF(G55="NA","60 Years After Completion",IF(G55&lt;&gt;"NA",""&amp;60-ROUNDDOWN((E3-G55)/360,0)&amp;" Years"," ")))</f>
        <v>60 Years After Completion</v>
      </c>
      <c r="E62" s="122"/>
      <c r="F62" s="122"/>
      <c r="G62" s="122"/>
      <c r="H62" s="122"/>
      <c r="N62" s="21"/>
    </row>
    <row r="63" spans="1:14" ht="15.75" customHeight="1" x14ac:dyDescent="0.3">
      <c r="A63" s="101" t="s">
        <v>87</v>
      </c>
      <c r="B63" s="101"/>
      <c r="C63" s="101"/>
      <c r="D63" s="107" t="s">
        <v>24</v>
      </c>
      <c r="E63" s="107"/>
      <c r="F63" s="107"/>
      <c r="G63" s="107"/>
      <c r="H63" s="107"/>
      <c r="J63" s="23"/>
      <c r="K63" s="23"/>
    </row>
    <row r="64" spans="1:14" ht="50.25" customHeight="1" x14ac:dyDescent="0.3">
      <c r="A64" s="71" t="s">
        <v>263</v>
      </c>
      <c r="B64" s="71"/>
      <c r="C64" s="71"/>
      <c r="D64" s="61" t="s">
        <v>262</v>
      </c>
      <c r="E64" s="61"/>
      <c r="F64" s="61"/>
      <c r="G64" s="61"/>
      <c r="H64" s="61"/>
    </row>
    <row r="65" spans="1:14" x14ac:dyDescent="0.3">
      <c r="A65" s="107" t="s">
        <v>150</v>
      </c>
      <c r="B65" s="107"/>
      <c r="C65" s="107"/>
      <c r="D65" s="107" t="s">
        <v>29</v>
      </c>
      <c r="E65" s="107"/>
      <c r="F65" s="107"/>
      <c r="G65" s="107"/>
      <c r="H65" s="107"/>
      <c r="I65" s="24"/>
      <c r="J65" s="24"/>
      <c r="K65" s="24"/>
      <c r="L65" s="24"/>
      <c r="M65" s="24"/>
      <c r="N65" s="24"/>
    </row>
    <row r="66" spans="1:14" ht="15.75" customHeight="1" x14ac:dyDescent="0.3">
      <c r="A66" s="170" t="s">
        <v>85</v>
      </c>
      <c r="B66" s="170"/>
      <c r="C66" s="170"/>
      <c r="D66" s="111" t="str">
        <f ca="1">(IF(G72&gt;95%,"Nothing",IF(G72&gt;0%,"Cement, Aggregate, Steel, etc",IF(G72=0%,"Work not yet Started"))))</f>
        <v>Cement, Aggregate, Steel, etc</v>
      </c>
      <c r="E66" s="111"/>
      <c r="F66" s="111"/>
      <c r="G66" s="111"/>
      <c r="H66" s="111"/>
      <c r="J66" s="23"/>
    </row>
    <row r="67" spans="1:14" ht="33.75" customHeight="1" thickBot="1" x14ac:dyDescent="0.35">
      <c r="A67" s="110" t="s">
        <v>118</v>
      </c>
      <c r="B67" s="110"/>
      <c r="C67" s="110"/>
      <c r="D67" s="111" t="str">
        <f ca="1">(IF(D66="Nothing","Yes",IF(D66="Cement, Aggregate, Steel, etc","Under Construction",IF(D66="Work not yet Started","Work not yet Started"))))</f>
        <v>Under Construction</v>
      </c>
      <c r="E67" s="111"/>
      <c r="F67" s="111" t="str">
        <f ca="1">(IF(D66="Nothing","Yes",IF(D66="Cement, Aggregate, Steel, etc","Under Construction",IF(D66="Work not yet Started","Work not yet Started"))))</f>
        <v>Under Construction</v>
      </c>
      <c r="G67" s="111"/>
      <c r="H67" s="111"/>
    </row>
    <row r="68" spans="1:14" ht="15.75" customHeight="1" x14ac:dyDescent="0.3">
      <c r="A68" s="102" t="s">
        <v>142</v>
      </c>
      <c r="B68" s="103"/>
      <c r="C68" s="104" t="str">
        <f>D60</f>
        <v>Gr + 1st to 23rd Floor</v>
      </c>
      <c r="D68" s="105"/>
      <c r="E68" s="105"/>
      <c r="F68" s="105"/>
      <c r="G68" s="105"/>
      <c r="H68" s="106"/>
      <c r="I68" s="43" t="str">
        <f ca="1">IF(D81=100%,"All work Completed. Possession granted to the Building.",IF(D80=100%,"All work Completed, Waiting for OC",I69&amp;""&amp;I70&amp;""&amp;J69&amp;""&amp;J68&amp;" "&amp;J70))</f>
        <v>Excavation, Plinth Completed, RCC upto 15 Slab, Brickwork upto 14 Floor, Internal Plaster upto 10.5 Floor, External Plaster upto 9.1 Floor Completed</v>
      </c>
      <c r="J68" s="44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15 Slab, Brickwork upto 14 Floor, Internal Plaster upto 10.5 Floor, External Plaster upto 9.1 Floor</v>
      </c>
    </row>
    <row r="69" spans="1:14" x14ac:dyDescent="0.3">
      <c r="A69" s="16" t="s">
        <v>144</v>
      </c>
      <c r="B69" s="47">
        <f>IF(AND(ISNUMBER(SEARCH("1B",C68))),1,IF(AND(ISNUMBER(SEARCH("2B",C68))),2,IF(AND(ISNUMBER(SEARCH("3B",C68))),3,IF(AND(ISNUMBER(SEARCH("4B",C68))),4,IF(ISNUMBER(SEARCH("5B",C68)),5,0)))))</f>
        <v>0</v>
      </c>
      <c r="C69" s="47" t="s">
        <v>72</v>
      </c>
      <c r="D69" s="47">
        <v>1</v>
      </c>
      <c r="E69" s="47" t="s">
        <v>71</v>
      </c>
      <c r="F69" s="47">
        <v>0</v>
      </c>
      <c r="G69" s="47" t="s">
        <v>79</v>
      </c>
      <c r="H69" s="17">
        <f ca="1">--TRIM(RIGHT(SUBSTITUTE(LEFT(C68,_xlfn.AGGREGATE(16,6,FIND({0,1,2,3,4,5,6,7,8,9},C68,ROW(INDIRECT("1:"&amp;LEN(C68)))),1))," ",REPT(" ",LEN(C68))),LEN(C68)))</f>
        <v>23</v>
      </c>
      <c r="I69" s="45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46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3" customHeight="1" x14ac:dyDescent="0.3">
      <c r="A70" s="160" t="s">
        <v>89</v>
      </c>
      <c r="B70" s="120"/>
      <c r="C70" s="108" t="str">
        <f ca="1">I68</f>
        <v>Excavation, Plinth Completed, RCC upto 15 Slab, Brickwork upto 14 Floor, Internal Plaster upto 10.5 Floor, External Plaster upto 9.1 Floor Completed</v>
      </c>
      <c r="D70" s="108"/>
      <c r="E70" s="108"/>
      <c r="F70" s="108"/>
      <c r="G70" s="108"/>
      <c r="H70" s="109"/>
      <c r="I70" s="45" t="str">
        <f ca="1">IF(I69&lt;&gt;""," Completed","")</f>
        <v xml:space="preserve"> Completed</v>
      </c>
      <c r="J70" s="46" t="str">
        <f ca="1">IF(J68&lt;&gt;"","Completed","")</f>
        <v>Completed</v>
      </c>
    </row>
    <row r="71" spans="1:14" ht="15.75" customHeight="1" x14ac:dyDescent="0.3">
      <c r="A71" s="84" t="s">
        <v>49</v>
      </c>
      <c r="B71" s="85"/>
      <c r="C71" s="52" t="s">
        <v>141</v>
      </c>
      <c r="D71" s="52" t="s">
        <v>82</v>
      </c>
      <c r="E71" s="85" t="s">
        <v>84</v>
      </c>
      <c r="F71" s="85"/>
      <c r="G71" s="85" t="s">
        <v>83</v>
      </c>
      <c r="H71" s="157"/>
      <c r="I71" s="14" t="s">
        <v>143</v>
      </c>
      <c r="J71" s="25">
        <f ca="1">H69*25%</f>
        <v>5.75</v>
      </c>
    </row>
    <row r="72" spans="1:14" x14ac:dyDescent="0.3">
      <c r="A72" s="84" t="s">
        <v>130</v>
      </c>
      <c r="B72" s="85"/>
      <c r="C72" s="52">
        <f ca="1">J73</f>
        <v>23</v>
      </c>
      <c r="D72" s="53">
        <f ca="1">((100/H69)*C72)/100</f>
        <v>1</v>
      </c>
      <c r="E72" s="93">
        <f ca="1">(((C73/H69*10)+(40/(D69+F69+H69)*C74)+(7.5/(H69)*C75)+(7.5/(H69)*C76)+(10/H69*C77)+(10/H69*C78)+(5/H69*C79)+(5/H69*C80)+(5/H69*C81))/100)</f>
        <v>0.46945652173913038</v>
      </c>
      <c r="F72" s="112"/>
      <c r="G72" s="93">
        <f ca="1">((((C72/H69)*20)+((C73/H69)*25)+(30/(H69+F69+D69)*C74)+(5/H69*C75)+(5/H69*C76)+(5/H69*C77)+(5/H69*C78)+(0/H69*C79)+(0/H69*C80)+(5/H69*C81))/100)</f>
        <v>0.7105434782608695</v>
      </c>
      <c r="H72" s="94"/>
      <c r="I72" s="14" t="s">
        <v>100</v>
      </c>
      <c r="J72" s="26">
        <f ca="1">H69*50%</f>
        <v>11.5</v>
      </c>
    </row>
    <row r="73" spans="1:14" x14ac:dyDescent="0.3">
      <c r="A73" s="84" t="s">
        <v>50</v>
      </c>
      <c r="B73" s="85"/>
      <c r="C73" s="54">
        <f ca="1">J81</f>
        <v>23</v>
      </c>
      <c r="D73" s="53">
        <f ca="1">((100/H69)*C73)/100</f>
        <v>1</v>
      </c>
      <c r="E73" s="95"/>
      <c r="F73" s="113"/>
      <c r="G73" s="95"/>
      <c r="H73" s="96"/>
      <c r="I73" s="14" t="s">
        <v>101</v>
      </c>
      <c r="J73" s="26">
        <f ca="1">H69</f>
        <v>23</v>
      </c>
    </row>
    <row r="74" spans="1:14" ht="15.75" customHeight="1" x14ac:dyDescent="0.3">
      <c r="A74" s="84" t="s">
        <v>131</v>
      </c>
      <c r="B74" s="85"/>
      <c r="C74" s="52">
        <v>15</v>
      </c>
      <c r="D74" s="53">
        <f ca="1">((100/(D69+F69+H69))*C74)/100</f>
        <v>0.62500000000000011</v>
      </c>
      <c r="E74" s="95"/>
      <c r="F74" s="113"/>
      <c r="G74" s="95"/>
      <c r="H74" s="96"/>
      <c r="I74" s="14" t="s">
        <v>102</v>
      </c>
      <c r="J74" s="27">
        <f ca="1">(IF(B69&gt;1,(H69/(B69+2)),H69/4))</f>
        <v>5.75</v>
      </c>
    </row>
    <row r="75" spans="1:14" ht="15.75" customHeight="1" x14ac:dyDescent="0.3">
      <c r="A75" s="84" t="s">
        <v>138</v>
      </c>
      <c r="B75" s="85" t="s">
        <v>132</v>
      </c>
      <c r="C75" s="52">
        <f>C74-1</f>
        <v>14</v>
      </c>
      <c r="D75" s="53">
        <f ca="1">((100/H69)*C75)/100</f>
        <v>0.60869565217391297</v>
      </c>
      <c r="E75" s="95"/>
      <c r="F75" s="113"/>
      <c r="G75" s="95"/>
      <c r="H75" s="96"/>
      <c r="I75" s="14" t="s">
        <v>103</v>
      </c>
      <c r="J75" s="27">
        <f ca="1">(IF(B69&gt;1,(H69/(B69+2)+J74),H69/4+J74))</f>
        <v>11.5</v>
      </c>
    </row>
    <row r="76" spans="1:14" ht="15.75" customHeight="1" x14ac:dyDescent="0.3">
      <c r="A76" s="84" t="s">
        <v>139</v>
      </c>
      <c r="B76" s="85" t="s">
        <v>132</v>
      </c>
      <c r="C76" s="54">
        <f>C75*0.75</f>
        <v>10.5</v>
      </c>
      <c r="D76" s="53">
        <f ca="1">((100/H69)*C76)/100</f>
        <v>0.45652173913043476</v>
      </c>
      <c r="E76" s="95"/>
      <c r="F76" s="113"/>
      <c r="G76" s="95"/>
      <c r="H76" s="96"/>
      <c r="I76" s="14" t="s">
        <v>148</v>
      </c>
      <c r="J76" s="27">
        <f>(IF(B69&gt;1,(H69/(B69+2)+J75),0))</f>
        <v>0</v>
      </c>
    </row>
    <row r="77" spans="1:14" ht="15" customHeight="1" x14ac:dyDescent="0.3">
      <c r="A77" s="84" t="s">
        <v>137</v>
      </c>
      <c r="B77" s="85" t="s">
        <v>134</v>
      </c>
      <c r="C77" s="54">
        <f>C75*0.65</f>
        <v>9.1</v>
      </c>
      <c r="D77" s="53">
        <f ca="1">((100/(H69))*C77)/100</f>
        <v>0.39565217391304341</v>
      </c>
      <c r="E77" s="95"/>
      <c r="F77" s="113"/>
      <c r="G77" s="95"/>
      <c r="H77" s="96"/>
      <c r="I77" s="14" t="s">
        <v>145</v>
      </c>
      <c r="J77" s="27">
        <f>(IF(B69&gt;2,(H69/(B69+2)+J76),0))</f>
        <v>0</v>
      </c>
    </row>
    <row r="78" spans="1:14" ht="15.75" customHeight="1" x14ac:dyDescent="0.3">
      <c r="A78" s="84" t="s">
        <v>133</v>
      </c>
      <c r="B78" s="85" t="s">
        <v>133</v>
      </c>
      <c r="C78" s="52">
        <v>0</v>
      </c>
      <c r="D78" s="53">
        <f ca="1">((100/H69)*C78)/100</f>
        <v>0</v>
      </c>
      <c r="E78" s="95"/>
      <c r="F78" s="113"/>
      <c r="G78" s="95"/>
      <c r="H78" s="96"/>
      <c r="I78" s="14" t="s">
        <v>146</v>
      </c>
      <c r="J78" s="28">
        <f>(IF(B69&gt;3,(H69/(B69+2)+J77),0))</f>
        <v>0</v>
      </c>
    </row>
    <row r="79" spans="1:14" ht="15.75" customHeight="1" x14ac:dyDescent="0.3">
      <c r="A79" s="84" t="s">
        <v>140</v>
      </c>
      <c r="B79" s="85"/>
      <c r="C79" s="52">
        <v>0</v>
      </c>
      <c r="D79" s="53">
        <f ca="1">((100/H69)*C79)/100</f>
        <v>0</v>
      </c>
      <c r="E79" s="95"/>
      <c r="F79" s="113"/>
      <c r="G79" s="95"/>
      <c r="H79" s="96"/>
      <c r="I79" s="14" t="s">
        <v>147</v>
      </c>
      <c r="J79" s="27">
        <f>(IF(B69&gt;4,(H69/(B69+2)+J78),0))</f>
        <v>0</v>
      </c>
    </row>
    <row r="80" spans="1:14" ht="15.75" customHeight="1" x14ac:dyDescent="0.3">
      <c r="A80" s="84" t="s">
        <v>135</v>
      </c>
      <c r="B80" s="85" t="s">
        <v>135</v>
      </c>
      <c r="C80" s="52">
        <v>0</v>
      </c>
      <c r="D80" s="53">
        <f ca="1">((100/(H69))*C80)/100</f>
        <v>0</v>
      </c>
      <c r="E80" s="95"/>
      <c r="F80" s="113"/>
      <c r="G80" s="95"/>
      <c r="H80" s="96"/>
      <c r="I80" s="14" t="s">
        <v>149</v>
      </c>
      <c r="J80" s="27">
        <f ca="1">(IF(B69=1,(H69/(B69+3)+J75),IF(B69=0,(H69/4+J75),IF(B69&gt;1,0))))</f>
        <v>17.25</v>
      </c>
    </row>
    <row r="81" spans="1:10" ht="16.2" thickBot="1" x14ac:dyDescent="0.35">
      <c r="A81" s="152" t="s">
        <v>136</v>
      </c>
      <c r="B81" s="153"/>
      <c r="C81" s="55">
        <v>0</v>
      </c>
      <c r="D81" s="56">
        <f ca="1">((100/(H69))*C81)/100</f>
        <v>0</v>
      </c>
      <c r="E81" s="97"/>
      <c r="F81" s="114"/>
      <c r="G81" s="97"/>
      <c r="H81" s="98"/>
      <c r="I81" s="15" t="s">
        <v>104</v>
      </c>
      <c r="J81" s="29">
        <f ca="1">(IF(B69&gt;1.5,(H69/(B69+2)+J75+MAX(0,J76-J75)+MAX(0,J77-J76)+MAX(0,J78-J77)+MAX(0,J79-J78)+MAX(0,J80-J79)),IF(B69=1,(H69/(B69+3)+J80),IF(B69=0,H69/4+J80))))</f>
        <v>23</v>
      </c>
    </row>
    <row r="82" spans="1:10" x14ac:dyDescent="0.3">
      <c r="A82" s="154" t="s">
        <v>158</v>
      </c>
      <c r="B82" s="154"/>
      <c r="C82" s="154"/>
      <c r="D82" s="154"/>
      <c r="E82" s="154"/>
      <c r="F82" s="172" t="s">
        <v>162</v>
      </c>
      <c r="G82" s="172"/>
      <c r="H82" s="172"/>
    </row>
    <row r="83" spans="1:10" x14ac:dyDescent="0.3">
      <c r="A83" s="71" t="s">
        <v>160</v>
      </c>
      <c r="B83" s="71"/>
      <c r="C83" s="71"/>
      <c r="D83" s="71"/>
      <c r="E83" s="71"/>
      <c r="F83" s="70">
        <v>13000</v>
      </c>
      <c r="G83" s="70"/>
      <c r="H83" s="70"/>
    </row>
    <row r="84" spans="1:10" hidden="1" x14ac:dyDescent="0.3">
      <c r="A84" s="71" t="s">
        <v>159</v>
      </c>
      <c r="B84" s="71"/>
      <c r="C84" s="71"/>
      <c r="D84" s="71"/>
      <c r="E84" s="71"/>
      <c r="F84" s="70"/>
      <c r="G84" s="70"/>
      <c r="H84" s="70"/>
    </row>
    <row r="85" spans="1:10" hidden="1" x14ac:dyDescent="0.3">
      <c r="A85" s="71" t="s">
        <v>161</v>
      </c>
      <c r="B85" s="71"/>
      <c r="C85" s="71"/>
      <c r="D85" s="71"/>
      <c r="E85" s="71"/>
      <c r="F85" s="70"/>
      <c r="G85" s="70"/>
      <c r="H85" s="70"/>
    </row>
    <row r="86" spans="1:10" s="30" customFormat="1" hidden="1" x14ac:dyDescent="0.25">
      <c r="A86" s="71" t="s">
        <v>177</v>
      </c>
      <c r="B86" s="71"/>
      <c r="C86" s="71"/>
      <c r="D86" s="71"/>
      <c r="E86" s="71"/>
      <c r="F86" s="70"/>
      <c r="G86" s="70"/>
      <c r="H86" s="70"/>
    </row>
    <row r="87" spans="1:10" s="30" customFormat="1" hidden="1" x14ac:dyDescent="0.25">
      <c r="A87" s="71" t="s">
        <v>94</v>
      </c>
      <c r="B87" s="71"/>
      <c r="C87" s="71"/>
      <c r="D87" s="71"/>
      <c r="E87" s="71"/>
      <c r="F87" s="70"/>
      <c r="G87" s="70"/>
      <c r="H87" s="70"/>
    </row>
    <row r="88" spans="1:10" s="30" customFormat="1" hidden="1" x14ac:dyDescent="0.25">
      <c r="A88" s="71" t="s">
        <v>95</v>
      </c>
      <c r="B88" s="71"/>
      <c r="C88" s="71"/>
      <c r="D88" s="71"/>
      <c r="E88" s="71"/>
      <c r="F88" s="70"/>
      <c r="G88" s="70"/>
      <c r="H88" s="70"/>
    </row>
    <row r="89" spans="1:10" s="30" customFormat="1" hidden="1" x14ac:dyDescent="0.25">
      <c r="A89" s="71" t="s">
        <v>163</v>
      </c>
      <c r="B89" s="71"/>
      <c r="C89" s="71"/>
      <c r="D89" s="71"/>
      <c r="E89" s="71"/>
      <c r="F89" s="70"/>
      <c r="G89" s="70"/>
      <c r="H89" s="70"/>
    </row>
    <row r="90" spans="1:10" s="30" customFormat="1" hidden="1" x14ac:dyDescent="0.25">
      <c r="A90" s="71" t="s">
        <v>96</v>
      </c>
      <c r="B90" s="71"/>
      <c r="C90" s="71"/>
      <c r="D90" s="71"/>
      <c r="E90" s="71"/>
      <c r="F90" s="70"/>
      <c r="G90" s="70"/>
      <c r="H90" s="70"/>
    </row>
    <row r="91" spans="1:10" s="30" customFormat="1" hidden="1" x14ac:dyDescent="0.25">
      <c r="A91" s="71" t="s">
        <v>97</v>
      </c>
      <c r="B91" s="71"/>
      <c r="C91" s="71"/>
      <c r="D91" s="71"/>
      <c r="E91" s="71"/>
      <c r="F91" s="70"/>
      <c r="G91" s="70"/>
      <c r="H91" s="70"/>
    </row>
    <row r="92" spans="1:10" s="30" customFormat="1" hidden="1" x14ac:dyDescent="0.25">
      <c r="A92" s="71" t="s">
        <v>98</v>
      </c>
      <c r="B92" s="71"/>
      <c r="C92" s="71"/>
      <c r="D92" s="71"/>
      <c r="E92" s="71"/>
      <c r="F92" s="70"/>
      <c r="G92" s="70"/>
      <c r="H92" s="70"/>
    </row>
    <row r="93" spans="1:10" s="30" customFormat="1" hidden="1" x14ac:dyDescent="0.25">
      <c r="A93" s="71" t="s">
        <v>99</v>
      </c>
      <c r="B93" s="71"/>
      <c r="C93" s="71"/>
      <c r="D93" s="71"/>
      <c r="E93" s="71"/>
      <c r="F93" s="70"/>
      <c r="G93" s="70"/>
      <c r="H93" s="70"/>
    </row>
    <row r="94" spans="1:10" x14ac:dyDescent="0.3">
      <c r="A94" s="71" t="s">
        <v>51</v>
      </c>
      <c r="B94" s="71"/>
      <c r="C94" s="71"/>
      <c r="D94" s="71"/>
      <c r="E94" s="71"/>
      <c r="F94" s="70">
        <v>700000</v>
      </c>
      <c r="G94" s="70"/>
      <c r="H94" s="70"/>
    </row>
    <row r="95" spans="1:10" s="31" customFormat="1" x14ac:dyDescent="0.3">
      <c r="A95" s="120" t="s">
        <v>52</v>
      </c>
      <c r="B95" s="120"/>
      <c r="C95" s="120"/>
      <c r="D95" s="120"/>
      <c r="E95" s="120"/>
      <c r="F95" s="70">
        <f>F83*0.8</f>
        <v>10400</v>
      </c>
      <c r="G95" s="70"/>
      <c r="H95" s="70"/>
    </row>
    <row r="96" spans="1:10" s="32" customFormat="1" x14ac:dyDescent="0.3">
      <c r="A96" s="144" t="s">
        <v>70</v>
      </c>
      <c r="B96" s="144"/>
      <c r="C96" s="144"/>
      <c r="D96" s="144"/>
      <c r="E96" s="144"/>
      <c r="F96" s="144"/>
      <c r="G96" s="144"/>
      <c r="H96" s="144"/>
    </row>
    <row r="97" spans="1:14" s="32" customFormat="1" ht="15.75" customHeight="1" x14ac:dyDescent="0.3">
      <c r="A97" s="86" t="s">
        <v>53</v>
      </c>
      <c r="B97" s="86"/>
      <c r="C97" s="169" t="s">
        <v>77</v>
      </c>
      <c r="D97" s="169"/>
      <c r="E97" s="155" t="s">
        <v>54</v>
      </c>
      <c r="F97" s="155"/>
      <c r="G97" s="86" t="s">
        <v>55</v>
      </c>
      <c r="H97" s="86"/>
    </row>
    <row r="98" spans="1:14" s="32" customFormat="1" x14ac:dyDescent="0.3">
      <c r="A98" s="143" t="s">
        <v>272</v>
      </c>
      <c r="B98" s="143"/>
      <c r="C98" s="146">
        <f>COUNT(D114:D120)*19+COUNT(D122:D124,D127:D128)*2+COUNT(D130:D136)</f>
        <v>150</v>
      </c>
      <c r="D98" s="146"/>
      <c r="E98" s="147">
        <f>SUM(D114:D120)*19+SUM(D122:D124,D127:D128)*2+SUM(D130:D136)</f>
        <v>73171.734479999999</v>
      </c>
      <c r="F98" s="147"/>
      <c r="G98" s="147">
        <f>SUM(F114:F120)*19+SUM(F122:F124,F127:F128)*2+SUM(F130:F136)</f>
        <v>113416.188444</v>
      </c>
      <c r="H98" s="147"/>
    </row>
    <row r="99" spans="1:14" s="31" customFormat="1" x14ac:dyDescent="0.3">
      <c r="A99" s="156" t="s">
        <v>56</v>
      </c>
      <c r="B99" s="156"/>
      <c r="C99" s="156"/>
      <c r="D99" s="156"/>
      <c r="E99" s="156"/>
      <c r="F99" s="156"/>
      <c r="G99" s="156"/>
      <c r="H99" s="156"/>
    </row>
    <row r="100" spans="1:14" x14ac:dyDescent="0.3">
      <c r="A100" s="165" t="s">
        <v>176</v>
      </c>
      <c r="B100" s="165"/>
      <c r="C100" s="165"/>
      <c r="D100" s="165"/>
      <c r="E100" s="165"/>
      <c r="F100" s="165"/>
      <c r="G100" s="165"/>
      <c r="H100" s="165"/>
    </row>
    <row r="101" spans="1:14" ht="47.25" hidden="1" customHeight="1" x14ac:dyDescent="0.3">
      <c r="A101" s="72" t="s">
        <v>120</v>
      </c>
      <c r="B101" s="72" t="s">
        <v>179</v>
      </c>
      <c r="C101" s="72" t="s">
        <v>57</v>
      </c>
      <c r="D101" s="72" t="s">
        <v>58</v>
      </c>
      <c r="E101" s="87" t="s">
        <v>157</v>
      </c>
      <c r="F101" s="40" t="s">
        <v>151</v>
      </c>
      <c r="G101" s="89" t="s">
        <v>60</v>
      </c>
      <c r="H101" s="90"/>
    </row>
    <row r="102" spans="1:14" s="34" customFormat="1" hidden="1" x14ac:dyDescent="0.3">
      <c r="A102" s="73"/>
      <c r="B102" s="73"/>
      <c r="C102" s="73"/>
      <c r="D102" s="73"/>
      <c r="E102" s="88"/>
      <c r="F102" s="13">
        <v>0.45</v>
      </c>
      <c r="G102" s="91"/>
      <c r="H102" s="92"/>
    </row>
    <row r="103" spans="1:14" s="34" customFormat="1" hidden="1" x14ac:dyDescent="0.3">
      <c r="A103" s="74" t="s">
        <v>119</v>
      </c>
      <c r="B103" s="75"/>
      <c r="C103" s="75"/>
      <c r="D103" s="75"/>
      <c r="E103" s="75"/>
      <c r="F103" s="75"/>
      <c r="G103" s="75"/>
      <c r="H103" s="76"/>
      <c r="J103" s="33"/>
    </row>
    <row r="104" spans="1:14" s="34" customFormat="1" hidden="1" x14ac:dyDescent="0.3">
      <c r="A104" s="77">
        <v>1</v>
      </c>
      <c r="B104" s="78"/>
      <c r="C104" s="39"/>
      <c r="D104" s="39"/>
      <c r="E104" s="39">
        <v>0</v>
      </c>
      <c r="F104" s="39">
        <f>(D104+E104)*(($F$102)+1)</f>
        <v>0</v>
      </c>
      <c r="G104" s="77" t="str">
        <f>A103</f>
        <v>Ground Floor</v>
      </c>
      <c r="H104" s="78"/>
      <c r="I104" s="33"/>
      <c r="L104" s="99"/>
      <c r="M104" s="99"/>
      <c r="N104" s="33"/>
    </row>
    <row r="105" spans="1:14" s="34" customFormat="1" hidden="1" x14ac:dyDescent="0.3">
      <c r="A105" s="77">
        <f t="shared" ref="A105:A107" si="0">A104+1</f>
        <v>2</v>
      </c>
      <c r="B105" s="78"/>
      <c r="C105" s="39"/>
      <c r="D105" s="39"/>
      <c r="E105" s="39">
        <v>0</v>
      </c>
      <c r="F105" s="39">
        <f t="shared" ref="F105:F107" si="1">(D105+E105)*(($F$102)+1)</f>
        <v>0</v>
      </c>
      <c r="G105" s="77" t="str">
        <f t="shared" ref="G105:G107" si="2">G104</f>
        <v>Ground Floor</v>
      </c>
      <c r="H105" s="78"/>
      <c r="I105" s="33"/>
      <c r="L105" s="99"/>
      <c r="M105" s="99"/>
      <c r="N105" s="33"/>
    </row>
    <row r="106" spans="1:14" s="34" customFormat="1" hidden="1" x14ac:dyDescent="0.3">
      <c r="A106" s="77">
        <f t="shared" si="0"/>
        <v>3</v>
      </c>
      <c r="B106" s="78"/>
      <c r="C106" s="39"/>
      <c r="D106" s="39"/>
      <c r="E106" s="39">
        <v>0</v>
      </c>
      <c r="F106" s="39">
        <f t="shared" si="1"/>
        <v>0</v>
      </c>
      <c r="G106" s="77" t="str">
        <f t="shared" si="2"/>
        <v>Ground Floor</v>
      </c>
      <c r="H106" s="78"/>
      <c r="I106" s="33"/>
      <c r="L106" s="99"/>
      <c r="M106" s="99"/>
      <c r="N106" s="33"/>
    </row>
    <row r="107" spans="1:14" s="34" customFormat="1" hidden="1" x14ac:dyDescent="0.3">
      <c r="A107" s="77">
        <f t="shared" si="0"/>
        <v>4</v>
      </c>
      <c r="B107" s="78"/>
      <c r="C107" s="39"/>
      <c r="D107" s="39"/>
      <c r="E107" s="39">
        <v>0</v>
      </c>
      <c r="F107" s="39">
        <f t="shared" si="1"/>
        <v>0</v>
      </c>
      <c r="G107" s="77" t="str">
        <f t="shared" si="2"/>
        <v>Ground Floor</v>
      </c>
      <c r="H107" s="78"/>
      <c r="I107" s="33"/>
      <c r="L107" s="99"/>
      <c r="M107" s="99"/>
      <c r="N107" s="33"/>
    </row>
    <row r="108" spans="1:14" s="34" customFormat="1" hidden="1" x14ac:dyDescent="0.3">
      <c r="A108" s="77"/>
      <c r="B108" s="171"/>
      <c r="C108" s="171"/>
      <c r="D108" s="171"/>
      <c r="E108" s="171"/>
      <c r="F108" s="171"/>
      <c r="G108" s="171"/>
      <c r="H108" s="78"/>
      <c r="I108" s="33"/>
      <c r="N108" s="33"/>
    </row>
    <row r="109" spans="1:14" ht="47.25" customHeight="1" x14ac:dyDescent="0.3">
      <c r="A109" s="89" t="s">
        <v>121</v>
      </c>
      <c r="B109" s="72" t="s">
        <v>180</v>
      </c>
      <c r="C109" s="72" t="s">
        <v>57</v>
      </c>
      <c r="D109" s="72" t="s">
        <v>58</v>
      </c>
      <c r="E109" s="87" t="s">
        <v>59</v>
      </c>
      <c r="F109" s="40" t="s">
        <v>151</v>
      </c>
      <c r="G109" s="89" t="s">
        <v>60</v>
      </c>
      <c r="H109" s="90"/>
      <c r="I109" s="33"/>
    </row>
    <row r="110" spans="1:14" s="34" customFormat="1" x14ac:dyDescent="0.3">
      <c r="A110" s="91"/>
      <c r="B110" s="73"/>
      <c r="C110" s="73"/>
      <c r="D110" s="73"/>
      <c r="E110" s="88"/>
      <c r="F110" s="13">
        <v>0.55000000000000004</v>
      </c>
      <c r="G110" s="91"/>
      <c r="H110" s="92"/>
      <c r="I110" s="33"/>
    </row>
    <row r="111" spans="1:14" s="34" customFormat="1" x14ac:dyDescent="0.3">
      <c r="A111" s="74" t="s">
        <v>277</v>
      </c>
      <c r="B111" s="75"/>
      <c r="C111" s="75"/>
      <c r="D111" s="75"/>
      <c r="E111" s="75"/>
      <c r="F111" s="75"/>
      <c r="G111" s="75"/>
      <c r="H111" s="76"/>
      <c r="J111" s="33"/>
    </row>
    <row r="112" spans="1:14" s="34" customFormat="1" x14ac:dyDescent="0.3">
      <c r="A112" s="74" t="s">
        <v>264</v>
      </c>
      <c r="B112" s="75"/>
      <c r="C112" s="75"/>
      <c r="D112" s="75"/>
      <c r="E112" s="75"/>
      <c r="F112" s="75"/>
      <c r="G112" s="75"/>
      <c r="H112" s="76"/>
      <c r="J112" s="33"/>
    </row>
    <row r="113" spans="1:14" s="34" customFormat="1" x14ac:dyDescent="0.3">
      <c r="A113" s="74" t="s">
        <v>265</v>
      </c>
      <c r="B113" s="75"/>
      <c r="C113" s="75"/>
      <c r="D113" s="75"/>
      <c r="E113" s="75"/>
      <c r="F113" s="75"/>
      <c r="G113" s="75"/>
      <c r="H113" s="76"/>
      <c r="J113" s="33"/>
    </row>
    <row r="114" spans="1:14" s="34" customFormat="1" ht="15.75" customHeight="1" x14ac:dyDescent="0.3">
      <c r="A114" s="77">
        <v>1</v>
      </c>
      <c r="B114" s="78"/>
      <c r="C114" s="50" t="s">
        <v>266</v>
      </c>
      <c r="D114" s="39">
        <f>(52.07)*10.764</f>
        <v>560.48147999999992</v>
      </c>
      <c r="E114" s="39">
        <v>0</v>
      </c>
      <c r="F114" s="39">
        <f t="shared" ref="F114:F120" si="3">D114*(($F$110)+1)+(IF(E114&lt;101,E114,IF(E114&lt;201,E114/2,IF(E114&lt;=301,E114/3,E114/4))))</f>
        <v>868.74629399999992</v>
      </c>
      <c r="G114" s="173" t="str">
        <f>A113</f>
        <v>1st to 7th, 9th to 14th, 16th to 21st Floor for Residential</v>
      </c>
      <c r="H114" s="174"/>
      <c r="I114" s="33">
        <f>2.85*5.13+1.9*3.1+2.9*3+3.05*3.05+1.1*2.1+3.25*0.9+1.7*1.59+2.85*0.9</f>
        <v>49.015999999999998</v>
      </c>
      <c r="L114" s="99"/>
      <c r="M114" s="99"/>
      <c r="N114" s="33"/>
    </row>
    <row r="115" spans="1:14" s="34" customFormat="1" ht="15.75" customHeight="1" x14ac:dyDescent="0.3">
      <c r="A115" s="77">
        <v>2</v>
      </c>
      <c r="B115" s="78"/>
      <c r="C115" s="50">
        <v>2</v>
      </c>
      <c r="D115" s="39">
        <f>(49.12)*10.764</f>
        <v>528.72767999999996</v>
      </c>
      <c r="E115" s="39">
        <v>0</v>
      </c>
      <c r="F115" s="39">
        <f t="shared" si="3"/>
        <v>819.52790399999992</v>
      </c>
      <c r="G115" s="175"/>
      <c r="H115" s="176"/>
      <c r="I115" s="39">
        <v>10.763999999999999</v>
      </c>
      <c r="L115" s="99"/>
      <c r="M115" s="99"/>
      <c r="N115" s="33"/>
    </row>
    <row r="116" spans="1:14" s="34" customFormat="1" ht="15.75" customHeight="1" x14ac:dyDescent="0.3">
      <c r="A116" s="77">
        <v>3</v>
      </c>
      <c r="B116" s="78"/>
      <c r="C116" s="50">
        <v>1</v>
      </c>
      <c r="D116" s="39">
        <f>(40.98)*10.764</f>
        <v>441.10871999999995</v>
      </c>
      <c r="E116" s="39">
        <v>0</v>
      </c>
      <c r="F116" s="39">
        <f t="shared" si="3"/>
        <v>683.71851599999991</v>
      </c>
      <c r="G116" s="175"/>
      <c r="H116" s="176"/>
      <c r="I116" s="33"/>
      <c r="L116" s="99"/>
      <c r="M116" s="99"/>
      <c r="N116" s="33"/>
    </row>
    <row r="117" spans="1:14" s="34" customFormat="1" ht="15.75" customHeight="1" x14ac:dyDescent="0.3">
      <c r="A117" s="77">
        <v>4</v>
      </c>
      <c r="B117" s="78"/>
      <c r="C117" s="50">
        <v>1</v>
      </c>
      <c r="D117" s="39">
        <f>(39.73)*10.764</f>
        <v>427.65371999999996</v>
      </c>
      <c r="E117" s="39">
        <v>0</v>
      </c>
      <c r="F117" s="39">
        <f t="shared" si="3"/>
        <v>662.86326599999995</v>
      </c>
      <c r="G117" s="175"/>
      <c r="H117" s="176"/>
      <c r="I117" s="33"/>
      <c r="L117" s="99"/>
      <c r="M117" s="99"/>
      <c r="N117" s="33"/>
    </row>
    <row r="118" spans="1:14" s="34" customFormat="1" ht="15.75" customHeight="1" x14ac:dyDescent="0.3">
      <c r="A118" s="77">
        <v>5</v>
      </c>
      <c r="B118" s="78"/>
      <c r="C118" s="50">
        <v>2</v>
      </c>
      <c r="D118" s="39">
        <f>(48.83)*10.764</f>
        <v>525.60611999999992</v>
      </c>
      <c r="E118" s="39">
        <v>0</v>
      </c>
      <c r="F118" s="39">
        <f t="shared" si="3"/>
        <v>814.68948599999987</v>
      </c>
      <c r="G118" s="175"/>
      <c r="H118" s="176"/>
      <c r="I118" s="33"/>
      <c r="L118" s="99"/>
      <c r="M118" s="99"/>
      <c r="N118" s="33"/>
    </row>
    <row r="119" spans="1:14" s="34" customFormat="1" ht="15.75" customHeight="1" x14ac:dyDescent="0.3">
      <c r="A119" s="77">
        <v>6</v>
      </c>
      <c r="B119" s="78"/>
      <c r="C119" s="50">
        <v>1</v>
      </c>
      <c r="D119" s="39">
        <f>(44.79)*10.764</f>
        <v>482.11955999999998</v>
      </c>
      <c r="E119" s="39">
        <v>0</v>
      </c>
      <c r="F119" s="39">
        <f t="shared" si="3"/>
        <v>747.28531799999996</v>
      </c>
      <c r="G119" s="175"/>
      <c r="H119" s="176"/>
      <c r="I119" s="33"/>
      <c r="L119" s="99"/>
      <c r="M119" s="99"/>
      <c r="N119" s="33"/>
    </row>
    <row r="120" spans="1:14" s="34" customFormat="1" ht="15.75" customHeight="1" x14ac:dyDescent="0.3">
      <c r="A120" s="77">
        <v>7</v>
      </c>
      <c r="B120" s="78"/>
      <c r="C120" s="50">
        <v>1</v>
      </c>
      <c r="D120" s="39">
        <f>(42.35)*10.764</f>
        <v>455.85539999999997</v>
      </c>
      <c r="E120" s="39">
        <v>0</v>
      </c>
      <c r="F120" s="39">
        <f t="shared" si="3"/>
        <v>706.57587000000001</v>
      </c>
      <c r="G120" s="177"/>
      <c r="H120" s="178"/>
      <c r="I120" s="33"/>
      <c r="L120" s="99"/>
      <c r="M120" s="99"/>
      <c r="N120" s="33"/>
    </row>
    <row r="121" spans="1:14" s="34" customFormat="1" x14ac:dyDescent="0.3">
      <c r="A121" s="74" t="s">
        <v>268</v>
      </c>
      <c r="B121" s="75"/>
      <c r="C121" s="75"/>
      <c r="D121" s="75"/>
      <c r="E121" s="75"/>
      <c r="F121" s="75"/>
      <c r="G121" s="75"/>
      <c r="H121" s="76"/>
      <c r="J121" s="33"/>
    </row>
    <row r="122" spans="1:14" s="34" customFormat="1" ht="15.75" customHeight="1" x14ac:dyDescent="0.3">
      <c r="A122" s="77">
        <v>1</v>
      </c>
      <c r="B122" s="78"/>
      <c r="C122" s="50" t="s">
        <v>266</v>
      </c>
      <c r="D122" s="39">
        <f>(52.07)*10.764</f>
        <v>560.48147999999992</v>
      </c>
      <c r="E122" s="39">
        <v>0</v>
      </c>
      <c r="F122" s="39">
        <f>D122*(($F$110)+1)+(IF(E122&lt;101,E122,IF(E122&lt;201,E122/2,IF(E122&lt;=301,E122/3,E122/4))))</f>
        <v>868.74629399999992</v>
      </c>
      <c r="G122" s="173" t="str">
        <f>A121</f>
        <v>8th &amp; 15th Floor (Part Refuge Area)</v>
      </c>
      <c r="H122" s="174"/>
      <c r="I122" s="33"/>
      <c r="L122" s="99"/>
      <c r="M122" s="99"/>
      <c r="N122" s="33"/>
    </row>
    <row r="123" spans="1:14" s="34" customFormat="1" ht="15.75" customHeight="1" x14ac:dyDescent="0.3">
      <c r="A123" s="77">
        <v>2</v>
      </c>
      <c r="B123" s="78"/>
      <c r="C123" s="50">
        <v>2</v>
      </c>
      <c r="D123" s="39">
        <f>(49.12)*10.764</f>
        <v>528.72767999999996</v>
      </c>
      <c r="E123" s="39">
        <v>0</v>
      </c>
      <c r="F123" s="39">
        <f>D123*(($F$110)+1)+(IF(E123&lt;101,E123,IF(E123&lt;201,E123/2,IF(E123&lt;=301,E123/3,E123/4))))</f>
        <v>819.52790399999992</v>
      </c>
      <c r="G123" s="175" t="str">
        <f t="shared" ref="G123:G128" si="4">G122</f>
        <v>8th &amp; 15th Floor (Part Refuge Area)</v>
      </c>
      <c r="H123" s="176"/>
      <c r="I123" s="33"/>
      <c r="L123" s="99"/>
      <c r="M123" s="99"/>
      <c r="N123" s="33"/>
    </row>
    <row r="124" spans="1:14" s="34" customFormat="1" ht="15.75" customHeight="1" x14ac:dyDescent="0.3">
      <c r="A124" s="77">
        <v>3</v>
      </c>
      <c r="B124" s="78"/>
      <c r="C124" s="50">
        <v>1</v>
      </c>
      <c r="D124" s="39">
        <f>(40.98)*10.764</f>
        <v>441.10871999999995</v>
      </c>
      <c r="E124" s="39">
        <v>0</v>
      </c>
      <c r="F124" s="39">
        <f>D124*(($F$110)+1)+(IF(E124&lt;101,E124,IF(E124&lt;201,E124/2,IF(E124&lt;=301,E124/3,E124/4))))</f>
        <v>683.71851599999991</v>
      </c>
      <c r="G124" s="175" t="str">
        <f t="shared" si="4"/>
        <v>8th &amp; 15th Floor (Part Refuge Area)</v>
      </c>
      <c r="H124" s="176"/>
      <c r="I124" s="33"/>
      <c r="L124" s="99"/>
      <c r="M124" s="99"/>
      <c r="N124" s="33"/>
    </row>
    <row r="125" spans="1:14" s="34" customFormat="1" ht="15.75" customHeight="1" x14ac:dyDescent="0.3">
      <c r="A125" s="77">
        <v>4</v>
      </c>
      <c r="B125" s="78"/>
      <c r="C125" s="179" t="s">
        <v>270</v>
      </c>
      <c r="D125" s="180"/>
      <c r="E125" s="180"/>
      <c r="F125" s="181"/>
      <c r="G125" s="175" t="str">
        <f t="shared" si="4"/>
        <v>8th &amp; 15th Floor (Part Refuge Area)</v>
      </c>
      <c r="H125" s="176"/>
      <c r="I125" s="33"/>
      <c r="L125" s="99"/>
      <c r="M125" s="99"/>
      <c r="N125" s="33"/>
    </row>
    <row r="126" spans="1:14" s="34" customFormat="1" ht="15.75" customHeight="1" x14ac:dyDescent="0.3">
      <c r="A126" s="77">
        <v>5</v>
      </c>
      <c r="B126" s="78"/>
      <c r="C126" s="182"/>
      <c r="D126" s="183"/>
      <c r="E126" s="183"/>
      <c r="F126" s="184"/>
      <c r="G126" s="175" t="str">
        <f t="shared" si="4"/>
        <v>8th &amp; 15th Floor (Part Refuge Area)</v>
      </c>
      <c r="H126" s="176"/>
      <c r="I126" s="33"/>
      <c r="L126" s="99"/>
      <c r="M126" s="99"/>
      <c r="N126" s="33"/>
    </row>
    <row r="127" spans="1:14" s="34" customFormat="1" ht="15.75" customHeight="1" x14ac:dyDescent="0.3">
      <c r="A127" s="77">
        <v>6</v>
      </c>
      <c r="B127" s="78"/>
      <c r="C127" s="50">
        <v>1</v>
      </c>
      <c r="D127" s="39">
        <f>(44.79)*10.764</f>
        <v>482.11955999999998</v>
      </c>
      <c r="E127" s="39">
        <v>0</v>
      </c>
      <c r="F127" s="39">
        <f>D127*(($F$110)+1)+(IF(E127&lt;101,E127,IF(E127&lt;201,E127/2,IF(E127&lt;=301,E127/3,E127/4))))</f>
        <v>747.28531799999996</v>
      </c>
      <c r="G127" s="175" t="str">
        <f t="shared" si="4"/>
        <v>8th &amp; 15th Floor (Part Refuge Area)</v>
      </c>
      <c r="H127" s="176"/>
      <c r="I127" s="33"/>
      <c r="L127" s="99"/>
      <c r="M127" s="99"/>
      <c r="N127" s="33"/>
    </row>
    <row r="128" spans="1:14" s="34" customFormat="1" ht="15.75" customHeight="1" x14ac:dyDescent="0.3">
      <c r="A128" s="77">
        <v>7</v>
      </c>
      <c r="B128" s="78"/>
      <c r="C128" s="50">
        <v>1</v>
      </c>
      <c r="D128" s="39">
        <f>(42.35)*10.764</f>
        <v>455.85539999999997</v>
      </c>
      <c r="E128" s="39">
        <v>0</v>
      </c>
      <c r="F128" s="39">
        <f>D128*(($F$110)+1)+(IF(E128&lt;101,E128,IF(E128&lt;201,E128/2,IF(E128&lt;=301,E128/3,E128/4))))</f>
        <v>706.57587000000001</v>
      </c>
      <c r="G128" s="177" t="str">
        <f t="shared" si="4"/>
        <v>8th &amp; 15th Floor (Part Refuge Area)</v>
      </c>
      <c r="H128" s="178"/>
      <c r="I128" s="33"/>
      <c r="L128" s="99"/>
      <c r="M128" s="99"/>
      <c r="N128" s="33"/>
    </row>
    <row r="129" spans="1:14" s="34" customFormat="1" x14ac:dyDescent="0.3">
      <c r="A129" s="74" t="s">
        <v>267</v>
      </c>
      <c r="B129" s="75"/>
      <c r="C129" s="75"/>
      <c r="D129" s="75"/>
      <c r="E129" s="75"/>
      <c r="F129" s="75"/>
      <c r="G129" s="75"/>
      <c r="H129" s="76"/>
      <c r="I129" s="58" t="s">
        <v>274</v>
      </c>
      <c r="J129" s="57" t="s">
        <v>275</v>
      </c>
      <c r="K129" s="58" t="s">
        <v>112</v>
      </c>
    </row>
    <row r="130" spans="1:14" s="34" customFormat="1" ht="15.75" customHeight="1" x14ac:dyDescent="0.3">
      <c r="A130" s="77">
        <v>1</v>
      </c>
      <c r="B130" s="78"/>
      <c r="C130" s="50" t="s">
        <v>266</v>
      </c>
      <c r="D130" s="39">
        <f>(52.07)*10.764</f>
        <v>560.48147999999992</v>
      </c>
      <c r="E130" s="39">
        <v>0</v>
      </c>
      <c r="F130" s="39">
        <f t="shared" ref="F130:F136" si="5">D130*(($F$110)+1)+(IF(E130&lt;101,E130,IF(E130&lt;201,E130/2,IF(E130&lt;=301,E130/3,E130/4))))</f>
        <v>868.74629399999992</v>
      </c>
      <c r="G130" s="173" t="str">
        <f>A129</f>
        <v>22nd Floor (Part Refuge Area)</v>
      </c>
      <c r="H130" s="174"/>
      <c r="I130" s="33">
        <f>11000000/F130</f>
        <v>12661.924518091815</v>
      </c>
      <c r="J130" s="33">
        <f>10300000/F120</f>
        <v>14577.344680621487</v>
      </c>
      <c r="K130" s="33">
        <f>9300000/F132</f>
        <v>13838.4707272061</v>
      </c>
      <c r="L130" s="99"/>
      <c r="M130" s="99"/>
      <c r="N130" s="33"/>
    </row>
    <row r="131" spans="1:14" s="34" customFormat="1" ht="15.75" customHeight="1" x14ac:dyDescent="0.3">
      <c r="A131" s="77">
        <v>2</v>
      </c>
      <c r="B131" s="78"/>
      <c r="C131" s="50">
        <v>2</v>
      </c>
      <c r="D131" s="39">
        <f>(49.12)*10.764</f>
        <v>528.72767999999996</v>
      </c>
      <c r="E131" s="39">
        <v>0</v>
      </c>
      <c r="F131" s="39">
        <f t="shared" si="5"/>
        <v>819.52790399999992</v>
      </c>
      <c r="G131" s="175" t="str">
        <f t="shared" ref="G131:G136" si="6">G130</f>
        <v>22nd Floor (Part Refuge Area)</v>
      </c>
      <c r="H131" s="176"/>
      <c r="I131" s="33">
        <f>10800000/F131</f>
        <v>13178.318819025839</v>
      </c>
      <c r="J131" s="33">
        <f>11700000/F131</f>
        <v>14276.512053944658</v>
      </c>
      <c r="K131" s="33">
        <f>11400000/F130</f>
        <v>13122.358136931518</v>
      </c>
      <c r="L131" s="99"/>
      <c r="M131" s="99"/>
      <c r="N131" s="33"/>
    </row>
    <row r="132" spans="1:14" s="34" customFormat="1" ht="15.75" customHeight="1" x14ac:dyDescent="0.3">
      <c r="A132" s="77">
        <v>3</v>
      </c>
      <c r="B132" s="78"/>
      <c r="C132" s="50">
        <v>1</v>
      </c>
      <c r="D132" s="39">
        <f>(40.28)*10.764</f>
        <v>433.57391999999999</v>
      </c>
      <c r="E132" s="39">
        <v>0</v>
      </c>
      <c r="F132" s="39">
        <f t="shared" si="5"/>
        <v>672.03957600000001</v>
      </c>
      <c r="G132" s="175" t="str">
        <f t="shared" si="6"/>
        <v>22nd Floor (Part Refuge Area)</v>
      </c>
      <c r="H132" s="176"/>
      <c r="I132" s="33">
        <f>9000000/F132</f>
        <v>13392.068445683324</v>
      </c>
      <c r="K132" s="33">
        <f>12100000/F130</f>
        <v>13928.116969900997</v>
      </c>
      <c r="L132" s="99"/>
      <c r="M132" s="99"/>
      <c r="N132" s="33"/>
    </row>
    <row r="133" spans="1:14" s="34" customFormat="1" ht="15.75" customHeight="1" x14ac:dyDescent="0.3">
      <c r="A133" s="77">
        <v>4</v>
      </c>
      <c r="B133" s="78"/>
      <c r="C133" s="50" t="s">
        <v>269</v>
      </c>
      <c r="D133" s="39">
        <f>(22.23)*10.764</f>
        <v>239.28371999999999</v>
      </c>
      <c r="E133" s="39">
        <v>0</v>
      </c>
      <c r="F133" s="39">
        <f t="shared" si="5"/>
        <v>370.88976600000001</v>
      </c>
      <c r="G133" s="175" t="str">
        <f t="shared" si="6"/>
        <v>22nd Floor (Part Refuge Area)</v>
      </c>
      <c r="H133" s="176"/>
      <c r="I133" s="57">
        <f>AVERAGE(I130:I132)</f>
        <v>13077.437260933659</v>
      </c>
      <c r="K133" s="57">
        <f>AVERAGE(K130:K132)</f>
        <v>13629.648611346207</v>
      </c>
      <c r="L133" s="99"/>
      <c r="M133" s="99"/>
      <c r="N133" s="33"/>
    </row>
    <row r="134" spans="1:14" s="34" customFormat="1" ht="15.75" customHeight="1" x14ac:dyDescent="0.3">
      <c r="A134" s="77">
        <v>5</v>
      </c>
      <c r="B134" s="78"/>
      <c r="C134" s="50">
        <v>2</v>
      </c>
      <c r="D134" s="39">
        <f>(48.83)*10.764</f>
        <v>525.60611999999992</v>
      </c>
      <c r="E134" s="39">
        <v>0</v>
      </c>
      <c r="F134" s="39">
        <f t="shared" si="5"/>
        <v>814.68948599999987</v>
      </c>
      <c r="G134" s="175" t="str">
        <f t="shared" si="6"/>
        <v>22nd Floor (Part Refuge Area)</v>
      </c>
      <c r="H134" s="176"/>
      <c r="I134" s="33"/>
      <c r="L134" s="99"/>
      <c r="M134" s="99"/>
      <c r="N134" s="33"/>
    </row>
    <row r="135" spans="1:14" s="34" customFormat="1" ht="15.75" customHeight="1" x14ac:dyDescent="0.3">
      <c r="A135" s="77">
        <v>6</v>
      </c>
      <c r="B135" s="78"/>
      <c r="C135" s="50">
        <v>1</v>
      </c>
      <c r="D135" s="39">
        <f>(44.79)*10.764</f>
        <v>482.11955999999998</v>
      </c>
      <c r="E135" s="39">
        <v>0</v>
      </c>
      <c r="F135" s="39">
        <f t="shared" si="5"/>
        <v>747.28531799999996</v>
      </c>
      <c r="G135" s="175" t="str">
        <f t="shared" si="6"/>
        <v>22nd Floor (Part Refuge Area)</v>
      </c>
      <c r="H135" s="176"/>
      <c r="I135" s="59" t="s">
        <v>276</v>
      </c>
      <c r="L135" s="99"/>
      <c r="M135" s="99"/>
      <c r="N135" s="33"/>
    </row>
    <row r="136" spans="1:14" s="34" customFormat="1" ht="15.75" customHeight="1" x14ac:dyDescent="0.3">
      <c r="A136" s="77">
        <v>7</v>
      </c>
      <c r="B136" s="78"/>
      <c r="C136" s="50">
        <v>1</v>
      </c>
      <c r="D136" s="39">
        <f>(42.35)*10.764</f>
        <v>455.85539999999997</v>
      </c>
      <c r="E136" s="39">
        <v>0</v>
      </c>
      <c r="F136" s="39">
        <f t="shared" si="5"/>
        <v>706.57587000000001</v>
      </c>
      <c r="G136" s="177" t="str">
        <f t="shared" si="6"/>
        <v>22nd Floor (Part Refuge Area)</v>
      </c>
      <c r="H136" s="178"/>
      <c r="I136" s="59" t="s">
        <v>278</v>
      </c>
      <c r="L136" s="99"/>
      <c r="M136" s="99"/>
      <c r="N136" s="33"/>
    </row>
    <row r="137" spans="1:14" s="32" customFormat="1" x14ac:dyDescent="0.3">
      <c r="A137" s="100" t="s">
        <v>68</v>
      </c>
      <c r="B137" s="100"/>
      <c r="C137" s="100"/>
      <c r="D137" s="100"/>
      <c r="E137" s="100"/>
      <c r="F137" s="100"/>
      <c r="G137" s="100"/>
      <c r="H137" s="100"/>
    </row>
    <row r="138" spans="1:14" s="32" customFormat="1" ht="37.200000000000003" customHeight="1" x14ac:dyDescent="0.3">
      <c r="A138" s="42" t="s">
        <v>154</v>
      </c>
      <c r="B138" s="148" t="s">
        <v>289</v>
      </c>
      <c r="C138" s="149"/>
      <c r="D138" s="149"/>
      <c r="E138" s="149"/>
      <c r="F138" s="149"/>
      <c r="G138" s="149"/>
      <c r="H138" s="150"/>
    </row>
    <row r="139" spans="1:14" s="32" customFormat="1" x14ac:dyDescent="0.3">
      <c r="A139" s="42" t="s">
        <v>154</v>
      </c>
      <c r="B139" s="148" t="str">
        <f>(IF(F109="Saleable area Loading :","We have considered Saleable area of Flats as per our Calculation.","We considered Saleable area of Flat as per Builder area Sheet."))</f>
        <v>We have considered Saleable area of Flats as per our Calculation.</v>
      </c>
      <c r="C139" s="149"/>
      <c r="D139" s="149"/>
      <c r="E139" s="149"/>
      <c r="F139" s="149"/>
      <c r="G139" s="149"/>
      <c r="H139" s="150"/>
    </row>
    <row r="140" spans="1:14" s="32" customFormat="1" x14ac:dyDescent="0.3">
      <c r="A140" s="42" t="s">
        <v>154</v>
      </c>
      <c r="B140" s="148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0" s="149"/>
      <c r="D140" s="149"/>
      <c r="E140" s="149"/>
      <c r="F140" s="149"/>
      <c r="G140" s="149"/>
      <c r="H140" s="150"/>
    </row>
    <row r="141" spans="1:14" s="32" customFormat="1" x14ac:dyDescent="0.3">
      <c r="A141" s="42" t="s">
        <v>154</v>
      </c>
      <c r="B141" s="62" t="s">
        <v>125</v>
      </c>
      <c r="C141" s="63"/>
      <c r="D141" s="63"/>
      <c r="E141" s="63"/>
      <c r="F141" s="63"/>
      <c r="G141" s="63"/>
      <c r="H141" s="64"/>
    </row>
    <row r="142" spans="1:14" s="32" customFormat="1" x14ac:dyDescent="0.3">
      <c r="A142" s="42" t="s">
        <v>154</v>
      </c>
      <c r="B142" s="62" t="s">
        <v>271</v>
      </c>
      <c r="C142" s="63"/>
      <c r="D142" s="63"/>
      <c r="E142" s="63"/>
      <c r="F142" s="63"/>
      <c r="G142" s="63"/>
      <c r="H142" s="64"/>
    </row>
    <row r="143" spans="1:14" s="32" customFormat="1" x14ac:dyDescent="0.3">
      <c r="A143" s="42" t="s">
        <v>154</v>
      </c>
      <c r="B143" s="62" t="s">
        <v>153</v>
      </c>
      <c r="C143" s="63"/>
      <c r="D143" s="63"/>
      <c r="E143" s="63"/>
      <c r="F143" s="63"/>
      <c r="G143" s="63"/>
      <c r="H143" s="64"/>
    </row>
    <row r="144" spans="1:14" s="32" customFormat="1" x14ac:dyDescent="0.3">
      <c r="A144" s="42" t="s">
        <v>154</v>
      </c>
      <c r="B144" s="62" t="s">
        <v>126</v>
      </c>
      <c r="C144" s="63"/>
      <c r="D144" s="63"/>
      <c r="E144" s="63"/>
      <c r="F144" s="63"/>
      <c r="G144" s="63"/>
      <c r="H144" s="64"/>
    </row>
    <row r="145" spans="1:8" s="32" customFormat="1" ht="34.5" customHeight="1" x14ac:dyDescent="0.3">
      <c r="A145" s="42" t="s">
        <v>154</v>
      </c>
      <c r="B145" s="62" t="s">
        <v>155</v>
      </c>
      <c r="C145" s="63"/>
      <c r="D145" s="63"/>
      <c r="E145" s="63"/>
      <c r="F145" s="63"/>
      <c r="G145" s="63"/>
      <c r="H145" s="64"/>
    </row>
    <row r="146" spans="1:8" s="32" customFormat="1" x14ac:dyDescent="0.3">
      <c r="A146" s="42" t="s">
        <v>154</v>
      </c>
      <c r="B146" s="62" t="s">
        <v>127</v>
      </c>
      <c r="C146" s="63"/>
      <c r="D146" s="63"/>
      <c r="E146" s="63"/>
      <c r="F146" s="63"/>
      <c r="G146" s="63"/>
      <c r="H146" s="64"/>
    </row>
    <row r="147" spans="1:8" s="32" customFormat="1" x14ac:dyDescent="0.3">
      <c r="A147" s="42" t="s">
        <v>154</v>
      </c>
      <c r="B147" s="148" t="s">
        <v>281</v>
      </c>
      <c r="C147" s="149"/>
      <c r="D147" s="149"/>
      <c r="E147" s="149"/>
      <c r="F147" s="149"/>
      <c r="G147" s="149"/>
      <c r="H147" s="150"/>
    </row>
    <row r="148" spans="1:8" s="32" customFormat="1" ht="32.25" customHeight="1" x14ac:dyDescent="0.3">
      <c r="A148" s="42" t="s">
        <v>154</v>
      </c>
      <c r="B148" s="148" t="s">
        <v>181</v>
      </c>
      <c r="C148" s="149"/>
      <c r="D148" s="149"/>
      <c r="E148" s="149"/>
      <c r="F148" s="149"/>
      <c r="G148" s="149"/>
      <c r="H148" s="150"/>
    </row>
    <row r="149" spans="1:8" s="32" customFormat="1" x14ac:dyDescent="0.3">
      <c r="A149" s="42" t="s">
        <v>154</v>
      </c>
      <c r="B149" s="148" t="s">
        <v>285</v>
      </c>
      <c r="C149" s="149"/>
      <c r="D149" s="149"/>
      <c r="E149" s="149"/>
      <c r="F149" s="149"/>
      <c r="G149" s="149"/>
      <c r="H149" s="150"/>
    </row>
    <row r="150" spans="1:8" s="32" customFormat="1" hidden="1" x14ac:dyDescent="0.3">
      <c r="A150" s="42" t="s">
        <v>154</v>
      </c>
      <c r="B150" s="148" t="s">
        <v>283</v>
      </c>
      <c r="C150" s="149"/>
      <c r="D150" s="149"/>
      <c r="E150" s="149"/>
      <c r="F150" s="149"/>
      <c r="G150" s="149"/>
      <c r="H150" s="150"/>
    </row>
    <row r="151" spans="1:8" s="32" customFormat="1" x14ac:dyDescent="0.3">
      <c r="A151" s="42" t="s">
        <v>154</v>
      </c>
      <c r="B151" s="148" t="s">
        <v>286</v>
      </c>
      <c r="C151" s="149"/>
      <c r="D151" s="149"/>
      <c r="E151" s="149"/>
      <c r="F151" s="149"/>
      <c r="G151" s="149"/>
      <c r="H151" s="150"/>
    </row>
    <row r="152" spans="1:8" x14ac:dyDescent="0.3">
      <c r="A152" s="145" t="s">
        <v>61</v>
      </c>
      <c r="B152" s="145"/>
      <c r="C152" s="145"/>
      <c r="D152" s="145"/>
      <c r="E152" s="145"/>
      <c r="F152" s="145"/>
      <c r="G152" s="145"/>
      <c r="H152" s="145"/>
    </row>
    <row r="153" spans="1:8" x14ac:dyDescent="0.3">
      <c r="A153" s="101" t="s">
        <v>62</v>
      </c>
      <c r="B153" s="101"/>
      <c r="C153" s="101"/>
      <c r="D153" s="101"/>
      <c r="E153" s="101"/>
      <c r="F153" s="101"/>
      <c r="G153" s="101"/>
      <c r="H153" s="101"/>
    </row>
    <row r="154" spans="1:8" ht="15.75" customHeight="1" x14ac:dyDescent="0.3">
      <c r="A154" s="151" t="s">
        <v>63</v>
      </c>
      <c r="B154" s="151"/>
      <c r="C154" s="151"/>
      <c r="D154" s="151"/>
      <c r="E154" s="151"/>
      <c r="F154" s="151"/>
      <c r="G154" s="151"/>
      <c r="H154" s="151"/>
    </row>
    <row r="155" spans="1:8" x14ac:dyDescent="0.3">
      <c r="A155" s="101" t="s">
        <v>64</v>
      </c>
      <c r="B155" s="101"/>
      <c r="C155" s="101"/>
      <c r="D155" s="101"/>
      <c r="E155" s="101"/>
      <c r="F155" s="101"/>
      <c r="G155" s="101"/>
      <c r="H155" s="101"/>
    </row>
    <row r="156" spans="1:8" x14ac:dyDescent="0.3">
      <c r="A156" s="101" t="s">
        <v>65</v>
      </c>
      <c r="B156" s="101"/>
      <c r="C156" s="101"/>
      <c r="D156" s="101"/>
      <c r="E156" s="101"/>
      <c r="F156" s="101"/>
      <c r="G156" s="101"/>
      <c r="H156" s="101"/>
    </row>
    <row r="157" spans="1:8" x14ac:dyDescent="0.3">
      <c r="A157" s="101" t="s">
        <v>128</v>
      </c>
      <c r="B157" s="101"/>
      <c r="C157" s="101"/>
      <c r="D157" s="101"/>
      <c r="E157" s="101"/>
      <c r="F157" s="101"/>
      <c r="G157" s="101"/>
      <c r="H157" s="101"/>
    </row>
    <row r="158" spans="1:8" ht="33.9" customHeight="1" x14ac:dyDescent="0.3">
      <c r="A158" s="107" t="s">
        <v>129</v>
      </c>
      <c r="B158" s="107"/>
      <c r="C158" s="107"/>
      <c r="D158" s="107"/>
      <c r="E158" s="107"/>
      <c r="F158" s="107"/>
      <c r="G158" s="107"/>
      <c r="H158" s="107"/>
    </row>
    <row r="159" spans="1:8" x14ac:dyDescent="0.3">
      <c r="A159" s="142" t="s">
        <v>76</v>
      </c>
      <c r="B159" s="142"/>
      <c r="C159" s="142" t="s">
        <v>288</v>
      </c>
      <c r="D159" s="142"/>
      <c r="E159" s="142" t="s">
        <v>106</v>
      </c>
      <c r="F159" s="142"/>
      <c r="G159" s="142" t="s">
        <v>287</v>
      </c>
      <c r="H159" s="142"/>
    </row>
    <row r="160" spans="1:8" x14ac:dyDescent="0.3">
      <c r="A160" s="141" t="s">
        <v>78</v>
      </c>
      <c r="B160" s="141"/>
      <c r="C160" s="141"/>
      <c r="D160" s="141"/>
      <c r="E160" s="141"/>
      <c r="F160" s="141"/>
      <c r="G160" s="141"/>
      <c r="H160" s="141"/>
    </row>
    <row r="161" spans="1:8" x14ac:dyDescent="0.3">
      <c r="A161" s="141"/>
      <c r="B161" s="141"/>
      <c r="C161" s="141"/>
      <c r="D161" s="141"/>
      <c r="E161" s="141"/>
      <c r="F161" s="141"/>
      <c r="G161" s="141"/>
      <c r="H161" s="141"/>
    </row>
    <row r="162" spans="1:8" x14ac:dyDescent="0.3">
      <c r="A162" s="141"/>
      <c r="B162" s="141"/>
      <c r="C162" s="141"/>
      <c r="D162" s="141"/>
      <c r="E162" s="141"/>
      <c r="F162" s="141"/>
      <c r="G162" s="141"/>
      <c r="H162" s="141"/>
    </row>
    <row r="163" spans="1:8" x14ac:dyDescent="0.3">
      <c r="A163" s="141"/>
      <c r="B163" s="141"/>
      <c r="C163" s="141"/>
      <c r="D163" s="141"/>
      <c r="E163" s="141"/>
      <c r="F163" s="141"/>
      <c r="G163" s="141"/>
      <c r="H163" s="141"/>
    </row>
    <row r="164" spans="1:8" x14ac:dyDescent="0.3">
      <c r="A164" s="35" t="s">
        <v>66</v>
      </c>
      <c r="B164" s="36"/>
      <c r="C164" s="36"/>
      <c r="D164" s="35" t="str">
        <f>E8</f>
        <v>Puneet Amarjyoti</v>
      </c>
      <c r="F164" s="36"/>
      <c r="G164" s="36"/>
      <c r="H164" s="36"/>
    </row>
    <row r="165" spans="1:8" x14ac:dyDescent="0.3">
      <c r="A165" s="36"/>
      <c r="B165" s="36"/>
      <c r="C165" s="36"/>
      <c r="D165" s="36"/>
      <c r="E165" s="36"/>
      <c r="F165" s="36"/>
      <c r="G165" s="36"/>
      <c r="H165" s="36"/>
    </row>
    <row r="166" spans="1:8" x14ac:dyDescent="0.3">
      <c r="A166" s="36"/>
      <c r="B166" s="36"/>
      <c r="C166" s="36"/>
      <c r="D166" s="36"/>
      <c r="E166" s="36"/>
      <c r="F166" s="36"/>
      <c r="G166" s="36"/>
      <c r="H166" s="36"/>
    </row>
    <row r="167" spans="1:8" ht="15" customHeight="1" x14ac:dyDescent="0.3"/>
    <row r="209" spans="1:1" x14ac:dyDescent="0.3">
      <c r="A209" s="38" t="s">
        <v>166</v>
      </c>
    </row>
    <row r="253" spans="1:1" x14ac:dyDescent="0.3">
      <c r="A253" s="38" t="s">
        <v>67</v>
      </c>
    </row>
  </sheetData>
  <mergeCells count="307">
    <mergeCell ref="B151:H151"/>
    <mergeCell ref="B150:H150"/>
    <mergeCell ref="L136:M136"/>
    <mergeCell ref="G114:H120"/>
    <mergeCell ref="C125:F126"/>
    <mergeCell ref="G122:H128"/>
    <mergeCell ref="G130:H136"/>
    <mergeCell ref="B147:H147"/>
    <mergeCell ref="A133:B133"/>
    <mergeCell ref="L133:M133"/>
    <mergeCell ref="A134:B134"/>
    <mergeCell ref="L134:M134"/>
    <mergeCell ref="A135:B135"/>
    <mergeCell ref="L135:M135"/>
    <mergeCell ref="A129:H129"/>
    <mergeCell ref="A130:B130"/>
    <mergeCell ref="L130:M130"/>
    <mergeCell ref="A131:B131"/>
    <mergeCell ref="L131:M131"/>
    <mergeCell ref="A132:B132"/>
    <mergeCell ref="L132:M132"/>
    <mergeCell ref="A126:B126"/>
    <mergeCell ref="L126:M126"/>
    <mergeCell ref="A127:B127"/>
    <mergeCell ref="L127:M127"/>
    <mergeCell ref="L128:M128"/>
    <mergeCell ref="A123:B123"/>
    <mergeCell ref="L123:M123"/>
    <mergeCell ref="A124:B124"/>
    <mergeCell ref="L124:M124"/>
    <mergeCell ref="A125:B125"/>
    <mergeCell ref="L125:M125"/>
    <mergeCell ref="L119:M119"/>
    <mergeCell ref="A120:B120"/>
    <mergeCell ref="L120:M120"/>
    <mergeCell ref="A121:H121"/>
    <mergeCell ref="A122:B122"/>
    <mergeCell ref="L122:M122"/>
    <mergeCell ref="L118:M118"/>
    <mergeCell ref="C51:E51"/>
    <mergeCell ref="A60:C60"/>
    <mergeCell ref="D60:H60"/>
    <mergeCell ref="A106:B106"/>
    <mergeCell ref="A108:H108"/>
    <mergeCell ref="L117:M117"/>
    <mergeCell ref="L114:M114"/>
    <mergeCell ref="L107:M107"/>
    <mergeCell ref="L106:M106"/>
    <mergeCell ref="L105:M105"/>
    <mergeCell ref="L104:M104"/>
    <mergeCell ref="A79:B79"/>
    <mergeCell ref="F89:H89"/>
    <mergeCell ref="A83:E83"/>
    <mergeCell ref="A93:E93"/>
    <mergeCell ref="B101:B102"/>
    <mergeCell ref="F82:H82"/>
    <mergeCell ref="F87:H87"/>
    <mergeCell ref="A114:B114"/>
    <mergeCell ref="A107:B107"/>
    <mergeCell ref="A58:C58"/>
    <mergeCell ref="D58:H58"/>
    <mergeCell ref="D66:H66"/>
    <mergeCell ref="C50:E50"/>
    <mergeCell ref="I14:P14"/>
    <mergeCell ref="F93:H93"/>
    <mergeCell ref="F91:H91"/>
    <mergeCell ref="A100:H100"/>
    <mergeCell ref="A92:E92"/>
    <mergeCell ref="A105:B105"/>
    <mergeCell ref="A55:B55"/>
    <mergeCell ref="C55:E55"/>
    <mergeCell ref="D57:H57"/>
    <mergeCell ref="F92:H92"/>
    <mergeCell ref="C97:D97"/>
    <mergeCell ref="D65:H65"/>
    <mergeCell ref="A66:C66"/>
    <mergeCell ref="A88:E88"/>
    <mergeCell ref="F88:H88"/>
    <mergeCell ref="A89:E89"/>
    <mergeCell ref="A91:E91"/>
    <mergeCell ref="F85:H85"/>
    <mergeCell ref="A90:E90"/>
    <mergeCell ref="F34:H34"/>
    <mergeCell ref="E42:H42"/>
    <mergeCell ref="A42:D42"/>
    <mergeCell ref="A77:B77"/>
    <mergeCell ref="A103:H103"/>
    <mergeCell ref="E101:E102"/>
    <mergeCell ref="G101:H102"/>
    <mergeCell ref="A72:B72"/>
    <mergeCell ref="G71:H71"/>
    <mergeCell ref="A46:D46"/>
    <mergeCell ref="A47:H47"/>
    <mergeCell ref="D59:H59"/>
    <mergeCell ref="A59:C59"/>
    <mergeCell ref="A53:B54"/>
    <mergeCell ref="F83:H83"/>
    <mergeCell ref="G98:H98"/>
    <mergeCell ref="F90:H90"/>
    <mergeCell ref="A70:B70"/>
    <mergeCell ref="A49:B49"/>
    <mergeCell ref="C49:E49"/>
    <mergeCell ref="C52:E52"/>
    <mergeCell ref="G52:H52"/>
    <mergeCell ref="G49:H49"/>
    <mergeCell ref="G51:H51"/>
    <mergeCell ref="A50:B50"/>
    <mergeCell ref="A56:H56"/>
    <mergeCell ref="A57:C57"/>
    <mergeCell ref="G55:H55"/>
    <mergeCell ref="A81:B81"/>
    <mergeCell ref="A82:E82"/>
    <mergeCell ref="F86:H86"/>
    <mergeCell ref="A87:E87"/>
    <mergeCell ref="A113:H113"/>
    <mergeCell ref="A104:B104"/>
    <mergeCell ref="A153:H153"/>
    <mergeCell ref="E97:F97"/>
    <mergeCell ref="B146:H146"/>
    <mergeCell ref="G106:H106"/>
    <mergeCell ref="G104:H104"/>
    <mergeCell ref="G105:H105"/>
    <mergeCell ref="G107:H107"/>
    <mergeCell ref="B144:H144"/>
    <mergeCell ref="B140:H140"/>
    <mergeCell ref="A99:H99"/>
    <mergeCell ref="B138:H138"/>
    <mergeCell ref="B139:H139"/>
    <mergeCell ref="A109:A110"/>
    <mergeCell ref="B149:H149"/>
    <mergeCell ref="A112:H112"/>
    <mergeCell ref="A118:B118"/>
    <mergeCell ref="A128:B128"/>
    <mergeCell ref="A136:B136"/>
    <mergeCell ref="A160:H163"/>
    <mergeCell ref="A159:B159"/>
    <mergeCell ref="E159:F159"/>
    <mergeCell ref="C159:D159"/>
    <mergeCell ref="G159:H159"/>
    <mergeCell ref="A94:E94"/>
    <mergeCell ref="F94:H94"/>
    <mergeCell ref="A95:E95"/>
    <mergeCell ref="F95:H95"/>
    <mergeCell ref="A98:B98"/>
    <mergeCell ref="A155:H155"/>
    <mergeCell ref="A96:H96"/>
    <mergeCell ref="A158:H158"/>
    <mergeCell ref="A156:H156"/>
    <mergeCell ref="A152:H152"/>
    <mergeCell ref="G97:H97"/>
    <mergeCell ref="C101:C102"/>
    <mergeCell ref="B109:B110"/>
    <mergeCell ref="A115:B115"/>
    <mergeCell ref="C98:D98"/>
    <mergeCell ref="E98:F98"/>
    <mergeCell ref="B148:H148"/>
    <mergeCell ref="A157:H157"/>
    <mergeCell ref="A154:H15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A36:B36"/>
    <mergeCell ref="C36:E36"/>
    <mergeCell ref="A41:D41"/>
    <mergeCell ref="E41:H41"/>
    <mergeCell ref="A40:H40"/>
    <mergeCell ref="A61:C61"/>
    <mergeCell ref="A62:C62"/>
    <mergeCell ref="D61:H61"/>
    <mergeCell ref="D62:H62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F36:H36"/>
    <mergeCell ref="C53:E53"/>
    <mergeCell ref="G53:H53"/>
    <mergeCell ref="C54:E54"/>
    <mergeCell ref="G54:H54"/>
    <mergeCell ref="A39:B39"/>
    <mergeCell ref="L115:M115"/>
    <mergeCell ref="A116:B116"/>
    <mergeCell ref="L116:M116"/>
    <mergeCell ref="B141:H141"/>
    <mergeCell ref="B142:H142"/>
    <mergeCell ref="A137:H137"/>
    <mergeCell ref="A117:B117"/>
    <mergeCell ref="A37:H37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65:C65"/>
    <mergeCell ref="E72:F81"/>
    <mergeCell ref="A85:E85"/>
    <mergeCell ref="C39:H39"/>
    <mergeCell ref="B145:H145"/>
    <mergeCell ref="A48:B48"/>
    <mergeCell ref="C48:H48"/>
    <mergeCell ref="B143:H143"/>
    <mergeCell ref="F84:H84"/>
    <mergeCell ref="A84:E84"/>
    <mergeCell ref="D101:D102"/>
    <mergeCell ref="A86:E86"/>
    <mergeCell ref="A111:H111"/>
    <mergeCell ref="A101:A102"/>
    <mergeCell ref="C109:C110"/>
    <mergeCell ref="A119:B119"/>
    <mergeCell ref="G50:H50"/>
    <mergeCell ref="A51:B52"/>
    <mergeCell ref="A78:B78"/>
    <mergeCell ref="A71:B71"/>
    <mergeCell ref="A74:B74"/>
    <mergeCell ref="A97:B97"/>
    <mergeCell ref="D109:D110"/>
    <mergeCell ref="E109:E110"/>
    <mergeCell ref="G109:H110"/>
    <mergeCell ref="G72:H81"/>
    <mergeCell ref="A80:B80"/>
  </mergeCells>
  <dataValidations count="12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1:E102" xr:uid="{00000000-0002-0000-0000-000003000000}">
      <formula1>"Attached Loft area,Attached Terrace area,Attached Mezzanine area"</formula1>
    </dataValidation>
    <dataValidation type="list" allowBlank="1" showInputMessage="1" showErrorMessage="1" sqref="F102 F110" xr:uid="{00000000-0002-0000-0000-000004000000}">
      <formula1>"45%,50%,55%,60%"</formula1>
    </dataValidation>
    <dataValidation type="list" allowBlank="1" showInputMessage="1" showErrorMessage="1" sqref="F82:H82" xr:uid="{00000000-0002-0000-0000-000005000000}">
      <formula1>"On Saleable Area,On Builtup Area,On Carpet Area,On Plot Area"</formula1>
    </dataValidation>
    <dataValidation type="list" allowBlank="1" showInputMessage="1" showErrorMessage="1" sqref="F94:H94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F101 F109" xr:uid="{00000000-0002-0000-0000-000007000000}">
      <formula1>"Saleable area Loading :,Builder Saleable area"</formula1>
    </dataValidation>
    <dataValidation type="list" allowBlank="1" showInputMessage="1" showErrorMessage="1" sqref="B101:B102" xr:uid="{00000000-0002-0000-0000-000008000000}">
      <formula1>"Shop No. (Sale Plan),Sale / Rehab,Sale / Mhada"</formula1>
    </dataValidation>
    <dataValidation type="list" allowBlank="1" showInputMessage="1" showErrorMessage="1" sqref="B109:B110" xr:uid="{00000000-0002-0000-0000-000009000000}">
      <formula1>"Flat No. (Sale Plan),Sale / Rehab,Sale / Mhada"</formula1>
    </dataValidation>
    <dataValidation type="list" allowBlank="1" showInputMessage="1" showErrorMessage="1" sqref="C20:D20" xr:uid="{00000000-0002-0000-0000-00000A000000}">
      <formula1>OFFSET($S$12,1,MATCH($G19,$S$12:$W$12,0)-1,15,1)</formula1>
    </dataValidation>
    <dataValidation type="list" allowBlank="1" showInputMessage="1" showErrorMessage="1" sqref="Y12" xr:uid="{00000000-0002-0000-0000-00000B000000}">
      <formula1>$D$4:$H$4</formula1>
    </dataValidation>
  </dataValidations>
  <hyperlinks>
    <hyperlink ref="C39" r:id="rId1" xr:uid="{00000000-0004-0000-0000-000000000000}"/>
    <hyperlink ref="I135" r:id="rId2" xr:uid="{00000000-0004-0000-0000-000001000000}"/>
    <hyperlink ref="I136" r:id="rId3" xr:uid="{00000000-0004-0000-0000-000002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7" man="1"/>
    <brk id="163" max="16383" man="1"/>
    <brk id="208" max="16383" man="1"/>
    <brk id="252" max="16383" man="1"/>
  </rowBreaks>
  <drawing r:id="rId5"/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I5" sqref="I5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5" t="s">
        <v>107</v>
      </c>
      <c r="C3" s="185"/>
      <c r="D3" s="185"/>
      <c r="E3" s="185"/>
      <c r="F3" s="185"/>
      <c r="G3" s="185"/>
      <c r="H3" s="185"/>
    </row>
    <row r="4" spans="1:9" x14ac:dyDescent="0.3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8"/>
      <c r="C4" s="48" t="s">
        <v>12</v>
      </c>
      <c r="D4" s="49" t="s">
        <v>182</v>
      </c>
      <c r="E4" s="49" t="s">
        <v>192</v>
      </c>
      <c r="F4" s="49" t="s">
        <v>174</v>
      </c>
      <c r="G4" s="49" t="s">
        <v>197</v>
      </c>
      <c r="H4" s="49" t="s">
        <v>215</v>
      </c>
      <c r="J4" t="s">
        <v>197</v>
      </c>
      <c r="K4" t="s">
        <v>213</v>
      </c>
    </row>
    <row r="5" spans="2:11" x14ac:dyDescent="0.3">
      <c r="B5" s="48"/>
      <c r="C5" s="48"/>
      <c r="D5" s="49" t="s">
        <v>183</v>
      </c>
      <c r="E5" s="49" t="s">
        <v>190</v>
      </c>
      <c r="F5" s="49" t="s">
        <v>212</v>
      </c>
      <c r="G5" s="49" t="s">
        <v>198</v>
      </c>
      <c r="H5" s="49" t="s">
        <v>216</v>
      </c>
    </row>
    <row r="6" spans="2:11" x14ac:dyDescent="0.3">
      <c r="B6" s="48"/>
      <c r="C6" s="48"/>
      <c r="D6" s="49" t="s">
        <v>184</v>
      </c>
      <c r="E6" s="49" t="s">
        <v>191</v>
      </c>
      <c r="F6" s="49" t="s">
        <v>213</v>
      </c>
      <c r="G6" s="49" t="s">
        <v>199</v>
      </c>
      <c r="H6" s="49" t="s">
        <v>229</v>
      </c>
    </row>
    <row r="7" spans="2:11" x14ac:dyDescent="0.3">
      <c r="B7" s="48"/>
      <c r="C7" s="48"/>
      <c r="D7" s="49" t="s">
        <v>185</v>
      </c>
      <c r="E7" s="49" t="s">
        <v>193</v>
      </c>
      <c r="F7" s="49" t="s">
        <v>214</v>
      </c>
      <c r="G7" s="49" t="s">
        <v>200</v>
      </c>
      <c r="H7" s="49" t="s">
        <v>217</v>
      </c>
    </row>
    <row r="8" spans="2:11" x14ac:dyDescent="0.3">
      <c r="B8" s="48"/>
      <c r="C8" s="48"/>
      <c r="D8" s="49" t="s">
        <v>186</v>
      </c>
      <c r="E8" s="49" t="s">
        <v>194</v>
      </c>
      <c r="F8" s="49"/>
      <c r="G8" s="49" t="s">
        <v>201</v>
      </c>
      <c r="H8" s="49" t="s">
        <v>218</v>
      </c>
    </row>
    <row r="9" spans="2:11" x14ac:dyDescent="0.3">
      <c r="B9" s="48"/>
      <c r="C9" s="48"/>
      <c r="D9" s="49" t="s">
        <v>187</v>
      </c>
      <c r="E9" s="49" t="s">
        <v>192</v>
      </c>
      <c r="F9" s="49"/>
      <c r="G9" s="49" t="s">
        <v>202</v>
      </c>
      <c r="H9" s="49" t="s">
        <v>219</v>
      </c>
    </row>
    <row r="10" spans="2:11" x14ac:dyDescent="0.3">
      <c r="B10" s="48"/>
      <c r="C10" s="48"/>
      <c r="D10" s="49" t="s">
        <v>188</v>
      </c>
      <c r="E10" s="49" t="s">
        <v>195</v>
      </c>
      <c r="F10" s="49"/>
      <c r="G10" s="49" t="s">
        <v>203</v>
      </c>
      <c r="H10" s="49" t="s">
        <v>220</v>
      </c>
    </row>
    <row r="11" spans="2:11" x14ac:dyDescent="0.3">
      <c r="B11" s="48"/>
      <c r="C11" s="48"/>
      <c r="D11" s="49" t="s">
        <v>189</v>
      </c>
      <c r="E11" s="49" t="s">
        <v>196</v>
      </c>
      <c r="F11" s="49"/>
      <c r="G11" s="49" t="s">
        <v>204</v>
      </c>
      <c r="H11" s="49" t="s">
        <v>221</v>
      </c>
    </row>
    <row r="12" spans="2:11" x14ac:dyDescent="0.3">
      <c r="B12" s="48"/>
      <c r="C12" s="48"/>
      <c r="D12" s="49"/>
      <c r="E12" s="49"/>
      <c r="F12" s="49"/>
      <c r="G12" s="49" t="s">
        <v>205</v>
      </c>
      <c r="H12" s="49" t="s">
        <v>222</v>
      </c>
    </row>
    <row r="13" spans="2:11" x14ac:dyDescent="0.3">
      <c r="B13" s="48"/>
      <c r="C13" s="48"/>
      <c r="D13" s="49"/>
      <c r="E13" s="49"/>
      <c r="F13" s="49"/>
      <c r="G13" s="49" t="s">
        <v>206</v>
      </c>
      <c r="H13" s="49" t="s">
        <v>223</v>
      </c>
    </row>
    <row r="14" spans="2:11" x14ac:dyDescent="0.3">
      <c r="B14" s="48"/>
      <c r="C14" s="48"/>
      <c r="D14" s="49"/>
      <c r="E14" s="49"/>
      <c r="F14" s="49"/>
      <c r="G14" s="49" t="s">
        <v>207</v>
      </c>
      <c r="H14" s="49" t="s">
        <v>224</v>
      </c>
    </row>
    <row r="15" spans="2:11" x14ac:dyDescent="0.3">
      <c r="B15" s="48"/>
      <c r="C15" s="48"/>
      <c r="D15" s="49"/>
      <c r="E15" s="49"/>
      <c r="F15" s="49"/>
      <c r="G15" s="49" t="s">
        <v>208</v>
      </c>
      <c r="H15" s="49" t="s">
        <v>225</v>
      </c>
    </row>
    <row r="16" spans="2:11" x14ac:dyDescent="0.3">
      <c r="B16" s="48"/>
      <c r="C16" s="48"/>
      <c r="D16" s="49"/>
      <c r="E16" s="49"/>
      <c r="F16" s="49"/>
      <c r="G16" s="49" t="s">
        <v>209</v>
      </c>
      <c r="H16" s="49" t="s">
        <v>226</v>
      </c>
    </row>
    <row r="17" spans="2:8" x14ac:dyDescent="0.3">
      <c r="B17" s="48"/>
      <c r="C17" s="48"/>
      <c r="D17" s="49"/>
      <c r="E17" s="49"/>
      <c r="F17" s="49"/>
      <c r="G17" s="49" t="s">
        <v>210</v>
      </c>
      <c r="H17" s="49" t="s">
        <v>227</v>
      </c>
    </row>
    <row r="18" spans="2:8" x14ac:dyDescent="0.3">
      <c r="B18" s="48"/>
      <c r="C18" s="48"/>
      <c r="D18" s="49"/>
      <c r="E18" s="49"/>
      <c r="F18" s="49"/>
      <c r="G18" s="49" t="s">
        <v>211</v>
      </c>
      <c r="H18" s="49" t="s">
        <v>228</v>
      </c>
    </row>
    <row r="24" spans="2:8" x14ac:dyDescent="0.3">
      <c r="C24" t="s">
        <v>171</v>
      </c>
    </row>
    <row r="25" spans="2:8" x14ac:dyDescent="0.3">
      <c r="C25" t="s">
        <v>230</v>
      </c>
    </row>
    <row r="26" spans="2:8" x14ac:dyDescent="0.3">
      <c r="C26" t="s">
        <v>231</v>
      </c>
    </row>
    <row r="27" spans="2:8" x14ac:dyDescent="0.3">
      <c r="C27" t="s">
        <v>232</v>
      </c>
    </row>
    <row r="28" spans="2:8" x14ac:dyDescent="0.3">
      <c r="C28" t="s">
        <v>233</v>
      </c>
    </row>
    <row r="29" spans="2:8" x14ac:dyDescent="0.3">
      <c r="C29" t="s">
        <v>234</v>
      </c>
    </row>
    <row r="30" spans="2:8" x14ac:dyDescent="0.3">
      <c r="C30" t="s">
        <v>171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2025-08-20T09:22:58Z</cp:lastPrinted>
  <dcterms:created xsi:type="dcterms:W3CDTF">2019-07-16T09:29:46Z</dcterms:created>
  <dcterms:modified xsi:type="dcterms:W3CDTF">2025-08-20T09:24:22Z</dcterms:modified>
</cp:coreProperties>
</file>