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
    </mc:Choice>
  </mc:AlternateContent>
  <xr:revisionPtr revIDLastSave="0" documentId="13_ncr:1_{011B0BCE-24F8-4475-BFBD-99E09CB4E615}"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Flat detail" sheetId="3" r:id="rId3"/>
  </sheets>
  <definedNames>
    <definedName name="_xlnm.Print_Area" localSheetId="0">'Report (2)'!$A$1:$J$289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 r="G87" i="1"/>
  <c r="L123" i="1" l="1"/>
  <c r="F42" i="1"/>
  <c r="D138" i="1"/>
  <c r="D133" i="1"/>
  <c r="D128" i="1"/>
  <c r="F128" i="1"/>
  <c r="N109" i="1" l="1"/>
  <c r="N108" i="1"/>
  <c r="N105" i="1"/>
  <c r="M128" i="1"/>
  <c r="D105" i="1"/>
  <c r="G105" i="1" s="1"/>
  <c r="F131" i="1" l="1"/>
  <c r="D153" i="1"/>
  <c r="G153" i="1" s="1"/>
  <c r="D152" i="1"/>
  <c r="G152" i="1" s="1"/>
  <c r="D151" i="1"/>
  <c r="G151" i="1" s="1"/>
  <c r="D149" i="1"/>
  <c r="G149" i="1" s="1"/>
  <c r="M149" i="1" s="1"/>
  <c r="D148" i="1"/>
  <c r="G148" i="1" s="1"/>
  <c r="M148" i="1" s="1"/>
  <c r="D147" i="1"/>
  <c r="G147" i="1" s="1"/>
  <c r="O147" i="1" s="1"/>
  <c r="D143" i="1"/>
  <c r="D145" i="1"/>
  <c r="D144" i="1"/>
  <c r="D141" i="1"/>
  <c r="G141" i="1" s="1"/>
  <c r="N141" i="1" s="1"/>
  <c r="D140" i="1"/>
  <c r="G140" i="1" s="1"/>
  <c r="N140" i="1" s="1"/>
  <c r="D139" i="1"/>
  <c r="G139" i="1" s="1"/>
  <c r="N139" i="1" s="1"/>
  <c r="G138" i="1"/>
  <c r="N138" i="1" s="1"/>
  <c r="D136" i="1"/>
  <c r="G136" i="1" s="1"/>
  <c r="D135" i="1"/>
  <c r="G135" i="1" s="1"/>
  <c r="D134" i="1"/>
  <c r="G134" i="1" s="1"/>
  <c r="G133" i="1"/>
  <c r="M133" i="1"/>
  <c r="N133" i="1"/>
  <c r="L133" i="1"/>
  <c r="M131" i="1"/>
  <c r="D130" i="1"/>
  <c r="F130" i="1"/>
  <c r="F129" i="1"/>
  <c r="G128" i="1"/>
  <c r="D129" i="1"/>
  <c r="L129" i="1"/>
  <c r="H151" i="1"/>
  <c r="H147" i="1"/>
  <c r="M147" i="1"/>
  <c r="H143" i="1"/>
  <c r="D131" i="1"/>
  <c r="G131" i="1" s="1"/>
  <c r="L104" i="1"/>
  <c r="L100" i="1"/>
  <c r="L121" i="1"/>
  <c r="H100" i="1"/>
  <c r="D121" i="1"/>
  <c r="G121" i="1" s="1"/>
  <c r="D120" i="1"/>
  <c r="G120" i="1" s="1"/>
  <c r="D119" i="1"/>
  <c r="G119" i="1" s="1"/>
  <c r="D118" i="1"/>
  <c r="G118" i="1" s="1"/>
  <c r="D114" i="1"/>
  <c r="G114" i="1" s="1"/>
  <c r="D115" i="1"/>
  <c r="G115" i="1" s="1"/>
  <c r="D116" i="1"/>
  <c r="G116" i="1" s="1"/>
  <c r="D117" i="1"/>
  <c r="G117" i="1" s="1"/>
  <c r="D113" i="1"/>
  <c r="G113" i="1" s="1"/>
  <c r="D112" i="1"/>
  <c r="G112" i="1" s="1"/>
  <c r="D111" i="1"/>
  <c r="G111" i="1" s="1"/>
  <c r="D110" i="1"/>
  <c r="G110" i="1" s="1"/>
  <c r="D109" i="1"/>
  <c r="G109" i="1" s="1"/>
  <c r="D108" i="1"/>
  <c r="G108" i="1" s="1"/>
  <c r="D107" i="1"/>
  <c r="G107" i="1" s="1"/>
  <c r="D106" i="1"/>
  <c r="G106" i="1" s="1"/>
  <c r="D104" i="1"/>
  <c r="D103" i="1"/>
  <c r="G129" i="1" l="1"/>
  <c r="C93" i="1"/>
  <c r="D93" i="1"/>
  <c r="N148" i="1"/>
  <c r="O148" i="1"/>
  <c r="P148" i="1"/>
  <c r="N147" i="1"/>
  <c r="G130" i="1"/>
  <c r="G103" i="1"/>
  <c r="M103" i="1" s="1"/>
  <c r="G104" i="1"/>
  <c r="M104" i="1" s="1"/>
  <c r="G144" i="1"/>
  <c r="G145" i="1"/>
  <c r="M145" i="1" s="1"/>
  <c r="G143" i="1"/>
  <c r="M143" i="1" s="1"/>
  <c r="D102" i="1"/>
  <c r="G102" i="1" s="1"/>
  <c r="D101" i="1"/>
  <c r="G101" i="1" s="1"/>
  <c r="D100" i="1"/>
  <c r="G93" i="1" l="1"/>
  <c r="D90" i="1"/>
  <c r="D94" i="1" s="1"/>
  <c r="G100" i="1"/>
  <c r="P144" i="1"/>
  <c r="O144" i="1"/>
  <c r="N144" i="1"/>
  <c r="M144" i="1"/>
  <c r="O143" i="1"/>
  <c r="N143" i="1"/>
  <c r="C14" i="1"/>
  <c r="M100" i="1" l="1"/>
  <c r="G90" i="1"/>
  <c r="L86" i="1"/>
  <c r="M86" i="1" s="1"/>
  <c r="L85" i="1"/>
  <c r="M85" i="1" s="1"/>
  <c r="F3" i="1"/>
  <c r="D79" i="1" l="1"/>
  <c r="M78" i="1"/>
  <c r="C71" i="1" s="1"/>
  <c r="D71" i="1" s="1"/>
  <c r="D78" i="1"/>
  <c r="M77" i="1"/>
  <c r="D77" i="1"/>
  <c r="M76" i="1"/>
  <c r="D76" i="1"/>
  <c r="M75" i="1"/>
  <c r="D75" i="1"/>
  <c r="D74" i="1"/>
  <c r="M73" i="1"/>
  <c r="C70" i="1" s="1"/>
  <c r="D73" i="1"/>
  <c r="M72" i="1"/>
  <c r="D72" i="1"/>
  <c r="H70" i="1" l="1"/>
  <c r="D70" i="1"/>
  <c r="K66" i="1" s="1"/>
  <c r="H133" i="1"/>
  <c r="H128" i="1"/>
  <c r="M121" i="1"/>
  <c r="M120" i="1"/>
  <c r="M113" i="1"/>
  <c r="M114" i="1"/>
  <c r="M115" i="1"/>
  <c r="M116" i="1"/>
  <c r="M117" i="1"/>
  <c r="M118" i="1"/>
  <c r="M119" i="1"/>
  <c r="M112" i="1"/>
  <c r="M110" i="1"/>
  <c r="M111" i="1"/>
  <c r="M109" i="1"/>
  <c r="M108" i="1"/>
  <c r="M107" i="1"/>
  <c r="M106" i="1"/>
  <c r="M105" i="1"/>
  <c r="M102" i="1"/>
  <c r="M101" i="1"/>
  <c r="F70" i="1" l="1"/>
  <c r="G94" i="1"/>
  <c r="M90" i="1"/>
  <c r="C90" i="1"/>
  <c r="C94" i="1" s="1"/>
  <c r="B7" i="2"/>
  <c r="N90" i="1" l="1"/>
  <c r="G15" i="2"/>
  <c r="G16" i="2" s="1"/>
  <c r="C15" i="2" s="1"/>
  <c r="B15" i="2"/>
  <c r="H15" i="2"/>
  <c r="B16" i="2" s="1"/>
  <c r="D6" i="2"/>
  <c r="C5" i="2"/>
  <c r="B12" i="2" s="1"/>
  <c r="D168" i="1"/>
  <c r="H49" i="1"/>
  <c r="C49" i="1"/>
  <c r="F44" i="1"/>
  <c r="D55" i="1" s="1"/>
  <c r="B9" i="2" l="1"/>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<sst xmlns="http://schemas.openxmlformats.org/spreadsheetml/2006/main" count="372" uniqueCount="264">
  <si>
    <t xml:space="preserve">Valuation Report </t>
  </si>
  <si>
    <t>Date:</t>
  </si>
  <si>
    <t>CPC Name:</t>
  </si>
  <si>
    <t>Date Of Property Visit</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</si>
  <si>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</si>
  <si>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</si>
  <si>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</si>
  <si>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</si>
  <si>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</si>
  <si>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</si>
  <si>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</si>
  <si>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</si>
  <si>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</si>
  <si>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</si>
  <si>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</si>
  <si>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</si>
  <si>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</si>
  <si>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</si>
  <si>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</si>
  <si>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</si>
  <si>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</si>
  <si>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</si>
  <si>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</si>
  <si>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</si>
  <si>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</si>
  <si>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</si>
  <si>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</si>
  <si>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</si>
  <si>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</si>
  <si>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</si>
  <si>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</si>
  <si>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</si>
  <si>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</si>
  <si>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</si>
  <si>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</si>
  <si>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</si>
  <si>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</si>
  <si>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</si>
  <si>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</si>
  <si>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</si>
  <si>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</si>
  <si>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</si>
  <si>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</si>
  <si>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</si>
  <si>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</si>
  <si>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</si>
  <si>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</si>
  <si>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</si>
  <si>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</si>
  <si>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</si>
  <si>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</si>
  <si>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</si>
  <si>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</si>
  <si>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</si>
  <si>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</si>
  <si>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Expected Completion</t>
  </si>
  <si>
    <t>Building wise Construction details</t>
  </si>
  <si>
    <t>Approved area of the building in Sq.Mt</t>
  </si>
  <si>
    <t>Approved no of units</t>
  </si>
  <si>
    <t>Approved no of Floors</t>
  </si>
  <si>
    <t>Type of Work</t>
  </si>
  <si>
    <t>Plinth</t>
  </si>
  <si>
    <t>RCC</t>
  </si>
  <si>
    <t>Plaster</t>
  </si>
  <si>
    <t>Flooring</t>
  </si>
  <si>
    <t>Finishing</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</si>
  <si>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</si>
  <si>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</si>
  <si>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</si>
  <si>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</si>
  <si>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</si>
  <si>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</si>
  <si>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</si>
  <si>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</si>
  <si>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</si>
  <si>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</si>
  <si>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</si>
  <si>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</si>
  <si>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</si>
  <si>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</si>
  <si>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</si>
  <si>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</si>
  <si>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</si>
  <si>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</si>
  <si>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</si>
  <si>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</si>
  <si>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</si>
  <si>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</si>
  <si>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</si>
  <si>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</si>
  <si>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</si>
  <si>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</si>
  <si>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</si>
  <si>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</si>
  <si>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</si>
  <si>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</si>
  <si>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</si>
  <si>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</si>
  <si>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</si>
  <si>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</si>
  <si>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</si>
  <si>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</si>
  <si>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</si>
  <si>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</si>
  <si>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</si>
  <si>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</si>
  <si>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</si>
  <si>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</si>
  <si>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</si>
  <si>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</si>
  <si>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</si>
  <si>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</si>
  <si>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</si>
  <si>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</si>
  <si>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</si>
  <si>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</si>
  <si>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</si>
  <si>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</si>
  <si>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</si>
  <si>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</si>
  <si>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</si>
  <si>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</si>
  <si>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</si>
  <si>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</si>
  <si>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</si>
  <si>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</si>
  <si>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</si>
  <si>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</si>
  <si>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</si>
  <si>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</si>
  <si>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</si>
  <si>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</si>
  <si>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</si>
  <si>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</si>
  <si>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</si>
  <si>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</si>
  <si>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</si>
  <si>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</si>
  <si>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</si>
  <si>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</si>
  <si>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</si>
  <si>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</si>
  <si>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</si>
  <si>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</si>
  <si>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</si>
  <si>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</si>
  <si>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</si>
  <si>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</si>
  <si>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</si>
  <si>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</si>
  <si>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</si>
  <si>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</si>
  <si>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</si>
  <si>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</si>
  <si>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</si>
  <si>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</si>
  <si>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</si>
  <si>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</si>
  <si>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</si>
  <si>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</si>
  <si>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</si>
  <si>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</si>
  <si>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</si>
  <si>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</si>
  <si>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</si>
  <si>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</si>
  <si>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</si>
  <si>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Regius</t>
  </si>
  <si>
    <t>P52000023791</t>
  </si>
  <si>
    <t>Plot No</t>
  </si>
  <si>
    <t>F-94 &amp; F-95</t>
  </si>
  <si>
    <t>Sector</t>
  </si>
  <si>
    <t>Kharghar</t>
  </si>
  <si>
    <t>Raigad</t>
  </si>
  <si>
    <t>HP Petrol Pump</t>
  </si>
  <si>
    <t>Raghunath Road</t>
  </si>
  <si>
    <t>CIDCO/BP-17189/TPO(NM &amp; K)/2019/6267</t>
  </si>
  <si>
    <t>16/12/2019.</t>
  </si>
  <si>
    <t>CIDCO/BP-17189/TPO(NM &amp; K)/2019/6267
Valid Up to: G + 1st To 3rd Podium + 4th To  19th Floors</t>
  </si>
  <si>
    <t>Shop</t>
  </si>
  <si>
    <t>2BHK</t>
  </si>
  <si>
    <t>3BHK</t>
  </si>
  <si>
    <t>6th, 8th, 10th, 12th, 14th, 16th &amp; 18th Floor</t>
  </si>
  <si>
    <t>No. of Flats</t>
  </si>
  <si>
    <t>No. of Shops</t>
  </si>
  <si>
    <t>Club House Charges</t>
  </si>
  <si>
    <t>Residential + Commercial</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</si>
  <si>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</si>
  <si>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</si>
  <si>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</si>
  <si>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</si>
  <si>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</si>
  <si>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</si>
  <si>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</si>
  <si>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</si>
  <si>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</si>
  <si>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</si>
  <si>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</si>
  <si>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</si>
  <si>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</si>
  <si>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</si>
  <si>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</si>
  <si>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</si>
  <si>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</si>
  <si>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</si>
  <si>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</si>
  <si>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Building</t>
  </si>
  <si>
    <t>Location Link</t>
  </si>
  <si>
    <t>https://goo.gl/maps/gzU7Zq5iyh6sc353A</t>
  </si>
  <si>
    <t>Development charges</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</si>
  <si>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</si>
  <si>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</si>
  <si>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</si>
  <si>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Proposed no of Floors</t>
  </si>
  <si>
    <t>19.0420627,73.0720209</t>
  </si>
  <si>
    <t>Construction details: G + 1st To 3rd Podium + 4th to 21st Floor</t>
  </si>
  <si>
    <t>CIDCO/BP-17189/TPO(NM &amp; K)/2019/13245</t>
  </si>
  <si>
    <t>Ground Floor is For Commercial Entrance Lobby, Metre Room &amp; Parking</t>
  </si>
  <si>
    <t>4th Floor For Residential</t>
  </si>
  <si>
    <t xml:space="preserve">5th, 7th, 9th, 11th, 13th, 15th Floor </t>
  </si>
  <si>
    <t>6th, 8th, 10th, 12th, 14th &amp; 16th Floor (Refuge Area at Midlanding of Staircase)</t>
  </si>
  <si>
    <t>17th &amp; 19th Floor</t>
  </si>
  <si>
    <t>4BHK</t>
  </si>
  <si>
    <t>18th &amp; 20th Floor (Refuge Area at Midlanding Of staircase)</t>
  </si>
  <si>
    <t>21st Floor</t>
  </si>
  <si>
    <t>We have consider Terrace area as per the sale plan for Flat No. 404.</t>
  </si>
  <si>
    <t>As per Plan</t>
  </si>
  <si>
    <t>15M Wide Road</t>
  </si>
  <si>
    <t>24M Wide Road</t>
  </si>
  <si>
    <t>Other Plot</t>
  </si>
  <si>
    <t>Ms. Riddhi</t>
  </si>
  <si>
    <t>01 Building</t>
  </si>
  <si>
    <t xml:space="preserve"> Saleable area</t>
  </si>
  <si>
    <t>3rd Podium Floor for Gym, Swimming Pool, Banquet Hall, 
SPA, Garden, Yoga room, &amp; Indoor Games</t>
  </si>
  <si>
    <t>1st &amp; 2nd Podium Floor</t>
  </si>
  <si>
    <t>Flats = 67 &amp; Shop = 22</t>
  </si>
  <si>
    <t xml:space="preserve">Proposed Amenities : </t>
  </si>
  <si>
    <t>Swimming Pool, Multipurpose Hall, Indoor Games, Yoga Area, Landscape Garden, Decorative Entrance Lobby, Etc.</t>
  </si>
  <si>
    <t xml:space="preserve">Projected life of the structure: </t>
  </si>
  <si>
    <t xml:space="preserve">Quality of construction: </t>
  </si>
  <si>
    <t xml:space="preserve">Material laying at Site: </t>
  </si>
  <si>
    <t xml:space="preserve">Violations Observed if any : </t>
  </si>
  <si>
    <t xml:space="preserve">Wheather the construction is as per approved Building plan : </t>
  </si>
  <si>
    <t>Flats = 67, Shop = 22</t>
  </si>
  <si>
    <t>Gr + 1st to 3rd Podium + 4th to 21st Floor</t>
  </si>
  <si>
    <t>Name of the builder</t>
  </si>
  <si>
    <t>Mr. Bhagwanji Dharamshi Mina</t>
  </si>
  <si>
    <t>About 2.90Km from Kharghar Railway station</t>
  </si>
  <si>
    <t xml:space="preserve">Details of  Commercial &amp; Residential in Building   </t>
  </si>
  <si>
    <t>M/s. Kasturi Developers</t>
  </si>
  <si>
    <t>Gharkul Road</t>
  </si>
  <si>
    <t>Internal Road</t>
  </si>
  <si>
    <t>HP Petrol Pump/Avenue Hills</t>
  </si>
  <si>
    <t xml:space="preserve">Commencement Certificate No.
Valid Up to: </t>
  </si>
  <si>
    <t>1Ground Floor + 2Parking + 19Floor (Total Builup Area = 10577.3 Sqm)
Residential Units = 67 Nos, Commercial Units = 22Nos</t>
  </si>
  <si>
    <t>Smith verbal on higher side</t>
  </si>
  <si>
    <t>O. Certificate No.: 
Approved upto :</t>
  </si>
  <si>
    <t>CIDCO/BP-17189/TPO(NM &amp; K)/2019/13839
Gr + 1st to 21st Floor
Residential Units = 67 &amp; 
Commercial Units = 22</t>
  </si>
  <si>
    <t>60 Years</t>
  </si>
  <si>
    <t>Nothing</t>
  </si>
  <si>
    <t>Completed</t>
  </si>
  <si>
    <t>Kunal Kadam</t>
  </si>
  <si>
    <t>Sunil Peravi</t>
  </si>
  <si>
    <t>1. All work completed. OC received.
2. We considered Saleable area as per our Calculation.
3. We considered Carpet area as per Approved Plan.
4. We considered Gross carpet area = Net carpet + Balcony Area + Chajja Area.
5. We have considered rate by verifying it from market inquire.
6. We have considered Other charges from cost sheet.
7. Car parking is subjected to authentic documentation.
8. We have considered proposed No. of Floor for Stage Calculation.
9.  As per RERA revised approved CC dated 17/08/2023 permission granted for 11 Floor. But previously approved CC granted for G + 1st To 3rd Podium + 4th To  19th Floors
10. We have updated revised approved CC from CIDCO site on 19/12/2024.
11. We have updated revised Approved Plans (On 27/02/2025).
12. Please check for Airport NOC.
13. Recommended Rates / Other charges of the Property have been revised on 05/03/2025.
14. We have updated approved OC on 30/05/2025.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</si>
</sst>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6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0" fontId="7" fillId="0" borderId="17" xfId="1" applyFont="1" applyBorder="1" applyProtection="1">
      <protection hidden="1"/>
    </xf>
    <xf numFmtId="0" fontId="7" fillId="0" borderId="18" xfId="1" applyFont="1" applyBorder="1" applyProtection="1">
      <protection hidden="1"/>
    </xf>
    <xf numFmtId="0" fontId="7" fillId="0" borderId="0" xfId="1" applyFont="1" applyProtection="1">
      <protection hidden="1"/>
    </xf>
    <xf numFmtId="0" fontId="7" fillId="0" borderId="21" xfId="1" applyFont="1" applyBorder="1" applyProtection="1">
      <protection hidden="1"/>
    </xf>
    <xf numFmtId="0" fontId="7" fillId="0" borderId="21" xfId="1" applyFont="1" applyBorder="1"/>
    <xf numFmtId="0" fontId="16" fillId="0" borderId="0" xfId="0" applyFont="1" applyProtection="1">
      <protection hidden="1"/>
    </xf>
    <xf numFmtId="9" fontId="16" fillId="0" borderId="0" xfId="0" applyNumberFormat="1" applyFont="1" applyProtection="1">
      <protection hidden="1"/>
    </xf>
    <xf numFmtId="0" fontId="16" fillId="0" borderId="21" xfId="0" applyFont="1" applyBorder="1" applyProtection="1">
      <protection hidden="1"/>
    </xf>
    <xf numFmtId="0" fontId="0" fillId="0" borderId="26" xfId="0" applyBorder="1"/>
    <xf numFmtId="0" fontId="0" fillId="0" borderId="27" xfId="0" applyBorder="1"/>
    <xf numFmtId="0" fontId="13" fillId="0" borderId="4"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4" xfId="1" applyFont="1" applyBorder="1" applyAlignment="1" applyProtection="1">
      <alignment horizontal="center" wrapText="1"/>
      <protection locked="0"/>
    </xf>
    <xf numFmtId="2" fontId="7" fillId="0" borderId="0" xfId="1" applyNumberFormat="1" applyFont="1" applyAlignment="1">
      <alignment horizontal="center" vertical="center"/>
    </xf>
    <xf numFmtId="1" fontId="7" fillId="0" borderId="0" xfId="1" applyNumberFormat="1" applyFont="1"/>
    <xf numFmtId="1" fontId="7" fillId="0" borderId="0" xfId="0" applyNumberFormat="1" applyFont="1" applyAlignment="1">
      <alignment horizontal="center" vertical="center"/>
    </xf>
    <xf numFmtId="165" fontId="7" fillId="0" borderId="0" xfId="1" applyNumberFormat="1" applyFont="1"/>
    <xf numFmtId="1" fontId="7" fillId="0" borderId="0" xfId="1" applyNumberFormat="1" applyFont="1" applyAlignment="1">
      <alignment horizontal="center" vertical="center"/>
    </xf>
    <xf numFmtId="1" fontId="7" fillId="0" borderId="4" xfId="1" applyNumberFormat="1" applyFont="1" applyBorder="1" applyAlignment="1">
      <alignment horizontal="center" vertical="center" wrapText="1"/>
    </xf>
    <xf numFmtId="1" fontId="7" fillId="0" borderId="13" xfId="0" applyNumberFormat="1" applyFont="1" applyBorder="1" applyAlignment="1">
      <alignment horizontal="center" vertical="center"/>
    </xf>
    <xf numFmtId="1" fontId="10" fillId="0" borderId="29" xfId="0" applyNumberFormat="1" applyFont="1" applyBorder="1" applyAlignment="1">
      <alignment horizontal="center" vertical="center"/>
    </xf>
    <xf numFmtId="1" fontId="8" fillId="0" borderId="13" xfId="1" applyNumberFormat="1" applyFont="1" applyBorder="1" applyAlignment="1">
      <alignment horizontal="center" vertical="top" wrapText="1"/>
    </xf>
    <xf numFmtId="9" fontId="8" fillId="0" borderId="34" xfId="1" applyNumberFormat="1" applyFont="1" applyBorder="1" applyAlignment="1">
      <alignment horizontal="center" vertical="top" wrapText="1"/>
    </xf>
    <xf numFmtId="0" fontId="8" fillId="2" borderId="4" xfId="1" applyFont="1" applyFill="1" applyBorder="1" applyAlignment="1">
      <alignment horizontal="left" vertical="top"/>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0" fontId="10" fillId="0" borderId="1" xfId="1" applyFont="1" applyBorder="1" applyAlignment="1">
      <alignment horizontal="center" vertical="top"/>
    </xf>
    <xf numFmtId="0" fontId="10" fillId="0" borderId="2" xfId="1" applyFont="1" applyBorder="1" applyAlignment="1">
      <alignment horizontal="center" vertical="top"/>
    </xf>
    <xf numFmtId="0" fontId="10" fillId="0" borderId="3" xfId="1" applyFont="1" applyBorder="1" applyAlignment="1">
      <alignment horizontal="center" vertical="top"/>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0" fontId="19" fillId="0" borderId="1" xfId="5" applyFill="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13" fillId="0" borderId="19"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4" fillId="0" borderId="19"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6" fillId="0" borderId="1"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6" fillId="0" borderId="9"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2" fontId="6" fillId="0" borderId="1" xfId="1" applyNumberFormat="1" applyFont="1" applyBorder="1" applyAlignment="1">
      <alignment horizontal="left" vertical="top" wrapText="1"/>
    </xf>
    <xf numFmtId="2" fontId="6" fillId="0" borderId="2" xfId="1" applyNumberFormat="1" applyFont="1" applyBorder="1" applyAlignment="1">
      <alignment horizontal="left" vertical="top" wrapText="1"/>
    </xf>
    <xf numFmtId="2" fontId="6" fillId="0" borderId="3"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2" fontId="6" fillId="0" borderId="1" xfId="1" applyNumberFormat="1" applyFont="1" applyBorder="1" applyAlignment="1">
      <alignment horizontal="left" vertical="top"/>
    </xf>
    <xf numFmtId="2" fontId="6" fillId="0" borderId="2" xfId="1" applyNumberFormat="1" applyFont="1" applyBorder="1" applyAlignment="1">
      <alignment horizontal="left" vertical="top"/>
    </xf>
    <xf numFmtId="2" fontId="6" fillId="0" borderId="3" xfId="1" applyNumberFormat="1" applyFont="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7" xfId="1" applyFont="1" applyBorder="1" applyAlignment="1">
      <alignment horizontal="left" vertical="top"/>
    </xf>
    <xf numFmtId="14" fontId="8" fillId="0" borderId="1" xfId="1" applyNumberFormat="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1" xfId="1" applyFont="1" applyBorder="1" applyAlignment="1">
      <alignment horizontal="lef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2" borderId="1" xfId="1" applyFont="1" applyFill="1" applyBorder="1" applyAlignment="1">
      <alignment horizontal="left" vertical="top"/>
    </xf>
    <xf numFmtId="0" fontId="13" fillId="0" borderId="19"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9" fontId="13" fillId="2" borderId="4" xfId="1" applyNumberFormat="1" applyFont="1" applyFill="1" applyBorder="1" applyAlignment="1" applyProtection="1">
      <alignment horizontal="center" vertical="center" wrapText="1"/>
      <protection hidden="1"/>
    </xf>
    <xf numFmtId="0" fontId="13" fillId="0" borderId="20" xfId="1" applyFont="1" applyBorder="1" applyAlignment="1" applyProtection="1">
      <alignment horizontal="center"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14" fontId="13" fillId="0" borderId="1" xfId="1" applyNumberFormat="1" applyFont="1" applyBorder="1" applyAlignment="1">
      <alignment horizontal="left" vertical="top" wrapText="1"/>
    </xf>
    <xf numFmtId="14" fontId="13" fillId="0" borderId="2" xfId="1" applyNumberFormat="1" applyFont="1" applyBorder="1" applyAlignment="1">
      <alignment horizontal="left" vertical="top" wrapText="1"/>
    </xf>
    <xf numFmtId="14" fontId="13" fillId="0" borderId="3" xfId="1" applyNumberFormat="1" applyFont="1" applyBorder="1" applyAlignment="1">
      <alignment horizontal="left"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20" fillId="0" borderId="4" xfId="1" applyFont="1" applyBorder="1" applyAlignment="1">
      <alignment horizontal="center" vertical="top" wrapText="1"/>
    </xf>
    <xf numFmtId="0" fontId="6" fillId="0" borderId="4" xfId="1" applyFont="1" applyBorder="1" applyAlignment="1">
      <alignment horizontal="left" vertical="top"/>
    </xf>
    <xf numFmtId="0" fontId="13" fillId="0" borderId="4" xfId="1" applyFont="1" applyBorder="1" applyAlignment="1">
      <alignment horizontal="left" vertical="top"/>
    </xf>
    <xf numFmtId="0" fontId="13" fillId="0" borderId="4" xfId="1" applyFont="1" applyBorder="1" applyAlignment="1">
      <alignment horizontal="left"/>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6"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3" fillId="0" borderId="1" xfId="1" applyFont="1" applyBorder="1" applyAlignment="1">
      <alignment horizontal="left" vertical="top" wrapText="1"/>
    </xf>
    <xf numFmtId="9" fontId="13" fillId="2" borderId="24" xfId="1" applyNumberFormat="1" applyFont="1" applyFill="1" applyBorder="1" applyAlignment="1" applyProtection="1">
      <alignment horizontal="center" vertical="center" wrapText="1"/>
      <protection hidden="1"/>
    </xf>
    <xf numFmtId="3" fontId="6" fillId="2" borderId="1" xfId="1" applyNumberFormat="1" applyFont="1" applyFill="1" applyBorder="1" applyAlignment="1">
      <alignment horizontal="left" vertical="top" wrapText="1"/>
    </xf>
    <xf numFmtId="3" fontId="13" fillId="2" borderId="1" xfId="1" applyNumberFormat="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0" fontId="13" fillId="2" borderId="1" xfId="1" applyFont="1" applyFill="1" applyBorder="1" applyAlignment="1">
      <alignment horizontal="left" vertical="top"/>
    </xf>
    <xf numFmtId="0" fontId="13" fillId="0" borderId="23"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9" fontId="13" fillId="2" borderId="20" xfId="1" applyNumberFormat="1" applyFont="1" applyFill="1" applyBorder="1" applyAlignment="1" applyProtection="1">
      <alignment horizontal="center" vertical="center" wrapText="1"/>
      <protection hidden="1"/>
    </xf>
    <xf numFmtId="9" fontId="13" fillId="2" borderId="25" xfId="1" applyNumberFormat="1" applyFont="1" applyFill="1" applyBorder="1" applyAlignment="1" applyProtection="1">
      <alignment horizontal="center" vertical="center" wrapText="1"/>
      <protection hidden="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28" xfId="0" applyNumberFormat="1" applyFont="1" applyBorder="1" applyAlignment="1">
      <alignment horizontal="center" vertical="center" wrapText="1"/>
    </xf>
    <xf numFmtId="1" fontId="8" fillId="0" borderId="29" xfId="0" applyNumberFormat="1" applyFont="1" applyBorder="1" applyAlignment="1">
      <alignment horizontal="center" vertical="center" wrapText="1"/>
    </xf>
    <xf numFmtId="1" fontId="10" fillId="0" borderId="30" xfId="0" applyNumberFormat="1" applyFont="1" applyBorder="1" applyAlignment="1">
      <alignment horizontal="center" vertical="center"/>
    </xf>
    <xf numFmtId="1" fontId="10" fillId="0" borderId="31" xfId="0" applyNumberFormat="1" applyFont="1" applyBorder="1" applyAlignment="1">
      <alignment horizontal="center" vertical="center"/>
    </xf>
    <xf numFmtId="1" fontId="10" fillId="0" borderId="32" xfId="0" applyNumberFormat="1" applyFont="1" applyBorder="1" applyAlignment="1">
      <alignment horizontal="center" vertical="center"/>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6" fillId="0" borderId="5"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1" fontId="7" fillId="0" borderId="7" xfId="0" applyNumberFormat="1" applyFont="1" applyBorder="1" applyAlignment="1">
      <alignment horizontal="center" vertical="center"/>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6" fillId="0" borderId="7" xfId="0" applyNumberFormat="1" applyFont="1" applyBorder="1" applyAlignment="1">
      <alignment horizontal="center" vertical="top" wrapText="1"/>
    </xf>
    <xf numFmtId="1" fontId="8" fillId="0" borderId="29" xfId="0" applyNumberFormat="1" applyFont="1" applyBorder="1" applyAlignment="1">
      <alignment horizontal="center" vertical="top" wrapText="1"/>
    </xf>
    <xf numFmtId="1" fontId="8" fillId="0" borderId="33" xfId="0" applyNumberFormat="1" applyFont="1" applyBorder="1" applyAlignment="1">
      <alignment horizontal="center" vertical="top" wrapText="1"/>
    </xf>
    <xf numFmtId="14" fontId="6" fillId="2" borderId="1" xfId="1" applyNumberFormat="1" applyFont="1" applyFill="1" applyBorder="1" applyAlignment="1">
      <alignment horizontal="left" vertical="top"/>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14" fillId="0" borderId="1" xfId="1" applyFont="1" applyBorder="1" applyAlignment="1">
      <alignment horizontal="center" vertical="top"/>
    </xf>
    <xf numFmtId="0" fontId="14" fillId="0" borderId="2" xfId="1" applyFont="1" applyBorder="1" applyAlignment="1">
      <alignment horizontal="center" vertical="top"/>
    </xf>
    <xf numFmtId="0" fontId="14" fillId="0" borderId="3" xfId="1" applyFont="1" applyBorder="1" applyAlignment="1">
      <alignment horizontal="center" vertical="top"/>
    </xf>
    <xf numFmtId="1" fontId="13" fillId="0" borderId="1" xfId="1" applyNumberFormat="1" applyFont="1" applyBorder="1" applyAlignment="1">
      <alignment horizontal="center" vertical="center" wrapText="1"/>
    </xf>
    <xf numFmtId="1" fontId="13" fillId="0" borderId="3" xfId="1" applyNumberFormat="1" applyFont="1" applyBorder="1" applyAlignment="1">
      <alignment horizontal="center" vertical="center"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1" fontId="8" fillId="0" borderId="9" xfId="1" applyNumberFormat="1" applyFont="1" applyBorder="1" applyAlignment="1">
      <alignment horizontal="center" vertical="center" wrapText="1"/>
    </xf>
    <xf numFmtId="1" fontId="8" fillId="0" borderId="6" xfId="1" applyNumberFormat="1" applyFont="1" applyBorder="1" applyAlignment="1">
      <alignment horizontal="center" vertical="center" wrapText="1"/>
    </xf>
    <xf numFmtId="1" fontId="8" fillId="0" borderId="5" xfId="1" applyNumberFormat="1" applyFont="1" applyBorder="1" applyAlignment="1">
      <alignment horizontal="center" vertical="top" wrapText="1"/>
    </xf>
    <xf numFmtId="1" fontId="8" fillId="0" borderId="7" xfId="1" applyNumberFormat="1" applyFont="1" applyBorder="1" applyAlignment="1">
      <alignment horizontal="center" vertical="top" wrapText="1"/>
    </xf>
    <xf numFmtId="1" fontId="8" fillId="0" borderId="8" xfId="1" applyNumberFormat="1" applyFont="1" applyBorder="1" applyAlignment="1">
      <alignment horizontal="center" vertical="top" wrapText="1"/>
    </xf>
    <xf numFmtId="1" fontId="8" fillId="0" borderId="10" xfId="1" applyNumberFormat="1" applyFont="1" applyBorder="1" applyAlignment="1">
      <alignment horizontal="center" vertical="top" wrapText="1"/>
    </xf>
    <xf numFmtId="1" fontId="8" fillId="0" borderId="13" xfId="1" applyNumberFormat="1" applyFont="1" applyBorder="1" applyAlignment="1">
      <alignment horizontal="center" vertical="top" wrapText="1"/>
    </xf>
    <xf numFmtId="1" fontId="8" fillId="0" borderId="34" xfId="1" applyNumberFormat="1" applyFont="1" applyBorder="1" applyAlignment="1">
      <alignment horizontal="center" vertical="top" wrapText="1"/>
    </xf>
    <xf numFmtId="1" fontId="3" fillId="0" borderId="5" xfId="1" applyNumberFormat="1" applyFont="1" applyBorder="1" applyAlignment="1">
      <alignment horizontal="center" vertical="top" wrapText="1"/>
    </xf>
    <xf numFmtId="1" fontId="3" fillId="0" borderId="8" xfId="1" applyNumberFormat="1" applyFont="1" applyBorder="1" applyAlignment="1">
      <alignment horizontal="center" vertical="top" wrapText="1"/>
    </xf>
    <xf numFmtId="1" fontId="8" fillId="0" borderId="6" xfId="1" applyNumberFormat="1" applyFont="1" applyBorder="1" applyAlignment="1">
      <alignment horizontal="center" vertical="top" wrapText="1"/>
    </xf>
    <xf numFmtId="1" fontId="8" fillId="0" borderId="9" xfId="1" applyNumberFormat="1" applyFont="1" applyBorder="1" applyAlignment="1">
      <alignment horizontal="center" vertical="top" wrapText="1"/>
    </xf>
    <xf numFmtId="0" fontId="16" fillId="0" borderId="4" xfId="0" applyFont="1" applyBorder="1" applyAlignment="1">
      <alignment horizontal="center"/>
    </xf>
    <xf numFmtId="0" fontId="16" fillId="0" borderId="4" xfId="0" applyFont="1" applyBorder="1" applyAlignment="1">
      <alignment horizontal="left"/>
    </xf>
    <xf numFmtId="0" fontId="16" fillId="3" borderId="4" xfId="0" applyFont="1" applyFill="1" applyBorder="1" applyAlignment="1">
      <alignment horizontal="center"/>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6">
    <cellStyle name="Excel Built-in Normal" xfId="2" xr:uid="{00000000-0005-0000-0000-000000000000}"/>
    <cellStyle name="Hyperlink" xfId="5" builtinId="8"/>
    <cellStyle name="Normal" xfId="0" builtinId="0"/>
    <cellStyle name="Normal 2" xfId="3" xr:uid="{00000000-0005-0000-0000-000003000000}"/>
    <cellStyle name="Normal 3" xfId="1" xr:uid="{00000000-0005-0000-0000-000004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13</xdr:col>
      <xdr:colOff>180975</xdr:colOff>
      <xdr:row>64</xdr:row>
      <xdr:rowOff>238125</xdr:rowOff>
    </xdr:from>
    <xdr:to>
      <xdr:col>21</xdr:col>
      <xdr:colOff>180594</xdr:colOff>
      <xdr:row>89</xdr:row>
      <xdr:rowOff>52197</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52535" y="15424785"/>
          <a:ext cx="5303139" cy="4972812"/>
        </a:xfrm>
        <a:prstGeom prst="rect">
          <a:avLst/>
        </a:prstGeom>
      </xdr:spPr>
    </xdr:pic>
    <xdr:clientData/>
  </xdr:twoCellAnchor>
  <xdr:twoCellAnchor editAs="oneCell">
    <xdr:from>
      <xdr:col>17</xdr:col>
      <xdr:colOff>38100</xdr:colOff>
      <xdr:row>94</xdr:row>
      <xdr:rowOff>36195</xdr:rowOff>
    </xdr:from>
    <xdr:to>
      <xdr:col>25</xdr:col>
      <xdr:colOff>382254</xdr:colOff>
      <xdr:row>116</xdr:row>
      <xdr:rowOff>188000</xdr:rowOff>
    </xdr:to>
    <xdr:pic>
      <xdr:nvPicPr>
        <xdr:cNvPr id="2" name="Picture 1">
          <a:extLst>
            <a:ext uri="{FF2B5EF4-FFF2-40B4-BE49-F238E27FC236}">
              <a16:creationId xmlns:a16="http://schemas.microsoft.com/office/drawing/2014/main" id="{A8A94533-C8BA-496F-9645-B82B3820B064}"/>
            </a:ext>
          </a:extLst>
        </xdr:cNvPr>
        <xdr:cNvPicPr>
          <a:picLocks noChangeAspect="1"/>
        </xdr:cNvPicPr>
      </xdr:nvPicPr>
      <xdr:blipFill>
        <a:blip xmlns:r="http://schemas.openxmlformats.org/officeDocument/2006/relationships" r:embed="rId2"/>
        <a:stretch>
          <a:fillRect/>
        </a:stretch>
      </xdr:blipFill>
      <xdr:spPr>
        <a:xfrm>
          <a:off x="10797540" y="20960715"/>
          <a:ext cx="5342874" cy="4716185"/>
        </a:xfrm>
        <a:prstGeom prst="rect">
          <a:avLst/>
        </a:prstGeom>
      </xdr:spPr>
    </xdr:pic>
    <xdr:clientData/>
  </xdr:twoCellAnchor>
  <xdr:twoCellAnchor editAs="oneCell">
    <xdr:from>
      <xdr:col>14</xdr:col>
      <xdr:colOff>350520</xdr:colOff>
      <xdr:row>117</xdr:row>
      <xdr:rowOff>137161</xdr:rowOff>
    </xdr:from>
    <xdr:to>
      <xdr:col>22</xdr:col>
      <xdr:colOff>454635</xdr:colOff>
      <xdr:row>125</xdr:row>
      <xdr:rowOff>346459</xdr:rowOff>
    </xdr:to>
    <xdr:pic>
      <xdr:nvPicPr>
        <xdr:cNvPr id="6" name="Picture 5">
          <a:extLst>
            <a:ext uri="{FF2B5EF4-FFF2-40B4-BE49-F238E27FC236}">
              <a16:creationId xmlns:a16="http://schemas.microsoft.com/office/drawing/2014/main" id="{94BB006D-88D4-4F8A-BC8E-A0591DDFC306}"/>
            </a:ext>
          </a:extLst>
        </xdr:cNvPr>
        <xdr:cNvPicPr>
          <a:picLocks noChangeAspect="1"/>
        </xdr:cNvPicPr>
      </xdr:nvPicPr>
      <xdr:blipFill>
        <a:blip xmlns:r="http://schemas.openxmlformats.org/officeDocument/2006/relationships" r:embed="rId3"/>
        <a:stretch>
          <a:fillRect/>
        </a:stretch>
      </xdr:blipFill>
      <xdr:spPr>
        <a:xfrm>
          <a:off x="8930640" y="25816561"/>
          <a:ext cx="5407635" cy="1999998"/>
        </a:xfrm>
        <a:prstGeom prst="rect">
          <a:avLst/>
        </a:prstGeom>
      </xdr:spPr>
    </xdr:pic>
    <xdr:clientData/>
  </xdr:twoCellAnchor>
  <xdr:twoCellAnchor editAs="oneCell">
    <xdr:from>
      <xdr:col>16</xdr:col>
      <xdr:colOff>59056</xdr:colOff>
      <xdr:row>127</xdr:row>
      <xdr:rowOff>63818</xdr:rowOff>
    </xdr:from>
    <xdr:to>
      <xdr:col>24</xdr:col>
      <xdr:colOff>544164</xdr:colOff>
      <xdr:row>143</xdr:row>
      <xdr:rowOff>149125</xdr:rowOff>
    </xdr:to>
    <xdr:pic>
      <xdr:nvPicPr>
        <xdr:cNvPr id="7" name="Picture 6">
          <a:extLst>
            <a:ext uri="{FF2B5EF4-FFF2-40B4-BE49-F238E27FC236}">
              <a16:creationId xmlns:a16="http://schemas.microsoft.com/office/drawing/2014/main" id="{31F3A934-34FA-4101-9F95-FCA89AD56844}"/>
            </a:ext>
          </a:extLst>
        </xdr:cNvPr>
        <xdr:cNvPicPr>
          <a:picLocks noChangeAspect="1"/>
        </xdr:cNvPicPr>
      </xdr:nvPicPr>
      <xdr:blipFill>
        <a:blip xmlns:r="http://schemas.openxmlformats.org/officeDocument/2006/relationships" r:embed="rId4"/>
        <a:stretch>
          <a:fillRect/>
        </a:stretch>
      </xdr:blipFill>
      <xdr:spPr>
        <a:xfrm>
          <a:off x="10193656" y="28394978"/>
          <a:ext cx="5483828" cy="3255227"/>
        </a:xfrm>
        <a:prstGeom prst="rect">
          <a:avLst/>
        </a:prstGeom>
      </xdr:spPr>
    </xdr:pic>
    <xdr:clientData/>
  </xdr:twoCellAnchor>
  <xdr:twoCellAnchor editAs="oneCell">
    <xdr:from>
      <xdr:col>0</xdr:col>
      <xdr:colOff>323850</xdr:colOff>
      <xdr:row>210</xdr:row>
      <xdr:rowOff>133350</xdr:rowOff>
    </xdr:from>
    <xdr:to>
      <xdr:col>8</xdr:col>
      <xdr:colOff>351750</xdr:colOff>
      <xdr:row>229</xdr:row>
      <xdr:rowOff>66777</xdr:rowOff>
    </xdr:to>
    <xdr:pic>
      <xdr:nvPicPr>
        <xdr:cNvPr id="27" name="Picture 26">
          <a:extLst>
            <a:ext uri="{FF2B5EF4-FFF2-40B4-BE49-F238E27FC236}">
              <a16:creationId xmlns:a16="http://schemas.microsoft.com/office/drawing/2014/main" id="{355BF2EB-5A1B-4C3F-8644-E3B4BF61C99B}"/>
            </a:ext>
          </a:extLst>
        </xdr:cNvPr>
        <xdr:cNvPicPr>
          <a:picLocks noChangeAspect="1"/>
        </xdr:cNvPicPr>
      </xdr:nvPicPr>
      <xdr:blipFill>
        <a:blip xmlns:r="http://schemas.openxmlformats.org/officeDocument/2006/relationships" r:embed="rId5"/>
        <a:stretch>
          <a:fillRect/>
        </a:stretch>
      </xdr:blipFill>
      <xdr:spPr>
        <a:xfrm>
          <a:off x="323850" y="46062900"/>
          <a:ext cx="5400000" cy="3733902"/>
        </a:xfrm>
        <a:prstGeom prst="rect">
          <a:avLst/>
        </a:prstGeom>
        <a:ln>
          <a:solidFill>
            <a:schemeClr val="tx1"/>
          </a:solidFill>
        </a:ln>
      </xdr:spPr>
    </xdr:pic>
    <xdr:clientData/>
  </xdr:twoCellAnchor>
  <xdr:twoCellAnchor>
    <xdr:from>
      <xdr:col>7</xdr:col>
      <xdr:colOff>476250</xdr:colOff>
      <xdr:row>227</xdr:row>
      <xdr:rowOff>57150</xdr:rowOff>
    </xdr:from>
    <xdr:to>
      <xdr:col>8</xdr:col>
      <xdr:colOff>57150</xdr:colOff>
      <xdr:row>228</xdr:row>
      <xdr:rowOff>85725</xdr:rowOff>
    </xdr:to>
    <xdr:sp macro="" textlink="">
      <xdr:nvSpPr>
        <xdr:cNvPr id="9" name="Arrow: Right 8">
          <a:extLst>
            <a:ext uri="{FF2B5EF4-FFF2-40B4-BE49-F238E27FC236}">
              <a16:creationId xmlns:a16="http://schemas.microsoft.com/office/drawing/2014/main" id="{0DA67BED-9BBD-4024-A264-7A15ED0C0BE0}"/>
            </a:ext>
          </a:extLst>
        </xdr:cNvPr>
        <xdr:cNvSpPr/>
      </xdr:nvSpPr>
      <xdr:spPr>
        <a:xfrm>
          <a:off x="5143500" y="49577625"/>
          <a:ext cx="285750" cy="2286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7</xdr:col>
      <xdr:colOff>238125</xdr:colOff>
      <xdr:row>227</xdr:row>
      <xdr:rowOff>57150</xdr:rowOff>
    </xdr:from>
    <xdr:ext cx="275717" cy="264560"/>
    <xdr:sp macro="" textlink="">
      <xdr:nvSpPr>
        <xdr:cNvPr id="10" name="TextBox 9">
          <a:extLst>
            <a:ext uri="{FF2B5EF4-FFF2-40B4-BE49-F238E27FC236}">
              <a16:creationId xmlns:a16="http://schemas.microsoft.com/office/drawing/2014/main" id="{90C3E2A1-2C1B-403A-BD53-B31701C9D2B7}"/>
            </a:ext>
          </a:extLst>
        </xdr:cNvPr>
        <xdr:cNvSpPr txBox="1"/>
      </xdr:nvSpPr>
      <xdr:spPr>
        <a:xfrm>
          <a:off x="4905375" y="49577625"/>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N</a:t>
          </a:r>
        </a:p>
      </xdr:txBody>
    </xdr:sp>
    <xdr:clientData/>
  </xdr:oneCellAnchor>
  <xdr:twoCellAnchor editAs="oneCell">
    <xdr:from>
      <xdr:col>12</xdr:col>
      <xdr:colOff>428625</xdr:colOff>
      <xdr:row>34</xdr:row>
      <xdr:rowOff>120015</xdr:rowOff>
    </xdr:from>
    <xdr:to>
      <xdr:col>17</xdr:col>
      <xdr:colOff>531045</xdr:colOff>
      <xdr:row>47</xdr:row>
      <xdr:rowOff>236130</xdr:rowOff>
    </xdr:to>
    <xdr:pic>
      <xdr:nvPicPr>
        <xdr:cNvPr id="11" name="Picture 10">
          <a:extLst>
            <a:ext uri="{FF2B5EF4-FFF2-40B4-BE49-F238E27FC236}">
              <a16:creationId xmlns:a16="http://schemas.microsoft.com/office/drawing/2014/main" id="{7C3536A3-09EB-4200-9A17-80D6A5529404}"/>
            </a:ext>
          </a:extLst>
        </xdr:cNvPr>
        <xdr:cNvPicPr>
          <a:picLocks noChangeAspect="1"/>
        </xdr:cNvPicPr>
      </xdr:nvPicPr>
      <xdr:blipFill>
        <a:blip xmlns:r="http://schemas.openxmlformats.org/officeDocument/2006/relationships" r:embed="rId6"/>
        <a:stretch>
          <a:fillRect/>
        </a:stretch>
      </xdr:blipFill>
      <xdr:spPr>
        <a:xfrm>
          <a:off x="7690485" y="7694295"/>
          <a:ext cx="3600000" cy="2676435"/>
        </a:xfrm>
        <a:prstGeom prst="rect">
          <a:avLst/>
        </a:prstGeom>
        <a:ln>
          <a:solidFill>
            <a:schemeClr val="tx1"/>
          </a:solidFill>
        </a:ln>
      </xdr:spPr>
    </xdr:pic>
    <xdr:clientData/>
  </xdr:twoCellAnchor>
  <xdr:twoCellAnchor>
    <xdr:from>
      <xdr:col>1</xdr:col>
      <xdr:colOff>129540</xdr:colOff>
      <xdr:row>250</xdr:row>
      <xdr:rowOff>45720</xdr:rowOff>
    </xdr:from>
    <xdr:to>
      <xdr:col>8</xdr:col>
      <xdr:colOff>285120</xdr:colOff>
      <xdr:row>287</xdr:row>
      <xdr:rowOff>66940</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769620" y="55359300"/>
          <a:ext cx="5040000" cy="7351660"/>
          <a:chOff x="773723" y="398586"/>
          <a:chExt cx="5040000" cy="735166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7"/>
          <a:srcRect l="28429" t="25384" r="27468" b="15129"/>
          <a:stretch/>
        </xdr:blipFill>
        <xdr:spPr>
          <a:xfrm>
            <a:off x="773723" y="398586"/>
            <a:ext cx="5040000" cy="3823953"/>
          </a:xfrm>
          <a:prstGeom prst="rect">
            <a:avLst/>
          </a:prstGeom>
          <a:ln>
            <a:solidFill>
              <a:schemeClr val="tx1"/>
            </a:solidFill>
          </a:ln>
        </xdr:spPr>
      </xdr:pic>
      <xdr:grpSp>
        <xdr:nvGrpSpPr>
          <xdr:cNvPr id="33" name="Group 32">
            <a:extLst>
              <a:ext uri="{FF2B5EF4-FFF2-40B4-BE49-F238E27FC236}">
                <a16:creationId xmlns:a16="http://schemas.microsoft.com/office/drawing/2014/main" id="{00000000-0008-0000-0000-000021000000}"/>
              </a:ext>
            </a:extLst>
          </xdr:cNvPr>
          <xdr:cNvGrpSpPr/>
        </xdr:nvGrpSpPr>
        <xdr:grpSpPr>
          <a:xfrm>
            <a:off x="773723" y="4377983"/>
            <a:ext cx="5040000" cy="3372263"/>
            <a:chOff x="773723" y="4431323"/>
            <a:chExt cx="5040000" cy="3372263"/>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a:stretch/>
          </xdr:blipFill>
          <xdr:spPr>
            <a:xfrm>
              <a:off x="773723" y="4431323"/>
              <a:ext cx="5040000" cy="3372263"/>
            </a:xfrm>
            <a:prstGeom prst="rect">
              <a:avLst/>
            </a:prstGeom>
            <a:ln>
              <a:solidFill>
                <a:schemeClr val="tx1"/>
              </a:solidFill>
            </a:ln>
          </xdr:spPr>
        </xdr:pic>
        <xdr:sp macro="" textlink="">
          <xdr:nvSpPr>
            <xdr:cNvPr id="35" name="Rectangle 34">
              <a:extLst>
                <a:ext uri="{FF2B5EF4-FFF2-40B4-BE49-F238E27FC236}">
                  <a16:creationId xmlns:a16="http://schemas.microsoft.com/office/drawing/2014/main" id="{00000000-0008-0000-0000-000023000000}"/>
                </a:ext>
              </a:extLst>
            </xdr:cNvPr>
            <xdr:cNvSpPr/>
          </xdr:nvSpPr>
          <xdr:spPr>
            <a:xfrm>
              <a:off x="2743200" y="5433060"/>
              <a:ext cx="1341120" cy="155448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11</xdr:col>
      <xdr:colOff>510540</xdr:colOff>
      <xdr:row>47</xdr:row>
      <xdr:rowOff>358140</xdr:rowOff>
    </xdr:from>
    <xdr:to>
      <xdr:col>16</xdr:col>
      <xdr:colOff>582480</xdr:colOff>
      <xdr:row>52</xdr:row>
      <xdr:rowOff>518445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7117080" y="10492740"/>
          <a:ext cx="3600000" cy="1766220"/>
        </a:xfrm>
        <a:prstGeom prst="rect">
          <a:avLst/>
        </a:prstGeom>
      </xdr:spPr>
    </xdr:pic>
    <xdr:clientData/>
  </xdr:twoCellAnchor>
  <xdr:twoCellAnchor>
    <xdr:from>
      <xdr:col>11</xdr:col>
      <xdr:colOff>438150</xdr:colOff>
      <xdr:row>162</xdr:row>
      <xdr:rowOff>7620</xdr:rowOff>
    </xdr:from>
    <xdr:to>
      <xdr:col>21</xdr:col>
      <xdr:colOff>92597</xdr:colOff>
      <xdr:row>201</xdr:row>
      <xdr:rowOff>24295</xdr:rowOff>
    </xdr:to>
    <xdr:grpSp>
      <xdr:nvGrpSpPr>
        <xdr:cNvPr id="24" name="Group 23">
          <a:extLst>
            <a:ext uri="{FF2B5EF4-FFF2-40B4-BE49-F238E27FC236}">
              <a16:creationId xmlns:a16="http://schemas.microsoft.com/office/drawing/2014/main" id="{2A7D38C6-F3E0-17CC-4C27-BA80862A0504}"/>
            </a:ext>
          </a:extLst>
        </xdr:cNvPr>
        <xdr:cNvGrpSpPr/>
      </xdr:nvGrpSpPr>
      <xdr:grpSpPr>
        <a:xfrm>
          <a:off x="7760970" y="37894260"/>
          <a:ext cx="6306707" cy="7735735"/>
          <a:chOff x="95250" y="39195375"/>
          <a:chExt cx="6135257" cy="7808125"/>
        </a:xfrm>
      </xdr:grpSpPr>
      <xdr:pic>
        <xdr:nvPicPr>
          <xdr:cNvPr id="5" name="Picture 4">
            <a:extLst>
              <a:ext uri="{FF2B5EF4-FFF2-40B4-BE49-F238E27FC236}">
                <a16:creationId xmlns:a16="http://schemas.microsoft.com/office/drawing/2014/main" id="{66FB2924-E34E-092A-6818-C3FB4B66F916}"/>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639294" y="44825212"/>
            <a:ext cx="287733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83A01F56-37B7-D13B-B7BF-5634EAEF08C8}"/>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5250" y="39195375"/>
            <a:ext cx="3836447"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CBF42952-BD5E-0D76-3D81-4105C365EDD2}"/>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540365" y="42213772"/>
            <a:ext cx="335689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5A4F1C41-682E-7352-721B-341A9B62F0D9}"/>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921865" y="4484350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B2EB4A55-802F-1803-4807-77CA980EADD1}"/>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547109" y="42213772"/>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825D413E-CA0D-F1F5-54D1-E6E6D79E1D13}"/>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4072507" y="39224044"/>
            <a:ext cx="215800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335280</xdr:colOff>
      <xdr:row>169</xdr:row>
      <xdr:rowOff>30480</xdr:rowOff>
    </xdr:from>
    <xdr:to>
      <xdr:col>9</xdr:col>
      <xdr:colOff>18061</xdr:colOff>
      <xdr:row>204</xdr:row>
      <xdr:rowOff>3874</xdr:rowOff>
    </xdr:to>
    <xdr:grpSp>
      <xdr:nvGrpSpPr>
        <xdr:cNvPr id="3" name="Group 2">
          <a:extLst>
            <a:ext uri="{FF2B5EF4-FFF2-40B4-BE49-F238E27FC236}">
              <a16:creationId xmlns:a16="http://schemas.microsoft.com/office/drawing/2014/main" id="{224C5083-BF03-32DB-2199-F819B0FF8049}"/>
            </a:ext>
          </a:extLst>
        </xdr:cNvPr>
        <xdr:cNvGrpSpPr/>
      </xdr:nvGrpSpPr>
      <xdr:grpSpPr>
        <a:xfrm>
          <a:off x="335280" y="39303960"/>
          <a:ext cx="5969281" cy="6899974"/>
          <a:chOff x="9669" y="163685"/>
          <a:chExt cx="5969281" cy="6899974"/>
        </a:xfrm>
      </xdr:grpSpPr>
      <xdr:grpSp>
        <xdr:nvGrpSpPr>
          <xdr:cNvPr id="25" name="Group 24">
            <a:extLst>
              <a:ext uri="{FF2B5EF4-FFF2-40B4-BE49-F238E27FC236}">
                <a16:creationId xmlns:a16="http://schemas.microsoft.com/office/drawing/2014/main" id="{5E424378-6979-D697-01EC-F23BB9E490D0}"/>
              </a:ext>
            </a:extLst>
          </xdr:cNvPr>
          <xdr:cNvGrpSpPr/>
        </xdr:nvGrpSpPr>
        <xdr:grpSpPr>
          <a:xfrm>
            <a:off x="9669" y="163685"/>
            <a:ext cx="5969281" cy="2520000"/>
            <a:chOff x="264542" y="163685"/>
            <a:chExt cx="5969281" cy="2520000"/>
          </a:xfrm>
        </xdr:grpSpPr>
        <xdr:pic>
          <xdr:nvPicPr>
            <xdr:cNvPr id="40" name="Picture 39">
              <a:extLst>
                <a:ext uri="{FF2B5EF4-FFF2-40B4-BE49-F238E27FC236}">
                  <a16:creationId xmlns:a16="http://schemas.microsoft.com/office/drawing/2014/main" id="{4CC16BCE-A564-7243-690D-FB64E28FE942}"/>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305167" y="163685"/>
              <a:ext cx="1888031"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74DDAE55-A4D8-3178-0C99-C6704CD3001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64542" y="163685"/>
              <a:ext cx="1888031" cy="2520000"/>
            </a:xfrm>
            <a:prstGeom prst="rect">
              <a:avLst/>
            </a:prstGeom>
            <a:ln>
              <a:solidFill>
                <a:schemeClr val="tx1"/>
              </a:solidFill>
            </a:ln>
          </xdr:spPr>
        </xdr:pic>
        <xdr:pic>
          <xdr:nvPicPr>
            <xdr:cNvPr id="42" name="Picture 41">
              <a:extLst>
                <a:ext uri="{FF2B5EF4-FFF2-40B4-BE49-F238E27FC236}">
                  <a16:creationId xmlns:a16="http://schemas.microsoft.com/office/drawing/2014/main" id="{BB3AC485-F154-5380-3E39-1E1AB85B3DB3}"/>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345792" y="163685"/>
              <a:ext cx="1888031" cy="2520000"/>
            </a:xfrm>
            <a:prstGeom prst="rect">
              <a:avLst/>
            </a:prstGeom>
            <a:ln>
              <a:solidFill>
                <a:schemeClr val="tx1"/>
              </a:solidFill>
            </a:ln>
          </xdr:spPr>
        </xdr:pic>
      </xdr:grpSp>
      <xdr:grpSp>
        <xdr:nvGrpSpPr>
          <xdr:cNvPr id="26" name="Group 25">
            <a:extLst>
              <a:ext uri="{FF2B5EF4-FFF2-40B4-BE49-F238E27FC236}">
                <a16:creationId xmlns:a16="http://schemas.microsoft.com/office/drawing/2014/main" id="{C349075E-10C1-EC65-F5E3-530425EADD9F}"/>
              </a:ext>
            </a:extLst>
          </xdr:cNvPr>
          <xdr:cNvGrpSpPr/>
        </xdr:nvGrpSpPr>
        <xdr:grpSpPr>
          <a:xfrm>
            <a:off x="1300887" y="2893672"/>
            <a:ext cx="3386845" cy="2160000"/>
            <a:chOff x="536634" y="2893672"/>
            <a:chExt cx="3386845" cy="2160000"/>
          </a:xfrm>
        </xdr:grpSpPr>
        <xdr:pic>
          <xdr:nvPicPr>
            <xdr:cNvPr id="38" name="Picture 37">
              <a:extLst>
                <a:ext uri="{FF2B5EF4-FFF2-40B4-BE49-F238E27FC236}">
                  <a16:creationId xmlns:a16="http://schemas.microsoft.com/office/drawing/2014/main" id="{2885592C-B990-886A-77C0-BCAB1E5D141C}"/>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536634" y="2893672"/>
              <a:ext cx="1618312"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B8ABB7CF-7C1F-2DAF-1FDF-B866B84C2BB4}"/>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305167" y="2893672"/>
              <a:ext cx="1618312" cy="2160000"/>
            </a:xfrm>
            <a:prstGeom prst="rect">
              <a:avLst/>
            </a:prstGeom>
            <a:ln>
              <a:solidFill>
                <a:schemeClr val="tx1"/>
              </a:solidFill>
            </a:ln>
          </xdr:spPr>
        </xdr:pic>
      </xdr:grpSp>
      <xdr:grpSp>
        <xdr:nvGrpSpPr>
          <xdr:cNvPr id="28" name="Group 27">
            <a:extLst>
              <a:ext uri="{FF2B5EF4-FFF2-40B4-BE49-F238E27FC236}">
                <a16:creationId xmlns:a16="http://schemas.microsoft.com/office/drawing/2014/main" id="{0D4B7B8D-0FF4-B33E-78B6-2B678795AF37}"/>
              </a:ext>
            </a:extLst>
          </xdr:cNvPr>
          <xdr:cNvGrpSpPr/>
        </xdr:nvGrpSpPr>
        <xdr:grpSpPr>
          <a:xfrm>
            <a:off x="294232" y="5263659"/>
            <a:ext cx="5400154" cy="1800000"/>
            <a:chOff x="-245205" y="5263659"/>
            <a:chExt cx="5400154" cy="1800000"/>
          </a:xfrm>
        </xdr:grpSpPr>
        <xdr:pic>
          <xdr:nvPicPr>
            <xdr:cNvPr id="29" name="Picture 28">
              <a:extLst>
                <a:ext uri="{FF2B5EF4-FFF2-40B4-BE49-F238E27FC236}">
                  <a16:creationId xmlns:a16="http://schemas.microsoft.com/office/drawing/2014/main" id="{5CFC4DD7-3E6F-FA72-17AF-B7534390780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tretch>
              <a:fillRect/>
            </a:stretch>
          </xdr:blipFill>
          <xdr:spPr>
            <a:xfrm>
              <a:off x="-245205" y="5263659"/>
              <a:ext cx="2397778"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29740F89-4920-1409-75B3-4B082D74AFED}"/>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305167" y="5263659"/>
              <a:ext cx="1348594"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4830949B-D91C-ED04-21F4-B3802E923111}"/>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3806355" y="5263659"/>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607974</xdr:colOff>
      <xdr:row>38</xdr:row>
      <xdr:rowOff>75286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3009524" cy="7314286"/>
        </a:xfrm>
        <a:prstGeom prst="rect">
          <a:avLst/>
        </a:prstGeom>
      </xdr:spPr>
    </xdr:pic>
    <xdr:clientData/>
  </xdr:twoCellAnchor>
  <xdr:twoCellAnchor editAs="oneCell">
    <xdr:from>
      <xdr:col>0</xdr:col>
      <xdr:colOff>0</xdr:colOff>
      <xdr:row>40</xdr:row>
      <xdr:rowOff>0</xdr:rowOff>
    </xdr:from>
    <xdr:to>
      <xdr:col>20</xdr:col>
      <xdr:colOff>607974</xdr:colOff>
      <xdr:row>78</xdr:row>
      <xdr:rowOff>75286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76200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zU7Zq5iyh6sc353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9"/>
  <sheetViews>
    <sheetView tabSelected="1" view="pageBreakPreview" topLeftCell="A155" zoomScaleNormal="100" zoomScaleSheetLayoutView="100" zoomScalePageLayoutView="90" workbookViewId="0">
      <selection activeCell="A156" sqref="A156:J156"/>
    </sheetView>
  </sheetViews>
  <sheetFormatPr defaultRowHeight="15.6" x14ac:dyDescent="0.3"/>
  <cols>
    <col min="1" max="1" width="9.33203125" style="11" customWidth="1"/>
    <col min="2" max="2" width="13.109375" style="11" customWidth="1"/>
    <col min="3" max="3" width="14.6640625" style="11" customWidth="1"/>
    <col min="4" max="4" width="7.33203125" style="11" customWidth="1"/>
    <col min="5" max="5" width="5.5546875" style="11" customWidth="1"/>
    <col min="6" max="6" width="9.88671875" style="11" customWidth="1"/>
    <col min="7" max="7" width="10.109375" style="11" customWidth="1"/>
    <col min="8" max="8" width="10.5546875" style="11" customWidth="1"/>
    <col min="9" max="9" width="11.109375" style="11" customWidth="1"/>
    <col min="10" max="10" width="3.44140625" style="11" customWidth="1"/>
    <col min="11" max="11" width="11.6640625" style="11" customWidth="1"/>
    <col min="12" max="12" width="9.5546875" style="11" bestFit="1" customWidth="1"/>
    <col min="13" max="13" width="10.109375" style="11" bestFit="1" customWidth="1"/>
    <col min="14" max="15" width="9.109375" style="11"/>
    <col min="16" max="16" width="13.5546875" style="11" customWidth="1"/>
    <col min="17" max="256" width="9.109375" style="11"/>
    <col min="257" max="257" width="8.6640625" style="11" customWidth="1"/>
    <col min="258" max="258" width="9.88671875" style="11" customWidth="1"/>
    <col min="259" max="259" width="14.44140625" style="11" customWidth="1"/>
    <col min="260" max="260" width="7.33203125" style="11" customWidth="1"/>
    <col min="261" max="261" width="5.5546875" style="11" customWidth="1"/>
    <col min="262" max="262" width="9" style="11" customWidth="1"/>
    <col min="263" max="264" width="9.88671875" style="11" customWidth="1"/>
    <col min="265" max="265" width="11.109375" style="11" customWidth="1"/>
    <col min="266" max="266" width="2.88671875" style="11" customWidth="1"/>
    <col min="267" max="267" width="3.5546875" style="11" customWidth="1"/>
    <col min="268" max="512" width="9.109375" style="11"/>
    <col min="513" max="513" width="8.6640625" style="11" customWidth="1"/>
    <col min="514" max="514" width="9.88671875" style="11" customWidth="1"/>
    <col min="515" max="515" width="14.44140625" style="11" customWidth="1"/>
    <col min="516" max="516" width="7.33203125" style="11" customWidth="1"/>
    <col min="517" max="517" width="5.5546875" style="11" customWidth="1"/>
    <col min="518" max="518" width="9" style="11" customWidth="1"/>
    <col min="519" max="520" width="9.88671875" style="11" customWidth="1"/>
    <col min="521" max="521" width="11.109375" style="11" customWidth="1"/>
    <col min="522" max="522" width="2.88671875" style="11" customWidth="1"/>
    <col min="523" max="523" width="3.5546875" style="11" customWidth="1"/>
    <col min="524" max="768" width="9.109375" style="11"/>
    <col min="769" max="769" width="8.6640625" style="11" customWidth="1"/>
    <col min="770" max="770" width="9.88671875" style="11" customWidth="1"/>
    <col min="771" max="771" width="14.44140625" style="11" customWidth="1"/>
    <col min="772" max="772" width="7.33203125" style="11" customWidth="1"/>
    <col min="773" max="773" width="5.5546875" style="11" customWidth="1"/>
    <col min="774" max="774" width="9" style="11" customWidth="1"/>
    <col min="775" max="776" width="9.88671875" style="11" customWidth="1"/>
    <col min="777" max="777" width="11.109375" style="11" customWidth="1"/>
    <col min="778" max="778" width="2.88671875" style="11" customWidth="1"/>
    <col min="779" max="779" width="3.5546875" style="11" customWidth="1"/>
    <col min="780" max="1024" width="9.109375" style="11"/>
    <col min="1025" max="1025" width="8.6640625" style="11" customWidth="1"/>
    <col min="1026" max="1026" width="9.88671875" style="11" customWidth="1"/>
    <col min="1027" max="1027" width="14.44140625" style="11" customWidth="1"/>
    <col min="1028" max="1028" width="7.33203125" style="11" customWidth="1"/>
    <col min="1029" max="1029" width="5.5546875" style="11" customWidth="1"/>
    <col min="1030" max="1030" width="9" style="11" customWidth="1"/>
    <col min="1031" max="1032" width="9.88671875" style="11" customWidth="1"/>
    <col min="1033" max="1033" width="11.109375" style="11" customWidth="1"/>
    <col min="1034" max="1034" width="2.88671875" style="11" customWidth="1"/>
    <col min="1035" max="1035" width="3.5546875" style="11" customWidth="1"/>
    <col min="1036" max="1280" width="9.109375" style="11"/>
    <col min="1281" max="1281" width="8.6640625" style="11" customWidth="1"/>
    <col min="1282" max="1282" width="9.88671875" style="11" customWidth="1"/>
    <col min="1283" max="1283" width="14.44140625" style="11" customWidth="1"/>
    <col min="1284" max="1284" width="7.33203125" style="11" customWidth="1"/>
    <col min="1285" max="1285" width="5.5546875" style="11" customWidth="1"/>
    <col min="1286" max="1286" width="9" style="11" customWidth="1"/>
    <col min="1287" max="1288" width="9.88671875" style="11" customWidth="1"/>
    <col min="1289" max="1289" width="11.109375" style="11" customWidth="1"/>
    <col min="1290" max="1290" width="2.88671875" style="11" customWidth="1"/>
    <col min="1291" max="1291" width="3.5546875" style="11" customWidth="1"/>
    <col min="1292" max="1536" width="9.109375" style="11"/>
    <col min="1537" max="1537" width="8.6640625" style="11" customWidth="1"/>
    <col min="1538" max="1538" width="9.88671875" style="11" customWidth="1"/>
    <col min="1539" max="1539" width="14.44140625" style="11" customWidth="1"/>
    <col min="1540" max="1540" width="7.33203125" style="11" customWidth="1"/>
    <col min="1541" max="1541" width="5.5546875" style="11" customWidth="1"/>
    <col min="1542" max="1542" width="9" style="11" customWidth="1"/>
    <col min="1543" max="1544" width="9.88671875" style="11" customWidth="1"/>
    <col min="1545" max="1545" width="11.109375" style="11" customWidth="1"/>
    <col min="1546" max="1546" width="2.88671875" style="11" customWidth="1"/>
    <col min="1547" max="1547" width="3.5546875" style="11" customWidth="1"/>
    <col min="1548" max="1792" width="9.109375" style="11"/>
    <col min="1793" max="1793" width="8.6640625" style="11" customWidth="1"/>
    <col min="1794" max="1794" width="9.88671875" style="11" customWidth="1"/>
    <col min="1795" max="1795" width="14.44140625" style="11" customWidth="1"/>
    <col min="1796" max="1796" width="7.33203125" style="11" customWidth="1"/>
    <col min="1797" max="1797" width="5.5546875" style="11" customWidth="1"/>
    <col min="1798" max="1798" width="9" style="11" customWidth="1"/>
    <col min="1799" max="1800" width="9.88671875" style="11" customWidth="1"/>
    <col min="1801" max="1801" width="11.109375" style="11" customWidth="1"/>
    <col min="1802" max="1802" width="2.88671875" style="11" customWidth="1"/>
    <col min="1803" max="1803" width="3.5546875" style="11" customWidth="1"/>
    <col min="1804" max="2048" width="9.109375" style="11"/>
    <col min="2049" max="2049" width="8.6640625" style="11" customWidth="1"/>
    <col min="2050" max="2050" width="9.88671875" style="11" customWidth="1"/>
    <col min="2051" max="2051" width="14.44140625" style="11" customWidth="1"/>
    <col min="2052" max="2052" width="7.33203125" style="11" customWidth="1"/>
    <col min="2053" max="2053" width="5.5546875" style="11" customWidth="1"/>
    <col min="2054" max="2054" width="9" style="11" customWidth="1"/>
    <col min="2055" max="2056" width="9.88671875" style="11" customWidth="1"/>
    <col min="2057" max="2057" width="11.109375" style="11" customWidth="1"/>
    <col min="2058" max="2058" width="2.88671875" style="11" customWidth="1"/>
    <col min="2059" max="2059" width="3.5546875" style="11" customWidth="1"/>
    <col min="2060" max="2304" width="9.109375" style="11"/>
    <col min="2305" max="2305" width="8.6640625" style="11" customWidth="1"/>
    <col min="2306" max="2306" width="9.88671875" style="11" customWidth="1"/>
    <col min="2307" max="2307" width="14.44140625" style="11" customWidth="1"/>
    <col min="2308" max="2308" width="7.33203125" style="11" customWidth="1"/>
    <col min="2309" max="2309" width="5.5546875" style="11" customWidth="1"/>
    <col min="2310" max="2310" width="9" style="11" customWidth="1"/>
    <col min="2311" max="2312" width="9.88671875" style="11" customWidth="1"/>
    <col min="2313" max="2313" width="11.109375" style="11" customWidth="1"/>
    <col min="2314" max="2314" width="2.88671875" style="11" customWidth="1"/>
    <col min="2315" max="2315" width="3.5546875" style="11" customWidth="1"/>
    <col min="2316" max="2560" width="9.109375" style="11"/>
    <col min="2561" max="2561" width="8.6640625" style="11" customWidth="1"/>
    <col min="2562" max="2562" width="9.88671875" style="11" customWidth="1"/>
    <col min="2563" max="2563" width="14.44140625" style="11" customWidth="1"/>
    <col min="2564" max="2564" width="7.33203125" style="11" customWidth="1"/>
    <col min="2565" max="2565" width="5.5546875" style="11" customWidth="1"/>
    <col min="2566" max="2566" width="9" style="11" customWidth="1"/>
    <col min="2567" max="2568" width="9.88671875" style="11" customWidth="1"/>
    <col min="2569" max="2569" width="11.109375" style="11" customWidth="1"/>
    <col min="2570" max="2570" width="2.88671875" style="11" customWidth="1"/>
    <col min="2571" max="2571" width="3.5546875" style="11" customWidth="1"/>
    <col min="2572" max="2816" width="9.109375" style="11"/>
    <col min="2817" max="2817" width="8.6640625" style="11" customWidth="1"/>
    <col min="2818" max="2818" width="9.88671875" style="11" customWidth="1"/>
    <col min="2819" max="2819" width="14.44140625" style="11" customWidth="1"/>
    <col min="2820" max="2820" width="7.33203125" style="11" customWidth="1"/>
    <col min="2821" max="2821" width="5.5546875" style="11" customWidth="1"/>
    <col min="2822" max="2822" width="9" style="11" customWidth="1"/>
    <col min="2823" max="2824" width="9.88671875" style="11" customWidth="1"/>
    <col min="2825" max="2825" width="11.109375" style="11" customWidth="1"/>
    <col min="2826" max="2826" width="2.88671875" style="11" customWidth="1"/>
    <col min="2827" max="2827" width="3.5546875" style="11" customWidth="1"/>
    <col min="2828" max="3072" width="9.109375" style="11"/>
    <col min="3073" max="3073" width="8.6640625" style="11" customWidth="1"/>
    <col min="3074" max="3074" width="9.88671875" style="11" customWidth="1"/>
    <col min="3075" max="3075" width="14.44140625" style="11" customWidth="1"/>
    <col min="3076" max="3076" width="7.33203125" style="11" customWidth="1"/>
    <col min="3077" max="3077" width="5.5546875" style="11" customWidth="1"/>
    <col min="3078" max="3078" width="9" style="11" customWidth="1"/>
    <col min="3079" max="3080" width="9.88671875" style="11" customWidth="1"/>
    <col min="3081" max="3081" width="11.109375" style="11" customWidth="1"/>
    <col min="3082" max="3082" width="2.88671875" style="11" customWidth="1"/>
    <col min="3083" max="3083" width="3.5546875" style="11" customWidth="1"/>
    <col min="3084" max="3328" width="9.109375" style="11"/>
    <col min="3329" max="3329" width="8.6640625" style="11" customWidth="1"/>
    <col min="3330" max="3330" width="9.88671875" style="11" customWidth="1"/>
    <col min="3331" max="3331" width="14.44140625" style="11" customWidth="1"/>
    <col min="3332" max="3332" width="7.33203125" style="11" customWidth="1"/>
    <col min="3333" max="3333" width="5.5546875" style="11" customWidth="1"/>
    <col min="3334" max="3334" width="9" style="11" customWidth="1"/>
    <col min="3335" max="3336" width="9.88671875" style="11" customWidth="1"/>
    <col min="3337" max="3337" width="11.109375" style="11" customWidth="1"/>
    <col min="3338" max="3338" width="2.88671875" style="11" customWidth="1"/>
    <col min="3339" max="3339" width="3.5546875" style="11" customWidth="1"/>
    <col min="3340" max="3584" width="9.109375" style="11"/>
    <col min="3585" max="3585" width="8.6640625" style="11" customWidth="1"/>
    <col min="3586" max="3586" width="9.88671875" style="11" customWidth="1"/>
    <col min="3587" max="3587" width="14.44140625" style="11" customWidth="1"/>
    <col min="3588" max="3588" width="7.33203125" style="11" customWidth="1"/>
    <col min="3589" max="3589" width="5.5546875" style="11" customWidth="1"/>
    <col min="3590" max="3590" width="9" style="11" customWidth="1"/>
    <col min="3591" max="3592" width="9.88671875" style="11" customWidth="1"/>
    <col min="3593" max="3593" width="11.109375" style="11" customWidth="1"/>
    <col min="3594" max="3594" width="2.88671875" style="11" customWidth="1"/>
    <col min="3595" max="3595" width="3.5546875" style="11" customWidth="1"/>
    <col min="3596" max="3840" width="9.109375" style="11"/>
    <col min="3841" max="3841" width="8.6640625" style="11" customWidth="1"/>
    <col min="3842" max="3842" width="9.88671875" style="11" customWidth="1"/>
    <col min="3843" max="3843" width="14.44140625" style="11" customWidth="1"/>
    <col min="3844" max="3844" width="7.33203125" style="11" customWidth="1"/>
    <col min="3845" max="3845" width="5.5546875" style="11" customWidth="1"/>
    <col min="3846" max="3846" width="9" style="11" customWidth="1"/>
    <col min="3847" max="3848" width="9.88671875" style="11" customWidth="1"/>
    <col min="3849" max="3849" width="11.109375" style="11" customWidth="1"/>
    <col min="3850" max="3850" width="2.88671875" style="11" customWidth="1"/>
    <col min="3851" max="3851" width="3.5546875" style="11" customWidth="1"/>
    <col min="3852" max="4096" width="9.109375" style="11"/>
    <col min="4097" max="4097" width="8.6640625" style="11" customWidth="1"/>
    <col min="4098" max="4098" width="9.88671875" style="11" customWidth="1"/>
    <col min="4099" max="4099" width="14.44140625" style="11" customWidth="1"/>
    <col min="4100" max="4100" width="7.33203125" style="11" customWidth="1"/>
    <col min="4101" max="4101" width="5.5546875" style="11" customWidth="1"/>
    <col min="4102" max="4102" width="9" style="11" customWidth="1"/>
    <col min="4103" max="4104" width="9.88671875" style="11" customWidth="1"/>
    <col min="4105" max="4105" width="11.109375" style="11" customWidth="1"/>
    <col min="4106" max="4106" width="2.88671875" style="11" customWidth="1"/>
    <col min="4107" max="4107" width="3.5546875" style="11" customWidth="1"/>
    <col min="4108" max="4352" width="9.109375" style="11"/>
    <col min="4353" max="4353" width="8.6640625" style="11" customWidth="1"/>
    <col min="4354" max="4354" width="9.88671875" style="11" customWidth="1"/>
    <col min="4355" max="4355" width="14.44140625" style="11" customWidth="1"/>
    <col min="4356" max="4356" width="7.33203125" style="11" customWidth="1"/>
    <col min="4357" max="4357" width="5.5546875" style="11" customWidth="1"/>
    <col min="4358" max="4358" width="9" style="11" customWidth="1"/>
    <col min="4359" max="4360" width="9.88671875" style="11" customWidth="1"/>
    <col min="4361" max="4361" width="11.109375" style="11" customWidth="1"/>
    <col min="4362" max="4362" width="2.88671875" style="11" customWidth="1"/>
    <col min="4363" max="4363" width="3.5546875" style="11" customWidth="1"/>
    <col min="4364" max="4608" width="9.109375" style="11"/>
    <col min="4609" max="4609" width="8.6640625" style="11" customWidth="1"/>
    <col min="4610" max="4610" width="9.88671875" style="11" customWidth="1"/>
    <col min="4611" max="4611" width="14.44140625" style="11" customWidth="1"/>
    <col min="4612" max="4612" width="7.33203125" style="11" customWidth="1"/>
    <col min="4613" max="4613" width="5.5546875" style="11" customWidth="1"/>
    <col min="4614" max="4614" width="9" style="11" customWidth="1"/>
    <col min="4615" max="4616" width="9.88671875" style="11" customWidth="1"/>
    <col min="4617" max="4617" width="11.109375" style="11" customWidth="1"/>
    <col min="4618" max="4618" width="2.88671875" style="11" customWidth="1"/>
    <col min="4619" max="4619" width="3.5546875" style="11" customWidth="1"/>
    <col min="4620" max="4864" width="9.109375" style="11"/>
    <col min="4865" max="4865" width="8.6640625" style="11" customWidth="1"/>
    <col min="4866" max="4866" width="9.88671875" style="11" customWidth="1"/>
    <col min="4867" max="4867" width="14.44140625" style="11" customWidth="1"/>
    <col min="4868" max="4868" width="7.33203125" style="11" customWidth="1"/>
    <col min="4869" max="4869" width="5.5546875" style="11" customWidth="1"/>
    <col min="4870" max="4870" width="9" style="11" customWidth="1"/>
    <col min="4871" max="4872" width="9.88671875" style="11" customWidth="1"/>
    <col min="4873" max="4873" width="11.109375" style="11" customWidth="1"/>
    <col min="4874" max="4874" width="2.88671875" style="11" customWidth="1"/>
    <col min="4875" max="4875" width="3.5546875" style="11" customWidth="1"/>
    <col min="4876" max="5120" width="9.109375" style="11"/>
    <col min="5121" max="5121" width="8.6640625" style="11" customWidth="1"/>
    <col min="5122" max="5122" width="9.88671875" style="11" customWidth="1"/>
    <col min="5123" max="5123" width="14.44140625" style="11" customWidth="1"/>
    <col min="5124" max="5124" width="7.33203125" style="11" customWidth="1"/>
    <col min="5125" max="5125" width="5.5546875" style="11" customWidth="1"/>
    <col min="5126" max="5126" width="9" style="11" customWidth="1"/>
    <col min="5127" max="5128" width="9.88671875" style="11" customWidth="1"/>
    <col min="5129" max="5129" width="11.109375" style="11" customWidth="1"/>
    <col min="5130" max="5130" width="2.88671875" style="11" customWidth="1"/>
    <col min="5131" max="5131" width="3.5546875" style="11" customWidth="1"/>
    <col min="5132" max="5376" width="9.109375" style="11"/>
    <col min="5377" max="5377" width="8.6640625" style="11" customWidth="1"/>
    <col min="5378" max="5378" width="9.88671875" style="11" customWidth="1"/>
    <col min="5379" max="5379" width="14.44140625" style="11" customWidth="1"/>
    <col min="5380" max="5380" width="7.33203125" style="11" customWidth="1"/>
    <col min="5381" max="5381" width="5.5546875" style="11" customWidth="1"/>
    <col min="5382" max="5382" width="9" style="11" customWidth="1"/>
    <col min="5383" max="5384" width="9.88671875" style="11" customWidth="1"/>
    <col min="5385" max="5385" width="11.109375" style="11" customWidth="1"/>
    <col min="5386" max="5386" width="2.88671875" style="11" customWidth="1"/>
    <col min="5387" max="5387" width="3.5546875" style="11" customWidth="1"/>
    <col min="5388" max="5632" width="9.109375" style="11"/>
    <col min="5633" max="5633" width="8.6640625" style="11" customWidth="1"/>
    <col min="5634" max="5634" width="9.88671875" style="11" customWidth="1"/>
    <col min="5635" max="5635" width="14.44140625" style="11" customWidth="1"/>
    <col min="5636" max="5636" width="7.33203125" style="11" customWidth="1"/>
    <col min="5637" max="5637" width="5.5546875" style="11" customWidth="1"/>
    <col min="5638" max="5638" width="9" style="11" customWidth="1"/>
    <col min="5639" max="5640" width="9.88671875" style="11" customWidth="1"/>
    <col min="5641" max="5641" width="11.109375" style="11" customWidth="1"/>
    <col min="5642" max="5642" width="2.88671875" style="11" customWidth="1"/>
    <col min="5643" max="5643" width="3.5546875" style="11" customWidth="1"/>
    <col min="5644" max="5888" width="9.109375" style="11"/>
    <col min="5889" max="5889" width="8.6640625" style="11" customWidth="1"/>
    <col min="5890" max="5890" width="9.88671875" style="11" customWidth="1"/>
    <col min="5891" max="5891" width="14.44140625" style="11" customWidth="1"/>
    <col min="5892" max="5892" width="7.33203125" style="11" customWidth="1"/>
    <col min="5893" max="5893" width="5.5546875" style="11" customWidth="1"/>
    <col min="5894" max="5894" width="9" style="11" customWidth="1"/>
    <col min="5895" max="5896" width="9.88671875" style="11" customWidth="1"/>
    <col min="5897" max="5897" width="11.109375" style="11" customWidth="1"/>
    <col min="5898" max="5898" width="2.88671875" style="11" customWidth="1"/>
    <col min="5899" max="5899" width="3.5546875" style="11" customWidth="1"/>
    <col min="5900" max="6144" width="9.109375" style="11"/>
    <col min="6145" max="6145" width="8.6640625" style="11" customWidth="1"/>
    <col min="6146" max="6146" width="9.88671875" style="11" customWidth="1"/>
    <col min="6147" max="6147" width="14.44140625" style="11" customWidth="1"/>
    <col min="6148" max="6148" width="7.33203125" style="11" customWidth="1"/>
    <col min="6149" max="6149" width="5.5546875" style="11" customWidth="1"/>
    <col min="6150" max="6150" width="9" style="11" customWidth="1"/>
    <col min="6151" max="6152" width="9.88671875" style="11" customWidth="1"/>
    <col min="6153" max="6153" width="11.109375" style="11" customWidth="1"/>
    <col min="6154" max="6154" width="2.88671875" style="11" customWidth="1"/>
    <col min="6155" max="6155" width="3.5546875" style="11" customWidth="1"/>
    <col min="6156" max="6400" width="9.109375" style="11"/>
    <col min="6401" max="6401" width="8.6640625" style="11" customWidth="1"/>
    <col min="6402" max="6402" width="9.88671875" style="11" customWidth="1"/>
    <col min="6403" max="6403" width="14.44140625" style="11" customWidth="1"/>
    <col min="6404" max="6404" width="7.33203125" style="11" customWidth="1"/>
    <col min="6405" max="6405" width="5.5546875" style="11" customWidth="1"/>
    <col min="6406" max="6406" width="9" style="11" customWidth="1"/>
    <col min="6407" max="6408" width="9.88671875" style="11" customWidth="1"/>
    <col min="6409" max="6409" width="11.109375" style="11" customWidth="1"/>
    <col min="6410" max="6410" width="2.88671875" style="11" customWidth="1"/>
    <col min="6411" max="6411" width="3.5546875" style="11" customWidth="1"/>
    <col min="6412" max="6656" width="9.109375" style="11"/>
    <col min="6657" max="6657" width="8.6640625" style="11" customWidth="1"/>
    <col min="6658" max="6658" width="9.88671875" style="11" customWidth="1"/>
    <col min="6659" max="6659" width="14.44140625" style="11" customWidth="1"/>
    <col min="6660" max="6660" width="7.33203125" style="11" customWidth="1"/>
    <col min="6661" max="6661" width="5.5546875" style="11" customWidth="1"/>
    <col min="6662" max="6662" width="9" style="11" customWidth="1"/>
    <col min="6663" max="6664" width="9.88671875" style="11" customWidth="1"/>
    <col min="6665" max="6665" width="11.109375" style="11" customWidth="1"/>
    <col min="6666" max="6666" width="2.88671875" style="11" customWidth="1"/>
    <col min="6667" max="6667" width="3.5546875" style="11" customWidth="1"/>
    <col min="6668" max="6912" width="9.109375" style="11"/>
    <col min="6913" max="6913" width="8.6640625" style="11" customWidth="1"/>
    <col min="6914" max="6914" width="9.88671875" style="11" customWidth="1"/>
    <col min="6915" max="6915" width="14.44140625" style="11" customWidth="1"/>
    <col min="6916" max="6916" width="7.33203125" style="11" customWidth="1"/>
    <col min="6917" max="6917" width="5.5546875" style="11" customWidth="1"/>
    <col min="6918" max="6918" width="9" style="11" customWidth="1"/>
    <col min="6919" max="6920" width="9.88671875" style="11" customWidth="1"/>
    <col min="6921" max="6921" width="11.109375" style="11" customWidth="1"/>
    <col min="6922" max="6922" width="2.88671875" style="11" customWidth="1"/>
    <col min="6923" max="6923" width="3.5546875" style="11" customWidth="1"/>
    <col min="6924" max="7168" width="9.109375" style="11"/>
    <col min="7169" max="7169" width="8.6640625" style="11" customWidth="1"/>
    <col min="7170" max="7170" width="9.88671875" style="11" customWidth="1"/>
    <col min="7171" max="7171" width="14.44140625" style="11" customWidth="1"/>
    <col min="7172" max="7172" width="7.33203125" style="11" customWidth="1"/>
    <col min="7173" max="7173" width="5.5546875" style="11" customWidth="1"/>
    <col min="7174" max="7174" width="9" style="11" customWidth="1"/>
    <col min="7175" max="7176" width="9.88671875" style="11" customWidth="1"/>
    <col min="7177" max="7177" width="11.109375" style="11" customWidth="1"/>
    <col min="7178" max="7178" width="2.88671875" style="11" customWidth="1"/>
    <col min="7179" max="7179" width="3.5546875" style="11" customWidth="1"/>
    <col min="7180" max="7424" width="9.109375" style="11"/>
    <col min="7425" max="7425" width="8.6640625" style="11" customWidth="1"/>
    <col min="7426" max="7426" width="9.88671875" style="11" customWidth="1"/>
    <col min="7427" max="7427" width="14.44140625" style="11" customWidth="1"/>
    <col min="7428" max="7428" width="7.33203125" style="11" customWidth="1"/>
    <col min="7429" max="7429" width="5.5546875" style="11" customWidth="1"/>
    <col min="7430" max="7430" width="9" style="11" customWidth="1"/>
    <col min="7431" max="7432" width="9.88671875" style="11" customWidth="1"/>
    <col min="7433" max="7433" width="11.109375" style="11" customWidth="1"/>
    <col min="7434" max="7434" width="2.88671875" style="11" customWidth="1"/>
    <col min="7435" max="7435" width="3.5546875" style="11" customWidth="1"/>
    <col min="7436" max="7680" width="9.109375" style="11"/>
    <col min="7681" max="7681" width="8.6640625" style="11" customWidth="1"/>
    <col min="7682" max="7682" width="9.88671875" style="11" customWidth="1"/>
    <col min="7683" max="7683" width="14.44140625" style="11" customWidth="1"/>
    <col min="7684" max="7684" width="7.33203125" style="11" customWidth="1"/>
    <col min="7685" max="7685" width="5.5546875" style="11" customWidth="1"/>
    <col min="7686" max="7686" width="9" style="11" customWidth="1"/>
    <col min="7687" max="7688" width="9.88671875" style="11" customWidth="1"/>
    <col min="7689" max="7689" width="11.109375" style="11" customWidth="1"/>
    <col min="7690" max="7690" width="2.88671875" style="11" customWidth="1"/>
    <col min="7691" max="7691" width="3.5546875" style="11" customWidth="1"/>
    <col min="7692" max="7936" width="9.109375" style="11"/>
    <col min="7937" max="7937" width="8.6640625" style="11" customWidth="1"/>
    <col min="7938" max="7938" width="9.88671875" style="11" customWidth="1"/>
    <col min="7939" max="7939" width="14.44140625" style="11" customWidth="1"/>
    <col min="7940" max="7940" width="7.33203125" style="11" customWidth="1"/>
    <col min="7941" max="7941" width="5.5546875" style="11" customWidth="1"/>
    <col min="7942" max="7942" width="9" style="11" customWidth="1"/>
    <col min="7943" max="7944" width="9.88671875" style="11" customWidth="1"/>
    <col min="7945" max="7945" width="11.109375" style="11" customWidth="1"/>
    <col min="7946" max="7946" width="2.88671875" style="11" customWidth="1"/>
    <col min="7947" max="7947" width="3.5546875" style="11" customWidth="1"/>
    <col min="7948" max="8192" width="9.109375" style="11"/>
    <col min="8193" max="8193" width="8.6640625" style="11" customWidth="1"/>
    <col min="8194" max="8194" width="9.88671875" style="11" customWidth="1"/>
    <col min="8195" max="8195" width="14.44140625" style="11" customWidth="1"/>
    <col min="8196" max="8196" width="7.33203125" style="11" customWidth="1"/>
    <col min="8197" max="8197" width="5.5546875" style="11" customWidth="1"/>
    <col min="8198" max="8198" width="9" style="11" customWidth="1"/>
    <col min="8199" max="8200" width="9.88671875" style="11" customWidth="1"/>
    <col min="8201" max="8201" width="11.109375" style="11" customWidth="1"/>
    <col min="8202" max="8202" width="2.88671875" style="11" customWidth="1"/>
    <col min="8203" max="8203" width="3.5546875" style="11" customWidth="1"/>
    <col min="8204" max="8448" width="9.109375" style="11"/>
    <col min="8449" max="8449" width="8.6640625" style="11" customWidth="1"/>
    <col min="8450" max="8450" width="9.88671875" style="11" customWidth="1"/>
    <col min="8451" max="8451" width="14.44140625" style="11" customWidth="1"/>
    <col min="8452" max="8452" width="7.33203125" style="11" customWidth="1"/>
    <col min="8453" max="8453" width="5.5546875" style="11" customWidth="1"/>
    <col min="8454" max="8454" width="9" style="11" customWidth="1"/>
    <col min="8455" max="8456" width="9.88671875" style="11" customWidth="1"/>
    <col min="8457" max="8457" width="11.109375" style="11" customWidth="1"/>
    <col min="8458" max="8458" width="2.88671875" style="11" customWidth="1"/>
    <col min="8459" max="8459" width="3.5546875" style="11" customWidth="1"/>
    <col min="8460" max="8704" width="9.109375" style="11"/>
    <col min="8705" max="8705" width="8.6640625" style="11" customWidth="1"/>
    <col min="8706" max="8706" width="9.88671875" style="11" customWidth="1"/>
    <col min="8707" max="8707" width="14.44140625" style="11" customWidth="1"/>
    <col min="8708" max="8708" width="7.33203125" style="11" customWidth="1"/>
    <col min="8709" max="8709" width="5.5546875" style="11" customWidth="1"/>
    <col min="8710" max="8710" width="9" style="11" customWidth="1"/>
    <col min="8711" max="8712" width="9.88671875" style="11" customWidth="1"/>
    <col min="8713" max="8713" width="11.109375" style="11" customWidth="1"/>
    <col min="8714" max="8714" width="2.88671875" style="11" customWidth="1"/>
    <col min="8715" max="8715" width="3.5546875" style="11" customWidth="1"/>
    <col min="8716" max="8960" width="9.109375" style="11"/>
    <col min="8961" max="8961" width="8.6640625" style="11" customWidth="1"/>
    <col min="8962" max="8962" width="9.88671875" style="11" customWidth="1"/>
    <col min="8963" max="8963" width="14.44140625" style="11" customWidth="1"/>
    <col min="8964" max="8964" width="7.33203125" style="11" customWidth="1"/>
    <col min="8965" max="8965" width="5.5546875" style="11" customWidth="1"/>
    <col min="8966" max="8966" width="9" style="11" customWidth="1"/>
    <col min="8967" max="8968" width="9.88671875" style="11" customWidth="1"/>
    <col min="8969" max="8969" width="11.109375" style="11" customWidth="1"/>
    <col min="8970" max="8970" width="2.88671875" style="11" customWidth="1"/>
    <col min="8971" max="8971" width="3.5546875" style="11" customWidth="1"/>
    <col min="8972" max="9216" width="9.109375" style="11"/>
    <col min="9217" max="9217" width="8.6640625" style="11" customWidth="1"/>
    <col min="9218" max="9218" width="9.88671875" style="11" customWidth="1"/>
    <col min="9219" max="9219" width="14.44140625" style="11" customWidth="1"/>
    <col min="9220" max="9220" width="7.33203125" style="11" customWidth="1"/>
    <col min="9221" max="9221" width="5.5546875" style="11" customWidth="1"/>
    <col min="9222" max="9222" width="9" style="11" customWidth="1"/>
    <col min="9223" max="9224" width="9.88671875" style="11" customWidth="1"/>
    <col min="9225" max="9225" width="11.109375" style="11" customWidth="1"/>
    <col min="9226" max="9226" width="2.88671875" style="11" customWidth="1"/>
    <col min="9227" max="9227" width="3.5546875" style="11" customWidth="1"/>
    <col min="9228" max="9472" width="9.109375" style="11"/>
    <col min="9473" max="9473" width="8.6640625" style="11" customWidth="1"/>
    <col min="9474" max="9474" width="9.88671875" style="11" customWidth="1"/>
    <col min="9475" max="9475" width="14.44140625" style="11" customWidth="1"/>
    <col min="9476" max="9476" width="7.33203125" style="11" customWidth="1"/>
    <col min="9477" max="9477" width="5.5546875" style="11" customWidth="1"/>
    <col min="9478" max="9478" width="9" style="11" customWidth="1"/>
    <col min="9479" max="9480" width="9.88671875" style="11" customWidth="1"/>
    <col min="9481" max="9481" width="11.109375" style="11" customWidth="1"/>
    <col min="9482" max="9482" width="2.88671875" style="11" customWidth="1"/>
    <col min="9483" max="9483" width="3.5546875" style="11" customWidth="1"/>
    <col min="9484" max="9728" width="9.109375" style="11"/>
    <col min="9729" max="9729" width="8.6640625" style="11" customWidth="1"/>
    <col min="9730" max="9730" width="9.88671875" style="11" customWidth="1"/>
    <col min="9731" max="9731" width="14.44140625" style="11" customWidth="1"/>
    <col min="9732" max="9732" width="7.33203125" style="11" customWidth="1"/>
    <col min="9733" max="9733" width="5.5546875" style="11" customWidth="1"/>
    <col min="9734" max="9734" width="9" style="11" customWidth="1"/>
    <col min="9735" max="9736" width="9.88671875" style="11" customWidth="1"/>
    <col min="9737" max="9737" width="11.109375" style="11" customWidth="1"/>
    <col min="9738" max="9738" width="2.88671875" style="11" customWidth="1"/>
    <col min="9739" max="9739" width="3.5546875" style="11" customWidth="1"/>
    <col min="9740" max="9984" width="9.109375" style="11"/>
    <col min="9985" max="9985" width="8.6640625" style="11" customWidth="1"/>
    <col min="9986" max="9986" width="9.88671875" style="11" customWidth="1"/>
    <col min="9987" max="9987" width="14.44140625" style="11" customWidth="1"/>
    <col min="9988" max="9988" width="7.33203125" style="11" customWidth="1"/>
    <col min="9989" max="9989" width="5.5546875" style="11" customWidth="1"/>
    <col min="9990" max="9990" width="9" style="11" customWidth="1"/>
    <col min="9991" max="9992" width="9.88671875" style="11" customWidth="1"/>
    <col min="9993" max="9993" width="11.109375" style="11" customWidth="1"/>
    <col min="9994" max="9994" width="2.88671875" style="11" customWidth="1"/>
    <col min="9995" max="9995" width="3.5546875" style="11" customWidth="1"/>
    <col min="9996" max="10240" width="9.109375" style="11"/>
    <col min="10241" max="10241" width="8.6640625" style="11" customWidth="1"/>
    <col min="10242" max="10242" width="9.88671875" style="11" customWidth="1"/>
    <col min="10243" max="10243" width="14.44140625" style="11" customWidth="1"/>
    <col min="10244" max="10244" width="7.33203125" style="11" customWidth="1"/>
    <col min="10245" max="10245" width="5.5546875" style="11" customWidth="1"/>
    <col min="10246" max="10246" width="9" style="11" customWidth="1"/>
    <col min="10247" max="10248" width="9.88671875" style="11" customWidth="1"/>
    <col min="10249" max="10249" width="11.109375" style="11" customWidth="1"/>
    <col min="10250" max="10250" width="2.88671875" style="11" customWidth="1"/>
    <col min="10251" max="10251" width="3.5546875" style="11" customWidth="1"/>
    <col min="10252" max="10496" width="9.109375" style="11"/>
    <col min="10497" max="10497" width="8.6640625" style="11" customWidth="1"/>
    <col min="10498" max="10498" width="9.88671875" style="11" customWidth="1"/>
    <col min="10499" max="10499" width="14.44140625" style="11" customWidth="1"/>
    <col min="10500" max="10500" width="7.33203125" style="11" customWidth="1"/>
    <col min="10501" max="10501" width="5.5546875" style="11" customWidth="1"/>
    <col min="10502" max="10502" width="9" style="11" customWidth="1"/>
    <col min="10503" max="10504" width="9.88671875" style="11" customWidth="1"/>
    <col min="10505" max="10505" width="11.109375" style="11" customWidth="1"/>
    <col min="10506" max="10506" width="2.88671875" style="11" customWidth="1"/>
    <col min="10507" max="10507" width="3.5546875" style="11" customWidth="1"/>
    <col min="10508" max="10752" width="9.109375" style="11"/>
    <col min="10753" max="10753" width="8.6640625" style="11" customWidth="1"/>
    <col min="10754" max="10754" width="9.88671875" style="11" customWidth="1"/>
    <col min="10755" max="10755" width="14.44140625" style="11" customWidth="1"/>
    <col min="10756" max="10756" width="7.33203125" style="11" customWidth="1"/>
    <col min="10757" max="10757" width="5.5546875" style="11" customWidth="1"/>
    <col min="10758" max="10758" width="9" style="11" customWidth="1"/>
    <col min="10759" max="10760" width="9.88671875" style="11" customWidth="1"/>
    <col min="10761" max="10761" width="11.109375" style="11" customWidth="1"/>
    <col min="10762" max="10762" width="2.88671875" style="11" customWidth="1"/>
    <col min="10763" max="10763" width="3.5546875" style="11" customWidth="1"/>
    <col min="10764" max="11008" width="9.109375" style="11"/>
    <col min="11009" max="11009" width="8.6640625" style="11" customWidth="1"/>
    <col min="11010" max="11010" width="9.88671875" style="11" customWidth="1"/>
    <col min="11011" max="11011" width="14.44140625" style="11" customWidth="1"/>
    <col min="11012" max="11012" width="7.33203125" style="11" customWidth="1"/>
    <col min="11013" max="11013" width="5.5546875" style="11" customWidth="1"/>
    <col min="11014" max="11014" width="9" style="11" customWidth="1"/>
    <col min="11015" max="11016" width="9.88671875" style="11" customWidth="1"/>
    <col min="11017" max="11017" width="11.109375" style="11" customWidth="1"/>
    <col min="11018" max="11018" width="2.88671875" style="11" customWidth="1"/>
    <col min="11019" max="11019" width="3.5546875" style="11" customWidth="1"/>
    <col min="11020" max="11264" width="9.109375" style="11"/>
    <col min="11265" max="11265" width="8.6640625" style="11" customWidth="1"/>
    <col min="11266" max="11266" width="9.88671875" style="11" customWidth="1"/>
    <col min="11267" max="11267" width="14.44140625" style="11" customWidth="1"/>
    <col min="11268" max="11268" width="7.33203125" style="11" customWidth="1"/>
    <col min="11269" max="11269" width="5.5546875" style="11" customWidth="1"/>
    <col min="11270" max="11270" width="9" style="11" customWidth="1"/>
    <col min="11271" max="11272" width="9.88671875" style="11" customWidth="1"/>
    <col min="11273" max="11273" width="11.109375" style="11" customWidth="1"/>
    <col min="11274" max="11274" width="2.88671875" style="11" customWidth="1"/>
    <col min="11275" max="11275" width="3.5546875" style="11" customWidth="1"/>
    <col min="11276" max="11520" width="9.109375" style="11"/>
    <col min="11521" max="11521" width="8.6640625" style="11" customWidth="1"/>
    <col min="11522" max="11522" width="9.88671875" style="11" customWidth="1"/>
    <col min="11523" max="11523" width="14.44140625" style="11" customWidth="1"/>
    <col min="11524" max="11524" width="7.33203125" style="11" customWidth="1"/>
    <col min="11525" max="11525" width="5.5546875" style="11" customWidth="1"/>
    <col min="11526" max="11526" width="9" style="11" customWidth="1"/>
    <col min="11527" max="11528" width="9.88671875" style="11" customWidth="1"/>
    <col min="11529" max="11529" width="11.109375" style="11" customWidth="1"/>
    <col min="11530" max="11530" width="2.88671875" style="11" customWidth="1"/>
    <col min="11531" max="11531" width="3.5546875" style="11" customWidth="1"/>
    <col min="11532" max="11776" width="9.109375" style="11"/>
    <col min="11777" max="11777" width="8.6640625" style="11" customWidth="1"/>
    <col min="11778" max="11778" width="9.88671875" style="11" customWidth="1"/>
    <col min="11779" max="11779" width="14.44140625" style="11" customWidth="1"/>
    <col min="11780" max="11780" width="7.33203125" style="11" customWidth="1"/>
    <col min="11781" max="11781" width="5.5546875" style="11" customWidth="1"/>
    <col min="11782" max="11782" width="9" style="11" customWidth="1"/>
    <col min="11783" max="11784" width="9.88671875" style="11" customWidth="1"/>
    <col min="11785" max="11785" width="11.109375" style="11" customWidth="1"/>
    <col min="11786" max="11786" width="2.88671875" style="11" customWidth="1"/>
    <col min="11787" max="11787" width="3.5546875" style="11" customWidth="1"/>
    <col min="11788" max="12032" width="9.109375" style="11"/>
    <col min="12033" max="12033" width="8.6640625" style="11" customWidth="1"/>
    <col min="12034" max="12034" width="9.88671875" style="11" customWidth="1"/>
    <col min="12035" max="12035" width="14.44140625" style="11" customWidth="1"/>
    <col min="12036" max="12036" width="7.33203125" style="11" customWidth="1"/>
    <col min="12037" max="12037" width="5.5546875" style="11" customWidth="1"/>
    <col min="12038" max="12038" width="9" style="11" customWidth="1"/>
    <col min="12039" max="12040" width="9.88671875" style="11" customWidth="1"/>
    <col min="12041" max="12041" width="11.109375" style="11" customWidth="1"/>
    <col min="12042" max="12042" width="2.88671875" style="11" customWidth="1"/>
    <col min="12043" max="12043" width="3.5546875" style="11" customWidth="1"/>
    <col min="12044" max="12288" width="9.109375" style="11"/>
    <col min="12289" max="12289" width="8.6640625" style="11" customWidth="1"/>
    <col min="12290" max="12290" width="9.88671875" style="11" customWidth="1"/>
    <col min="12291" max="12291" width="14.44140625" style="11" customWidth="1"/>
    <col min="12292" max="12292" width="7.33203125" style="11" customWidth="1"/>
    <col min="12293" max="12293" width="5.5546875" style="11" customWidth="1"/>
    <col min="12294" max="12294" width="9" style="11" customWidth="1"/>
    <col min="12295" max="12296" width="9.88671875" style="11" customWidth="1"/>
    <col min="12297" max="12297" width="11.109375" style="11" customWidth="1"/>
    <col min="12298" max="12298" width="2.88671875" style="11" customWidth="1"/>
    <col min="12299" max="12299" width="3.5546875" style="11" customWidth="1"/>
    <col min="12300" max="12544" width="9.109375" style="11"/>
    <col min="12545" max="12545" width="8.6640625" style="11" customWidth="1"/>
    <col min="12546" max="12546" width="9.88671875" style="11" customWidth="1"/>
    <col min="12547" max="12547" width="14.44140625" style="11" customWidth="1"/>
    <col min="12548" max="12548" width="7.33203125" style="11" customWidth="1"/>
    <col min="12549" max="12549" width="5.5546875" style="11" customWidth="1"/>
    <col min="12550" max="12550" width="9" style="11" customWidth="1"/>
    <col min="12551" max="12552" width="9.88671875" style="11" customWidth="1"/>
    <col min="12553" max="12553" width="11.109375" style="11" customWidth="1"/>
    <col min="12554" max="12554" width="2.88671875" style="11" customWidth="1"/>
    <col min="12555" max="12555" width="3.5546875" style="11" customWidth="1"/>
    <col min="12556" max="12800" width="9.109375" style="11"/>
    <col min="12801" max="12801" width="8.6640625" style="11" customWidth="1"/>
    <col min="12802" max="12802" width="9.88671875" style="11" customWidth="1"/>
    <col min="12803" max="12803" width="14.44140625" style="11" customWidth="1"/>
    <col min="12804" max="12804" width="7.33203125" style="11" customWidth="1"/>
    <col min="12805" max="12805" width="5.5546875" style="11" customWidth="1"/>
    <col min="12806" max="12806" width="9" style="11" customWidth="1"/>
    <col min="12807" max="12808" width="9.88671875" style="11" customWidth="1"/>
    <col min="12809" max="12809" width="11.109375" style="11" customWidth="1"/>
    <col min="12810" max="12810" width="2.88671875" style="11" customWidth="1"/>
    <col min="12811" max="12811" width="3.5546875" style="11" customWidth="1"/>
    <col min="12812" max="13056" width="9.109375" style="11"/>
    <col min="13057" max="13057" width="8.6640625" style="11" customWidth="1"/>
    <col min="13058" max="13058" width="9.88671875" style="11" customWidth="1"/>
    <col min="13059" max="13059" width="14.44140625" style="11" customWidth="1"/>
    <col min="13060" max="13060" width="7.33203125" style="11" customWidth="1"/>
    <col min="13061" max="13061" width="5.5546875" style="11" customWidth="1"/>
    <col min="13062" max="13062" width="9" style="11" customWidth="1"/>
    <col min="13063" max="13064" width="9.88671875" style="11" customWidth="1"/>
    <col min="13065" max="13065" width="11.109375" style="11" customWidth="1"/>
    <col min="13066" max="13066" width="2.88671875" style="11" customWidth="1"/>
    <col min="13067" max="13067" width="3.5546875" style="11" customWidth="1"/>
    <col min="13068" max="13312" width="9.109375" style="11"/>
    <col min="13313" max="13313" width="8.6640625" style="11" customWidth="1"/>
    <col min="13314" max="13314" width="9.88671875" style="11" customWidth="1"/>
    <col min="13315" max="13315" width="14.44140625" style="11" customWidth="1"/>
    <col min="13316" max="13316" width="7.33203125" style="11" customWidth="1"/>
    <col min="13317" max="13317" width="5.5546875" style="11" customWidth="1"/>
    <col min="13318" max="13318" width="9" style="11" customWidth="1"/>
    <col min="13319" max="13320" width="9.88671875" style="11" customWidth="1"/>
    <col min="13321" max="13321" width="11.109375" style="11" customWidth="1"/>
    <col min="13322" max="13322" width="2.88671875" style="11" customWidth="1"/>
    <col min="13323" max="13323" width="3.5546875" style="11" customWidth="1"/>
    <col min="13324" max="13568" width="9.109375" style="11"/>
    <col min="13569" max="13569" width="8.6640625" style="11" customWidth="1"/>
    <col min="13570" max="13570" width="9.88671875" style="11" customWidth="1"/>
    <col min="13571" max="13571" width="14.44140625" style="11" customWidth="1"/>
    <col min="13572" max="13572" width="7.33203125" style="11" customWidth="1"/>
    <col min="13573" max="13573" width="5.5546875" style="11" customWidth="1"/>
    <col min="13574" max="13574" width="9" style="11" customWidth="1"/>
    <col min="13575" max="13576" width="9.88671875" style="11" customWidth="1"/>
    <col min="13577" max="13577" width="11.109375" style="11" customWidth="1"/>
    <col min="13578" max="13578" width="2.88671875" style="11" customWidth="1"/>
    <col min="13579" max="13579" width="3.5546875" style="11" customWidth="1"/>
    <col min="13580" max="13824" width="9.109375" style="11"/>
    <col min="13825" max="13825" width="8.6640625" style="11" customWidth="1"/>
    <col min="13826" max="13826" width="9.88671875" style="11" customWidth="1"/>
    <col min="13827" max="13827" width="14.44140625" style="11" customWidth="1"/>
    <col min="13828" max="13828" width="7.33203125" style="11" customWidth="1"/>
    <col min="13829" max="13829" width="5.5546875" style="11" customWidth="1"/>
    <col min="13830" max="13830" width="9" style="11" customWidth="1"/>
    <col min="13831" max="13832" width="9.88671875" style="11" customWidth="1"/>
    <col min="13833" max="13833" width="11.109375" style="11" customWidth="1"/>
    <col min="13834" max="13834" width="2.88671875" style="11" customWidth="1"/>
    <col min="13835" max="13835" width="3.5546875" style="11" customWidth="1"/>
    <col min="13836" max="14080" width="9.109375" style="11"/>
    <col min="14081" max="14081" width="8.6640625" style="11" customWidth="1"/>
    <col min="14082" max="14082" width="9.88671875" style="11" customWidth="1"/>
    <col min="14083" max="14083" width="14.44140625" style="11" customWidth="1"/>
    <col min="14084" max="14084" width="7.33203125" style="11" customWidth="1"/>
    <col min="14085" max="14085" width="5.5546875" style="11" customWidth="1"/>
    <col min="14086" max="14086" width="9" style="11" customWidth="1"/>
    <col min="14087" max="14088" width="9.88671875" style="11" customWidth="1"/>
    <col min="14089" max="14089" width="11.109375" style="11" customWidth="1"/>
    <col min="14090" max="14090" width="2.88671875" style="11" customWidth="1"/>
    <col min="14091" max="14091" width="3.5546875" style="11" customWidth="1"/>
    <col min="14092" max="14336" width="9.109375" style="11"/>
    <col min="14337" max="14337" width="8.6640625" style="11" customWidth="1"/>
    <col min="14338" max="14338" width="9.88671875" style="11" customWidth="1"/>
    <col min="14339" max="14339" width="14.44140625" style="11" customWidth="1"/>
    <col min="14340" max="14340" width="7.33203125" style="11" customWidth="1"/>
    <col min="14341" max="14341" width="5.5546875" style="11" customWidth="1"/>
    <col min="14342" max="14342" width="9" style="11" customWidth="1"/>
    <col min="14343" max="14344" width="9.88671875" style="11" customWidth="1"/>
    <col min="14345" max="14345" width="11.109375" style="11" customWidth="1"/>
    <col min="14346" max="14346" width="2.88671875" style="11" customWidth="1"/>
    <col min="14347" max="14347" width="3.5546875" style="11" customWidth="1"/>
    <col min="14348" max="14592" width="9.109375" style="11"/>
    <col min="14593" max="14593" width="8.6640625" style="11" customWidth="1"/>
    <col min="14594" max="14594" width="9.88671875" style="11" customWidth="1"/>
    <col min="14595" max="14595" width="14.44140625" style="11" customWidth="1"/>
    <col min="14596" max="14596" width="7.33203125" style="11" customWidth="1"/>
    <col min="14597" max="14597" width="5.5546875" style="11" customWidth="1"/>
    <col min="14598" max="14598" width="9" style="11" customWidth="1"/>
    <col min="14599" max="14600" width="9.88671875" style="11" customWidth="1"/>
    <col min="14601" max="14601" width="11.109375" style="11" customWidth="1"/>
    <col min="14602" max="14602" width="2.88671875" style="11" customWidth="1"/>
    <col min="14603" max="14603" width="3.5546875" style="11" customWidth="1"/>
    <col min="14604" max="14848" width="9.109375" style="11"/>
    <col min="14849" max="14849" width="8.6640625" style="11" customWidth="1"/>
    <col min="14850" max="14850" width="9.88671875" style="11" customWidth="1"/>
    <col min="14851" max="14851" width="14.44140625" style="11" customWidth="1"/>
    <col min="14852" max="14852" width="7.33203125" style="11" customWidth="1"/>
    <col min="14853" max="14853" width="5.5546875" style="11" customWidth="1"/>
    <col min="14854" max="14854" width="9" style="11" customWidth="1"/>
    <col min="14855" max="14856" width="9.88671875" style="11" customWidth="1"/>
    <col min="14857" max="14857" width="11.109375" style="11" customWidth="1"/>
    <col min="14858" max="14858" width="2.88671875" style="11" customWidth="1"/>
    <col min="14859" max="14859" width="3.5546875" style="11" customWidth="1"/>
    <col min="14860" max="15104" width="9.109375" style="11"/>
    <col min="15105" max="15105" width="8.6640625" style="11" customWidth="1"/>
    <col min="15106" max="15106" width="9.88671875" style="11" customWidth="1"/>
    <col min="15107" max="15107" width="14.44140625" style="11" customWidth="1"/>
    <col min="15108" max="15108" width="7.33203125" style="11" customWidth="1"/>
    <col min="15109" max="15109" width="5.5546875" style="11" customWidth="1"/>
    <col min="15110" max="15110" width="9" style="11" customWidth="1"/>
    <col min="15111" max="15112" width="9.88671875" style="11" customWidth="1"/>
    <col min="15113" max="15113" width="11.109375" style="11" customWidth="1"/>
    <col min="15114" max="15114" width="2.88671875" style="11" customWidth="1"/>
    <col min="15115" max="15115" width="3.5546875" style="11" customWidth="1"/>
    <col min="15116" max="15360" width="9.109375" style="11"/>
    <col min="15361" max="15361" width="8.6640625" style="11" customWidth="1"/>
    <col min="15362" max="15362" width="9.88671875" style="11" customWidth="1"/>
    <col min="15363" max="15363" width="14.44140625" style="11" customWidth="1"/>
    <col min="15364" max="15364" width="7.33203125" style="11" customWidth="1"/>
    <col min="15365" max="15365" width="5.5546875" style="11" customWidth="1"/>
    <col min="15366" max="15366" width="9" style="11" customWidth="1"/>
    <col min="15367" max="15368" width="9.88671875" style="11" customWidth="1"/>
    <col min="15369" max="15369" width="11.109375" style="11" customWidth="1"/>
    <col min="15370" max="15370" width="2.88671875" style="11" customWidth="1"/>
    <col min="15371" max="15371" width="3.5546875" style="11" customWidth="1"/>
    <col min="15372" max="15616" width="9.109375" style="11"/>
    <col min="15617" max="15617" width="8.6640625" style="11" customWidth="1"/>
    <col min="15618" max="15618" width="9.88671875" style="11" customWidth="1"/>
    <col min="15619" max="15619" width="14.44140625" style="11" customWidth="1"/>
    <col min="15620" max="15620" width="7.33203125" style="11" customWidth="1"/>
    <col min="15621" max="15621" width="5.5546875" style="11" customWidth="1"/>
    <col min="15622" max="15622" width="9" style="11" customWidth="1"/>
    <col min="15623" max="15624" width="9.88671875" style="11" customWidth="1"/>
    <col min="15625" max="15625" width="11.109375" style="11" customWidth="1"/>
    <col min="15626" max="15626" width="2.88671875" style="11" customWidth="1"/>
    <col min="15627" max="15627" width="3.5546875" style="11" customWidth="1"/>
    <col min="15628" max="15872" width="9.109375" style="11"/>
    <col min="15873" max="15873" width="8.6640625" style="11" customWidth="1"/>
    <col min="15874" max="15874" width="9.88671875" style="11" customWidth="1"/>
    <col min="15875" max="15875" width="14.44140625" style="11" customWidth="1"/>
    <col min="15876" max="15876" width="7.33203125" style="11" customWidth="1"/>
    <col min="15877" max="15877" width="5.5546875" style="11" customWidth="1"/>
    <col min="15878" max="15878" width="9" style="11" customWidth="1"/>
    <col min="15879" max="15880" width="9.88671875" style="11" customWidth="1"/>
    <col min="15881" max="15881" width="11.109375" style="11" customWidth="1"/>
    <col min="15882" max="15882" width="2.88671875" style="11" customWidth="1"/>
    <col min="15883" max="15883" width="3.5546875" style="11" customWidth="1"/>
    <col min="15884" max="16128" width="9.109375" style="11"/>
    <col min="16129" max="16129" width="8.6640625" style="11" customWidth="1"/>
    <col min="16130" max="16130" width="9.88671875" style="11" customWidth="1"/>
    <col min="16131" max="16131" width="14.44140625" style="11" customWidth="1"/>
    <col min="16132" max="16132" width="7.33203125" style="11" customWidth="1"/>
    <col min="16133" max="16133" width="5.5546875" style="11" customWidth="1"/>
    <col min="16134" max="16134" width="9" style="11" customWidth="1"/>
    <col min="16135" max="16136" width="9.88671875" style="11" customWidth="1"/>
    <col min="16137" max="16137" width="11.109375" style="11" customWidth="1"/>
    <col min="16138" max="16138" width="2.88671875" style="11" customWidth="1"/>
    <col min="16139" max="16139" width="3.5546875" style="11" customWidth="1"/>
    <col min="16140" max="16384" width="9.109375" style="11"/>
  </cols>
  <sheetData>
    <row r="1" spans="1:10" ht="46.5" customHeight="1" x14ac:dyDescent="0.3">
      <c r="A1" s="167" t="s">
        <v>210</v>
      </c>
      <c r="B1" s="168"/>
      <c r="C1" s="168"/>
      <c r="D1" s="168"/>
      <c r="E1" s="168"/>
      <c r="F1" s="168"/>
      <c r="G1" s="168"/>
      <c r="H1" s="168"/>
      <c r="I1" s="168"/>
      <c r="J1" s="169"/>
    </row>
    <row r="2" spans="1:10" ht="16.5" customHeight="1" x14ac:dyDescent="0.3">
      <c r="A2" s="170" t="s">
        <v>0</v>
      </c>
      <c r="B2" s="171"/>
      <c r="C2" s="171"/>
      <c r="D2" s="171"/>
      <c r="E2" s="171"/>
      <c r="F2" s="171"/>
      <c r="G2" s="171"/>
      <c r="H2" s="171"/>
      <c r="I2" s="171"/>
      <c r="J2" s="172"/>
    </row>
    <row r="3" spans="1:10" x14ac:dyDescent="0.3">
      <c r="A3" s="86" t="s">
        <v>1</v>
      </c>
      <c r="B3" s="76"/>
      <c r="C3" s="76"/>
      <c r="D3" s="76"/>
      <c r="E3" s="77"/>
      <c r="F3" s="173" t="str">
        <f ca="1">TEXT(TODAY(),"DD/MM/YYYY")</f>
        <v>13/08/2025</v>
      </c>
      <c r="G3" s="174"/>
      <c r="H3" s="174"/>
      <c r="I3" s="174"/>
      <c r="J3" s="175"/>
    </row>
    <row r="4" spans="1:10" ht="15" customHeight="1" x14ac:dyDescent="0.3">
      <c r="A4" s="86" t="s">
        <v>2</v>
      </c>
      <c r="B4" s="76"/>
      <c r="C4" s="76"/>
      <c r="D4" s="76"/>
      <c r="E4" s="77"/>
      <c r="F4" s="176" t="s">
        <v>166</v>
      </c>
      <c r="G4" s="177"/>
      <c r="H4" s="177"/>
      <c r="I4" s="177"/>
      <c r="J4" s="178"/>
    </row>
    <row r="5" spans="1:10" x14ac:dyDescent="0.3">
      <c r="A5" s="86" t="s">
        <v>3</v>
      </c>
      <c r="B5" s="76"/>
      <c r="C5" s="76"/>
      <c r="D5" s="76"/>
      <c r="E5" s="77"/>
      <c r="F5" s="173">
        <v>45881</v>
      </c>
      <c r="G5" s="174"/>
      <c r="H5" s="174"/>
      <c r="I5" s="174"/>
      <c r="J5" s="175"/>
    </row>
    <row r="6" spans="1:10" ht="16.5" customHeight="1" x14ac:dyDescent="0.3">
      <c r="A6" s="86" t="s">
        <v>245</v>
      </c>
      <c r="B6" s="76"/>
      <c r="C6" s="76"/>
      <c r="D6" s="76"/>
      <c r="E6" s="77"/>
      <c r="F6" s="105" t="s">
        <v>246</v>
      </c>
      <c r="G6" s="106"/>
      <c r="H6" s="106"/>
      <c r="I6" s="106"/>
      <c r="J6" s="107"/>
    </row>
    <row r="7" spans="1:10" ht="15" customHeight="1" x14ac:dyDescent="0.3">
      <c r="A7" s="86" t="s">
        <v>4</v>
      </c>
      <c r="B7" s="76"/>
      <c r="C7" s="76"/>
      <c r="D7" s="76"/>
      <c r="E7" s="77"/>
      <c r="F7" s="105" t="s">
        <v>249</v>
      </c>
      <c r="G7" s="106"/>
      <c r="H7" s="106"/>
      <c r="I7" s="106"/>
      <c r="J7" s="107"/>
    </row>
    <row r="8" spans="1:10" x14ac:dyDescent="0.3">
      <c r="A8" s="86" t="s">
        <v>5</v>
      </c>
      <c r="B8" s="76"/>
      <c r="C8" s="76"/>
      <c r="D8" s="76"/>
      <c r="E8" s="77"/>
      <c r="F8" s="87" t="s">
        <v>167</v>
      </c>
      <c r="G8" s="88"/>
      <c r="H8" s="88"/>
      <c r="I8" s="88"/>
      <c r="J8" s="89"/>
    </row>
    <row r="9" spans="1:10" x14ac:dyDescent="0.3">
      <c r="A9" s="86" t="s">
        <v>211</v>
      </c>
      <c r="B9" s="76"/>
      <c r="C9" s="76"/>
      <c r="D9" s="76"/>
      <c r="E9" s="77"/>
      <c r="F9" s="86">
        <v>9819076588</v>
      </c>
      <c r="G9" s="76"/>
      <c r="H9" s="76"/>
      <c r="I9" s="76"/>
      <c r="J9" s="77"/>
    </row>
    <row r="10" spans="1:10" x14ac:dyDescent="0.3">
      <c r="A10" s="86" t="s">
        <v>212</v>
      </c>
      <c r="B10" s="76"/>
      <c r="C10" s="76"/>
      <c r="D10" s="76"/>
      <c r="E10" s="77"/>
      <c r="F10" s="86" t="s">
        <v>230</v>
      </c>
      <c r="G10" s="76"/>
      <c r="H10" s="76"/>
      <c r="I10" s="76"/>
      <c r="J10" s="77"/>
    </row>
    <row r="11" spans="1:10" x14ac:dyDescent="0.3">
      <c r="A11" s="86" t="s">
        <v>6</v>
      </c>
      <c r="B11" s="76"/>
      <c r="C11" s="76"/>
      <c r="D11" s="76"/>
      <c r="E11" s="77"/>
      <c r="F11" s="120" t="s">
        <v>231</v>
      </c>
      <c r="G11" s="121"/>
      <c r="H11" s="121"/>
      <c r="I11" s="121"/>
      <c r="J11" s="122"/>
    </row>
    <row r="12" spans="1:10" ht="16.5" customHeight="1" x14ac:dyDescent="0.3">
      <c r="A12" s="86" t="s">
        <v>7</v>
      </c>
      <c r="B12" s="76"/>
      <c r="C12" s="76"/>
      <c r="D12" s="76"/>
      <c r="E12" s="77"/>
      <c r="F12" s="190" t="s">
        <v>8</v>
      </c>
      <c r="G12" s="181"/>
      <c r="H12" s="181"/>
      <c r="I12" s="181"/>
      <c r="J12" s="182"/>
    </row>
    <row r="13" spans="1:10" x14ac:dyDescent="0.3">
      <c r="A13" s="86" t="s">
        <v>9</v>
      </c>
      <c r="B13" s="76"/>
      <c r="C13" s="76"/>
      <c r="D13" s="76"/>
      <c r="E13" s="77"/>
      <c r="F13" s="86" t="s">
        <v>168</v>
      </c>
      <c r="G13" s="76"/>
      <c r="H13" s="76"/>
      <c r="I13" s="76"/>
      <c r="J13" s="77"/>
    </row>
    <row r="14" spans="1:10" ht="31.5" customHeight="1" x14ac:dyDescent="0.3">
      <c r="A14" s="180" t="s">
        <v>10</v>
      </c>
      <c r="B14" s="180"/>
      <c r="C14" s="105" t="str">
        <f>CONCATENATE((IF(OR(F8="",F8="NA"),"",F8)),", ",(IF(OR(A15="",A15="NA"),"",A15)),".",(IF(OR(C15="",C15="NA"),"",C15)),", ",(IF(OR(F15="",F15="NA"),"",F15)),".",(IF(OR(H15="",H15="NA"),"",H15)),", ",(IF(OR(C16="",C16="NA"),"",C16)),", ",(IF(OR(H16="",H16="NA"),"",H16)),", ",(IF(OR(C18="",C18="NA"),"",C18)),", ",(IF(OR(H17="",H17="NA"),"",H17))," - ",(IF(OR(H18="",H18="NA"),"",H18)),".")</f>
        <v>Regius, Plot No.F-94 &amp; F-95, Sector.12, Raghunath Road, Kharghar, Panvel, Raigad - 410210.</v>
      </c>
      <c r="D14" s="106"/>
      <c r="E14" s="106"/>
      <c r="F14" s="106"/>
      <c r="G14" s="106"/>
      <c r="H14" s="106"/>
      <c r="I14" s="106"/>
      <c r="J14" s="107"/>
    </row>
    <row r="15" spans="1:10" ht="15.75" customHeight="1" x14ac:dyDescent="0.3">
      <c r="A15" s="105" t="s">
        <v>169</v>
      </c>
      <c r="B15" s="107"/>
      <c r="C15" s="190" t="s">
        <v>170</v>
      </c>
      <c r="D15" s="181"/>
      <c r="E15" s="181"/>
      <c r="F15" s="66" t="s">
        <v>171</v>
      </c>
      <c r="G15" s="67"/>
      <c r="H15" s="190">
        <v>12</v>
      </c>
      <c r="I15" s="181"/>
      <c r="J15" s="182"/>
    </row>
    <row r="16" spans="1:10" ht="15.75" customHeight="1" x14ac:dyDescent="0.3">
      <c r="A16" s="105" t="s">
        <v>11</v>
      </c>
      <c r="B16" s="107"/>
      <c r="C16" s="162" t="s">
        <v>175</v>
      </c>
      <c r="D16" s="162"/>
      <c r="E16" s="162"/>
      <c r="F16" s="66" t="s">
        <v>129</v>
      </c>
      <c r="G16" s="67"/>
      <c r="H16" s="190" t="s">
        <v>172</v>
      </c>
      <c r="I16" s="181"/>
      <c r="J16" s="182"/>
    </row>
    <row r="17" spans="1:10" x14ac:dyDescent="0.3">
      <c r="A17" s="161" t="s">
        <v>13</v>
      </c>
      <c r="B17" s="161"/>
      <c r="C17" s="162" t="s">
        <v>172</v>
      </c>
      <c r="D17" s="162"/>
      <c r="E17" s="162"/>
      <c r="F17" s="66" t="s">
        <v>12</v>
      </c>
      <c r="G17" s="67"/>
      <c r="H17" s="163" t="s">
        <v>173</v>
      </c>
      <c r="I17" s="163"/>
      <c r="J17" s="163"/>
    </row>
    <row r="18" spans="1:10" x14ac:dyDescent="0.3">
      <c r="A18" s="161" t="s">
        <v>130</v>
      </c>
      <c r="B18" s="161"/>
      <c r="C18" s="190" t="s">
        <v>150</v>
      </c>
      <c r="D18" s="181"/>
      <c r="E18" s="182"/>
      <c r="F18" s="66" t="s">
        <v>14</v>
      </c>
      <c r="G18" s="67"/>
      <c r="H18" s="190">
        <v>410210</v>
      </c>
      <c r="I18" s="181"/>
      <c r="J18" s="182"/>
    </row>
    <row r="19" spans="1:10" ht="34.200000000000003" customHeight="1" x14ac:dyDescent="0.3">
      <c r="A19" s="161" t="s">
        <v>15</v>
      </c>
      <c r="B19" s="161"/>
      <c r="C19" s="179" t="s">
        <v>174</v>
      </c>
      <c r="D19" s="179"/>
      <c r="E19" s="179"/>
      <c r="F19" s="180" t="s">
        <v>16</v>
      </c>
      <c r="G19" s="180"/>
      <c r="H19" s="181" t="s">
        <v>247</v>
      </c>
      <c r="I19" s="181"/>
      <c r="J19" s="182"/>
    </row>
    <row r="20" spans="1:10" ht="15" customHeight="1" x14ac:dyDescent="0.3">
      <c r="A20" s="66" t="s">
        <v>142</v>
      </c>
      <c r="B20" s="183"/>
      <c r="C20" s="183"/>
      <c r="D20" s="183"/>
      <c r="E20" s="67"/>
      <c r="F20" s="184" t="s">
        <v>17</v>
      </c>
      <c r="G20" s="185"/>
      <c r="H20" s="185"/>
      <c r="I20" s="185"/>
      <c r="J20" s="186"/>
    </row>
    <row r="21" spans="1:10" ht="18.75" customHeight="1" x14ac:dyDescent="0.3">
      <c r="A21" s="68"/>
      <c r="B21" s="104"/>
      <c r="C21" s="104"/>
      <c r="D21" s="104"/>
      <c r="E21" s="69"/>
      <c r="F21" s="187"/>
      <c r="G21" s="188"/>
      <c r="H21" s="188"/>
      <c r="I21" s="188"/>
      <c r="J21" s="189"/>
    </row>
    <row r="22" spans="1:10" ht="15" customHeight="1" x14ac:dyDescent="0.3">
      <c r="A22" s="66" t="s">
        <v>18</v>
      </c>
      <c r="B22" s="183"/>
      <c r="C22" s="183"/>
      <c r="D22" s="183"/>
      <c r="E22" s="67"/>
      <c r="F22" s="66" t="s">
        <v>19</v>
      </c>
      <c r="G22" s="183"/>
      <c r="H22" s="183"/>
      <c r="I22" s="183"/>
      <c r="J22" s="67"/>
    </row>
    <row r="23" spans="1:10" x14ac:dyDescent="0.3">
      <c r="A23" s="68"/>
      <c r="B23" s="104"/>
      <c r="C23" s="104"/>
      <c r="D23" s="104"/>
      <c r="E23" s="69"/>
      <c r="F23" s="68"/>
      <c r="G23" s="104"/>
      <c r="H23" s="104"/>
      <c r="I23" s="104"/>
      <c r="J23" s="69"/>
    </row>
    <row r="24" spans="1:10" ht="15" customHeight="1" x14ac:dyDescent="0.3">
      <c r="A24" s="86" t="s">
        <v>20</v>
      </c>
      <c r="B24" s="76"/>
      <c r="C24" s="76"/>
      <c r="D24" s="76"/>
      <c r="E24" s="77"/>
      <c r="F24" s="176" t="s">
        <v>21</v>
      </c>
      <c r="G24" s="177"/>
      <c r="H24" s="177"/>
      <c r="I24" s="177"/>
      <c r="J24" s="178"/>
    </row>
    <row r="25" spans="1:10" ht="15.6" customHeight="1" x14ac:dyDescent="0.3">
      <c r="A25" s="86" t="s">
        <v>22</v>
      </c>
      <c r="B25" s="76"/>
      <c r="C25" s="76"/>
      <c r="D25" s="76"/>
      <c r="E25" s="77"/>
      <c r="F25" s="176" t="s">
        <v>23</v>
      </c>
      <c r="G25" s="177"/>
      <c r="H25" s="177"/>
      <c r="I25" s="177"/>
      <c r="J25" s="178"/>
    </row>
    <row r="26" spans="1:10" ht="15" customHeight="1" x14ac:dyDescent="0.3">
      <c r="A26" s="86" t="s">
        <v>24</v>
      </c>
      <c r="B26" s="76"/>
      <c r="C26" s="76"/>
      <c r="D26" s="76"/>
      <c r="E26" s="77"/>
      <c r="F26" s="176" t="s">
        <v>25</v>
      </c>
      <c r="G26" s="177"/>
      <c r="H26" s="177"/>
      <c r="I26" s="177"/>
      <c r="J26" s="178"/>
    </row>
    <row r="27" spans="1:10" x14ac:dyDescent="0.3">
      <c r="A27" s="86" t="s">
        <v>26</v>
      </c>
      <c r="B27" s="76"/>
      <c r="C27" s="76"/>
      <c r="D27" s="76"/>
      <c r="E27" s="77"/>
      <c r="F27" s="176" t="s">
        <v>27</v>
      </c>
      <c r="G27" s="177"/>
      <c r="H27" s="177"/>
      <c r="I27" s="177"/>
      <c r="J27" s="178"/>
    </row>
    <row r="28" spans="1:10" x14ac:dyDescent="0.3">
      <c r="A28" s="70" t="s">
        <v>28</v>
      </c>
      <c r="B28" s="72"/>
      <c r="C28" s="70" t="s">
        <v>226</v>
      </c>
      <c r="D28" s="71"/>
      <c r="E28" s="71"/>
      <c r="F28" s="72"/>
      <c r="G28" s="70" t="s">
        <v>34</v>
      </c>
      <c r="H28" s="71"/>
      <c r="I28" s="71"/>
      <c r="J28" s="72"/>
    </row>
    <row r="29" spans="1:10" x14ac:dyDescent="0.3">
      <c r="A29" s="60" t="s">
        <v>29</v>
      </c>
      <c r="B29" s="62"/>
      <c r="C29" s="60" t="s">
        <v>228</v>
      </c>
      <c r="D29" s="61"/>
      <c r="E29" s="61"/>
      <c r="F29" s="62"/>
      <c r="G29" s="60" t="s">
        <v>175</v>
      </c>
      <c r="H29" s="61"/>
      <c r="I29" s="61"/>
      <c r="J29" s="62"/>
    </row>
    <row r="30" spans="1:10" x14ac:dyDescent="0.3">
      <c r="A30" s="60" t="s">
        <v>30</v>
      </c>
      <c r="B30" s="62"/>
      <c r="C30" s="60" t="s">
        <v>229</v>
      </c>
      <c r="D30" s="61"/>
      <c r="E30" s="61"/>
      <c r="F30" s="62"/>
      <c r="G30" s="60" t="s">
        <v>252</v>
      </c>
      <c r="H30" s="61"/>
      <c r="I30" s="61"/>
      <c r="J30" s="62"/>
    </row>
    <row r="31" spans="1:10" x14ac:dyDescent="0.3">
      <c r="A31" s="60" t="s">
        <v>32</v>
      </c>
      <c r="B31" s="62"/>
      <c r="C31" s="60" t="s">
        <v>227</v>
      </c>
      <c r="D31" s="61"/>
      <c r="E31" s="61"/>
      <c r="F31" s="62"/>
      <c r="G31" s="60" t="s">
        <v>251</v>
      </c>
      <c r="H31" s="61"/>
      <c r="I31" s="61"/>
      <c r="J31" s="62"/>
    </row>
    <row r="32" spans="1:10" x14ac:dyDescent="0.3">
      <c r="A32" s="60" t="s">
        <v>31</v>
      </c>
      <c r="B32" s="62"/>
      <c r="C32" s="60" t="s">
        <v>228</v>
      </c>
      <c r="D32" s="61"/>
      <c r="E32" s="61"/>
      <c r="F32" s="62"/>
      <c r="G32" s="60" t="s">
        <v>250</v>
      </c>
      <c r="H32" s="61"/>
      <c r="I32" s="61"/>
      <c r="J32" s="62"/>
    </row>
    <row r="33" spans="1:18" x14ac:dyDescent="0.3">
      <c r="A33" s="86" t="s">
        <v>35</v>
      </c>
      <c r="B33" s="76"/>
      <c r="C33" s="76"/>
      <c r="D33" s="76"/>
      <c r="E33" s="76"/>
      <c r="F33" s="76"/>
      <c r="G33" s="76"/>
      <c r="H33" s="76"/>
      <c r="I33" s="76"/>
      <c r="J33" s="77"/>
    </row>
    <row r="34" spans="1:18" x14ac:dyDescent="0.3">
      <c r="A34" s="86" t="s">
        <v>36</v>
      </c>
      <c r="B34" s="76"/>
      <c r="C34" s="76"/>
      <c r="D34" s="76"/>
      <c r="E34" s="76"/>
      <c r="F34" s="76"/>
      <c r="G34" s="76"/>
      <c r="H34" s="76"/>
      <c r="I34" s="76"/>
      <c r="J34" s="77"/>
    </row>
    <row r="35" spans="1:18" x14ac:dyDescent="0.3">
      <c r="A35" s="86" t="s">
        <v>37</v>
      </c>
      <c r="B35" s="77"/>
      <c r="C35" s="87" t="s">
        <v>214</v>
      </c>
      <c r="D35" s="88"/>
      <c r="E35" s="88"/>
      <c r="F35" s="88"/>
      <c r="G35" s="88"/>
      <c r="H35" s="88"/>
      <c r="I35" s="88"/>
      <c r="J35" s="89"/>
    </row>
    <row r="36" spans="1:18" x14ac:dyDescent="0.3">
      <c r="A36" s="86" t="s">
        <v>207</v>
      </c>
      <c r="B36" s="77"/>
      <c r="C36" s="75" t="s">
        <v>208</v>
      </c>
      <c r="D36" s="76"/>
      <c r="E36" s="76"/>
      <c r="F36" s="76"/>
      <c r="G36" s="76"/>
      <c r="H36" s="76"/>
      <c r="I36" s="76"/>
      <c r="J36" s="77"/>
    </row>
    <row r="37" spans="1:18" x14ac:dyDescent="0.3">
      <c r="A37" s="87" t="s">
        <v>38</v>
      </c>
      <c r="B37" s="88"/>
      <c r="C37" s="88"/>
      <c r="D37" s="88"/>
      <c r="E37" s="88"/>
      <c r="F37" s="88"/>
      <c r="G37" s="88"/>
      <c r="H37" s="88"/>
      <c r="I37" s="88"/>
      <c r="J37" s="89"/>
    </row>
    <row r="38" spans="1:18" ht="15" customHeight="1" x14ac:dyDescent="0.3">
      <c r="A38" s="105" t="s">
        <v>39</v>
      </c>
      <c r="B38" s="106"/>
      <c r="C38" s="106"/>
      <c r="D38" s="106"/>
      <c r="E38" s="107"/>
      <c r="F38" s="164" t="s">
        <v>186</v>
      </c>
      <c r="G38" s="165"/>
      <c r="H38" s="165"/>
      <c r="I38" s="165"/>
      <c r="J38" s="166"/>
    </row>
    <row r="39" spans="1:18" ht="15" customHeight="1" x14ac:dyDescent="0.3">
      <c r="A39" s="68" t="s">
        <v>40</v>
      </c>
      <c r="B39" s="104"/>
      <c r="C39" s="104"/>
      <c r="D39" s="104"/>
      <c r="E39" s="104"/>
      <c r="F39" s="105" t="s">
        <v>41</v>
      </c>
      <c r="G39" s="106"/>
      <c r="H39" s="106"/>
      <c r="I39" s="106"/>
      <c r="J39" s="107"/>
    </row>
    <row r="40" spans="1:18" x14ac:dyDescent="0.3">
      <c r="A40" s="87" t="s">
        <v>42</v>
      </c>
      <c r="B40" s="88"/>
      <c r="C40" s="88"/>
      <c r="D40" s="88"/>
      <c r="E40" s="88"/>
      <c r="F40" s="88"/>
      <c r="G40" s="88"/>
      <c r="H40" s="88"/>
      <c r="I40" s="88"/>
      <c r="J40" s="89"/>
    </row>
    <row r="41" spans="1:18" x14ac:dyDescent="0.3">
      <c r="A41" s="86" t="s">
        <v>43</v>
      </c>
      <c r="B41" s="76"/>
      <c r="C41" s="76"/>
      <c r="D41" s="76"/>
      <c r="E41" s="77"/>
      <c r="F41" s="108">
        <v>3434.63</v>
      </c>
      <c r="G41" s="109"/>
      <c r="H41" s="109"/>
      <c r="I41" s="109"/>
      <c r="J41" s="110"/>
    </row>
    <row r="42" spans="1:18" x14ac:dyDescent="0.3">
      <c r="A42" s="86" t="s">
        <v>44</v>
      </c>
      <c r="B42" s="76"/>
      <c r="C42" s="76"/>
      <c r="D42" s="76"/>
      <c r="E42" s="77"/>
      <c r="F42" s="114">
        <f>5151.945/F41</f>
        <v>1.4999999999999998</v>
      </c>
      <c r="G42" s="115"/>
      <c r="H42" s="115"/>
      <c r="I42" s="115"/>
      <c r="J42" s="116"/>
      <c r="K42" s="52"/>
      <c r="L42" s="52"/>
    </row>
    <row r="43" spans="1:18" x14ac:dyDescent="0.3">
      <c r="A43" s="86" t="s">
        <v>45</v>
      </c>
      <c r="B43" s="76"/>
      <c r="C43" s="76"/>
      <c r="D43" s="76"/>
      <c r="E43" s="77"/>
      <c r="F43" s="114">
        <v>0</v>
      </c>
      <c r="G43" s="115"/>
      <c r="H43" s="115"/>
      <c r="I43" s="115"/>
      <c r="J43" s="116"/>
    </row>
    <row r="44" spans="1:18" x14ac:dyDescent="0.3">
      <c r="A44" s="86" t="s">
        <v>46</v>
      </c>
      <c r="B44" s="76"/>
      <c r="C44" s="76"/>
      <c r="D44" s="76"/>
      <c r="E44" s="77"/>
      <c r="F44" s="114">
        <f>F42+F43</f>
        <v>1.4999999999999998</v>
      </c>
      <c r="G44" s="115"/>
      <c r="H44" s="115"/>
      <c r="I44" s="115"/>
      <c r="J44" s="116"/>
    </row>
    <row r="45" spans="1:18" x14ac:dyDescent="0.3">
      <c r="A45" s="86" t="s">
        <v>47</v>
      </c>
      <c r="B45" s="76"/>
      <c r="C45" s="76"/>
      <c r="D45" s="76"/>
      <c r="E45" s="77"/>
      <c r="F45" s="117">
        <v>10577.28</v>
      </c>
      <c r="G45" s="118"/>
      <c r="H45" s="118"/>
      <c r="I45" s="118"/>
      <c r="J45" s="119"/>
      <c r="L45" s="117">
        <v>5151.95</v>
      </c>
      <c r="M45" s="118"/>
      <c r="N45" s="118"/>
      <c r="O45" s="118"/>
      <c r="P45" s="119"/>
    </row>
    <row r="46" spans="1:18" x14ac:dyDescent="0.3">
      <c r="A46" s="86" t="s">
        <v>48</v>
      </c>
      <c r="B46" s="76"/>
      <c r="C46" s="76"/>
      <c r="D46" s="76"/>
      <c r="E46" s="77"/>
      <c r="F46" s="120" t="s">
        <v>231</v>
      </c>
      <c r="G46" s="121"/>
      <c r="H46" s="121"/>
      <c r="I46" s="121"/>
      <c r="J46" s="122"/>
    </row>
    <row r="47" spans="1:18" x14ac:dyDescent="0.3">
      <c r="A47" s="87" t="s">
        <v>49</v>
      </c>
      <c r="B47" s="88"/>
      <c r="C47" s="88"/>
      <c r="D47" s="88"/>
      <c r="E47" s="88"/>
      <c r="F47" s="88"/>
      <c r="G47" s="88"/>
      <c r="H47" s="88"/>
      <c r="I47" s="88"/>
      <c r="J47" s="89"/>
    </row>
    <row r="48" spans="1:18" ht="30.75" customHeight="1" x14ac:dyDescent="0.3">
      <c r="A48" s="105" t="s">
        <v>50</v>
      </c>
      <c r="B48" s="107"/>
      <c r="C48" s="63" t="s">
        <v>216</v>
      </c>
      <c r="D48" s="64"/>
      <c r="E48" s="64"/>
      <c r="F48" s="65"/>
      <c r="G48" s="18" t="s">
        <v>51</v>
      </c>
      <c r="H48" s="111">
        <v>45623</v>
      </c>
      <c r="I48" s="106"/>
      <c r="J48" s="107"/>
      <c r="L48" s="63" t="s">
        <v>176</v>
      </c>
      <c r="M48" s="64"/>
      <c r="N48" s="64"/>
      <c r="O48" s="65"/>
      <c r="P48" s="105" t="s">
        <v>177</v>
      </c>
      <c r="Q48" s="106"/>
      <c r="R48" s="107"/>
    </row>
    <row r="49" spans="1:10" ht="31.5" customHeight="1" x14ac:dyDescent="0.3">
      <c r="A49" s="105" t="s">
        <v>52</v>
      </c>
      <c r="B49" s="107"/>
      <c r="C49" s="63" t="str">
        <f>C48</f>
        <v>CIDCO/BP-17189/TPO(NM &amp; K)/2019/13245</v>
      </c>
      <c r="D49" s="64"/>
      <c r="E49" s="64"/>
      <c r="F49" s="65"/>
      <c r="G49" s="18" t="s">
        <v>51</v>
      </c>
      <c r="H49" s="111">
        <f>H48</f>
        <v>45623</v>
      </c>
      <c r="I49" s="112"/>
      <c r="J49" s="113"/>
    </row>
    <row r="50" spans="1:10" ht="66.75" hidden="1" customHeight="1" x14ac:dyDescent="0.3">
      <c r="A50" s="105" t="s">
        <v>53</v>
      </c>
      <c r="B50" s="107"/>
      <c r="C50" s="63" t="s">
        <v>178</v>
      </c>
      <c r="D50" s="136"/>
      <c r="E50" s="136"/>
      <c r="F50" s="137"/>
      <c r="G50" s="12" t="s">
        <v>51</v>
      </c>
      <c r="H50" s="138" t="s">
        <v>177</v>
      </c>
      <c r="I50" s="136"/>
      <c r="J50" s="137"/>
    </row>
    <row r="51" spans="1:10" ht="34.200000000000003" customHeight="1" x14ac:dyDescent="0.3">
      <c r="A51" s="66" t="s">
        <v>253</v>
      </c>
      <c r="B51" s="67"/>
      <c r="C51" s="63" t="s">
        <v>216</v>
      </c>
      <c r="D51" s="136"/>
      <c r="E51" s="136"/>
      <c r="F51" s="137"/>
      <c r="G51" s="12" t="s">
        <v>51</v>
      </c>
      <c r="H51" s="233">
        <v>45623</v>
      </c>
      <c r="I51" s="136"/>
      <c r="J51" s="137"/>
    </row>
    <row r="52" spans="1:10" ht="30.6" customHeight="1" x14ac:dyDescent="0.3">
      <c r="A52" s="68"/>
      <c r="B52" s="69"/>
      <c r="C52" s="63" t="s">
        <v>254</v>
      </c>
      <c r="D52" s="64"/>
      <c r="E52" s="64"/>
      <c r="F52" s="64"/>
      <c r="G52" s="64"/>
      <c r="H52" s="64"/>
      <c r="I52" s="64"/>
      <c r="J52" s="65"/>
    </row>
    <row r="53" spans="1:10" ht="81" customHeight="1" x14ac:dyDescent="0.3">
      <c r="A53" s="132" t="s">
        <v>256</v>
      </c>
      <c r="B53" s="131"/>
      <c r="C53" s="133" t="s">
        <v>257</v>
      </c>
      <c r="D53" s="134"/>
      <c r="E53" s="134"/>
      <c r="F53" s="135" t="s">
        <v>54</v>
      </c>
      <c r="G53" s="59" t="s">
        <v>51</v>
      </c>
      <c r="H53" s="129">
        <v>45745</v>
      </c>
      <c r="I53" s="130" t="s">
        <v>33</v>
      </c>
      <c r="J53" s="131"/>
    </row>
    <row r="54" spans="1:10" x14ac:dyDescent="0.3">
      <c r="A54" s="123" t="s">
        <v>56</v>
      </c>
      <c r="B54" s="124"/>
      <c r="C54" s="124"/>
      <c r="D54" s="124"/>
      <c r="E54" s="124"/>
      <c r="F54" s="124"/>
      <c r="G54" s="124"/>
      <c r="H54" s="124"/>
      <c r="I54" s="124"/>
      <c r="J54" s="125"/>
    </row>
    <row r="55" spans="1:10" ht="15.75" customHeight="1" x14ac:dyDescent="0.3">
      <c r="A55" s="126" t="s">
        <v>57</v>
      </c>
      <c r="B55" s="127"/>
      <c r="C55" s="128"/>
      <c r="D55" s="190">
        <f>F45</f>
        <v>10577.28</v>
      </c>
      <c r="E55" s="181"/>
      <c r="F55" s="181"/>
      <c r="G55" s="181"/>
      <c r="H55" s="181" t="s">
        <v>235</v>
      </c>
      <c r="I55" s="181"/>
      <c r="J55" s="182"/>
    </row>
    <row r="56" spans="1:10" ht="15.75" customHeight="1" x14ac:dyDescent="0.3">
      <c r="A56" s="126" t="s">
        <v>58</v>
      </c>
      <c r="B56" s="127"/>
      <c r="C56" s="128"/>
      <c r="D56" s="190" t="s">
        <v>243</v>
      </c>
      <c r="E56" s="181"/>
      <c r="F56" s="181" t="s">
        <v>58</v>
      </c>
      <c r="G56" s="181"/>
      <c r="H56" s="181"/>
      <c r="I56" s="181"/>
      <c r="J56" s="182"/>
    </row>
    <row r="57" spans="1:10" ht="15.6" customHeight="1" x14ac:dyDescent="0.3">
      <c r="A57" s="126" t="s">
        <v>59</v>
      </c>
      <c r="B57" s="127"/>
      <c r="C57" s="128"/>
      <c r="D57" s="190" t="s">
        <v>244</v>
      </c>
      <c r="E57" s="181"/>
      <c r="F57" s="181"/>
      <c r="G57" s="181"/>
      <c r="H57" s="181"/>
      <c r="I57" s="181"/>
      <c r="J57" s="182"/>
    </row>
    <row r="58" spans="1:10" ht="15.6" customHeight="1" x14ac:dyDescent="0.3">
      <c r="A58" s="126" t="s">
        <v>213</v>
      </c>
      <c r="B58" s="127"/>
      <c r="C58" s="128"/>
      <c r="D58" s="190" t="s">
        <v>244</v>
      </c>
      <c r="E58" s="181"/>
      <c r="F58" s="181"/>
      <c r="G58" s="181"/>
      <c r="H58" s="181"/>
      <c r="I58" s="181"/>
      <c r="J58" s="182"/>
    </row>
    <row r="59" spans="1:10" x14ac:dyDescent="0.3">
      <c r="A59" s="126" t="s">
        <v>55</v>
      </c>
      <c r="B59" s="127"/>
      <c r="C59" s="128"/>
      <c r="D59" s="146" t="s">
        <v>260</v>
      </c>
      <c r="E59" s="147"/>
      <c r="F59" s="147"/>
      <c r="G59" s="147"/>
      <c r="H59" s="147"/>
      <c r="I59" s="147"/>
      <c r="J59" s="148"/>
    </row>
    <row r="60" spans="1:10" ht="34.200000000000003" customHeight="1" x14ac:dyDescent="0.3">
      <c r="A60" s="126" t="s">
        <v>236</v>
      </c>
      <c r="B60" s="127"/>
      <c r="C60" s="128" t="s">
        <v>131</v>
      </c>
      <c r="D60" s="190" t="s">
        <v>237</v>
      </c>
      <c r="E60" s="181"/>
      <c r="F60" s="181"/>
      <c r="G60" s="181"/>
      <c r="H60" s="181"/>
      <c r="I60" s="181"/>
      <c r="J60" s="182"/>
    </row>
    <row r="61" spans="1:10" ht="15.75" customHeight="1" x14ac:dyDescent="0.3">
      <c r="A61" s="86" t="s">
        <v>239</v>
      </c>
      <c r="B61" s="76"/>
      <c r="C61" s="76"/>
      <c r="D61" s="105" t="s">
        <v>27</v>
      </c>
      <c r="E61" s="106"/>
      <c r="F61" s="106"/>
      <c r="G61" s="106"/>
      <c r="H61" s="106"/>
      <c r="I61" s="106"/>
      <c r="J61" s="107"/>
    </row>
    <row r="62" spans="1:10" ht="15.75" customHeight="1" x14ac:dyDescent="0.3">
      <c r="A62" s="86" t="s">
        <v>238</v>
      </c>
      <c r="B62" s="76"/>
      <c r="C62" s="76"/>
      <c r="D62" s="105" t="s">
        <v>258</v>
      </c>
      <c r="E62" s="106"/>
      <c r="F62" s="106"/>
      <c r="G62" s="106"/>
      <c r="H62" s="106"/>
      <c r="I62" s="106"/>
      <c r="J62" s="107"/>
    </row>
    <row r="63" spans="1:10" x14ac:dyDescent="0.3">
      <c r="A63" s="86" t="s">
        <v>240</v>
      </c>
      <c r="B63" s="76"/>
      <c r="C63" s="76"/>
      <c r="D63" s="105" t="s">
        <v>259</v>
      </c>
      <c r="E63" s="106"/>
      <c r="F63" s="106"/>
      <c r="G63" s="106"/>
      <c r="H63" s="106"/>
      <c r="I63" s="106"/>
      <c r="J63" s="107"/>
    </row>
    <row r="64" spans="1:10" x14ac:dyDescent="0.3">
      <c r="A64" s="86" t="s">
        <v>241</v>
      </c>
      <c r="B64" s="76"/>
      <c r="C64" s="76"/>
      <c r="D64" s="105" t="s">
        <v>33</v>
      </c>
      <c r="E64" s="106"/>
      <c r="F64" s="106"/>
      <c r="G64" s="106"/>
      <c r="H64" s="106"/>
      <c r="I64" s="106"/>
      <c r="J64" s="107"/>
    </row>
    <row r="65" spans="1:13" ht="33.6" customHeight="1" thickBot="1" x14ac:dyDescent="0.35">
      <c r="A65" s="105" t="s">
        <v>242</v>
      </c>
      <c r="B65" s="106"/>
      <c r="C65" s="106"/>
      <c r="D65" s="105" t="s">
        <v>19</v>
      </c>
      <c r="E65" s="106"/>
      <c r="F65" s="106"/>
      <c r="G65" s="106"/>
      <c r="H65" s="106"/>
      <c r="I65" s="106"/>
      <c r="J65" s="107"/>
    </row>
    <row r="66" spans="1:13" ht="15" customHeight="1" x14ac:dyDescent="0.3">
      <c r="A66" s="143" t="s">
        <v>215</v>
      </c>
      <c r="B66" s="144"/>
      <c r="C66" s="144"/>
      <c r="D66" s="144"/>
      <c r="E66" s="144"/>
      <c r="F66" s="144"/>
      <c r="G66" s="144"/>
      <c r="H66" s="144"/>
      <c r="I66" s="144"/>
      <c r="J66" s="145"/>
      <c r="K66" s="34" t="str">
        <f>(IF(C70=0,"Work not yet Started.",IF(D70=50%,"Excavation work in process",IF(D70=100%,"Excavation work completed, ","0")))&amp;(IF(C71=0%,"",IF(D71=25%,"Footing work is process",IF(D71=50%,"Footing work Completed",IF(D71=75%,"Plinth work is process",IF(D71=100%,"Plinth work completed","0"))))))&amp;(IF(C72&gt;0,", RCC upto "&amp;C72&amp;" Slab completed",""))&amp;(IF(C73&gt;0,", Brickwork upto "&amp;C73&amp;" Floor completed"," "))&amp;(IF(C74&gt;0,", Internal Plaster upto "&amp;C74&amp;" Floor completed"," "))&amp;(IF(C75&gt;0,", External Plaster upto "&amp;C75&amp;" Floor completed"," "))&amp;(IF(C76&gt;0,", Flooring upto "&amp;C76&amp;" Floor completed"," "))&amp;(IF(C77&gt;0,", Painting upto "&amp;C77&amp;" Floor completed"," "))&amp;(IF(C78&gt;0,", Finishing upto "&amp;C78&amp;" Floor completed"," ")))</f>
        <v>Excavation work completed, Plinth work completed, RCC upto 22 Slab completed, Brickwork upto 21 Floor completed, Internal Plaster upto 21 Floor completed, External Plaster upto 21 Floor completed, Flooring upto 21 Floor completed, Painting upto 21 Floor completed, Finishing upto 21 Floor completed</v>
      </c>
      <c r="L66" s="34"/>
      <c r="M66" s="35"/>
    </row>
    <row r="67" spans="1:13" ht="16.5" customHeight="1" x14ac:dyDescent="0.3">
      <c r="A67" s="78" t="s">
        <v>127</v>
      </c>
      <c r="B67" s="79"/>
      <c r="C67" s="44">
        <v>1</v>
      </c>
      <c r="D67" s="79" t="s">
        <v>126</v>
      </c>
      <c r="E67" s="79"/>
      <c r="F67" s="79">
        <v>0</v>
      </c>
      <c r="G67" s="79"/>
      <c r="H67" s="44" t="s">
        <v>187</v>
      </c>
      <c r="I67" s="79">
        <v>21</v>
      </c>
      <c r="J67" s="80"/>
      <c r="K67" s="36" t="s">
        <v>188</v>
      </c>
      <c r="L67" s="36"/>
      <c r="M67" s="37"/>
    </row>
    <row r="68" spans="1:13" x14ac:dyDescent="0.3">
      <c r="A68" s="81" t="s">
        <v>189</v>
      </c>
      <c r="B68" s="82"/>
      <c r="C68" s="83" t="str">
        <f>K69</f>
        <v>All work Completed. OC Received.</v>
      </c>
      <c r="D68" s="84"/>
      <c r="E68" s="84"/>
      <c r="F68" s="84"/>
      <c r="G68" s="84"/>
      <c r="H68" s="84"/>
      <c r="I68" s="84"/>
      <c r="J68" s="85"/>
      <c r="K68" s="36" t="s">
        <v>190</v>
      </c>
      <c r="L68" s="36"/>
      <c r="M68" s="37"/>
    </row>
    <row r="69" spans="1:13" x14ac:dyDescent="0.3">
      <c r="A69" s="139" t="s">
        <v>60</v>
      </c>
      <c r="B69" s="140"/>
      <c r="C69" s="45" t="s">
        <v>191</v>
      </c>
      <c r="D69" s="140" t="s">
        <v>192</v>
      </c>
      <c r="E69" s="140"/>
      <c r="F69" s="140" t="s">
        <v>193</v>
      </c>
      <c r="G69" s="140"/>
      <c r="H69" s="140" t="s">
        <v>194</v>
      </c>
      <c r="I69" s="140"/>
      <c r="J69" s="142"/>
      <c r="K69" s="36" t="s">
        <v>195</v>
      </c>
      <c r="M69" s="38"/>
    </row>
    <row r="70" spans="1:13" x14ac:dyDescent="0.3">
      <c r="A70" s="139" t="s">
        <v>196</v>
      </c>
      <c r="B70" s="140"/>
      <c r="C70" s="46">
        <f>M73</f>
        <v>21</v>
      </c>
      <c r="D70" s="141">
        <f>((100/I67)*C70)/100</f>
        <v>1</v>
      </c>
      <c r="E70" s="141"/>
      <c r="F70" s="141" t="str">
        <f>(IF(C68=K68,"100%",IF(C68=K69,"100%",(((C71/I67*10)+(40/(C67+F67+I67)*C72)+(7.5/(I67)*C73)+(7.5/(I67)*C74)+(10/I67*C75)+(10/I67*C76)+(5/I67*C77)+(5/I67*C78)+(5/I67*C79))/100))))</f>
        <v>100%</v>
      </c>
      <c r="G70" s="141"/>
      <c r="H70" s="141">
        <f>((((C70/I67)*20)+((C71/I67)*25)+(30/(I67+F67+C67)*C72)+(5/I67*C73)+(5/I67*C74)+(5/I67*C75)+(5/I67*C76)+(0/I67*C77)+(0/I67*C78)+(5/I67*C79))/100)</f>
        <v>1</v>
      </c>
      <c r="I70" s="141"/>
      <c r="J70" s="199"/>
      <c r="K70" s="36"/>
      <c r="M70" s="38"/>
    </row>
    <row r="71" spans="1:13" x14ac:dyDescent="0.3">
      <c r="A71" s="139" t="s">
        <v>61</v>
      </c>
      <c r="B71" s="140"/>
      <c r="C71" s="46">
        <f>M78</f>
        <v>21</v>
      </c>
      <c r="D71" s="141">
        <f>((100/I67)*C71)/100</f>
        <v>1</v>
      </c>
      <c r="E71" s="141"/>
      <c r="F71" s="141"/>
      <c r="G71" s="141"/>
      <c r="H71" s="141"/>
      <c r="I71" s="141"/>
      <c r="J71" s="199"/>
      <c r="M71" s="38"/>
    </row>
    <row r="72" spans="1:13" x14ac:dyDescent="0.3">
      <c r="A72" s="139" t="s">
        <v>62</v>
      </c>
      <c r="B72" s="140"/>
      <c r="C72" s="47">
        <v>22</v>
      </c>
      <c r="D72" s="141">
        <f>((100/(C67+F67+I67))*C72)/100</f>
        <v>1.0000000000000002</v>
      </c>
      <c r="E72" s="141"/>
      <c r="F72" s="141"/>
      <c r="G72" s="141"/>
      <c r="H72" s="141"/>
      <c r="I72" s="141"/>
      <c r="J72" s="199"/>
      <c r="K72" s="39" t="s">
        <v>132</v>
      </c>
      <c r="L72" s="40"/>
      <c r="M72" s="41">
        <f>I67*50%</f>
        <v>10.5</v>
      </c>
    </row>
    <row r="73" spans="1:13" x14ac:dyDescent="0.3">
      <c r="A73" s="139" t="s">
        <v>197</v>
      </c>
      <c r="B73" s="140" t="s">
        <v>198</v>
      </c>
      <c r="C73" s="46">
        <v>21</v>
      </c>
      <c r="D73" s="141">
        <f>((100/I67)*C73)/100</f>
        <v>1</v>
      </c>
      <c r="E73" s="141"/>
      <c r="F73" s="141"/>
      <c r="G73" s="141"/>
      <c r="H73" s="141"/>
      <c r="I73" s="141"/>
      <c r="J73" s="199"/>
      <c r="K73" s="39" t="s">
        <v>133</v>
      </c>
      <c r="L73" s="40"/>
      <c r="M73" s="41">
        <f>I67</f>
        <v>21</v>
      </c>
    </row>
    <row r="74" spans="1:13" ht="15" customHeight="1" x14ac:dyDescent="0.3">
      <c r="A74" s="139" t="s">
        <v>199</v>
      </c>
      <c r="B74" s="140" t="s">
        <v>198</v>
      </c>
      <c r="C74" s="46">
        <v>21</v>
      </c>
      <c r="D74" s="141">
        <f>((100/I67)*C74)/100</f>
        <v>1</v>
      </c>
      <c r="E74" s="141"/>
      <c r="F74" s="141"/>
      <c r="G74" s="141"/>
      <c r="H74" s="141"/>
      <c r="I74" s="141"/>
      <c r="J74" s="199"/>
      <c r="K74" s="39"/>
      <c r="L74" s="40"/>
      <c r="M74" s="41"/>
    </row>
    <row r="75" spans="1:13" x14ac:dyDescent="0.3">
      <c r="A75" s="78" t="s">
        <v>200</v>
      </c>
      <c r="B75" s="79" t="s">
        <v>201</v>
      </c>
      <c r="C75" s="46">
        <v>21</v>
      </c>
      <c r="D75" s="141">
        <f>((100/(I67))*C75)/100</f>
        <v>1</v>
      </c>
      <c r="E75" s="141"/>
      <c r="F75" s="141"/>
      <c r="G75" s="141"/>
      <c r="H75" s="141"/>
      <c r="I75" s="141"/>
      <c r="J75" s="199"/>
      <c r="K75" s="39" t="s">
        <v>134</v>
      </c>
      <c r="L75" s="40"/>
      <c r="M75" s="41">
        <f>I67*25%</f>
        <v>5.25</v>
      </c>
    </row>
    <row r="76" spans="1:13" x14ac:dyDescent="0.3">
      <c r="A76" s="139" t="s">
        <v>202</v>
      </c>
      <c r="B76" s="140" t="s">
        <v>202</v>
      </c>
      <c r="C76" s="46">
        <v>21</v>
      </c>
      <c r="D76" s="141">
        <f>((100/I67)*C76)/100</f>
        <v>1</v>
      </c>
      <c r="E76" s="141"/>
      <c r="F76" s="141"/>
      <c r="G76" s="141"/>
      <c r="H76" s="141"/>
      <c r="I76" s="141"/>
      <c r="J76" s="199"/>
      <c r="K76" s="39" t="s">
        <v>135</v>
      </c>
      <c r="L76" s="40"/>
      <c r="M76" s="41">
        <f>I67*50%</f>
        <v>10.5</v>
      </c>
    </row>
    <row r="77" spans="1:13" ht="15" customHeight="1" x14ac:dyDescent="0.3">
      <c r="A77" s="139" t="s">
        <v>203</v>
      </c>
      <c r="B77" s="140"/>
      <c r="C77" s="46">
        <v>21</v>
      </c>
      <c r="D77" s="141">
        <f>((100/I67)*C77)/100</f>
        <v>1</v>
      </c>
      <c r="E77" s="141"/>
      <c r="F77" s="141"/>
      <c r="G77" s="141"/>
      <c r="H77" s="141"/>
      <c r="I77" s="141"/>
      <c r="J77" s="199"/>
      <c r="K77" s="39" t="s">
        <v>136</v>
      </c>
      <c r="L77" s="40"/>
      <c r="M77" s="41">
        <f>I67*75%</f>
        <v>15.75</v>
      </c>
    </row>
    <row r="78" spans="1:13" x14ac:dyDescent="0.3">
      <c r="A78" s="139" t="s">
        <v>204</v>
      </c>
      <c r="B78" s="140" t="s">
        <v>204</v>
      </c>
      <c r="C78" s="46">
        <v>21</v>
      </c>
      <c r="D78" s="141">
        <f>((100/(I67))*C78)/100</f>
        <v>1</v>
      </c>
      <c r="E78" s="141"/>
      <c r="F78" s="141"/>
      <c r="G78" s="141"/>
      <c r="H78" s="141"/>
      <c r="I78" s="141"/>
      <c r="J78" s="199"/>
      <c r="K78" s="39" t="s">
        <v>137</v>
      </c>
      <c r="L78" s="40"/>
      <c r="M78" s="41">
        <f>I67</f>
        <v>21</v>
      </c>
    </row>
    <row r="79" spans="1:13" ht="16.2" thickBot="1" x14ac:dyDescent="0.35">
      <c r="A79" s="197" t="s">
        <v>205</v>
      </c>
      <c r="B79" s="198"/>
      <c r="C79" s="48">
        <v>21</v>
      </c>
      <c r="D79" s="191">
        <f>((100/(I67))*C79)/100</f>
        <v>1</v>
      </c>
      <c r="E79" s="191"/>
      <c r="F79" s="191"/>
      <c r="G79" s="191"/>
      <c r="H79" s="191"/>
      <c r="I79" s="191"/>
      <c r="J79" s="200"/>
      <c r="K79" s="42"/>
      <c r="L79" s="42"/>
      <c r="M79" s="43"/>
    </row>
    <row r="80" spans="1:13" x14ac:dyDescent="0.3">
      <c r="A80" s="87" t="s">
        <v>66</v>
      </c>
      <c r="B80" s="88"/>
      <c r="C80" s="88"/>
      <c r="D80" s="88"/>
      <c r="E80" s="88"/>
      <c r="F80" s="88"/>
      <c r="G80" s="88"/>
      <c r="H80" s="88"/>
      <c r="I80" s="88"/>
      <c r="J80" s="89"/>
      <c r="K80" s="11">
        <v>11000</v>
      </c>
    </row>
    <row r="81" spans="1:14" x14ac:dyDescent="0.3">
      <c r="A81" s="86" t="s">
        <v>138</v>
      </c>
      <c r="B81" s="76"/>
      <c r="C81" s="76"/>
      <c r="D81" s="76"/>
      <c r="E81" s="76"/>
      <c r="F81" s="77"/>
      <c r="G81" s="196">
        <v>14600</v>
      </c>
      <c r="H81" s="194"/>
      <c r="I81" s="194"/>
      <c r="J81" s="195"/>
      <c r="K81" s="11" t="s">
        <v>255</v>
      </c>
    </row>
    <row r="82" spans="1:14" x14ac:dyDescent="0.3">
      <c r="A82" s="120" t="s">
        <v>139</v>
      </c>
      <c r="B82" s="121"/>
      <c r="C82" s="121"/>
      <c r="D82" s="121"/>
      <c r="E82" s="121"/>
      <c r="F82" s="122"/>
      <c r="G82" s="193">
        <v>20000</v>
      </c>
      <c r="H82" s="194"/>
      <c r="I82" s="194"/>
      <c r="J82" s="195"/>
    </row>
    <row r="83" spans="1:14" x14ac:dyDescent="0.3">
      <c r="A83" s="86" t="s">
        <v>185</v>
      </c>
      <c r="B83" s="76"/>
      <c r="C83" s="76"/>
      <c r="D83" s="76"/>
      <c r="E83" s="76"/>
      <c r="F83" s="77"/>
      <c r="G83" s="192">
        <v>450000</v>
      </c>
      <c r="H83" s="64"/>
      <c r="I83" s="64"/>
      <c r="J83" s="65"/>
    </row>
    <row r="84" spans="1:14" x14ac:dyDescent="0.3">
      <c r="A84" s="86" t="s">
        <v>67</v>
      </c>
      <c r="B84" s="76"/>
      <c r="C84" s="76"/>
      <c r="D84" s="76"/>
      <c r="E84" s="76"/>
      <c r="F84" s="77"/>
      <c r="G84" s="192">
        <v>100000</v>
      </c>
      <c r="H84" s="64"/>
      <c r="I84" s="64"/>
      <c r="J84" s="65"/>
    </row>
    <row r="85" spans="1:14" x14ac:dyDescent="0.3">
      <c r="A85" s="86" t="s">
        <v>209</v>
      </c>
      <c r="B85" s="76"/>
      <c r="C85" s="76"/>
      <c r="D85" s="76"/>
      <c r="E85" s="76"/>
      <c r="F85" s="77"/>
      <c r="G85" s="192">
        <v>550000</v>
      </c>
      <c r="H85" s="64"/>
      <c r="I85" s="64"/>
      <c r="J85" s="65"/>
      <c r="L85" s="50">
        <f>AVERAGE(G128:G131,G133:G136,G138:G141)</f>
        <v>1447.5834886499997</v>
      </c>
      <c r="M85" s="11">
        <f>L85*350</f>
        <v>506654.22102749988</v>
      </c>
    </row>
    <row r="86" spans="1:14" x14ac:dyDescent="0.3">
      <c r="A86" s="86" t="s">
        <v>68</v>
      </c>
      <c r="B86" s="76"/>
      <c r="C86" s="76"/>
      <c r="D86" s="76"/>
      <c r="E86" s="76"/>
      <c r="F86" s="77"/>
      <c r="G86" s="192">
        <v>800000</v>
      </c>
      <c r="H86" s="64"/>
      <c r="I86" s="64"/>
      <c r="J86" s="65"/>
      <c r="L86" s="50">
        <f>AVERAGE(G100:G121)</f>
        <v>1214.468898381818</v>
      </c>
      <c r="M86" s="11">
        <f>L86*450</f>
        <v>546511.00427181809</v>
      </c>
    </row>
    <row r="87" spans="1:14" s="13" customFormat="1" ht="14.4" customHeight="1" x14ac:dyDescent="0.3">
      <c r="A87" s="87" t="s">
        <v>69</v>
      </c>
      <c r="B87" s="88"/>
      <c r="C87" s="88"/>
      <c r="D87" s="88"/>
      <c r="E87" s="88"/>
      <c r="F87" s="89"/>
      <c r="G87" s="138">
        <f>G81*0.8</f>
        <v>11680</v>
      </c>
      <c r="H87" s="136"/>
      <c r="I87" s="136"/>
      <c r="J87" s="137"/>
    </row>
    <row r="88" spans="1:14" s="1" customFormat="1" ht="15.75" customHeight="1" x14ac:dyDescent="0.3">
      <c r="A88" s="201" t="s">
        <v>140</v>
      </c>
      <c r="B88" s="202"/>
      <c r="C88" s="202"/>
      <c r="D88" s="202"/>
      <c r="E88" s="202"/>
      <c r="F88" s="202"/>
      <c r="G88" s="202"/>
      <c r="H88" s="202"/>
      <c r="I88" s="202"/>
      <c r="J88" s="203"/>
    </row>
    <row r="89" spans="1:14" s="1" customFormat="1" ht="15.75" customHeight="1" x14ac:dyDescent="0.3">
      <c r="A89" s="209" t="s">
        <v>70</v>
      </c>
      <c r="B89" s="211"/>
      <c r="C89" s="9" t="s">
        <v>184</v>
      </c>
      <c r="D89" s="222" t="s">
        <v>71</v>
      </c>
      <c r="E89" s="223"/>
      <c r="F89" s="224"/>
      <c r="G89" s="209" t="s">
        <v>72</v>
      </c>
      <c r="H89" s="210"/>
      <c r="I89" s="210"/>
      <c r="J89" s="211"/>
    </row>
    <row r="90" spans="1:14" s="1" customFormat="1" x14ac:dyDescent="0.3">
      <c r="A90" s="212" t="s">
        <v>206</v>
      </c>
      <c r="B90" s="213"/>
      <c r="C90" s="10">
        <f>COUNT(D100:E121)</f>
        <v>22</v>
      </c>
      <c r="D90" s="214">
        <f>SUM(D100:E121)</f>
        <v>15716.656331999999</v>
      </c>
      <c r="E90" s="215"/>
      <c r="F90" s="216"/>
      <c r="G90" s="217">
        <f>SUM(G100:G121)</f>
        <v>26718.315764399995</v>
      </c>
      <c r="H90" s="218"/>
      <c r="I90" s="218"/>
      <c r="J90" s="219"/>
      <c r="M90" s="51">
        <f>SUM(G90,G93)</f>
        <v>134976.91423319999</v>
      </c>
      <c r="N90" s="51">
        <f>SUM(D90,D93)</f>
        <v>85331.954447999989</v>
      </c>
    </row>
    <row r="91" spans="1:14" s="1" customFormat="1" x14ac:dyDescent="0.3">
      <c r="A91" s="201" t="s">
        <v>124</v>
      </c>
      <c r="B91" s="202"/>
      <c r="C91" s="202"/>
      <c r="D91" s="202"/>
      <c r="E91" s="202"/>
      <c r="F91" s="202"/>
      <c r="G91" s="202"/>
      <c r="H91" s="202"/>
      <c r="I91" s="202"/>
      <c r="J91" s="203"/>
    </row>
    <row r="92" spans="1:14" s="1" customFormat="1" x14ac:dyDescent="0.3">
      <c r="A92" s="209" t="s">
        <v>70</v>
      </c>
      <c r="B92" s="211"/>
      <c r="C92" s="9" t="s">
        <v>183</v>
      </c>
      <c r="D92" s="222" t="s">
        <v>71</v>
      </c>
      <c r="E92" s="223"/>
      <c r="F92" s="224"/>
      <c r="G92" s="209" t="s">
        <v>72</v>
      </c>
      <c r="H92" s="210"/>
      <c r="I92" s="210"/>
      <c r="J92" s="211"/>
    </row>
    <row r="93" spans="1:14" s="1" customFormat="1" ht="16.2" thickBot="1" x14ac:dyDescent="0.35">
      <c r="A93" s="220" t="s">
        <v>206</v>
      </c>
      <c r="B93" s="221"/>
      <c r="C93" s="55">
        <f>COUNT(D128:E131)+COUNT(D133:E136)*6+COUNT(D138:E141)*6+COUNT(D143:E145)*2+COUNT(D147:E149)*2+COUNT(D151:E153)</f>
        <v>67</v>
      </c>
      <c r="D93" s="225">
        <f>SUM(D128:D131)+SUM(D133:D136)*6+SUM(D138:D141)*6+SUM(D143:D145)*2+SUM(D147:D149)*2+SUM(D151:D153)</f>
        <v>69615.298115999991</v>
      </c>
      <c r="E93" s="226"/>
      <c r="F93" s="227"/>
      <c r="G93" s="228">
        <f>SUM(G128:G131)+SUM(G133:G136)*6+SUM(G138:G141)*6+SUM(G143:G145)*2+SUM(G147:G149)*2+SUM(G151:G153)</f>
        <v>108258.59846879999</v>
      </c>
      <c r="H93" s="229"/>
      <c r="I93" s="229"/>
      <c r="J93" s="230"/>
    </row>
    <row r="94" spans="1:14" s="1" customFormat="1" ht="16.2" thickBot="1" x14ac:dyDescent="0.35">
      <c r="A94" s="204" t="s">
        <v>74</v>
      </c>
      <c r="B94" s="205"/>
      <c r="C94" s="56">
        <f>C90+C93</f>
        <v>89</v>
      </c>
      <c r="D94" s="206">
        <f>D90+D93</f>
        <v>85331.954447999989</v>
      </c>
      <c r="E94" s="207"/>
      <c r="F94" s="208"/>
      <c r="G94" s="231">
        <f>G90+G93</f>
        <v>134976.91423319999</v>
      </c>
      <c r="H94" s="231"/>
      <c r="I94" s="231"/>
      <c r="J94" s="232"/>
    </row>
    <row r="95" spans="1:14" s="13" customFormat="1" x14ac:dyDescent="0.3">
      <c r="A95" s="234" t="s">
        <v>75</v>
      </c>
      <c r="B95" s="235"/>
      <c r="C95" s="235"/>
      <c r="D95" s="235"/>
      <c r="E95" s="235"/>
      <c r="F95" s="235"/>
      <c r="G95" s="235"/>
      <c r="H95" s="235"/>
      <c r="I95" s="235"/>
      <c r="J95" s="236"/>
    </row>
    <row r="96" spans="1:14" x14ac:dyDescent="0.3">
      <c r="A96" s="237" t="s">
        <v>248</v>
      </c>
      <c r="B96" s="238"/>
      <c r="C96" s="238"/>
      <c r="D96" s="238"/>
      <c r="E96" s="238"/>
      <c r="F96" s="238"/>
      <c r="G96" s="238"/>
      <c r="H96" s="238"/>
      <c r="I96" s="238"/>
      <c r="J96" s="239"/>
    </row>
    <row r="97" spans="1:14" ht="31.95" customHeight="1" x14ac:dyDescent="0.3">
      <c r="A97" s="249" t="s">
        <v>141</v>
      </c>
      <c r="B97" s="250"/>
      <c r="C97" s="253" t="s">
        <v>76</v>
      </c>
      <c r="D97" s="249" t="s">
        <v>77</v>
      </c>
      <c r="E97" s="250"/>
      <c r="F97" s="255" t="s">
        <v>78</v>
      </c>
      <c r="G97" s="57" t="s">
        <v>232</v>
      </c>
      <c r="H97" s="257" t="s">
        <v>79</v>
      </c>
      <c r="I97" s="257"/>
      <c r="J97" s="250"/>
    </row>
    <row r="98" spans="1:14" x14ac:dyDescent="0.3">
      <c r="A98" s="251"/>
      <c r="B98" s="252"/>
      <c r="C98" s="254"/>
      <c r="D98" s="251"/>
      <c r="E98" s="252"/>
      <c r="F98" s="256"/>
      <c r="G98" s="58">
        <v>0.7</v>
      </c>
      <c r="H98" s="258"/>
      <c r="I98" s="258"/>
      <c r="J98" s="252"/>
    </row>
    <row r="99" spans="1:14" s="2" customFormat="1" x14ac:dyDescent="0.3">
      <c r="A99" s="92" t="s">
        <v>217</v>
      </c>
      <c r="B99" s="93"/>
      <c r="C99" s="93"/>
      <c r="D99" s="93"/>
      <c r="E99" s="93"/>
      <c r="F99" s="93"/>
      <c r="G99" s="93"/>
      <c r="H99" s="93"/>
      <c r="I99" s="93"/>
      <c r="J99" s="94"/>
    </row>
    <row r="100" spans="1:14" s="2" customFormat="1" ht="15.75" customHeight="1" x14ac:dyDescent="0.3">
      <c r="A100" s="73">
        <v>1</v>
      </c>
      <c r="B100" s="74"/>
      <c r="C100" s="3" t="s">
        <v>179</v>
      </c>
      <c r="D100" s="73">
        <f>43.201*10.764</f>
        <v>465.01556399999998</v>
      </c>
      <c r="E100" s="74"/>
      <c r="F100" s="3">
        <v>0</v>
      </c>
      <c r="G100" s="3">
        <f>D100*1.7</f>
        <v>790.5264588</v>
      </c>
      <c r="H100" s="95" t="str">
        <f>A99</f>
        <v>Ground Floor is For Commercial Entrance Lobby, Metre Room &amp; Parking</v>
      </c>
      <c r="I100" s="96"/>
      <c r="J100" s="97"/>
      <c r="L100" s="2">
        <f>16.06*2.6+1.345</f>
        <v>43.100999999999999</v>
      </c>
      <c r="M100" s="49">
        <f>G100/D100</f>
        <v>1.7</v>
      </c>
    </row>
    <row r="101" spans="1:14" s="2" customFormat="1" x14ac:dyDescent="0.3">
      <c r="A101" s="73">
        <v>2</v>
      </c>
      <c r="B101" s="74"/>
      <c r="C101" s="3" t="s">
        <v>179</v>
      </c>
      <c r="D101" s="73">
        <f>41.321*10.764</f>
        <v>444.77924399999995</v>
      </c>
      <c r="E101" s="74"/>
      <c r="F101" s="3">
        <v>0</v>
      </c>
      <c r="G101" s="3">
        <f t="shared" ref="G101:G121" si="0">D101*1.7</f>
        <v>756.12471479999988</v>
      </c>
      <c r="H101" s="98"/>
      <c r="I101" s="99"/>
      <c r="J101" s="100"/>
      <c r="M101" s="49">
        <f t="shared" ref="M101:M121" si="1">G101/D101</f>
        <v>1.7</v>
      </c>
    </row>
    <row r="102" spans="1:14" s="2" customFormat="1" x14ac:dyDescent="0.3">
      <c r="A102" s="73">
        <v>3</v>
      </c>
      <c r="B102" s="74"/>
      <c r="C102" s="3" t="s">
        <v>179</v>
      </c>
      <c r="D102" s="73">
        <f>63.959*10.764</f>
        <v>688.45467599999995</v>
      </c>
      <c r="E102" s="74"/>
      <c r="F102" s="3">
        <v>0</v>
      </c>
      <c r="G102" s="3">
        <f t="shared" si="0"/>
        <v>1170.3729492</v>
      </c>
      <c r="H102" s="98"/>
      <c r="I102" s="99"/>
      <c r="J102" s="100"/>
      <c r="M102" s="49">
        <f t="shared" si="1"/>
        <v>1.7000000000000002</v>
      </c>
    </row>
    <row r="103" spans="1:14" s="2" customFormat="1" x14ac:dyDescent="0.3">
      <c r="A103" s="73">
        <v>4</v>
      </c>
      <c r="B103" s="74"/>
      <c r="C103" s="3" t="s">
        <v>179</v>
      </c>
      <c r="D103" s="73">
        <f>87.322*10.764</f>
        <v>939.93400799999995</v>
      </c>
      <c r="E103" s="74"/>
      <c r="F103" s="3">
        <v>0</v>
      </c>
      <c r="G103" s="3">
        <f t="shared" si="0"/>
        <v>1597.8878135999998</v>
      </c>
      <c r="H103" s="98"/>
      <c r="I103" s="99"/>
      <c r="J103" s="100"/>
      <c r="M103" s="49">
        <f>G103/D103</f>
        <v>1.7</v>
      </c>
    </row>
    <row r="104" spans="1:14" s="2" customFormat="1" x14ac:dyDescent="0.3">
      <c r="A104" s="73">
        <v>5</v>
      </c>
      <c r="B104" s="74"/>
      <c r="C104" s="3" t="s">
        <v>179</v>
      </c>
      <c r="D104" s="73">
        <f>70.341*10.764</f>
        <v>757.1505239999999</v>
      </c>
      <c r="E104" s="74"/>
      <c r="F104" s="3">
        <v>0</v>
      </c>
      <c r="G104" s="3">
        <f t="shared" si="0"/>
        <v>1287.1558907999997</v>
      </c>
      <c r="H104" s="98"/>
      <c r="I104" s="99"/>
      <c r="J104" s="100"/>
      <c r="L104" s="53">
        <f>19.913*3.2+2.35*2.2+1.35*0.9</f>
        <v>70.1066</v>
      </c>
      <c r="M104" s="49">
        <f>G104/D104</f>
        <v>1.7</v>
      </c>
    </row>
    <row r="105" spans="1:14" s="2" customFormat="1" x14ac:dyDescent="0.3">
      <c r="A105" s="73">
        <v>6</v>
      </c>
      <c r="B105" s="74"/>
      <c r="C105" s="3" t="s">
        <v>179</v>
      </c>
      <c r="D105" s="240">
        <f>67.709*10.764</f>
        <v>728.81967599999996</v>
      </c>
      <c r="E105" s="241"/>
      <c r="F105" s="3">
        <v>0</v>
      </c>
      <c r="G105" s="3">
        <f t="shared" si="0"/>
        <v>1238.9934492</v>
      </c>
      <c r="H105" s="98"/>
      <c r="I105" s="99"/>
      <c r="J105" s="100"/>
      <c r="M105" s="49">
        <f t="shared" si="1"/>
        <v>1.7000000000000002</v>
      </c>
      <c r="N105" s="2">
        <f>19.709*3.2+1.45*2.2+1.35*0.9</f>
        <v>67.473800000000011</v>
      </c>
    </row>
    <row r="106" spans="1:14" s="2" customFormat="1" x14ac:dyDescent="0.3">
      <c r="A106" s="73">
        <v>7</v>
      </c>
      <c r="B106" s="74"/>
      <c r="C106" s="3" t="s">
        <v>179</v>
      </c>
      <c r="D106" s="73">
        <f>68.101*10.764</f>
        <v>733.03916399999991</v>
      </c>
      <c r="E106" s="74"/>
      <c r="F106" s="3">
        <v>0</v>
      </c>
      <c r="G106" s="3">
        <f t="shared" si="0"/>
        <v>1246.1665787999998</v>
      </c>
      <c r="H106" s="98"/>
      <c r="I106" s="99"/>
      <c r="J106" s="100"/>
      <c r="M106" s="49">
        <f t="shared" si="1"/>
        <v>1.7</v>
      </c>
    </row>
    <row r="107" spans="1:14" s="2" customFormat="1" x14ac:dyDescent="0.3">
      <c r="A107" s="73">
        <v>8</v>
      </c>
      <c r="B107" s="74"/>
      <c r="C107" s="3" t="s">
        <v>179</v>
      </c>
      <c r="D107" s="73">
        <f>47.976*10.764</f>
        <v>516.41366399999993</v>
      </c>
      <c r="E107" s="74"/>
      <c r="F107" s="3">
        <v>0</v>
      </c>
      <c r="G107" s="3">
        <f t="shared" si="0"/>
        <v>877.90322879999985</v>
      </c>
      <c r="H107" s="98"/>
      <c r="I107" s="99"/>
      <c r="J107" s="100"/>
      <c r="M107" s="49">
        <f t="shared" si="1"/>
        <v>1.7</v>
      </c>
    </row>
    <row r="108" spans="1:14" s="2" customFormat="1" x14ac:dyDescent="0.3">
      <c r="A108" s="73">
        <v>9</v>
      </c>
      <c r="B108" s="74"/>
      <c r="C108" s="3" t="s">
        <v>179</v>
      </c>
      <c r="D108" s="73">
        <f>103.22*10.764</f>
        <v>1111.06008</v>
      </c>
      <c r="E108" s="74"/>
      <c r="F108" s="3">
        <v>0</v>
      </c>
      <c r="G108" s="3">
        <f t="shared" si="0"/>
        <v>1888.8021359999998</v>
      </c>
      <c r="H108" s="98"/>
      <c r="I108" s="99"/>
      <c r="J108" s="100"/>
      <c r="M108" s="49">
        <f t="shared" si="1"/>
        <v>1.7</v>
      </c>
      <c r="N108" s="2">
        <f>8.732*10.297+8.8*2.2</f>
        <v>109.273404</v>
      </c>
    </row>
    <row r="109" spans="1:14" s="2" customFormat="1" x14ac:dyDescent="0.3">
      <c r="A109" s="73">
        <v>10</v>
      </c>
      <c r="B109" s="74"/>
      <c r="C109" s="3" t="s">
        <v>179</v>
      </c>
      <c r="D109" s="73">
        <f>67.909*10.764</f>
        <v>730.97247600000003</v>
      </c>
      <c r="E109" s="74"/>
      <c r="F109" s="3">
        <v>0</v>
      </c>
      <c r="G109" s="3">
        <f t="shared" si="0"/>
        <v>1242.6532092</v>
      </c>
      <c r="H109" s="98"/>
      <c r="I109" s="99"/>
      <c r="J109" s="100"/>
      <c r="M109" s="49">
        <f t="shared" si="1"/>
        <v>1.7</v>
      </c>
      <c r="N109" s="2">
        <f>3.358*14.66+2.74*5.517</f>
        <v>64.344860000000011</v>
      </c>
    </row>
    <row r="110" spans="1:14" s="2" customFormat="1" x14ac:dyDescent="0.3">
      <c r="A110" s="73">
        <v>11</v>
      </c>
      <c r="B110" s="74"/>
      <c r="C110" s="3" t="s">
        <v>179</v>
      </c>
      <c r="D110" s="73">
        <f>48.896*10.764</f>
        <v>526.31654400000002</v>
      </c>
      <c r="E110" s="74"/>
      <c r="F110" s="3">
        <v>0</v>
      </c>
      <c r="G110" s="3">
        <f t="shared" si="0"/>
        <v>894.73812480000004</v>
      </c>
      <c r="H110" s="98"/>
      <c r="I110" s="99"/>
      <c r="J110" s="100"/>
      <c r="M110" s="49">
        <f t="shared" si="1"/>
        <v>1.7</v>
      </c>
    </row>
    <row r="111" spans="1:14" s="2" customFormat="1" x14ac:dyDescent="0.3">
      <c r="A111" s="73">
        <v>12</v>
      </c>
      <c r="B111" s="74"/>
      <c r="C111" s="3" t="s">
        <v>179</v>
      </c>
      <c r="D111" s="73">
        <f>48.896*10.764</f>
        <v>526.31654400000002</v>
      </c>
      <c r="E111" s="74"/>
      <c r="F111" s="3">
        <v>0</v>
      </c>
      <c r="G111" s="3">
        <f t="shared" si="0"/>
        <v>894.73812480000004</v>
      </c>
      <c r="H111" s="98"/>
      <c r="I111" s="99"/>
      <c r="J111" s="100"/>
      <c r="M111" s="49">
        <f t="shared" si="1"/>
        <v>1.7</v>
      </c>
    </row>
    <row r="112" spans="1:14" s="2" customFormat="1" x14ac:dyDescent="0.3">
      <c r="A112" s="73">
        <v>13</v>
      </c>
      <c r="B112" s="74"/>
      <c r="C112" s="3" t="s">
        <v>179</v>
      </c>
      <c r="D112" s="73">
        <f>72.26*10.764</f>
        <v>777.80664000000002</v>
      </c>
      <c r="E112" s="74"/>
      <c r="F112" s="3">
        <v>0</v>
      </c>
      <c r="G112" s="3">
        <f t="shared" si="0"/>
        <v>1322.2712879999999</v>
      </c>
      <c r="H112" s="98"/>
      <c r="I112" s="99"/>
      <c r="J112" s="100"/>
      <c r="M112" s="49">
        <f t="shared" si="1"/>
        <v>1.7</v>
      </c>
    </row>
    <row r="113" spans="1:13" s="2" customFormat="1" x14ac:dyDescent="0.3">
      <c r="A113" s="73">
        <v>14</v>
      </c>
      <c r="B113" s="74"/>
      <c r="C113" s="3" t="s">
        <v>179</v>
      </c>
      <c r="D113" s="73">
        <f>62.8*10.764</f>
        <v>675.97919999999988</v>
      </c>
      <c r="E113" s="74"/>
      <c r="F113" s="3">
        <v>0</v>
      </c>
      <c r="G113" s="3">
        <f t="shared" si="0"/>
        <v>1149.1646399999997</v>
      </c>
      <c r="H113" s="98"/>
      <c r="I113" s="99"/>
      <c r="J113" s="100"/>
      <c r="M113" s="49">
        <f t="shared" si="1"/>
        <v>1.7</v>
      </c>
    </row>
    <row r="114" spans="1:13" s="2" customFormat="1" x14ac:dyDescent="0.3">
      <c r="A114" s="73">
        <v>15</v>
      </c>
      <c r="B114" s="74"/>
      <c r="C114" s="3" t="s">
        <v>179</v>
      </c>
      <c r="D114" s="73">
        <f t="shared" ref="D114:D117" si="2">62.8*10.764</f>
        <v>675.97919999999988</v>
      </c>
      <c r="E114" s="74"/>
      <c r="F114" s="3">
        <v>0</v>
      </c>
      <c r="G114" s="3">
        <f t="shared" si="0"/>
        <v>1149.1646399999997</v>
      </c>
      <c r="H114" s="98"/>
      <c r="I114" s="99"/>
      <c r="J114" s="100"/>
      <c r="M114" s="49">
        <f t="shared" si="1"/>
        <v>1.7</v>
      </c>
    </row>
    <row r="115" spans="1:13" s="2" customFormat="1" x14ac:dyDescent="0.3">
      <c r="A115" s="73">
        <v>16</v>
      </c>
      <c r="B115" s="74"/>
      <c r="C115" s="3" t="s">
        <v>179</v>
      </c>
      <c r="D115" s="73">
        <f t="shared" si="2"/>
        <v>675.97919999999988</v>
      </c>
      <c r="E115" s="74"/>
      <c r="F115" s="3">
        <v>0</v>
      </c>
      <c r="G115" s="3">
        <f t="shared" si="0"/>
        <v>1149.1646399999997</v>
      </c>
      <c r="H115" s="98"/>
      <c r="I115" s="99"/>
      <c r="J115" s="100"/>
      <c r="M115" s="49">
        <f t="shared" si="1"/>
        <v>1.7</v>
      </c>
    </row>
    <row r="116" spans="1:13" s="2" customFormat="1" x14ac:dyDescent="0.3">
      <c r="A116" s="73">
        <v>17</v>
      </c>
      <c r="B116" s="74"/>
      <c r="C116" s="3" t="s">
        <v>179</v>
      </c>
      <c r="D116" s="73">
        <f t="shared" si="2"/>
        <v>675.97919999999988</v>
      </c>
      <c r="E116" s="74"/>
      <c r="F116" s="3">
        <v>0</v>
      </c>
      <c r="G116" s="3">
        <f t="shared" si="0"/>
        <v>1149.1646399999997</v>
      </c>
      <c r="H116" s="98"/>
      <c r="I116" s="99"/>
      <c r="J116" s="100"/>
      <c r="M116" s="49">
        <f t="shared" si="1"/>
        <v>1.7</v>
      </c>
    </row>
    <row r="117" spans="1:13" s="2" customFormat="1" x14ac:dyDescent="0.3">
      <c r="A117" s="73">
        <v>18</v>
      </c>
      <c r="B117" s="74"/>
      <c r="C117" s="3" t="s">
        <v>179</v>
      </c>
      <c r="D117" s="73">
        <f t="shared" si="2"/>
        <v>675.97919999999988</v>
      </c>
      <c r="E117" s="74"/>
      <c r="F117" s="3">
        <v>0</v>
      </c>
      <c r="G117" s="3">
        <f t="shared" si="0"/>
        <v>1149.1646399999997</v>
      </c>
      <c r="H117" s="98"/>
      <c r="I117" s="99"/>
      <c r="J117" s="100"/>
      <c r="M117" s="49">
        <f t="shared" si="1"/>
        <v>1.7</v>
      </c>
    </row>
    <row r="118" spans="1:13" s="2" customFormat="1" x14ac:dyDescent="0.3">
      <c r="A118" s="73">
        <v>19</v>
      </c>
      <c r="B118" s="74"/>
      <c r="C118" s="3" t="s">
        <v>179</v>
      </c>
      <c r="D118" s="73">
        <f>56.465*10.764</f>
        <v>607.78926000000001</v>
      </c>
      <c r="E118" s="74"/>
      <c r="F118" s="3">
        <v>0</v>
      </c>
      <c r="G118" s="3">
        <f t="shared" si="0"/>
        <v>1033.2417419999999</v>
      </c>
      <c r="H118" s="98"/>
      <c r="I118" s="99"/>
      <c r="J118" s="100"/>
      <c r="M118" s="49">
        <f t="shared" si="1"/>
        <v>1.7</v>
      </c>
    </row>
    <row r="119" spans="1:13" s="2" customFormat="1" x14ac:dyDescent="0.3">
      <c r="A119" s="73">
        <v>20</v>
      </c>
      <c r="B119" s="74"/>
      <c r="C119" s="3" t="s">
        <v>179</v>
      </c>
      <c r="D119" s="73">
        <f>68.908*10.764</f>
        <v>741.72571199999993</v>
      </c>
      <c r="E119" s="74"/>
      <c r="F119" s="3">
        <v>0</v>
      </c>
      <c r="G119" s="3">
        <f t="shared" si="0"/>
        <v>1260.9337103999999</v>
      </c>
      <c r="H119" s="98"/>
      <c r="I119" s="99"/>
      <c r="J119" s="100"/>
      <c r="M119" s="49">
        <f t="shared" si="1"/>
        <v>1.7</v>
      </c>
    </row>
    <row r="120" spans="1:13" s="2" customFormat="1" x14ac:dyDescent="0.3">
      <c r="A120" s="73">
        <v>21</v>
      </c>
      <c r="B120" s="74"/>
      <c r="C120" s="3" t="s">
        <v>179</v>
      </c>
      <c r="D120" s="73">
        <f>62.8*10.764</f>
        <v>675.97919999999988</v>
      </c>
      <c r="E120" s="74"/>
      <c r="F120" s="3">
        <v>0</v>
      </c>
      <c r="G120" s="3">
        <f t="shared" si="0"/>
        <v>1149.1646399999997</v>
      </c>
      <c r="H120" s="98"/>
      <c r="I120" s="99"/>
      <c r="J120" s="100"/>
      <c r="M120" s="49">
        <f t="shared" si="1"/>
        <v>1.7</v>
      </c>
    </row>
    <row r="121" spans="1:13" s="2" customFormat="1" x14ac:dyDescent="0.3">
      <c r="A121" s="73">
        <v>22</v>
      </c>
      <c r="B121" s="74"/>
      <c r="C121" s="3" t="s">
        <v>179</v>
      </c>
      <c r="D121" s="73">
        <f>126.829*10.764</f>
        <v>1365.1873559999999</v>
      </c>
      <c r="E121" s="74"/>
      <c r="F121" s="3">
        <v>0</v>
      </c>
      <c r="G121" s="3">
        <f t="shared" si="0"/>
        <v>2320.8185051999999</v>
      </c>
      <c r="H121" s="101"/>
      <c r="I121" s="102"/>
      <c r="J121" s="103"/>
      <c r="L121" s="2">
        <f>7.657*11.089+6.823*6.16</f>
        <v>126.938153</v>
      </c>
      <c r="M121" s="49">
        <f t="shared" si="1"/>
        <v>1.7</v>
      </c>
    </row>
    <row r="122" spans="1:13" s="2" customFormat="1" x14ac:dyDescent="0.3">
      <c r="A122" s="92"/>
      <c r="B122" s="93"/>
      <c r="C122" s="93"/>
      <c r="D122" s="93"/>
      <c r="E122" s="93"/>
      <c r="F122" s="93"/>
      <c r="G122" s="248"/>
      <c r="H122" s="93"/>
      <c r="I122" s="93"/>
      <c r="J122" s="94"/>
    </row>
    <row r="123" spans="1:13" ht="31.95" customHeight="1" x14ac:dyDescent="0.3">
      <c r="A123" s="249" t="s">
        <v>141</v>
      </c>
      <c r="B123" s="250"/>
      <c r="C123" s="253" t="s">
        <v>76</v>
      </c>
      <c r="D123" s="249" t="s">
        <v>77</v>
      </c>
      <c r="E123" s="250"/>
      <c r="F123" s="255" t="s">
        <v>78</v>
      </c>
      <c r="G123" s="57" t="s">
        <v>232</v>
      </c>
      <c r="H123" s="257" t="s">
        <v>79</v>
      </c>
      <c r="I123" s="257"/>
      <c r="J123" s="250"/>
      <c r="L123" s="2">
        <f>13*4+5*3</f>
        <v>67</v>
      </c>
    </row>
    <row r="124" spans="1:13" x14ac:dyDescent="0.3">
      <c r="A124" s="251"/>
      <c r="B124" s="252"/>
      <c r="C124" s="254"/>
      <c r="D124" s="251"/>
      <c r="E124" s="252"/>
      <c r="F124" s="256"/>
      <c r="G124" s="58">
        <v>0.55000000000000004</v>
      </c>
      <c r="H124" s="258"/>
      <c r="I124" s="258"/>
      <c r="J124" s="252"/>
    </row>
    <row r="125" spans="1:13" s="2" customFormat="1" x14ac:dyDescent="0.3">
      <c r="A125" s="92" t="s">
        <v>234</v>
      </c>
      <c r="B125" s="93"/>
      <c r="C125" s="93"/>
      <c r="D125" s="93"/>
      <c r="E125" s="93"/>
      <c r="F125" s="93"/>
      <c r="G125" s="247"/>
      <c r="H125" s="93"/>
      <c r="I125" s="93"/>
      <c r="J125" s="94"/>
    </row>
    <row r="126" spans="1:13" s="2" customFormat="1" ht="35.4" customHeight="1" x14ac:dyDescent="0.3">
      <c r="A126" s="92" t="s">
        <v>233</v>
      </c>
      <c r="B126" s="93"/>
      <c r="C126" s="93"/>
      <c r="D126" s="93"/>
      <c r="E126" s="93"/>
      <c r="F126" s="93"/>
      <c r="G126" s="93"/>
      <c r="H126" s="93"/>
      <c r="I126" s="93"/>
      <c r="J126" s="94"/>
    </row>
    <row r="127" spans="1:13" s="2" customFormat="1" x14ac:dyDescent="0.3">
      <c r="A127" s="92" t="s">
        <v>218</v>
      </c>
      <c r="B127" s="93"/>
      <c r="C127" s="93"/>
      <c r="D127" s="93"/>
      <c r="E127" s="93"/>
      <c r="F127" s="93"/>
      <c r="G127" s="93"/>
      <c r="H127" s="93"/>
      <c r="I127" s="93"/>
      <c r="J127" s="94"/>
    </row>
    <row r="128" spans="1:13" s="2" customFormat="1" x14ac:dyDescent="0.3">
      <c r="A128" s="73">
        <v>1</v>
      </c>
      <c r="B128" s="74"/>
      <c r="C128" s="3" t="s">
        <v>181</v>
      </c>
      <c r="D128" s="73">
        <f>(87.802+2.2*0.7)*10.764</f>
        <v>961.67728800000009</v>
      </c>
      <c r="E128" s="74"/>
      <c r="F128" s="54">
        <f>(49.36)*10.764</f>
        <v>531.31103999999993</v>
      </c>
      <c r="G128" s="3">
        <f>D128*(($G$124)+1)+(IF(F128&lt;101,F128,IF(F128&lt;201,F128/2,IF(F128&lt;=301,F128/3,F128/4))))</f>
        <v>1623.4275564000002</v>
      </c>
      <c r="H128" s="95" t="str">
        <f>A127</f>
        <v>4th Floor For Residential</v>
      </c>
      <c r="I128" s="96"/>
      <c r="J128" s="97"/>
      <c r="M128" s="49">
        <f>8.2*5.1+3.2*1.5+3.05*0.7</f>
        <v>48.754999999999988</v>
      </c>
    </row>
    <row r="129" spans="1:16" s="2" customFormat="1" x14ac:dyDescent="0.3">
      <c r="A129" s="73">
        <v>2</v>
      </c>
      <c r="B129" s="74"/>
      <c r="C129" s="3" t="s">
        <v>180</v>
      </c>
      <c r="D129" s="73">
        <f>(64.345+0.7*(3.05+2.2+3.05))*10.764</f>
        <v>755.14841999999999</v>
      </c>
      <c r="E129" s="74"/>
      <c r="F129" s="3">
        <f>(2.2*0.7)*10.764</f>
        <v>16.576560000000001</v>
      </c>
      <c r="G129" s="3">
        <f t="shared" ref="G129:G131" si="3">D129*(($G$124)+1)+(IF(F129&lt;101,F129,IF(F129&lt;201,F129/2,IF(F129&lt;=301,F129/3,F129/4))))</f>
        <v>1187.056611</v>
      </c>
      <c r="H129" s="98"/>
      <c r="I129" s="99"/>
      <c r="J129" s="100"/>
      <c r="L129" s="53">
        <f>3.05*5.15+2.2*3.05+3.05*3.05+3.65*3.1+2.1*(1.35+1.25)+2.35*2.95+1.35*3.1+2.85*0.9</f>
        <v>62.177499999999995</v>
      </c>
      <c r="M129" s="49"/>
    </row>
    <row r="130" spans="1:16" s="2" customFormat="1" x14ac:dyDescent="0.3">
      <c r="A130" s="73">
        <v>3</v>
      </c>
      <c r="B130" s="74"/>
      <c r="C130" s="3" t="s">
        <v>180</v>
      </c>
      <c r="D130" s="73">
        <f>(64.345+0.7*(3.05+2.2+3.05))*10.764</f>
        <v>755.14841999999999</v>
      </c>
      <c r="E130" s="74"/>
      <c r="F130" s="3">
        <f>(2.2*0.7)*10.764</f>
        <v>16.576560000000001</v>
      </c>
      <c r="G130" s="3">
        <f t="shared" si="3"/>
        <v>1187.056611</v>
      </c>
      <c r="H130" s="98"/>
      <c r="I130" s="99"/>
      <c r="J130" s="100"/>
      <c r="M130" s="49"/>
    </row>
    <row r="131" spans="1:16" s="2" customFormat="1" x14ac:dyDescent="0.3">
      <c r="A131" s="73">
        <v>4</v>
      </c>
      <c r="B131" s="74"/>
      <c r="C131" s="3" t="s">
        <v>181</v>
      </c>
      <c r="D131" s="73">
        <f>91.016*10.764</f>
        <v>979.69622400000003</v>
      </c>
      <c r="E131" s="74"/>
      <c r="F131" s="54">
        <f>(31.039+13.5*1.5+6.2*3.05)*10.764</f>
        <v>755.62203599999998</v>
      </c>
      <c r="G131" s="3">
        <f t="shared" si="3"/>
        <v>1707.4346562000001</v>
      </c>
      <c r="H131" s="101"/>
      <c r="I131" s="102"/>
      <c r="J131" s="103"/>
      <c r="M131" s="49">
        <f>8*3.5+3.05*0.7</f>
        <v>30.134999999999998</v>
      </c>
    </row>
    <row r="132" spans="1:16" s="2" customFormat="1" x14ac:dyDescent="0.3">
      <c r="A132" s="92" t="s">
        <v>219</v>
      </c>
      <c r="B132" s="93"/>
      <c r="C132" s="93"/>
      <c r="D132" s="93"/>
      <c r="E132" s="93"/>
      <c r="F132" s="93"/>
      <c r="G132" s="93"/>
      <c r="H132" s="93"/>
      <c r="I132" s="93"/>
      <c r="J132" s="94"/>
    </row>
    <row r="133" spans="1:16" s="2" customFormat="1" ht="15.75" customHeight="1" x14ac:dyDescent="0.3">
      <c r="A133" s="73">
        <v>1</v>
      </c>
      <c r="B133" s="74"/>
      <c r="C133" s="3" t="s">
        <v>181</v>
      </c>
      <c r="D133" s="73">
        <f>(87.802+5.208+0.7*(3.35+2.75+3.35+2.35))*10.764</f>
        <v>1090.0702800000001</v>
      </c>
      <c r="E133" s="74"/>
      <c r="F133" s="3">
        <v>0</v>
      </c>
      <c r="G133" s="3">
        <f t="shared" ref="G133:G136" si="4">D133*(($G$124)+1)+(IF(F133&lt;101,F133,IF(F133&lt;201,F133/2,IF(F133&lt;=301,F133/3,F133/4))))</f>
        <v>1689.6089340000003</v>
      </c>
      <c r="H133" s="95" t="str">
        <f>A132</f>
        <v xml:space="preserve">5th, 7th, 9th, 11th, 13th, 15th Floor </v>
      </c>
      <c r="I133" s="96"/>
      <c r="J133" s="97"/>
      <c r="L133" s="2">
        <f>4.8*5.25+3.35*2.65+3.22*2.75+3.22*3.35+4.1*3.1+2.1*(1.3+1.35)+1.25*2.2+3.05*1.65+1.3*1.7+4.65*0.9</f>
        <v>86.171999999999997</v>
      </c>
      <c r="M133" s="49">
        <f>3.72*1.4</f>
        <v>5.2080000000000002</v>
      </c>
      <c r="N133" s="2">
        <f>0.7*(3.35+2.75+3.35+2.35)</f>
        <v>8.259999999999998</v>
      </c>
    </row>
    <row r="134" spans="1:16" s="2" customFormat="1" x14ac:dyDescent="0.3">
      <c r="A134" s="73">
        <v>2</v>
      </c>
      <c r="B134" s="74"/>
      <c r="C134" s="3" t="s">
        <v>180</v>
      </c>
      <c r="D134" s="73">
        <f>(64.345+0.7*(3.05+2.2+3.05+2.6))*10.764</f>
        <v>774.73889999999994</v>
      </c>
      <c r="E134" s="74"/>
      <c r="F134" s="3">
        <v>0</v>
      </c>
      <c r="G134" s="3">
        <f t="shared" si="4"/>
        <v>1200.8452949999999</v>
      </c>
      <c r="H134" s="98"/>
      <c r="I134" s="99"/>
      <c r="J134" s="100"/>
      <c r="M134" s="49"/>
    </row>
    <row r="135" spans="1:16" s="2" customFormat="1" x14ac:dyDescent="0.3">
      <c r="A135" s="73">
        <v>3</v>
      </c>
      <c r="B135" s="74"/>
      <c r="C135" s="3" t="s">
        <v>180</v>
      </c>
      <c r="D135" s="73">
        <f>(64.345+0.7*(3.05+2.2+3.05+2.6))*10.764</f>
        <v>774.73889999999994</v>
      </c>
      <c r="E135" s="74"/>
      <c r="F135" s="3">
        <v>0</v>
      </c>
      <c r="G135" s="3">
        <f t="shared" si="4"/>
        <v>1200.8452949999999</v>
      </c>
      <c r="H135" s="98"/>
      <c r="I135" s="99"/>
      <c r="J135" s="100"/>
      <c r="M135" s="49"/>
    </row>
    <row r="136" spans="1:16" s="2" customFormat="1" x14ac:dyDescent="0.3">
      <c r="A136" s="73">
        <v>4</v>
      </c>
      <c r="B136" s="74"/>
      <c r="C136" s="3" t="s">
        <v>181</v>
      </c>
      <c r="D136" s="73">
        <f>((91.016+5.208+0.7*(3.35+2.75+3.22+2.35))*10.764)</f>
        <v>1123.686252</v>
      </c>
      <c r="E136" s="74"/>
      <c r="F136" s="3">
        <v>0</v>
      </c>
      <c r="G136" s="3">
        <f t="shared" si="4"/>
        <v>1741.7136906000001</v>
      </c>
      <c r="H136" s="101"/>
      <c r="I136" s="102"/>
      <c r="J136" s="103"/>
      <c r="M136" s="49"/>
    </row>
    <row r="137" spans="1:16" s="2" customFormat="1" x14ac:dyDescent="0.3">
      <c r="A137" s="92" t="s">
        <v>220</v>
      </c>
      <c r="B137" s="93"/>
      <c r="C137" s="93"/>
      <c r="D137" s="93"/>
      <c r="E137" s="93"/>
      <c r="F137" s="93"/>
      <c r="G137" s="93"/>
      <c r="H137" s="93"/>
      <c r="I137" s="93"/>
      <c r="J137" s="94"/>
    </row>
    <row r="138" spans="1:16" s="2" customFormat="1" ht="15.75" customHeight="1" x14ac:dyDescent="0.3">
      <c r="A138" s="73">
        <v>1</v>
      </c>
      <c r="B138" s="74"/>
      <c r="C138" s="3" t="s">
        <v>181</v>
      </c>
      <c r="D138" s="73">
        <f>(87.802+5.208+0.7*(3.35+2.75+3.35+2.35))*10.764</f>
        <v>1090.0702800000001</v>
      </c>
      <c r="E138" s="74"/>
      <c r="F138" s="3">
        <v>0</v>
      </c>
      <c r="G138" s="3">
        <f>D138*(($G$124)+1)+(IF(F138&lt;101,F138,IF(F138&lt;201,F138/2,IF(F138&lt;=301,F138/3,F138/4))))</f>
        <v>1689.6089340000003</v>
      </c>
      <c r="H138" s="95" t="s">
        <v>182</v>
      </c>
      <c r="I138" s="96"/>
      <c r="J138" s="97"/>
      <c r="N138" s="2">
        <f>G138/D138</f>
        <v>1.55</v>
      </c>
    </row>
    <row r="139" spans="1:16" s="2" customFormat="1" x14ac:dyDescent="0.3">
      <c r="A139" s="73">
        <v>2</v>
      </c>
      <c r="B139" s="74"/>
      <c r="C139" s="3" t="s">
        <v>180</v>
      </c>
      <c r="D139" s="73">
        <f>(64.345+0.7*(3.05+2.2+3.05+2.6))*10.764</f>
        <v>774.73889999999994</v>
      </c>
      <c r="E139" s="74"/>
      <c r="F139" s="3">
        <v>0</v>
      </c>
      <c r="G139" s="3">
        <f t="shared" ref="G139:G141" si="5">D139*(($G$124)+1)+(IF(F139&lt;101,F139,IF(F139&lt;201,F139/2,IF(F139&lt;=301,F139/3,F139/4))))</f>
        <v>1200.8452949999999</v>
      </c>
      <c r="H139" s="98"/>
      <c r="I139" s="99"/>
      <c r="J139" s="100"/>
      <c r="N139" s="2">
        <f t="shared" ref="N139:N141" si="6">G139/D139</f>
        <v>1.5499999999999998</v>
      </c>
    </row>
    <row r="140" spans="1:16" s="2" customFormat="1" x14ac:dyDescent="0.3">
      <c r="A140" s="73">
        <v>3</v>
      </c>
      <c r="B140" s="74"/>
      <c r="C140" s="3" t="s">
        <v>180</v>
      </c>
      <c r="D140" s="73">
        <f>(64.345+0.7*(3.05+2.2+3.05+2.6))*10.764</f>
        <v>774.73889999999994</v>
      </c>
      <c r="E140" s="74"/>
      <c r="F140" s="3">
        <v>0</v>
      </c>
      <c r="G140" s="3">
        <f t="shared" si="5"/>
        <v>1200.8452949999999</v>
      </c>
      <c r="H140" s="98"/>
      <c r="I140" s="99"/>
      <c r="J140" s="100"/>
      <c r="N140" s="2">
        <f t="shared" si="6"/>
        <v>1.5499999999999998</v>
      </c>
    </row>
    <row r="141" spans="1:16" s="2" customFormat="1" x14ac:dyDescent="0.3">
      <c r="A141" s="73">
        <v>4</v>
      </c>
      <c r="B141" s="74"/>
      <c r="C141" s="3" t="s">
        <v>181</v>
      </c>
      <c r="D141" s="73">
        <f>((91.016+5.208+0.7*(3.35+2.75+3.22+2.35))*10.764)</f>
        <v>1123.686252</v>
      </c>
      <c r="E141" s="74"/>
      <c r="F141" s="3">
        <v>0</v>
      </c>
      <c r="G141" s="3">
        <f t="shared" si="5"/>
        <v>1741.7136906000001</v>
      </c>
      <c r="H141" s="101"/>
      <c r="I141" s="102"/>
      <c r="J141" s="103"/>
      <c r="N141" s="2">
        <f t="shared" si="6"/>
        <v>1.55</v>
      </c>
    </row>
    <row r="142" spans="1:16" s="2" customFormat="1" x14ac:dyDescent="0.3">
      <c r="A142" s="92" t="s">
        <v>221</v>
      </c>
      <c r="B142" s="93"/>
      <c r="C142" s="93"/>
      <c r="D142" s="93"/>
      <c r="E142" s="93"/>
      <c r="F142" s="93"/>
      <c r="G142" s="93"/>
      <c r="H142" s="93"/>
      <c r="I142" s="93"/>
      <c r="J142" s="94"/>
    </row>
    <row r="143" spans="1:16" s="2" customFormat="1" ht="15.75" customHeight="1" x14ac:dyDescent="0.3">
      <c r="A143" s="73">
        <v>1</v>
      </c>
      <c r="B143" s="74"/>
      <c r="C143" s="3" t="s">
        <v>181</v>
      </c>
      <c r="D143" s="90">
        <f>(90.716+5.208+0.7*(3+2.75+3+2.2))*10.764</f>
        <v>1115.0319959999999</v>
      </c>
      <c r="E143" s="91"/>
      <c r="F143" s="3">
        <v>0</v>
      </c>
      <c r="G143" s="3">
        <f t="shared" ref="G143:G145" si="7">D143*(($G$124)+1)+(IF(F143&lt;101,F143,IF(F143&lt;201,F143/2,IF(F143&lt;=301,F143/3,F143/4))))</f>
        <v>1728.2995937999999</v>
      </c>
      <c r="H143" s="95" t="str">
        <f>A142</f>
        <v>17th &amp; 19th Floor</v>
      </c>
      <c r="I143" s="96"/>
      <c r="J143" s="97"/>
      <c r="M143" s="49">
        <f t="shared" ref="M143:M145" si="8">G143/D143</f>
        <v>1.55</v>
      </c>
      <c r="N143" s="2">
        <f>16300000/G143</f>
        <v>9431.2352201398753</v>
      </c>
      <c r="O143" s="2">
        <f>20000000/G143</f>
        <v>11572.067754772854</v>
      </c>
    </row>
    <row r="144" spans="1:16" s="2" customFormat="1" x14ac:dyDescent="0.3">
      <c r="A144" s="73">
        <v>2</v>
      </c>
      <c r="B144" s="74"/>
      <c r="C144" s="3" t="s">
        <v>222</v>
      </c>
      <c r="D144" s="90">
        <f>(156.805+17.775+0.7*(2.2+3.05+5.5))*10.764</f>
        <v>1960.17822</v>
      </c>
      <c r="E144" s="91"/>
      <c r="F144" s="3">
        <v>0</v>
      </c>
      <c r="G144" s="3">
        <f t="shared" si="7"/>
        <v>3038.276241</v>
      </c>
      <c r="H144" s="98"/>
      <c r="I144" s="99"/>
      <c r="J144" s="100"/>
      <c r="M144" s="49">
        <f t="shared" si="8"/>
        <v>1.55</v>
      </c>
      <c r="N144" s="2">
        <f>12100000/G144</f>
        <v>3982.521350993904</v>
      </c>
      <c r="O144" s="2">
        <f>15020000/G144</f>
        <v>4943.592619167639</v>
      </c>
      <c r="P144" s="2">
        <f>350*G144+450000+100000+800000+G144*11000</f>
        <v>35834435.335349999</v>
      </c>
    </row>
    <row r="145" spans="1:16" s="2" customFormat="1" x14ac:dyDescent="0.3">
      <c r="A145" s="73">
        <v>3</v>
      </c>
      <c r="B145" s="74"/>
      <c r="C145" s="3" t="s">
        <v>181</v>
      </c>
      <c r="D145" s="90">
        <f>(91.467+5.208+0.7*(3.35+2.75+3+2.2))*10.764</f>
        <v>1125.7529399999999</v>
      </c>
      <c r="E145" s="91"/>
      <c r="F145" s="3">
        <v>0</v>
      </c>
      <c r="G145" s="3">
        <f t="shared" si="7"/>
        <v>1744.9170569999999</v>
      </c>
      <c r="H145" s="101"/>
      <c r="I145" s="102"/>
      <c r="J145" s="103"/>
      <c r="M145" s="49">
        <f t="shared" si="8"/>
        <v>1.55</v>
      </c>
    </row>
    <row r="146" spans="1:16" s="2" customFormat="1" x14ac:dyDescent="0.3">
      <c r="A146" s="92" t="s">
        <v>223</v>
      </c>
      <c r="B146" s="93"/>
      <c r="C146" s="93"/>
      <c r="D146" s="93"/>
      <c r="E146" s="93"/>
      <c r="F146" s="93"/>
      <c r="G146" s="93"/>
      <c r="H146" s="93"/>
      <c r="I146" s="93"/>
      <c r="J146" s="94"/>
    </row>
    <row r="147" spans="1:16" s="2" customFormat="1" ht="15.75" customHeight="1" x14ac:dyDescent="0.3">
      <c r="A147" s="73">
        <v>1</v>
      </c>
      <c r="B147" s="74"/>
      <c r="C147" s="3" t="s">
        <v>181</v>
      </c>
      <c r="D147" s="90">
        <f>(90.716+5.208+0.7*(3+2.75+3+2.2))*10.764</f>
        <v>1115.0319959999999</v>
      </c>
      <c r="E147" s="91"/>
      <c r="F147" s="3">
        <v>0</v>
      </c>
      <c r="G147" s="3">
        <f t="shared" ref="G147:G149" si="9">D147*(($G$124)+1)+(IF(F147&lt;101,F147,IF(F147&lt;201,F147/2,IF(F147&lt;=301,F147/3,F147/4))))</f>
        <v>1728.2995937999999</v>
      </c>
      <c r="H147" s="95" t="str">
        <f>A146</f>
        <v>18th &amp; 20th Floor (Refuge Area at Midlanding Of staircase)</v>
      </c>
      <c r="I147" s="96"/>
      <c r="J147" s="97"/>
      <c r="M147" s="49">
        <f t="shared" ref="M147:M149" si="10">G147/D147</f>
        <v>1.55</v>
      </c>
      <c r="N147" s="2">
        <f>16300000/G147</f>
        <v>9431.2352201398753</v>
      </c>
      <c r="O147" s="2">
        <f>20000000/G147</f>
        <v>11572.067754772854</v>
      </c>
    </row>
    <row r="148" spans="1:16" s="2" customFormat="1" x14ac:dyDescent="0.3">
      <c r="A148" s="73">
        <v>2</v>
      </c>
      <c r="B148" s="74"/>
      <c r="C148" s="3" t="s">
        <v>222</v>
      </c>
      <c r="D148" s="90">
        <f>(156.805+17.775+0.7*(2.2+3.05+5.5))*10.764</f>
        <v>1960.17822</v>
      </c>
      <c r="E148" s="91"/>
      <c r="F148" s="3">
        <v>0</v>
      </c>
      <c r="G148" s="3">
        <f t="shared" si="9"/>
        <v>3038.276241</v>
      </c>
      <c r="H148" s="98"/>
      <c r="I148" s="99"/>
      <c r="J148" s="100"/>
      <c r="M148" s="49">
        <f t="shared" si="10"/>
        <v>1.55</v>
      </c>
      <c r="N148" s="2">
        <f>12100000/G148</f>
        <v>3982.521350993904</v>
      </c>
      <c r="O148" s="2">
        <f>15020000/G148</f>
        <v>4943.592619167639</v>
      </c>
      <c r="P148" s="2">
        <f>350*G148+450000+100000+800000+G148*11000</f>
        <v>35834435.335349999</v>
      </c>
    </row>
    <row r="149" spans="1:16" s="2" customFormat="1" x14ac:dyDescent="0.3">
      <c r="A149" s="73">
        <v>3</v>
      </c>
      <c r="B149" s="74"/>
      <c r="C149" s="3" t="s">
        <v>181</v>
      </c>
      <c r="D149" s="90">
        <f>(91.467+5.208+0.7*(3.35+2.75+3+2.2))*10.764</f>
        <v>1125.7529399999999</v>
      </c>
      <c r="E149" s="91"/>
      <c r="F149" s="3">
        <v>0</v>
      </c>
      <c r="G149" s="3">
        <f t="shared" si="9"/>
        <v>1744.9170569999999</v>
      </c>
      <c r="H149" s="101"/>
      <c r="I149" s="102"/>
      <c r="J149" s="103"/>
      <c r="M149" s="49">
        <f t="shared" si="10"/>
        <v>1.55</v>
      </c>
    </row>
    <row r="150" spans="1:16" s="2" customFormat="1" x14ac:dyDescent="0.3">
      <c r="A150" s="92" t="s">
        <v>224</v>
      </c>
      <c r="B150" s="93"/>
      <c r="C150" s="93"/>
      <c r="D150" s="93"/>
      <c r="E150" s="93"/>
      <c r="F150" s="93"/>
      <c r="G150" s="93"/>
      <c r="H150" s="93"/>
      <c r="I150" s="93"/>
      <c r="J150" s="94"/>
    </row>
    <row r="151" spans="1:16" s="2" customFormat="1" ht="15.75" customHeight="1" x14ac:dyDescent="0.3">
      <c r="A151" s="73">
        <v>1</v>
      </c>
      <c r="B151" s="74"/>
      <c r="C151" s="3" t="s">
        <v>181</v>
      </c>
      <c r="D151" s="90">
        <f>(90.716+5.208+0.7*(3+2.75+3+2.2))*10.764</f>
        <v>1115.0319959999999</v>
      </c>
      <c r="E151" s="91"/>
      <c r="F151" s="3">
        <v>0</v>
      </c>
      <c r="G151" s="3">
        <f t="shared" ref="G151:G153" si="11">D151*(($G$124)+1)+(IF(F151&lt;101,F151,IF(F151&lt;201,F151/2,IF(F151&lt;=301,F151/3,F151/4))))</f>
        <v>1728.2995937999999</v>
      </c>
      <c r="H151" s="95" t="str">
        <f>A150</f>
        <v>21st Floor</v>
      </c>
      <c r="I151" s="96"/>
      <c r="J151" s="97"/>
      <c r="M151" s="49"/>
    </row>
    <row r="152" spans="1:16" s="2" customFormat="1" x14ac:dyDescent="0.3">
      <c r="A152" s="73">
        <v>2</v>
      </c>
      <c r="B152" s="74"/>
      <c r="C152" s="3" t="s">
        <v>222</v>
      </c>
      <c r="D152" s="90">
        <f>(156.805+17.775+0.7*(2.2+3.05+5.5))*10.764</f>
        <v>1960.17822</v>
      </c>
      <c r="E152" s="91"/>
      <c r="F152" s="3">
        <v>0</v>
      </c>
      <c r="G152" s="3">
        <f t="shared" si="11"/>
        <v>3038.276241</v>
      </c>
      <c r="H152" s="98"/>
      <c r="I152" s="99"/>
      <c r="J152" s="100"/>
      <c r="M152" s="49"/>
    </row>
    <row r="153" spans="1:16" s="2" customFormat="1" x14ac:dyDescent="0.3">
      <c r="A153" s="73">
        <v>3</v>
      </c>
      <c r="B153" s="74"/>
      <c r="C153" s="3" t="s">
        <v>181</v>
      </c>
      <c r="D153" s="90">
        <f>(91.467+5.208+0.7*(3.35+2.75+3+2.2))*10.764</f>
        <v>1125.7529399999999</v>
      </c>
      <c r="E153" s="91"/>
      <c r="F153" s="3">
        <v>0</v>
      </c>
      <c r="G153" s="3">
        <f t="shared" si="11"/>
        <v>1744.9170569999999</v>
      </c>
      <c r="H153" s="101"/>
      <c r="I153" s="102"/>
      <c r="J153" s="103"/>
      <c r="M153" s="49"/>
    </row>
    <row r="154" spans="1:16" s="1" customFormat="1" x14ac:dyDescent="0.3">
      <c r="A154" s="245" t="s">
        <v>89</v>
      </c>
      <c r="B154" s="245"/>
      <c r="C154" s="245"/>
      <c r="D154" s="245"/>
      <c r="E154" s="245"/>
      <c r="F154" s="245"/>
      <c r="G154" s="245"/>
      <c r="H154" s="245"/>
      <c r="I154" s="245"/>
      <c r="J154" s="245"/>
    </row>
    <row r="155" spans="1:16" s="14" customFormat="1" ht="236.25" customHeight="1" x14ac:dyDescent="0.3">
      <c r="A155" s="246" t="s">
        <v>263</v>
      </c>
      <c r="B155" s="246"/>
      <c r="C155" s="246"/>
      <c r="D155" s="246"/>
      <c r="E155" s="246"/>
      <c r="F155" s="246"/>
      <c r="G155" s="246"/>
      <c r="H155" s="246"/>
      <c r="I155" s="246"/>
      <c r="J155" s="246"/>
    </row>
    <row r="156" spans="1:16" x14ac:dyDescent="0.3">
      <c r="A156" s="242" t="s">
        <v>80</v>
      </c>
      <c r="B156" s="243"/>
      <c r="C156" s="243"/>
      <c r="D156" s="243"/>
      <c r="E156" s="243"/>
      <c r="F156" s="243"/>
      <c r="G156" s="243"/>
      <c r="H156" s="243"/>
      <c r="I156" s="243"/>
      <c r="J156" s="244"/>
      <c r="L156" s="11" t="s">
        <v>225</v>
      </c>
    </row>
    <row r="157" spans="1:16" x14ac:dyDescent="0.3">
      <c r="A157" s="86" t="s">
        <v>81</v>
      </c>
      <c r="B157" s="76"/>
      <c r="C157" s="76"/>
      <c r="D157" s="76"/>
      <c r="E157" s="76"/>
      <c r="F157" s="76"/>
      <c r="G157" s="76"/>
      <c r="H157" s="76"/>
      <c r="I157" s="76"/>
      <c r="J157" s="77"/>
    </row>
    <row r="158" spans="1:16" ht="15.75" customHeight="1" x14ac:dyDescent="0.3">
      <c r="A158" s="242" t="s">
        <v>82</v>
      </c>
      <c r="B158" s="243"/>
      <c r="C158" s="243"/>
      <c r="D158" s="243"/>
      <c r="E158" s="243"/>
      <c r="F158" s="243"/>
      <c r="G158" s="243"/>
      <c r="H158" s="243"/>
      <c r="I158" s="243"/>
      <c r="J158" s="244"/>
    </row>
    <row r="159" spans="1:16" x14ac:dyDescent="0.3">
      <c r="A159" s="86" t="s">
        <v>83</v>
      </c>
      <c r="B159" s="76"/>
      <c r="C159" s="76"/>
      <c r="D159" s="76"/>
      <c r="E159" s="76"/>
      <c r="F159" s="76"/>
      <c r="G159" s="76"/>
      <c r="H159" s="76"/>
      <c r="I159" s="76"/>
      <c r="J159" s="77"/>
    </row>
    <row r="160" spans="1:16" x14ac:dyDescent="0.3">
      <c r="A160" s="86" t="s">
        <v>84</v>
      </c>
      <c r="B160" s="76"/>
      <c r="C160" s="76"/>
      <c r="D160" s="76"/>
      <c r="E160" s="76"/>
      <c r="F160" s="76"/>
      <c r="G160" s="76"/>
      <c r="H160" s="76"/>
      <c r="I160" s="76"/>
      <c r="J160" s="77"/>
    </row>
    <row r="161" spans="1:10" hidden="1" x14ac:dyDescent="0.3">
      <c r="A161" s="86" t="s">
        <v>85</v>
      </c>
      <c r="B161" s="76"/>
      <c r="C161" s="76"/>
      <c r="D161" s="76"/>
      <c r="E161" s="76"/>
      <c r="F161" s="76"/>
      <c r="G161" s="76"/>
      <c r="H161" s="76"/>
      <c r="I161" s="76"/>
      <c r="J161" s="77"/>
    </row>
    <row r="162" spans="1:10" hidden="1" x14ac:dyDescent="0.3">
      <c r="A162" s="105" t="s">
        <v>86</v>
      </c>
      <c r="B162" s="106"/>
      <c r="C162" s="106"/>
      <c r="D162" s="106"/>
      <c r="E162" s="106"/>
      <c r="F162" s="106"/>
      <c r="G162" s="106"/>
      <c r="H162" s="106"/>
      <c r="I162" s="106"/>
      <c r="J162" s="107"/>
    </row>
    <row r="163" spans="1:10" x14ac:dyDescent="0.3">
      <c r="A163" s="158" t="s">
        <v>163</v>
      </c>
      <c r="B163" s="158"/>
      <c r="C163" s="160" t="s">
        <v>262</v>
      </c>
      <c r="D163" s="160"/>
      <c r="E163" s="159" t="s">
        <v>164</v>
      </c>
      <c r="F163" s="159"/>
      <c r="G163" s="159"/>
      <c r="H163" s="159" t="s">
        <v>261</v>
      </c>
      <c r="I163" s="159"/>
      <c r="J163" s="159"/>
    </row>
    <row r="164" spans="1:10" x14ac:dyDescent="0.3">
      <c r="A164" s="149" t="s">
        <v>165</v>
      </c>
      <c r="B164" s="150"/>
      <c r="C164" s="150"/>
      <c r="D164" s="150"/>
      <c r="E164" s="150"/>
      <c r="F164" s="150"/>
      <c r="G164" s="150"/>
      <c r="H164" s="150"/>
      <c r="I164" s="150"/>
      <c r="J164" s="151"/>
    </row>
    <row r="165" spans="1:10" x14ac:dyDescent="0.3">
      <c r="A165" s="152"/>
      <c r="B165" s="153"/>
      <c r="C165" s="153"/>
      <c r="D165" s="153"/>
      <c r="E165" s="153"/>
      <c r="F165" s="153"/>
      <c r="G165" s="153"/>
      <c r="H165" s="153"/>
      <c r="I165" s="153"/>
      <c r="J165" s="154"/>
    </row>
    <row r="166" spans="1:10" x14ac:dyDescent="0.3">
      <c r="A166" s="152"/>
      <c r="B166" s="153"/>
      <c r="C166" s="153"/>
      <c r="D166" s="153"/>
      <c r="E166" s="153"/>
      <c r="F166" s="153"/>
      <c r="G166" s="153"/>
      <c r="H166" s="153"/>
      <c r="I166" s="153"/>
      <c r="J166" s="154"/>
    </row>
    <row r="167" spans="1:10" x14ac:dyDescent="0.3">
      <c r="A167" s="155"/>
      <c r="B167" s="156"/>
      <c r="C167" s="156"/>
      <c r="D167" s="156"/>
      <c r="E167" s="156"/>
      <c r="F167" s="156"/>
      <c r="G167" s="156"/>
      <c r="H167" s="156"/>
      <c r="I167" s="156"/>
      <c r="J167" s="157"/>
    </row>
    <row r="168" spans="1:10" x14ac:dyDescent="0.3">
      <c r="A168" s="15" t="s">
        <v>87</v>
      </c>
      <c r="B168" s="16"/>
      <c r="C168" s="16"/>
      <c r="D168" s="15" t="str">
        <f>F8</f>
        <v>Regius</v>
      </c>
      <c r="G168" s="16"/>
      <c r="H168" s="16"/>
      <c r="I168" s="16"/>
      <c r="J168" s="16"/>
    </row>
    <row r="169" spans="1:10" x14ac:dyDescent="0.3">
      <c r="A169" s="16"/>
      <c r="B169" s="16"/>
      <c r="C169" s="16"/>
      <c r="D169" s="16"/>
      <c r="E169" s="16"/>
      <c r="F169" s="16"/>
      <c r="G169" s="16"/>
      <c r="H169" s="16"/>
      <c r="I169" s="16"/>
      <c r="J169" s="16"/>
    </row>
    <row r="170" spans="1:10" x14ac:dyDescent="0.3">
      <c r="A170"/>
      <c r="B170" s="16"/>
      <c r="C170"/>
      <c r="D170" s="16"/>
      <c r="E170" s="16"/>
      <c r="F170" s="16"/>
      <c r="G170" s="16"/>
      <c r="H170" s="16"/>
      <c r="I170" s="16"/>
      <c r="J170" s="16"/>
    </row>
    <row r="171" spans="1:10" ht="15" customHeight="1" x14ac:dyDescent="0.3"/>
    <row r="209" spans="1:1" x14ac:dyDescent="0.3">
      <c r="A209" s="17" t="s">
        <v>88</v>
      </c>
    </row>
    <row r="249" spans="1:1" x14ac:dyDescent="0.3">
      <c r="A249" s="17" t="s">
        <v>88</v>
      </c>
    </row>
  </sheetData>
  <mergeCells count="334">
    <mergeCell ref="D63:J63"/>
    <mergeCell ref="A64:C64"/>
    <mergeCell ref="A56:C56"/>
    <mergeCell ref="D55:J55"/>
    <mergeCell ref="D56:J56"/>
    <mergeCell ref="A60:C60"/>
    <mergeCell ref="D60:J60"/>
    <mergeCell ref="A61:C61"/>
    <mergeCell ref="D61:J61"/>
    <mergeCell ref="A57:C57"/>
    <mergeCell ref="D57:J57"/>
    <mergeCell ref="A58:C58"/>
    <mergeCell ref="D58:J58"/>
    <mergeCell ref="A123:B124"/>
    <mergeCell ref="C123:C124"/>
    <mergeCell ref="D123:E124"/>
    <mergeCell ref="F123:F124"/>
    <mergeCell ref="H123:J124"/>
    <mergeCell ref="A97:B98"/>
    <mergeCell ref="C97:C98"/>
    <mergeCell ref="D97:E98"/>
    <mergeCell ref="F97:F98"/>
    <mergeCell ref="H97:J98"/>
    <mergeCell ref="D102:E102"/>
    <mergeCell ref="A103:B103"/>
    <mergeCell ref="D103:E103"/>
    <mergeCell ref="D113:E113"/>
    <mergeCell ref="A113:B113"/>
    <mergeCell ref="D110:E110"/>
    <mergeCell ref="A111:B111"/>
    <mergeCell ref="D111:E111"/>
    <mergeCell ref="A108:B108"/>
    <mergeCell ref="D108:E108"/>
    <mergeCell ref="A109:B109"/>
    <mergeCell ref="D109:E109"/>
    <mergeCell ref="L48:O48"/>
    <mergeCell ref="P48:R48"/>
    <mergeCell ref="L45:P45"/>
    <mergeCell ref="D115:E115"/>
    <mergeCell ref="A112:B112"/>
    <mergeCell ref="H128:J131"/>
    <mergeCell ref="H133:J136"/>
    <mergeCell ref="A118:B118"/>
    <mergeCell ref="D118:E118"/>
    <mergeCell ref="A119:B119"/>
    <mergeCell ref="A133:B133"/>
    <mergeCell ref="D133:E133"/>
    <mergeCell ref="D135:E135"/>
    <mergeCell ref="A120:B120"/>
    <mergeCell ref="D120:E120"/>
    <mergeCell ref="A121:B121"/>
    <mergeCell ref="D121:E121"/>
    <mergeCell ref="A132:J132"/>
    <mergeCell ref="D112:E112"/>
    <mergeCell ref="A136:B136"/>
    <mergeCell ref="D136:E136"/>
    <mergeCell ref="A134:B134"/>
    <mergeCell ref="D134:E134"/>
    <mergeCell ref="A122:J122"/>
    <mergeCell ref="A135:B135"/>
    <mergeCell ref="A162:J162"/>
    <mergeCell ref="A62:C62"/>
    <mergeCell ref="D62:J62"/>
    <mergeCell ref="A154:J154"/>
    <mergeCell ref="A155:J155"/>
    <mergeCell ref="A156:J156"/>
    <mergeCell ref="A157:J157"/>
    <mergeCell ref="D119:E119"/>
    <mergeCell ref="A116:B116"/>
    <mergeCell ref="D116:E116"/>
    <mergeCell ref="A117:B117"/>
    <mergeCell ref="D117:E117"/>
    <mergeCell ref="A114:B114"/>
    <mergeCell ref="D114:E114"/>
    <mergeCell ref="A115:B115"/>
    <mergeCell ref="A125:J125"/>
    <mergeCell ref="A127:J127"/>
    <mergeCell ref="A126:J126"/>
    <mergeCell ref="D131:E131"/>
    <mergeCell ref="A128:B128"/>
    <mergeCell ref="D128:E128"/>
    <mergeCell ref="A129:B129"/>
    <mergeCell ref="A160:J160"/>
    <mergeCell ref="A161:J161"/>
    <mergeCell ref="H138:J141"/>
    <mergeCell ref="A137:J137"/>
    <mergeCell ref="A138:B138"/>
    <mergeCell ref="D138:E138"/>
    <mergeCell ref="A139:B139"/>
    <mergeCell ref="D139:E139"/>
    <mergeCell ref="A140:B140"/>
    <mergeCell ref="D140:E140"/>
    <mergeCell ref="A141:B141"/>
    <mergeCell ref="D141:E141"/>
    <mergeCell ref="A158:J158"/>
    <mergeCell ref="A159:J159"/>
    <mergeCell ref="A142:J142"/>
    <mergeCell ref="A143:B143"/>
    <mergeCell ref="D143:E143"/>
    <mergeCell ref="A144:B144"/>
    <mergeCell ref="D144:E144"/>
    <mergeCell ref="A145:B145"/>
    <mergeCell ref="D145:E145"/>
    <mergeCell ref="H143:J145"/>
    <mergeCell ref="A146:J146"/>
    <mergeCell ref="D147:E147"/>
    <mergeCell ref="H147:J149"/>
    <mergeCell ref="A130:B130"/>
    <mergeCell ref="D130:E130"/>
    <mergeCell ref="A131:B131"/>
    <mergeCell ref="A47:J47"/>
    <mergeCell ref="H51:J51"/>
    <mergeCell ref="A101:B101"/>
    <mergeCell ref="D101:E101"/>
    <mergeCell ref="A95:J95"/>
    <mergeCell ref="A96:J96"/>
    <mergeCell ref="A100:B100"/>
    <mergeCell ref="D100:E100"/>
    <mergeCell ref="A99:J99"/>
    <mergeCell ref="H100:J121"/>
    <mergeCell ref="A106:B106"/>
    <mergeCell ref="D106:E106"/>
    <mergeCell ref="A107:B107"/>
    <mergeCell ref="D107:E107"/>
    <mergeCell ref="A105:B105"/>
    <mergeCell ref="D105:E105"/>
    <mergeCell ref="D129:E129"/>
    <mergeCell ref="A104:B104"/>
    <mergeCell ref="D104:E104"/>
    <mergeCell ref="A102:B102"/>
    <mergeCell ref="A110:B110"/>
    <mergeCell ref="A94:B94"/>
    <mergeCell ref="D94:F94"/>
    <mergeCell ref="G89:J89"/>
    <mergeCell ref="A90:B90"/>
    <mergeCell ref="D90:F90"/>
    <mergeCell ref="G90:J90"/>
    <mergeCell ref="A91:J91"/>
    <mergeCell ref="A93:B93"/>
    <mergeCell ref="A92:B92"/>
    <mergeCell ref="D92:F92"/>
    <mergeCell ref="G92:J92"/>
    <mergeCell ref="D93:F93"/>
    <mergeCell ref="G93:J93"/>
    <mergeCell ref="A89:B89"/>
    <mergeCell ref="D89:F89"/>
    <mergeCell ref="G94:J94"/>
    <mergeCell ref="A88:J88"/>
    <mergeCell ref="A85:F85"/>
    <mergeCell ref="G85:J85"/>
    <mergeCell ref="A84:F84"/>
    <mergeCell ref="G84:J84"/>
    <mergeCell ref="A86:F86"/>
    <mergeCell ref="G86:J86"/>
    <mergeCell ref="A87:F87"/>
    <mergeCell ref="G87:J87"/>
    <mergeCell ref="D79:E79"/>
    <mergeCell ref="A83:F83"/>
    <mergeCell ref="G83:J83"/>
    <mergeCell ref="A82:F82"/>
    <mergeCell ref="G82:J82"/>
    <mergeCell ref="A80:J80"/>
    <mergeCell ref="A81:F81"/>
    <mergeCell ref="G81:J81"/>
    <mergeCell ref="A78:B78"/>
    <mergeCell ref="D78:E78"/>
    <mergeCell ref="A79:B79"/>
    <mergeCell ref="F70:G79"/>
    <mergeCell ref="H70:J79"/>
    <mergeCell ref="A71:B71"/>
    <mergeCell ref="D71:E71"/>
    <mergeCell ref="A72:B72"/>
    <mergeCell ref="D72:E72"/>
    <mergeCell ref="A73:B73"/>
    <mergeCell ref="D73:E73"/>
    <mergeCell ref="A74:B74"/>
    <mergeCell ref="D74:E74"/>
    <mergeCell ref="A75:B75"/>
    <mergeCell ref="D75:E75"/>
    <mergeCell ref="A76:B7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0:E10"/>
    <mergeCell ref="F10:J10"/>
    <mergeCell ref="A19:B19"/>
    <mergeCell ref="C19:E19"/>
    <mergeCell ref="F19:G19"/>
    <mergeCell ref="H19:J19"/>
    <mergeCell ref="A20:E21"/>
    <mergeCell ref="F20:J21"/>
    <mergeCell ref="A22:E23"/>
    <mergeCell ref="F22:J23"/>
    <mergeCell ref="A11:E11"/>
    <mergeCell ref="F11:J11"/>
    <mergeCell ref="A15:B15"/>
    <mergeCell ref="C15:E15"/>
    <mergeCell ref="A12:E12"/>
    <mergeCell ref="F12:J12"/>
    <mergeCell ref="A13:E13"/>
    <mergeCell ref="F13:J13"/>
    <mergeCell ref="A14:B14"/>
    <mergeCell ref="C14:J14"/>
    <mergeCell ref="F15:G15"/>
    <mergeCell ref="H15:J15"/>
    <mergeCell ref="A16:B16"/>
    <mergeCell ref="C16:E16"/>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64:J167"/>
    <mergeCell ref="A163:B163"/>
    <mergeCell ref="E163:G163"/>
    <mergeCell ref="C163:D163"/>
    <mergeCell ref="H163:J163"/>
    <mergeCell ref="A17:B17"/>
    <mergeCell ref="C17:E17"/>
    <mergeCell ref="F17:G17"/>
    <mergeCell ref="H17:J17"/>
    <mergeCell ref="A28:B28"/>
    <mergeCell ref="A29:B29"/>
    <mergeCell ref="A42:E42"/>
    <mergeCell ref="F42:J42"/>
    <mergeCell ref="A38:E38"/>
    <mergeCell ref="F38:J38"/>
    <mergeCell ref="A33:J33"/>
    <mergeCell ref="A30:B30"/>
    <mergeCell ref="A34:J34"/>
    <mergeCell ref="A35:B35"/>
    <mergeCell ref="C35:J35"/>
    <mergeCell ref="A44:E44"/>
    <mergeCell ref="A45:E45"/>
    <mergeCell ref="A46:E46"/>
    <mergeCell ref="D76:E76"/>
    <mergeCell ref="A54:J54"/>
    <mergeCell ref="A55:C55"/>
    <mergeCell ref="H53:J53"/>
    <mergeCell ref="A53:B53"/>
    <mergeCell ref="C53:F53"/>
    <mergeCell ref="A50:B50"/>
    <mergeCell ref="C50:F50"/>
    <mergeCell ref="H50:J50"/>
    <mergeCell ref="A77:B77"/>
    <mergeCell ref="D77:E77"/>
    <mergeCell ref="A69:B69"/>
    <mergeCell ref="D69:E69"/>
    <mergeCell ref="A70:B70"/>
    <mergeCell ref="D70:E70"/>
    <mergeCell ref="H69:J69"/>
    <mergeCell ref="F69:G69"/>
    <mergeCell ref="C51:F51"/>
    <mergeCell ref="A66:J66"/>
    <mergeCell ref="A59:C59"/>
    <mergeCell ref="D64:J64"/>
    <mergeCell ref="A65:C65"/>
    <mergeCell ref="D65:J65"/>
    <mergeCell ref="D59:J59"/>
    <mergeCell ref="A63:C63"/>
    <mergeCell ref="A39:E39"/>
    <mergeCell ref="F39:J39"/>
    <mergeCell ref="A40:J40"/>
    <mergeCell ref="A41:E41"/>
    <mergeCell ref="F41:J41"/>
    <mergeCell ref="H48:J48"/>
    <mergeCell ref="H49:J49"/>
    <mergeCell ref="A49:B49"/>
    <mergeCell ref="C49:F49"/>
    <mergeCell ref="A48:B48"/>
    <mergeCell ref="C48:F48"/>
    <mergeCell ref="A43:E43"/>
    <mergeCell ref="F43:J43"/>
    <mergeCell ref="F44:J44"/>
    <mergeCell ref="F45:J45"/>
    <mergeCell ref="F46:J46"/>
    <mergeCell ref="A148:B148"/>
    <mergeCell ref="D148:E148"/>
    <mergeCell ref="A149:B149"/>
    <mergeCell ref="D149:E149"/>
    <mergeCell ref="A150:J150"/>
    <mergeCell ref="A151:B151"/>
    <mergeCell ref="D151:E151"/>
    <mergeCell ref="H151:J153"/>
    <mergeCell ref="A152:B152"/>
    <mergeCell ref="D152:E152"/>
    <mergeCell ref="A153:B153"/>
    <mergeCell ref="D153:E153"/>
    <mergeCell ref="G32:J32"/>
    <mergeCell ref="C52:J52"/>
    <mergeCell ref="A51:B52"/>
    <mergeCell ref="C28:F28"/>
    <mergeCell ref="G28:J28"/>
    <mergeCell ref="C29:F29"/>
    <mergeCell ref="G29:J29"/>
    <mergeCell ref="A147:B147"/>
    <mergeCell ref="A31:B31"/>
    <mergeCell ref="A32:B32"/>
    <mergeCell ref="C30:F30"/>
    <mergeCell ref="G30:J30"/>
    <mergeCell ref="C31:F31"/>
    <mergeCell ref="G31:J31"/>
    <mergeCell ref="C32:F32"/>
    <mergeCell ref="C36:J36"/>
    <mergeCell ref="A67:B67"/>
    <mergeCell ref="D67:E67"/>
    <mergeCell ref="F67:G67"/>
    <mergeCell ref="I67:J67"/>
    <mergeCell ref="A68:B68"/>
    <mergeCell ref="C68:J68"/>
    <mergeCell ref="A36:B36"/>
    <mergeCell ref="A37:J37"/>
  </mergeCells>
  <hyperlinks>
    <hyperlink ref="C36" r:id="rId1" xr:uid="{00000000-0004-0000-0000-000000000000}"/>
  </hyperlinks>
  <pageMargins left="0.54166666666666663" right="0.57291666666666663" top="0.78740157480314965" bottom="1.1811023622047245" header="0.19685039370078741" footer="0.19685039370078741"/>
  <pageSetup paperSize="2" scale="98" fitToHeight="0" orientation="portrait" r:id="rId2"/>
  <headerFooter>
    <oddHeader>&amp;C&amp;"Times New Roman,Bold"&amp;20&amp;G</oddHeader>
    <oddFooter>&amp;L&amp;"Times New Roman,Bold"&amp;12Ref No: &amp;F&amp;C&amp;G&amp;R&amp;"Times New Roman,Bold"&amp;12&amp;P</oddFooter>
  </headerFooter>
  <rowBreaks count="4" manualBreakCount="4">
    <brk id="65" max="16383" man="1"/>
    <brk id="167" max="16383" man="1"/>
    <brk id="208" max="16383" man="1"/>
    <brk id="24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B3" sqref="B3"/>
    </sheetView>
  </sheetViews>
  <sheetFormatPr defaultRowHeight="13.8" x14ac:dyDescent="0.25"/>
  <cols>
    <col min="1" max="1" width="20.5546875" style="19" customWidth="1"/>
    <col min="2" max="2" width="11.6640625" style="19" customWidth="1"/>
    <col min="3" max="4" width="9.109375" style="19"/>
    <col min="5" max="5" width="10.109375" style="19" customWidth="1"/>
    <col min="6" max="6" width="10.6640625" style="19" customWidth="1"/>
    <col min="7" max="7" width="9.109375" style="19"/>
    <col min="8" max="8" width="10.44140625" style="19" customWidth="1"/>
    <col min="9" max="9" width="15.44140625" style="19" customWidth="1"/>
    <col min="10" max="258" width="9.109375" style="19"/>
    <col min="259" max="259" width="11.6640625" style="19" customWidth="1"/>
    <col min="260" max="260" width="9.109375" style="19"/>
    <col min="261" max="261" width="14.6640625" style="19" customWidth="1"/>
    <col min="262" max="262" width="10.6640625" style="19" customWidth="1"/>
    <col min="263" max="514" width="9.109375" style="19"/>
    <col min="515" max="515" width="11.6640625" style="19" customWidth="1"/>
    <col min="516" max="516" width="9.109375" style="19"/>
    <col min="517" max="517" width="14.6640625" style="19" customWidth="1"/>
    <col min="518" max="518" width="10.6640625" style="19" customWidth="1"/>
    <col min="519" max="770" width="9.109375" style="19"/>
    <col min="771" max="771" width="11.6640625" style="19" customWidth="1"/>
    <col min="772" max="772" width="9.109375" style="19"/>
    <col min="773" max="773" width="14.6640625" style="19" customWidth="1"/>
    <col min="774" max="774" width="10.6640625" style="19" customWidth="1"/>
    <col min="775" max="1026" width="9.109375" style="19"/>
    <col min="1027" max="1027" width="11.6640625" style="19" customWidth="1"/>
    <col min="1028" max="1028" width="9.109375" style="19"/>
    <col min="1029" max="1029" width="14.6640625" style="19" customWidth="1"/>
    <col min="1030" max="1030" width="10.6640625" style="19" customWidth="1"/>
    <col min="1031" max="1282" width="9.109375" style="19"/>
    <col min="1283" max="1283" width="11.6640625" style="19" customWidth="1"/>
    <col min="1284" max="1284" width="9.109375" style="19"/>
    <col min="1285" max="1285" width="14.6640625" style="19" customWidth="1"/>
    <col min="1286" max="1286" width="10.6640625" style="19" customWidth="1"/>
    <col min="1287" max="1538" width="9.109375" style="19"/>
    <col min="1539" max="1539" width="11.6640625" style="19" customWidth="1"/>
    <col min="1540" max="1540" width="9.109375" style="19"/>
    <col min="1541" max="1541" width="14.6640625" style="19" customWidth="1"/>
    <col min="1542" max="1542" width="10.6640625" style="19" customWidth="1"/>
    <col min="1543" max="1794" width="9.109375" style="19"/>
    <col min="1795" max="1795" width="11.6640625" style="19" customWidth="1"/>
    <col min="1796" max="1796" width="9.109375" style="19"/>
    <col min="1797" max="1797" width="14.6640625" style="19" customWidth="1"/>
    <col min="1798" max="1798" width="10.6640625" style="19" customWidth="1"/>
    <col min="1799" max="2050" width="9.109375" style="19"/>
    <col min="2051" max="2051" width="11.6640625" style="19" customWidth="1"/>
    <col min="2052" max="2052" width="9.109375" style="19"/>
    <col min="2053" max="2053" width="14.6640625" style="19" customWidth="1"/>
    <col min="2054" max="2054" width="10.6640625" style="19" customWidth="1"/>
    <col min="2055" max="2306" width="9.109375" style="19"/>
    <col min="2307" max="2307" width="11.6640625" style="19" customWidth="1"/>
    <col min="2308" max="2308" width="9.109375" style="19"/>
    <col min="2309" max="2309" width="14.6640625" style="19" customWidth="1"/>
    <col min="2310" max="2310" width="10.6640625" style="19" customWidth="1"/>
    <col min="2311" max="2562" width="9.109375" style="19"/>
    <col min="2563" max="2563" width="11.6640625" style="19" customWidth="1"/>
    <col min="2564" max="2564" width="9.109375" style="19"/>
    <col min="2565" max="2565" width="14.6640625" style="19" customWidth="1"/>
    <col min="2566" max="2566" width="10.6640625" style="19" customWidth="1"/>
    <col min="2567" max="2818" width="9.109375" style="19"/>
    <col min="2819" max="2819" width="11.6640625" style="19" customWidth="1"/>
    <col min="2820" max="2820" width="9.109375" style="19"/>
    <col min="2821" max="2821" width="14.6640625" style="19" customWidth="1"/>
    <col min="2822" max="2822" width="10.6640625" style="19" customWidth="1"/>
    <col min="2823" max="3074" width="9.109375" style="19"/>
    <col min="3075" max="3075" width="11.6640625" style="19" customWidth="1"/>
    <col min="3076" max="3076" width="9.109375" style="19"/>
    <col min="3077" max="3077" width="14.6640625" style="19" customWidth="1"/>
    <col min="3078" max="3078" width="10.6640625" style="19" customWidth="1"/>
    <col min="3079" max="3330" width="9.109375" style="19"/>
    <col min="3331" max="3331" width="11.6640625" style="19" customWidth="1"/>
    <col min="3332" max="3332" width="9.109375" style="19"/>
    <col min="3333" max="3333" width="14.6640625" style="19" customWidth="1"/>
    <col min="3334" max="3334" width="10.6640625" style="19" customWidth="1"/>
    <col min="3335" max="3586" width="9.109375" style="19"/>
    <col min="3587" max="3587" width="11.6640625" style="19" customWidth="1"/>
    <col min="3588" max="3588" width="9.109375" style="19"/>
    <col min="3589" max="3589" width="14.6640625" style="19" customWidth="1"/>
    <col min="3590" max="3590" width="10.6640625" style="19" customWidth="1"/>
    <col min="3591" max="3842" width="9.109375" style="19"/>
    <col min="3843" max="3843" width="11.6640625" style="19" customWidth="1"/>
    <col min="3844" max="3844" width="9.109375" style="19"/>
    <col min="3845" max="3845" width="14.6640625" style="19" customWidth="1"/>
    <col min="3846" max="3846" width="10.6640625" style="19" customWidth="1"/>
    <col min="3847" max="4098" width="9.109375" style="19"/>
    <col min="4099" max="4099" width="11.6640625" style="19" customWidth="1"/>
    <col min="4100" max="4100" width="9.109375" style="19"/>
    <col min="4101" max="4101" width="14.6640625" style="19" customWidth="1"/>
    <col min="4102" max="4102" width="10.6640625" style="19" customWidth="1"/>
    <col min="4103" max="4354" width="9.109375" style="19"/>
    <col min="4355" max="4355" width="11.6640625" style="19" customWidth="1"/>
    <col min="4356" max="4356" width="9.109375" style="19"/>
    <col min="4357" max="4357" width="14.6640625" style="19" customWidth="1"/>
    <col min="4358" max="4358" width="10.6640625" style="19" customWidth="1"/>
    <col min="4359" max="4610" width="9.109375" style="19"/>
    <col min="4611" max="4611" width="11.6640625" style="19" customWidth="1"/>
    <col min="4612" max="4612" width="9.109375" style="19"/>
    <col min="4613" max="4613" width="14.6640625" style="19" customWidth="1"/>
    <col min="4614" max="4614" width="10.6640625" style="19" customWidth="1"/>
    <col min="4615" max="4866" width="9.109375" style="19"/>
    <col min="4867" max="4867" width="11.6640625" style="19" customWidth="1"/>
    <col min="4868" max="4868" width="9.109375" style="19"/>
    <col min="4869" max="4869" width="14.6640625" style="19" customWidth="1"/>
    <col min="4870" max="4870" width="10.6640625" style="19" customWidth="1"/>
    <col min="4871" max="5122" width="9.109375" style="19"/>
    <col min="5123" max="5123" width="11.6640625" style="19" customWidth="1"/>
    <col min="5124" max="5124" width="9.109375" style="19"/>
    <col min="5125" max="5125" width="14.6640625" style="19" customWidth="1"/>
    <col min="5126" max="5126" width="10.6640625" style="19" customWidth="1"/>
    <col min="5127" max="5378" width="9.109375" style="19"/>
    <col min="5379" max="5379" width="11.6640625" style="19" customWidth="1"/>
    <col min="5380" max="5380" width="9.109375" style="19"/>
    <col min="5381" max="5381" width="14.6640625" style="19" customWidth="1"/>
    <col min="5382" max="5382" width="10.6640625" style="19" customWidth="1"/>
    <col min="5383" max="5634" width="9.109375" style="19"/>
    <col min="5635" max="5635" width="11.6640625" style="19" customWidth="1"/>
    <col min="5636" max="5636" width="9.109375" style="19"/>
    <col min="5637" max="5637" width="14.6640625" style="19" customWidth="1"/>
    <col min="5638" max="5638" width="10.6640625" style="19" customWidth="1"/>
    <col min="5639" max="5890" width="9.109375" style="19"/>
    <col min="5891" max="5891" width="11.6640625" style="19" customWidth="1"/>
    <col min="5892" max="5892" width="9.109375" style="19"/>
    <col min="5893" max="5893" width="14.6640625" style="19" customWidth="1"/>
    <col min="5894" max="5894" width="10.6640625" style="19" customWidth="1"/>
    <col min="5895" max="6146" width="9.109375" style="19"/>
    <col min="6147" max="6147" width="11.6640625" style="19" customWidth="1"/>
    <col min="6148" max="6148" width="9.109375" style="19"/>
    <col min="6149" max="6149" width="14.6640625" style="19" customWidth="1"/>
    <col min="6150" max="6150" width="10.6640625" style="19" customWidth="1"/>
    <col min="6151" max="6402" width="9.109375" style="19"/>
    <col min="6403" max="6403" width="11.6640625" style="19" customWidth="1"/>
    <col min="6404" max="6404" width="9.109375" style="19"/>
    <col min="6405" max="6405" width="14.6640625" style="19" customWidth="1"/>
    <col min="6406" max="6406" width="10.6640625" style="19" customWidth="1"/>
    <col min="6407" max="6658" width="9.109375" style="19"/>
    <col min="6659" max="6659" width="11.6640625" style="19" customWidth="1"/>
    <col min="6660" max="6660" width="9.109375" style="19"/>
    <col min="6661" max="6661" width="14.6640625" style="19" customWidth="1"/>
    <col min="6662" max="6662" width="10.6640625" style="19" customWidth="1"/>
    <col min="6663" max="6914" width="9.109375" style="19"/>
    <col min="6915" max="6915" width="11.6640625" style="19" customWidth="1"/>
    <col min="6916" max="6916" width="9.109375" style="19"/>
    <col min="6917" max="6917" width="14.6640625" style="19" customWidth="1"/>
    <col min="6918" max="6918" width="10.6640625" style="19" customWidth="1"/>
    <col min="6919" max="7170" width="9.109375" style="19"/>
    <col min="7171" max="7171" width="11.6640625" style="19" customWidth="1"/>
    <col min="7172" max="7172" width="9.109375" style="19"/>
    <col min="7173" max="7173" width="14.6640625" style="19" customWidth="1"/>
    <col min="7174" max="7174" width="10.6640625" style="19" customWidth="1"/>
    <col min="7175" max="7426" width="9.109375" style="19"/>
    <col min="7427" max="7427" width="11.6640625" style="19" customWidth="1"/>
    <col min="7428" max="7428" width="9.109375" style="19"/>
    <col min="7429" max="7429" width="14.6640625" style="19" customWidth="1"/>
    <col min="7430" max="7430" width="10.6640625" style="19" customWidth="1"/>
    <col min="7431" max="7682" width="9.109375" style="19"/>
    <col min="7683" max="7683" width="11.6640625" style="19" customWidth="1"/>
    <col min="7684" max="7684" width="9.109375" style="19"/>
    <col min="7685" max="7685" width="14.6640625" style="19" customWidth="1"/>
    <col min="7686" max="7686" width="10.6640625" style="19" customWidth="1"/>
    <col min="7687" max="7938" width="9.109375" style="19"/>
    <col min="7939" max="7939" width="11.6640625" style="19" customWidth="1"/>
    <col min="7940" max="7940" width="9.109375" style="19"/>
    <col min="7941" max="7941" width="14.6640625" style="19" customWidth="1"/>
    <col min="7942" max="7942" width="10.6640625" style="19" customWidth="1"/>
    <col min="7943" max="8194" width="9.109375" style="19"/>
    <col min="8195" max="8195" width="11.6640625" style="19" customWidth="1"/>
    <col min="8196" max="8196" width="9.109375" style="19"/>
    <col min="8197" max="8197" width="14.6640625" style="19" customWidth="1"/>
    <col min="8198" max="8198" width="10.6640625" style="19" customWidth="1"/>
    <col min="8199" max="8450" width="9.109375" style="19"/>
    <col min="8451" max="8451" width="11.6640625" style="19" customWidth="1"/>
    <col min="8452" max="8452" width="9.109375" style="19"/>
    <col min="8453" max="8453" width="14.6640625" style="19" customWidth="1"/>
    <col min="8454" max="8454" width="10.6640625" style="19" customWidth="1"/>
    <col min="8455" max="8706" width="9.109375" style="19"/>
    <col min="8707" max="8707" width="11.6640625" style="19" customWidth="1"/>
    <col min="8708" max="8708" width="9.109375" style="19"/>
    <col min="8709" max="8709" width="14.6640625" style="19" customWidth="1"/>
    <col min="8710" max="8710" width="10.6640625" style="19" customWidth="1"/>
    <col min="8711" max="8962" width="9.109375" style="19"/>
    <col min="8963" max="8963" width="11.6640625" style="19" customWidth="1"/>
    <col min="8964" max="8964" width="9.109375" style="19"/>
    <col min="8965" max="8965" width="14.6640625" style="19" customWidth="1"/>
    <col min="8966" max="8966" width="10.6640625" style="19" customWidth="1"/>
    <col min="8967" max="9218" width="9.109375" style="19"/>
    <col min="9219" max="9219" width="11.6640625" style="19" customWidth="1"/>
    <col min="9220" max="9220" width="9.109375" style="19"/>
    <col min="9221" max="9221" width="14.6640625" style="19" customWidth="1"/>
    <col min="9222" max="9222" width="10.6640625" style="19" customWidth="1"/>
    <col min="9223" max="9474" width="9.109375" style="19"/>
    <col min="9475" max="9475" width="11.6640625" style="19" customWidth="1"/>
    <col min="9476" max="9476" width="9.109375" style="19"/>
    <col min="9477" max="9477" width="14.6640625" style="19" customWidth="1"/>
    <col min="9478" max="9478" width="10.6640625" style="19" customWidth="1"/>
    <col min="9479" max="9730" width="9.109375" style="19"/>
    <col min="9731" max="9731" width="11.6640625" style="19" customWidth="1"/>
    <col min="9732" max="9732" width="9.109375" style="19"/>
    <col min="9733" max="9733" width="14.6640625" style="19" customWidth="1"/>
    <col min="9734" max="9734" width="10.6640625" style="19" customWidth="1"/>
    <col min="9735" max="9986" width="9.109375" style="19"/>
    <col min="9987" max="9987" width="11.6640625" style="19" customWidth="1"/>
    <col min="9988" max="9988" width="9.109375" style="19"/>
    <col min="9989" max="9989" width="14.6640625" style="19" customWidth="1"/>
    <col min="9990" max="9990" width="10.6640625" style="19" customWidth="1"/>
    <col min="9991" max="10242" width="9.109375" style="19"/>
    <col min="10243" max="10243" width="11.6640625" style="19" customWidth="1"/>
    <col min="10244" max="10244" width="9.109375" style="19"/>
    <col min="10245" max="10245" width="14.6640625" style="19" customWidth="1"/>
    <col min="10246" max="10246" width="10.6640625" style="19" customWidth="1"/>
    <col min="10247" max="10498" width="9.109375" style="19"/>
    <col min="10499" max="10499" width="11.6640625" style="19" customWidth="1"/>
    <col min="10500" max="10500" width="9.109375" style="19"/>
    <col min="10501" max="10501" width="14.6640625" style="19" customWidth="1"/>
    <col min="10502" max="10502" width="10.6640625" style="19" customWidth="1"/>
    <col min="10503" max="10754" width="9.109375" style="19"/>
    <col min="10755" max="10755" width="11.6640625" style="19" customWidth="1"/>
    <col min="10756" max="10756" width="9.109375" style="19"/>
    <col min="10757" max="10757" width="14.6640625" style="19" customWidth="1"/>
    <col min="10758" max="10758" width="10.6640625" style="19" customWidth="1"/>
    <col min="10759" max="11010" width="9.109375" style="19"/>
    <col min="11011" max="11011" width="11.6640625" style="19" customWidth="1"/>
    <col min="11012" max="11012" width="9.109375" style="19"/>
    <col min="11013" max="11013" width="14.6640625" style="19" customWidth="1"/>
    <col min="11014" max="11014" width="10.6640625" style="19" customWidth="1"/>
    <col min="11015" max="11266" width="9.109375" style="19"/>
    <col min="11267" max="11267" width="11.6640625" style="19" customWidth="1"/>
    <col min="11268" max="11268" width="9.109375" style="19"/>
    <col min="11269" max="11269" width="14.6640625" style="19" customWidth="1"/>
    <col min="11270" max="11270" width="10.6640625" style="19" customWidth="1"/>
    <col min="11271" max="11522" width="9.109375" style="19"/>
    <col min="11523" max="11523" width="11.6640625" style="19" customWidth="1"/>
    <col min="11524" max="11524" width="9.109375" style="19"/>
    <col min="11525" max="11525" width="14.6640625" style="19" customWidth="1"/>
    <col min="11526" max="11526" width="10.6640625" style="19" customWidth="1"/>
    <col min="11527" max="11778" width="9.109375" style="19"/>
    <col min="11779" max="11779" width="11.6640625" style="19" customWidth="1"/>
    <col min="11780" max="11780" width="9.109375" style="19"/>
    <col min="11781" max="11781" width="14.6640625" style="19" customWidth="1"/>
    <col min="11782" max="11782" width="10.6640625" style="19" customWidth="1"/>
    <col min="11783" max="12034" width="9.109375" style="19"/>
    <col min="12035" max="12035" width="11.6640625" style="19" customWidth="1"/>
    <col min="12036" max="12036" width="9.109375" style="19"/>
    <col min="12037" max="12037" width="14.6640625" style="19" customWidth="1"/>
    <col min="12038" max="12038" width="10.6640625" style="19" customWidth="1"/>
    <col min="12039" max="12290" width="9.109375" style="19"/>
    <col min="12291" max="12291" width="11.6640625" style="19" customWidth="1"/>
    <col min="12292" max="12292" width="9.109375" style="19"/>
    <col min="12293" max="12293" width="14.6640625" style="19" customWidth="1"/>
    <col min="12294" max="12294" width="10.6640625" style="19" customWidth="1"/>
    <col min="12295" max="12546" width="9.109375" style="19"/>
    <col min="12547" max="12547" width="11.6640625" style="19" customWidth="1"/>
    <col min="12548" max="12548" width="9.109375" style="19"/>
    <col min="12549" max="12549" width="14.6640625" style="19" customWidth="1"/>
    <col min="12550" max="12550" width="10.6640625" style="19" customWidth="1"/>
    <col min="12551" max="12802" width="9.109375" style="19"/>
    <col min="12803" max="12803" width="11.6640625" style="19" customWidth="1"/>
    <col min="12804" max="12804" width="9.109375" style="19"/>
    <col min="12805" max="12805" width="14.6640625" style="19" customWidth="1"/>
    <col min="12806" max="12806" width="10.6640625" style="19" customWidth="1"/>
    <col min="12807" max="13058" width="9.109375" style="19"/>
    <col min="13059" max="13059" width="11.6640625" style="19" customWidth="1"/>
    <col min="13060" max="13060" width="9.109375" style="19"/>
    <col min="13061" max="13061" width="14.6640625" style="19" customWidth="1"/>
    <col min="13062" max="13062" width="10.6640625" style="19" customWidth="1"/>
    <col min="13063" max="13314" width="9.109375" style="19"/>
    <col min="13315" max="13315" width="11.6640625" style="19" customWidth="1"/>
    <col min="13316" max="13316" width="9.109375" style="19"/>
    <col min="13317" max="13317" width="14.6640625" style="19" customWidth="1"/>
    <col min="13318" max="13318" width="10.6640625" style="19" customWidth="1"/>
    <col min="13319" max="13570" width="9.109375" style="19"/>
    <col min="13571" max="13571" width="11.6640625" style="19" customWidth="1"/>
    <col min="13572" max="13572" width="9.109375" style="19"/>
    <col min="13573" max="13573" width="14.6640625" style="19" customWidth="1"/>
    <col min="13574" max="13574" width="10.6640625" style="19" customWidth="1"/>
    <col min="13575" max="13826" width="9.109375" style="19"/>
    <col min="13827" max="13827" width="11.6640625" style="19" customWidth="1"/>
    <col min="13828" max="13828" width="9.109375" style="19"/>
    <col min="13829" max="13829" width="14.6640625" style="19" customWidth="1"/>
    <col min="13830" max="13830" width="10.6640625" style="19" customWidth="1"/>
    <col min="13831" max="14082" width="9.109375" style="19"/>
    <col min="14083" max="14083" width="11.6640625" style="19" customWidth="1"/>
    <col min="14084" max="14084" width="9.109375" style="19"/>
    <col min="14085" max="14085" width="14.6640625" style="19" customWidth="1"/>
    <col min="14086" max="14086" width="10.6640625" style="19" customWidth="1"/>
    <col min="14087" max="14338" width="9.109375" style="19"/>
    <col min="14339" max="14339" width="11.6640625" style="19" customWidth="1"/>
    <col min="14340" max="14340" width="9.109375" style="19"/>
    <col min="14341" max="14341" width="14.6640625" style="19" customWidth="1"/>
    <col min="14342" max="14342" width="10.6640625" style="19" customWidth="1"/>
    <col min="14343" max="14594" width="9.109375" style="19"/>
    <col min="14595" max="14595" width="11.6640625" style="19" customWidth="1"/>
    <col min="14596" max="14596" width="9.109375" style="19"/>
    <col min="14597" max="14597" width="14.6640625" style="19" customWidth="1"/>
    <col min="14598" max="14598" width="10.6640625" style="19" customWidth="1"/>
    <col min="14599" max="14850" width="9.109375" style="19"/>
    <col min="14851" max="14851" width="11.6640625" style="19" customWidth="1"/>
    <col min="14852" max="14852" width="9.109375" style="19"/>
    <col min="14853" max="14853" width="14.6640625" style="19" customWidth="1"/>
    <col min="14854" max="14854" width="10.6640625" style="19" customWidth="1"/>
    <col min="14855" max="15106" width="9.109375" style="19"/>
    <col min="15107" max="15107" width="11.6640625" style="19" customWidth="1"/>
    <col min="15108" max="15108" width="9.109375" style="19"/>
    <col min="15109" max="15109" width="14.6640625" style="19" customWidth="1"/>
    <col min="15110" max="15110" width="10.6640625" style="19" customWidth="1"/>
    <col min="15111" max="15362" width="9.109375" style="19"/>
    <col min="15363" max="15363" width="11.6640625" style="19" customWidth="1"/>
    <col min="15364" max="15364" width="9.109375" style="19"/>
    <col min="15365" max="15365" width="14.6640625" style="19" customWidth="1"/>
    <col min="15366" max="15366" width="10.6640625" style="19" customWidth="1"/>
    <col min="15367" max="15618" width="9.109375" style="19"/>
    <col min="15619" max="15619" width="11.6640625" style="19" customWidth="1"/>
    <col min="15620" max="15620" width="9.109375" style="19"/>
    <col min="15621" max="15621" width="14.6640625" style="19" customWidth="1"/>
    <col min="15622" max="15622" width="10.6640625" style="19" customWidth="1"/>
    <col min="15623" max="15874" width="9.109375" style="19"/>
    <col min="15875" max="15875" width="11.6640625" style="19" customWidth="1"/>
    <col min="15876" max="15876" width="9.109375" style="19"/>
    <col min="15877" max="15877" width="14.6640625" style="19" customWidth="1"/>
    <col min="15878" max="15878" width="10.6640625" style="19" customWidth="1"/>
    <col min="15879" max="16130" width="9.109375" style="19"/>
    <col min="16131" max="16131" width="11.6640625" style="19" customWidth="1"/>
    <col min="16132" max="16132" width="9.109375" style="19"/>
    <col min="16133" max="16133" width="14.6640625" style="19" customWidth="1"/>
    <col min="16134" max="16134" width="10.6640625" style="19" customWidth="1"/>
    <col min="16135" max="16384" width="9.109375" style="19"/>
  </cols>
  <sheetData>
    <row r="2" spans="1:13" x14ac:dyDescent="0.25">
      <c r="A2" s="20" t="s">
        <v>125</v>
      </c>
      <c r="B2" s="20" t="s">
        <v>126</v>
      </c>
      <c r="C2" s="20" t="s">
        <v>127</v>
      </c>
      <c r="D2" s="259" t="s">
        <v>128</v>
      </c>
      <c r="E2" s="259"/>
    </row>
    <row r="3" spans="1:13" x14ac:dyDescent="0.25">
      <c r="A3" s="23">
        <v>0</v>
      </c>
      <c r="B3" s="23">
        <v>0</v>
      </c>
      <c r="C3" s="23">
        <v>1</v>
      </c>
      <c r="D3" s="261">
        <v>19</v>
      </c>
      <c r="E3" s="261"/>
    </row>
    <row r="5" spans="1:13" hidden="1" x14ac:dyDescent="0.25">
      <c r="A5" s="19" t="s">
        <v>90</v>
      </c>
      <c r="B5" s="21" t="s">
        <v>143</v>
      </c>
      <c r="C5" s="21">
        <f>D3</f>
        <v>19</v>
      </c>
      <c r="D5" s="22"/>
    </row>
    <row r="6" spans="1:13" x14ac:dyDescent="0.25">
      <c r="A6" s="19" t="s">
        <v>91</v>
      </c>
      <c r="B6" s="24">
        <v>10</v>
      </c>
      <c r="C6" s="25">
        <v>3</v>
      </c>
      <c r="D6" s="26">
        <f>((100/B6)*C6)/100</f>
        <v>0.3</v>
      </c>
    </row>
    <row r="7" spans="1:13" x14ac:dyDescent="0.25">
      <c r="A7" s="19" t="s">
        <v>92</v>
      </c>
      <c r="B7" s="24">
        <f>A3+B3+C3+D3</f>
        <v>20</v>
      </c>
      <c r="C7" s="25">
        <v>0</v>
      </c>
      <c r="D7" s="26">
        <f t="shared" ref="D7:D12" si="0">((100/B7)*C7)/100</f>
        <v>0</v>
      </c>
      <c r="F7" s="262" t="s">
        <v>144</v>
      </c>
      <c r="G7" s="262"/>
      <c r="H7" s="27" t="s">
        <v>145</v>
      </c>
      <c r="J7" s="33"/>
    </row>
    <row r="8" spans="1:13" x14ac:dyDescent="0.25">
      <c r="A8" s="19" t="s">
        <v>97</v>
      </c>
      <c r="B8" s="24">
        <f>C5</f>
        <v>19</v>
      </c>
      <c r="C8" s="25">
        <v>0</v>
      </c>
      <c r="D8" s="26">
        <f t="shared" si="0"/>
        <v>0</v>
      </c>
      <c r="F8" s="260" t="s">
        <v>146</v>
      </c>
      <c r="G8" s="260"/>
      <c r="H8" s="24" t="s">
        <v>147</v>
      </c>
    </row>
    <row r="9" spans="1:13" x14ac:dyDescent="0.25">
      <c r="A9" s="19" t="s">
        <v>99</v>
      </c>
      <c r="B9" s="24">
        <f>C5</f>
        <v>19</v>
      </c>
      <c r="C9" s="25">
        <v>0</v>
      </c>
      <c r="D9" s="26">
        <f t="shared" si="0"/>
        <v>0</v>
      </c>
      <c r="F9" s="260" t="s">
        <v>148</v>
      </c>
      <c r="G9" s="260"/>
      <c r="H9" s="24" t="s">
        <v>149</v>
      </c>
    </row>
    <row r="10" spans="1:13" x14ac:dyDescent="0.25">
      <c r="A10" s="19" t="s">
        <v>64</v>
      </c>
      <c r="B10" s="24">
        <f>C5</f>
        <v>19</v>
      </c>
      <c r="C10" s="25">
        <v>0</v>
      </c>
      <c r="D10" s="26">
        <f t="shared" si="0"/>
        <v>0</v>
      </c>
      <c r="F10" s="260" t="s">
        <v>150</v>
      </c>
      <c r="G10" s="260"/>
      <c r="H10" s="24" t="s">
        <v>151</v>
      </c>
    </row>
    <row r="11" spans="1:13" x14ac:dyDescent="0.25">
      <c r="A11" s="28" t="s">
        <v>95</v>
      </c>
      <c r="B11" s="24">
        <f>C5</f>
        <v>19</v>
      </c>
      <c r="C11" s="25">
        <v>0</v>
      </c>
      <c r="D11" s="26">
        <f t="shared" si="0"/>
        <v>0</v>
      </c>
      <c r="F11" s="260" t="s">
        <v>152</v>
      </c>
      <c r="G11" s="260"/>
      <c r="H11" s="24" t="s">
        <v>153</v>
      </c>
    </row>
    <row r="12" spans="1:13" x14ac:dyDescent="0.25">
      <c r="A12" s="19" t="s">
        <v>65</v>
      </c>
      <c r="B12" s="24">
        <f>C5</f>
        <v>19</v>
      </c>
      <c r="C12" s="25">
        <v>0</v>
      </c>
      <c r="D12" s="26">
        <f t="shared" si="0"/>
        <v>0</v>
      </c>
      <c r="F12" s="260" t="s">
        <v>154</v>
      </c>
      <c r="G12" s="260"/>
      <c r="H12" s="24" t="s">
        <v>155</v>
      </c>
    </row>
    <row r="13" spans="1:13" x14ac:dyDescent="0.25">
      <c r="F13" s="260" t="s">
        <v>156</v>
      </c>
      <c r="G13" s="260"/>
      <c r="H13" s="24" t="s">
        <v>157</v>
      </c>
    </row>
    <row r="14" spans="1:13" hidden="1" x14ac:dyDescent="0.25">
      <c r="A14" s="20"/>
      <c r="B14" s="20" t="s">
        <v>96</v>
      </c>
      <c r="C14" s="20" t="s">
        <v>100</v>
      </c>
      <c r="G14" s="20" t="s">
        <v>91</v>
      </c>
      <c r="H14" s="20" t="s">
        <v>93</v>
      </c>
      <c r="I14" s="20" t="s">
        <v>94</v>
      </c>
      <c r="J14" s="20" t="s">
        <v>63</v>
      </c>
      <c r="K14" s="20" t="s">
        <v>64</v>
      </c>
      <c r="L14" s="20" t="s">
        <v>95</v>
      </c>
      <c r="M14" s="20" t="s">
        <v>65</v>
      </c>
    </row>
    <row r="15" spans="1:13" hidden="1" x14ac:dyDescent="0.25">
      <c r="A15" s="20" t="s">
        <v>61</v>
      </c>
      <c r="B15" s="20">
        <f>G15</f>
        <v>3</v>
      </c>
      <c r="C15" s="20">
        <f>G16</f>
        <v>23</v>
      </c>
      <c r="E15" s="259" t="s">
        <v>96</v>
      </c>
      <c r="F15" s="259"/>
      <c r="G15" s="29">
        <f>C6</f>
        <v>3</v>
      </c>
      <c r="H15" s="29">
        <f>40/B7*C7</f>
        <v>0</v>
      </c>
      <c r="I15" s="29">
        <f>15/B8*C8</f>
        <v>0</v>
      </c>
      <c r="J15" s="29">
        <f>10/B9*C9</f>
        <v>0</v>
      </c>
      <c r="K15" s="29">
        <f>10/B10*C10</f>
        <v>0</v>
      </c>
      <c r="L15" s="29">
        <f>5/B11*C11</f>
        <v>0</v>
      </c>
      <c r="M15" s="29">
        <f>5/B12*C12</f>
        <v>0</v>
      </c>
    </row>
    <row r="16" spans="1:13" hidden="1" x14ac:dyDescent="0.25">
      <c r="A16" s="20" t="s">
        <v>62</v>
      </c>
      <c r="B16" s="20">
        <f>H15</f>
        <v>0</v>
      </c>
      <c r="C16" s="20">
        <f>H16</f>
        <v>0</v>
      </c>
      <c r="E16" s="259" t="s">
        <v>98</v>
      </c>
      <c r="F16" s="259"/>
      <c r="G16" s="20">
        <f>G15+20</f>
        <v>23</v>
      </c>
      <c r="H16" s="20">
        <f>30/B7*C7</f>
        <v>0</v>
      </c>
      <c r="I16" s="20">
        <f>15/B8*C8</f>
        <v>0</v>
      </c>
      <c r="J16" s="20">
        <f>10/B9*C9</f>
        <v>0</v>
      </c>
      <c r="K16" s="20">
        <f>5/B10*C10</f>
        <v>0</v>
      </c>
      <c r="L16" s="20">
        <f>5/B11*C11</f>
        <v>0</v>
      </c>
      <c r="M16" s="20">
        <f>5/B12*C12</f>
        <v>0</v>
      </c>
    </row>
    <row r="17" spans="1:8" hidden="1" x14ac:dyDescent="0.25">
      <c r="A17" s="20" t="s">
        <v>94</v>
      </c>
      <c r="B17" s="20">
        <f>I15</f>
        <v>0</v>
      </c>
      <c r="C17" s="20">
        <f>I16</f>
        <v>0</v>
      </c>
    </row>
    <row r="18" spans="1:8" hidden="1" x14ac:dyDescent="0.25">
      <c r="A18" s="20" t="s">
        <v>63</v>
      </c>
      <c r="B18" s="20">
        <f>J15</f>
        <v>0</v>
      </c>
      <c r="C18" s="20">
        <f>J16</f>
        <v>0</v>
      </c>
    </row>
    <row r="19" spans="1:8" hidden="1" x14ac:dyDescent="0.25">
      <c r="A19" s="20" t="s">
        <v>64</v>
      </c>
      <c r="B19" s="20">
        <f>K15</f>
        <v>0</v>
      </c>
      <c r="C19" s="20">
        <f>K16</f>
        <v>0</v>
      </c>
    </row>
    <row r="20" spans="1:8" hidden="1" x14ac:dyDescent="0.25">
      <c r="A20" s="30" t="s">
        <v>95</v>
      </c>
      <c r="B20" s="20">
        <f>L15</f>
        <v>0</v>
      </c>
      <c r="C20" s="20">
        <f>L16</f>
        <v>0</v>
      </c>
    </row>
    <row r="21" spans="1:8" hidden="1" x14ac:dyDescent="0.25">
      <c r="A21" s="20" t="s">
        <v>65</v>
      </c>
      <c r="B21" s="20">
        <f>M15</f>
        <v>0</v>
      </c>
      <c r="C21" s="20">
        <f>M16</f>
        <v>0</v>
      </c>
    </row>
    <row r="22" spans="1:8" x14ac:dyDescent="0.25">
      <c r="A22" s="20" t="s">
        <v>101</v>
      </c>
      <c r="B22" s="31">
        <f>(B15+B16+B17+B18+B19+B20+B21)/100</f>
        <v>0.03</v>
      </c>
      <c r="C22" s="31">
        <f>(C15+C16+C17+C18+C19+C20+C21)/100</f>
        <v>0.23</v>
      </c>
      <c r="F22" s="260" t="s">
        <v>158</v>
      </c>
      <c r="G22" s="260"/>
      <c r="H22" s="24" t="s">
        <v>149</v>
      </c>
    </row>
    <row r="23" spans="1:8" x14ac:dyDescent="0.25">
      <c r="F23" s="260" t="s">
        <v>159</v>
      </c>
      <c r="G23" s="260"/>
      <c r="H23" s="24" t="s">
        <v>160</v>
      </c>
    </row>
    <row r="24" spans="1:8" x14ac:dyDescent="0.25">
      <c r="A24" s="19" t="s">
        <v>132</v>
      </c>
      <c r="B24" s="32">
        <v>0.01</v>
      </c>
      <c r="C24" s="32">
        <v>0.02</v>
      </c>
      <c r="F24" s="260" t="s">
        <v>161</v>
      </c>
      <c r="G24" s="260"/>
      <c r="H24" s="24" t="s">
        <v>162</v>
      </c>
    </row>
    <row r="25" spans="1:8" x14ac:dyDescent="0.25">
      <c r="A25" s="19" t="s">
        <v>133</v>
      </c>
      <c r="B25" s="32">
        <v>0.01</v>
      </c>
      <c r="C25" s="32">
        <v>0.03</v>
      </c>
    </row>
    <row r="26" spans="1:8" x14ac:dyDescent="0.25">
      <c r="A26" s="19" t="s">
        <v>134</v>
      </c>
      <c r="B26" s="32">
        <v>0.03</v>
      </c>
      <c r="C26" s="32">
        <v>0.08</v>
      </c>
    </row>
    <row r="27" spans="1:8" x14ac:dyDescent="0.25">
      <c r="A27" s="19" t="s">
        <v>135</v>
      </c>
      <c r="B27" s="32">
        <v>0.05</v>
      </c>
      <c r="C27" s="32">
        <v>0.15</v>
      </c>
    </row>
    <row r="28" spans="1:8" x14ac:dyDescent="0.25">
      <c r="A28" s="19" t="s">
        <v>136</v>
      </c>
      <c r="B28" s="32">
        <v>7.0000000000000007E-2</v>
      </c>
      <c r="C28" s="32">
        <v>0.2</v>
      </c>
    </row>
    <row r="29" spans="1:8" x14ac:dyDescent="0.25">
      <c r="A29" s="19" t="s">
        <v>137</v>
      </c>
      <c r="B29" s="32">
        <v>0.1</v>
      </c>
      <c r="C29" s="32">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31" workbookViewId="0">
      <selection activeCell="A41" sqref="A41"/>
    </sheetView>
  </sheetViews>
  <sheetFormatPr defaultRowHeight="14.4" x14ac:dyDescent="0.3"/>
  <cols>
    <col min="2" max="2" width="12.33203125" customWidth="1"/>
  </cols>
  <sheetData>
    <row r="2" spans="1:12" x14ac:dyDescent="0.3">
      <c r="B2" s="4" t="s">
        <v>102</v>
      </c>
      <c r="C2" s="263"/>
      <c r="D2" s="263"/>
    </row>
    <row r="3" spans="1:12" x14ac:dyDescent="0.3">
      <c r="D3" s="5"/>
      <c r="E3" s="5"/>
      <c r="F3" s="5"/>
      <c r="G3" s="5"/>
      <c r="H3" s="5"/>
      <c r="I3" s="5"/>
    </row>
    <row r="4" spans="1:12" x14ac:dyDescent="0.3">
      <c r="A4" s="4" t="s">
        <v>103</v>
      </c>
      <c r="B4" s="6" t="s">
        <v>104</v>
      </c>
      <c r="C4" s="264" t="s">
        <v>105</v>
      </c>
      <c r="D4" s="264"/>
      <c r="E4" s="264"/>
      <c r="F4" s="7"/>
      <c r="G4" s="264" t="s">
        <v>106</v>
      </c>
      <c r="H4" s="264"/>
      <c r="I4" s="264"/>
      <c r="J4" s="264" t="s">
        <v>107</v>
      </c>
      <c r="K4" s="264"/>
      <c r="L4" s="264"/>
    </row>
    <row r="5" spans="1:12" x14ac:dyDescent="0.3">
      <c r="A5" s="4">
        <v>1</v>
      </c>
      <c r="B5" s="6"/>
      <c r="C5" s="6" t="s">
        <v>108</v>
      </c>
      <c r="D5" s="6" t="s">
        <v>109</v>
      </c>
      <c r="E5" s="6" t="s">
        <v>73</v>
      </c>
      <c r="F5" s="6"/>
      <c r="G5" s="6" t="s">
        <v>108</v>
      </c>
      <c r="H5" s="6" t="s">
        <v>109</v>
      </c>
      <c r="I5" s="6" t="s">
        <v>73</v>
      </c>
      <c r="J5" s="6" t="s">
        <v>108</v>
      </c>
      <c r="K5" s="6" t="s">
        <v>109</v>
      </c>
      <c r="L5" s="6" t="s">
        <v>73</v>
      </c>
    </row>
    <row r="6" spans="1:12" x14ac:dyDescent="0.3">
      <c r="B6" s="8" t="s">
        <v>110</v>
      </c>
      <c r="C6" s="8"/>
      <c r="D6" s="8"/>
      <c r="E6" s="8">
        <f>C6*D6</f>
        <v>0</v>
      </c>
      <c r="F6" s="8" t="s">
        <v>111</v>
      </c>
      <c r="G6" s="8"/>
      <c r="H6" s="8"/>
      <c r="I6" s="8">
        <f>G6*H6</f>
        <v>0</v>
      </c>
      <c r="J6" s="8"/>
      <c r="K6" s="8"/>
      <c r="L6" s="8">
        <f>J6*K6</f>
        <v>0</v>
      </c>
    </row>
    <row r="7" spans="1:12" x14ac:dyDescent="0.3">
      <c r="B7" s="8"/>
      <c r="C7" s="8"/>
      <c r="D7" s="8"/>
      <c r="E7" s="8">
        <f t="shared" ref="E7:E33" si="0">C7*D7</f>
        <v>0</v>
      </c>
      <c r="F7" s="8" t="s">
        <v>112</v>
      </c>
      <c r="G7" s="8"/>
      <c r="H7" s="8"/>
      <c r="I7" s="8">
        <f t="shared" ref="I7:I29" si="1">G7*H7</f>
        <v>0</v>
      </c>
      <c r="J7" s="8"/>
      <c r="K7" s="8"/>
      <c r="L7" s="8">
        <f t="shared" ref="L7:L29" si="2">J7*K7</f>
        <v>0</v>
      </c>
    </row>
    <row r="8" spans="1:12" x14ac:dyDescent="0.3">
      <c r="B8" s="8"/>
      <c r="C8" s="8"/>
      <c r="D8" s="8"/>
      <c r="E8" s="8">
        <f t="shared" si="0"/>
        <v>0</v>
      </c>
      <c r="F8" s="8"/>
      <c r="G8" s="8"/>
      <c r="H8" s="8"/>
      <c r="I8" s="8">
        <f t="shared" si="1"/>
        <v>0</v>
      </c>
      <c r="J8" s="8"/>
      <c r="K8" s="8"/>
      <c r="L8" s="8">
        <f t="shared" si="2"/>
        <v>0</v>
      </c>
    </row>
    <row r="9" spans="1:12" x14ac:dyDescent="0.3">
      <c r="B9" s="8" t="s">
        <v>113</v>
      </c>
      <c r="C9" s="8"/>
      <c r="D9" s="8"/>
      <c r="E9" s="8">
        <f t="shared" si="0"/>
        <v>0</v>
      </c>
      <c r="F9" s="8" t="s">
        <v>111</v>
      </c>
      <c r="G9" s="8"/>
      <c r="H9" s="8"/>
      <c r="I9" s="8">
        <f t="shared" si="1"/>
        <v>0</v>
      </c>
      <c r="J9" s="8"/>
      <c r="K9" s="8"/>
      <c r="L9" s="8">
        <f t="shared" si="2"/>
        <v>0</v>
      </c>
    </row>
    <row r="10" spans="1:12" x14ac:dyDescent="0.3">
      <c r="B10" s="8"/>
      <c r="C10" s="8"/>
      <c r="D10" s="8"/>
      <c r="E10" s="8">
        <f t="shared" si="0"/>
        <v>0</v>
      </c>
      <c r="F10" s="8" t="s">
        <v>112</v>
      </c>
      <c r="G10" s="8"/>
      <c r="H10" s="8"/>
      <c r="I10" s="8">
        <f t="shared" si="1"/>
        <v>0</v>
      </c>
      <c r="J10" s="8"/>
      <c r="K10" s="8"/>
      <c r="L10" s="8">
        <f t="shared" si="2"/>
        <v>0</v>
      </c>
    </row>
    <row r="11" spans="1:12" x14ac:dyDescent="0.3">
      <c r="B11" s="8"/>
      <c r="C11" s="8"/>
      <c r="D11" s="8"/>
      <c r="E11" s="8">
        <f t="shared" si="0"/>
        <v>0</v>
      </c>
      <c r="F11" s="8"/>
      <c r="G11" s="8"/>
      <c r="H11" s="8"/>
      <c r="I11" s="8">
        <f t="shared" si="1"/>
        <v>0</v>
      </c>
      <c r="J11" s="8"/>
      <c r="K11" s="8"/>
      <c r="L11" s="8">
        <f t="shared" si="2"/>
        <v>0</v>
      </c>
    </row>
    <row r="12" spans="1:12" x14ac:dyDescent="0.3">
      <c r="B12" s="8"/>
      <c r="C12" s="8"/>
      <c r="D12" s="8"/>
      <c r="E12" s="8">
        <f t="shared" si="0"/>
        <v>0</v>
      </c>
      <c r="F12" s="8"/>
      <c r="G12" s="8"/>
      <c r="H12" s="8"/>
      <c r="I12" s="8">
        <f t="shared" si="1"/>
        <v>0</v>
      </c>
      <c r="J12" s="8"/>
      <c r="K12" s="8"/>
      <c r="L12" s="8">
        <f t="shared" si="2"/>
        <v>0</v>
      </c>
    </row>
    <row r="13" spans="1:12" x14ac:dyDescent="0.3">
      <c r="B13" s="8" t="s">
        <v>114</v>
      </c>
      <c r="C13" s="8"/>
      <c r="D13" s="8"/>
      <c r="E13" s="8">
        <f t="shared" si="0"/>
        <v>0</v>
      </c>
      <c r="F13" s="8" t="s">
        <v>111</v>
      </c>
      <c r="G13" s="8"/>
      <c r="H13" s="8"/>
      <c r="I13" s="8">
        <f t="shared" si="1"/>
        <v>0</v>
      </c>
      <c r="J13" s="8"/>
      <c r="K13" s="8"/>
      <c r="L13" s="8">
        <f t="shared" si="2"/>
        <v>0</v>
      </c>
    </row>
    <row r="14" spans="1:12" x14ac:dyDescent="0.3">
      <c r="B14" s="8"/>
      <c r="C14" s="8"/>
      <c r="D14" s="8"/>
      <c r="E14" s="8">
        <f t="shared" si="0"/>
        <v>0</v>
      </c>
      <c r="F14" s="8" t="s">
        <v>112</v>
      </c>
      <c r="G14" s="8"/>
      <c r="H14" s="8"/>
      <c r="I14" s="8">
        <f t="shared" si="1"/>
        <v>0</v>
      </c>
      <c r="J14" s="8"/>
      <c r="K14" s="8"/>
      <c r="L14" s="8">
        <f t="shared" si="2"/>
        <v>0</v>
      </c>
    </row>
    <row r="15" spans="1:12" x14ac:dyDescent="0.3">
      <c r="B15" s="8"/>
      <c r="C15" s="8"/>
      <c r="D15" s="8"/>
      <c r="E15" s="8">
        <f t="shared" si="0"/>
        <v>0</v>
      </c>
      <c r="F15" s="8"/>
      <c r="G15" s="8"/>
      <c r="H15" s="8"/>
      <c r="I15" s="8">
        <f t="shared" si="1"/>
        <v>0</v>
      </c>
      <c r="J15" s="8"/>
      <c r="K15" s="8"/>
      <c r="L15" s="8">
        <f t="shared" si="2"/>
        <v>0</v>
      </c>
    </row>
    <row r="16" spans="1:12" x14ac:dyDescent="0.3">
      <c r="B16" s="8"/>
      <c r="C16" s="8"/>
      <c r="D16" s="8"/>
      <c r="E16" s="8">
        <f t="shared" si="0"/>
        <v>0</v>
      </c>
      <c r="F16" s="8"/>
      <c r="G16" s="8"/>
      <c r="H16" s="8"/>
      <c r="I16" s="8">
        <f t="shared" si="1"/>
        <v>0</v>
      </c>
      <c r="J16" s="8"/>
      <c r="K16" s="8"/>
      <c r="L16" s="8">
        <f t="shared" si="2"/>
        <v>0</v>
      </c>
    </row>
    <row r="17" spans="2:12" x14ac:dyDescent="0.3">
      <c r="B17" s="8" t="s">
        <v>115</v>
      </c>
      <c r="C17" s="8"/>
      <c r="D17" s="8"/>
      <c r="E17" s="8">
        <f t="shared" si="0"/>
        <v>0</v>
      </c>
      <c r="F17" s="8" t="s">
        <v>111</v>
      </c>
      <c r="G17" s="8"/>
      <c r="H17" s="8"/>
      <c r="I17" s="8">
        <f t="shared" si="1"/>
        <v>0</v>
      </c>
      <c r="J17" s="8"/>
      <c r="K17" s="8"/>
      <c r="L17" s="8">
        <f t="shared" si="2"/>
        <v>0</v>
      </c>
    </row>
    <row r="18" spans="2:12" x14ac:dyDescent="0.3">
      <c r="B18" s="8"/>
      <c r="C18" s="8"/>
      <c r="D18" s="8"/>
      <c r="E18" s="8">
        <f t="shared" si="0"/>
        <v>0</v>
      </c>
      <c r="F18" s="8" t="s">
        <v>112</v>
      </c>
      <c r="G18" s="8"/>
      <c r="H18" s="8"/>
      <c r="I18" s="8">
        <f t="shared" si="1"/>
        <v>0</v>
      </c>
      <c r="J18" s="8"/>
      <c r="K18" s="8"/>
      <c r="L18" s="8">
        <f t="shared" si="2"/>
        <v>0</v>
      </c>
    </row>
    <row r="19" spans="2:12" x14ac:dyDescent="0.3">
      <c r="B19" s="8"/>
      <c r="C19" s="8"/>
      <c r="D19" s="8"/>
      <c r="E19" s="8">
        <f t="shared" si="0"/>
        <v>0</v>
      </c>
      <c r="F19" s="8"/>
      <c r="G19" s="8"/>
      <c r="H19" s="8"/>
      <c r="I19" s="8">
        <f t="shared" si="1"/>
        <v>0</v>
      </c>
      <c r="J19" s="8"/>
      <c r="K19" s="8"/>
      <c r="L19" s="8">
        <f t="shared" si="2"/>
        <v>0</v>
      </c>
    </row>
    <row r="20" spans="2:12" x14ac:dyDescent="0.3">
      <c r="B20" s="8" t="s">
        <v>115</v>
      </c>
      <c r="C20" s="8"/>
      <c r="D20" s="8"/>
      <c r="E20" s="8">
        <f t="shared" si="0"/>
        <v>0</v>
      </c>
      <c r="F20" s="8" t="s">
        <v>111</v>
      </c>
      <c r="G20" s="8"/>
      <c r="H20" s="8"/>
      <c r="I20" s="8">
        <f t="shared" si="1"/>
        <v>0</v>
      </c>
      <c r="J20" s="8"/>
      <c r="K20" s="8"/>
      <c r="L20" s="8">
        <f t="shared" si="2"/>
        <v>0</v>
      </c>
    </row>
    <row r="21" spans="2:12" x14ac:dyDescent="0.3">
      <c r="B21" s="8"/>
      <c r="C21" s="8"/>
      <c r="D21" s="8"/>
      <c r="E21" s="8">
        <f t="shared" si="0"/>
        <v>0</v>
      </c>
      <c r="F21" s="8" t="s">
        <v>112</v>
      </c>
      <c r="G21" s="8"/>
      <c r="H21" s="8"/>
      <c r="I21" s="8">
        <f t="shared" si="1"/>
        <v>0</v>
      </c>
      <c r="J21" s="8"/>
      <c r="K21" s="8"/>
      <c r="L21" s="8">
        <f t="shared" si="2"/>
        <v>0</v>
      </c>
    </row>
    <row r="22" spans="2:12" x14ac:dyDescent="0.3">
      <c r="B22" s="8"/>
      <c r="C22" s="8"/>
      <c r="D22" s="8"/>
      <c r="E22" s="8">
        <f t="shared" si="0"/>
        <v>0</v>
      </c>
      <c r="F22" s="8"/>
      <c r="G22" s="8"/>
      <c r="H22" s="8"/>
      <c r="I22" s="8">
        <f t="shared" si="1"/>
        <v>0</v>
      </c>
      <c r="J22" s="8"/>
      <c r="K22" s="8"/>
      <c r="L22" s="8">
        <f t="shared" si="2"/>
        <v>0</v>
      </c>
    </row>
    <row r="23" spans="2:12" x14ac:dyDescent="0.3">
      <c r="B23" s="8" t="s">
        <v>116</v>
      </c>
      <c r="C23" s="8"/>
      <c r="D23" s="8"/>
      <c r="E23" s="8">
        <f t="shared" si="0"/>
        <v>0</v>
      </c>
      <c r="F23" s="8" t="s">
        <v>117</v>
      </c>
      <c r="G23" s="8"/>
      <c r="H23" s="8"/>
      <c r="I23" s="8">
        <f t="shared" si="1"/>
        <v>0</v>
      </c>
      <c r="J23" s="8"/>
      <c r="K23" s="8"/>
      <c r="L23" s="8">
        <f t="shared" si="2"/>
        <v>0</v>
      </c>
    </row>
    <row r="24" spans="2:12" x14ac:dyDescent="0.3">
      <c r="B24" s="8" t="s">
        <v>118</v>
      </c>
      <c r="C24" s="8"/>
      <c r="D24" s="8"/>
      <c r="E24" s="8">
        <f t="shared" si="0"/>
        <v>0</v>
      </c>
      <c r="F24" s="8" t="s">
        <v>117</v>
      </c>
      <c r="G24" s="8"/>
      <c r="H24" s="8"/>
      <c r="I24" s="8">
        <f t="shared" si="1"/>
        <v>0</v>
      </c>
      <c r="J24" s="8"/>
      <c r="K24" s="8"/>
      <c r="L24" s="8">
        <f t="shared" si="2"/>
        <v>0</v>
      </c>
    </row>
    <row r="25" spans="2:12" x14ac:dyDescent="0.3">
      <c r="B25" s="8" t="s">
        <v>119</v>
      </c>
      <c r="C25" s="8"/>
      <c r="D25" s="8"/>
      <c r="E25" s="8">
        <f t="shared" si="0"/>
        <v>0</v>
      </c>
      <c r="F25" s="8" t="s">
        <v>117</v>
      </c>
      <c r="G25" s="8"/>
      <c r="H25" s="8"/>
      <c r="I25" s="8">
        <f t="shared" si="1"/>
        <v>0</v>
      </c>
      <c r="J25" s="8"/>
      <c r="K25" s="8"/>
      <c r="L25" s="8">
        <f t="shared" si="2"/>
        <v>0</v>
      </c>
    </row>
    <row r="26" spans="2:12" x14ac:dyDescent="0.3">
      <c r="B26" s="8"/>
      <c r="C26" s="8"/>
      <c r="D26" s="8"/>
      <c r="E26" s="8">
        <f t="shared" si="0"/>
        <v>0</v>
      </c>
      <c r="F26" s="8"/>
      <c r="G26" s="8"/>
      <c r="H26" s="8"/>
      <c r="I26" s="8">
        <f t="shared" si="1"/>
        <v>0</v>
      </c>
      <c r="J26" s="8"/>
      <c r="K26" s="8"/>
      <c r="L26" s="8">
        <f t="shared" si="2"/>
        <v>0</v>
      </c>
    </row>
    <row r="27" spans="2:12" x14ac:dyDescent="0.3">
      <c r="B27" s="8" t="s">
        <v>120</v>
      </c>
      <c r="C27" s="8"/>
      <c r="D27" s="8"/>
      <c r="E27" s="8">
        <f t="shared" si="0"/>
        <v>0</v>
      </c>
      <c r="F27" s="8"/>
      <c r="G27" s="8"/>
      <c r="H27" s="8"/>
      <c r="I27" s="8">
        <f t="shared" si="1"/>
        <v>0</v>
      </c>
      <c r="J27" s="8"/>
      <c r="K27" s="8"/>
      <c r="L27" s="8">
        <f t="shared" si="2"/>
        <v>0</v>
      </c>
    </row>
    <row r="28" spans="2:12" x14ac:dyDescent="0.3">
      <c r="B28" s="8" t="s">
        <v>121</v>
      </c>
      <c r="C28" s="8"/>
      <c r="D28" s="8"/>
      <c r="E28" s="8">
        <f t="shared" si="0"/>
        <v>0</v>
      </c>
      <c r="F28" s="8"/>
      <c r="G28" s="8"/>
      <c r="H28" s="8"/>
      <c r="I28" s="8">
        <f t="shared" si="1"/>
        <v>0</v>
      </c>
      <c r="J28" s="8"/>
      <c r="K28" s="8"/>
      <c r="L28" s="8">
        <f t="shared" si="2"/>
        <v>0</v>
      </c>
    </row>
    <row r="29" spans="2:12" x14ac:dyDescent="0.3">
      <c r="B29" s="8" t="s">
        <v>122</v>
      </c>
      <c r="C29" s="8"/>
      <c r="D29" s="8"/>
      <c r="E29" s="8">
        <f t="shared" si="0"/>
        <v>0</v>
      </c>
      <c r="F29" s="8"/>
      <c r="G29" s="8"/>
      <c r="H29" s="8"/>
      <c r="I29" s="8">
        <f t="shared" si="1"/>
        <v>0</v>
      </c>
      <c r="J29" s="8"/>
      <c r="K29" s="8"/>
      <c r="L29" s="8">
        <f t="shared" si="2"/>
        <v>0</v>
      </c>
    </row>
    <row r="30" spans="2:12" x14ac:dyDescent="0.3">
      <c r="B30" s="8" t="s">
        <v>123</v>
      </c>
      <c r="C30" s="8"/>
      <c r="D30" s="8"/>
      <c r="E30" s="8">
        <f t="shared" si="0"/>
        <v>0</v>
      </c>
      <c r="F30" s="8"/>
      <c r="G30" s="8"/>
      <c r="H30" s="8"/>
      <c r="I30" s="8">
        <f>G30*H30</f>
        <v>0</v>
      </c>
      <c r="J30" s="8"/>
      <c r="K30" s="8"/>
      <c r="L30" s="8">
        <f>J30*K30</f>
        <v>0</v>
      </c>
    </row>
    <row r="31" spans="2:12" x14ac:dyDescent="0.3">
      <c r="B31" s="8"/>
      <c r="C31" s="8"/>
      <c r="D31" s="8"/>
      <c r="E31" s="8">
        <f t="shared" si="0"/>
        <v>0</v>
      </c>
      <c r="F31" s="8"/>
      <c r="G31" s="8"/>
      <c r="H31" s="8"/>
      <c r="I31" s="8">
        <f>G31*H31</f>
        <v>0</v>
      </c>
      <c r="J31" s="8"/>
      <c r="K31" s="8"/>
      <c r="L31" s="8">
        <f>J31*K31</f>
        <v>0</v>
      </c>
    </row>
    <row r="32" spans="2:12" x14ac:dyDescent="0.3">
      <c r="B32" s="8"/>
      <c r="C32" s="8"/>
      <c r="D32" s="8"/>
      <c r="E32" s="8">
        <f t="shared" si="0"/>
        <v>0</v>
      </c>
      <c r="F32" s="8"/>
      <c r="G32" s="8"/>
      <c r="H32" s="8"/>
      <c r="I32" s="8">
        <f>G32*H32</f>
        <v>0</v>
      </c>
      <c r="J32" s="8"/>
      <c r="K32" s="8"/>
      <c r="L32" s="8">
        <f>J32*K32</f>
        <v>0</v>
      </c>
    </row>
    <row r="33" spans="2:12" x14ac:dyDescent="0.3">
      <c r="B33" s="8"/>
      <c r="C33" s="8"/>
      <c r="D33" s="8"/>
      <c r="E33" s="8">
        <f t="shared" si="0"/>
        <v>0</v>
      </c>
      <c r="F33" s="8"/>
      <c r="G33" s="8"/>
      <c r="H33" s="8"/>
      <c r="I33" s="8">
        <f>G33*H33</f>
        <v>0</v>
      </c>
      <c r="J33" s="8"/>
      <c r="K33" s="8"/>
      <c r="L33" s="8">
        <f>J33*K33</f>
        <v>0</v>
      </c>
    </row>
    <row r="34" spans="2:12" x14ac:dyDescent="0.3">
      <c r="B34" s="8" t="s">
        <v>74</v>
      </c>
      <c r="C34" s="8"/>
      <c r="D34" s="8">
        <f>E34*10.764</f>
        <v>0</v>
      </c>
      <c r="E34" s="8">
        <f>SUM(E6:E33)</f>
        <v>0</v>
      </c>
      <c r="F34" s="8"/>
      <c r="G34" s="8"/>
      <c r="H34" s="8">
        <f>I34*10.764</f>
        <v>0</v>
      </c>
      <c r="I34" s="8">
        <f>SUM(I6:I33)</f>
        <v>0</v>
      </c>
      <c r="J34" s="8"/>
      <c r="K34" s="8">
        <f>L34*10.764</f>
        <v>0</v>
      </c>
      <c r="L34" s="8">
        <f>SUM(L6:L33)</f>
        <v>0</v>
      </c>
    </row>
    <row r="36" spans="2:12" x14ac:dyDescent="0.3">
      <c r="D36">
        <f>D34+H34</f>
        <v>0</v>
      </c>
      <c r="E36">
        <f>E34+I34</f>
        <v>0</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C%</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2025-08-13T12:56:10Z</cp:lastPrinted>
  <dcterms:created xsi:type="dcterms:W3CDTF">2019-07-16T09:29:46Z</dcterms:created>
  <dcterms:modified xsi:type="dcterms:W3CDTF">2025-08-13T12:56:11Z</dcterms:modified>
</cp:coreProperties>
</file>