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defaultThemeVersion="124226"/>
  <mc:AlternateContent xmlns:mc="http://schemas.openxmlformats.org/markup-compatibility/2006">
    <mc:Choice Requires="x15">
      <x15ac:absPath xmlns:x15ac="http://schemas.microsoft.com/office/spreadsheetml/2010/11/ac" url="D:\Kunal\Aug 25\Axis\Dump\"/>
    </mc:Choice>
  </mc:AlternateContent>
  <xr:revisionPtr revIDLastSave="0" documentId="13_ncr:1_{C17987C4-EAE8-4B9A-BFAF-582758C732CE}" xr6:coauthVersionLast="47" xr6:coauthVersionMax="47" xr10:uidLastSave="{00000000-0000-0000-0000-000000000000}"/>
  <bookViews>
    <workbookView xWindow="-108" yWindow="-108" windowWidth="23256" windowHeight="12456" tabRatio="724" xr2:uid="{00000000-000D-0000-FFFF-FFFF00000000}"/>
  </bookViews>
  <sheets>
    <sheet name="Sheet1" sheetId="1" r:id="rId1"/>
    <sheet name="Construction % (2)" sheetId="18" r:id="rId2"/>
    <sheet name="VALUATION" sheetId="21" r:id="rId3"/>
    <sheet name="Note" sheetId="20" r:id="rId4"/>
    <sheet name="Wing A" sheetId="11" r:id="rId5"/>
    <sheet name="Construction %" sheetId="14" state="hidden" r:id="rId6"/>
    <sheet name="Construction % (3)" sheetId="19" state="hidden" r:id="rId7"/>
  </sheets>
  <definedNames>
    <definedName name="_xlnm.Print_Area" localSheetId="0">Sheet1!$A$1:$J$205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 i="1" l="1"/>
  <c r="L66" i="1"/>
  <c r="L65" i="1"/>
  <c r="L64" i="1"/>
  <c r="L63" i="1"/>
  <c r="I56" i="1"/>
  <c r="D61" i="1" l="1"/>
  <c r="D64" i="1"/>
  <c r="L60" i="1"/>
  <c r="C59" i="1" s="1"/>
  <c r="D68" i="1"/>
  <c r="D62" i="1"/>
  <c r="D67" i="1"/>
  <c r="D63" i="1"/>
  <c r="L59" i="1"/>
  <c r="D66" i="1"/>
  <c r="L61" i="1"/>
  <c r="L62" i="1" s="1"/>
  <c r="L67" i="1" s="1"/>
  <c r="L68" i="1" s="1"/>
  <c r="C60" i="1" s="1"/>
  <c r="D65" i="1"/>
  <c r="L58" i="1"/>
  <c r="F59" i="1" l="1"/>
  <c r="D60" i="1"/>
  <c r="H59" i="1"/>
  <c r="D59" i="1"/>
  <c r="K55" i="1" l="1"/>
  <c r="C57" i="1" s="1"/>
  <c r="M66" i="1"/>
  <c r="M65" i="1"/>
  <c r="M64" i="1"/>
  <c r="M63" i="1"/>
  <c r="M59" i="1" l="1"/>
  <c r="M60" i="1"/>
  <c r="M58" i="1"/>
  <c r="M61" i="1"/>
  <c r="M62" i="1" s="1"/>
  <c r="M67" i="1" s="1"/>
  <c r="M68" i="1" s="1"/>
  <c r="F6" i="21" l="1"/>
  <c r="G6" i="21" s="1"/>
  <c r="F7" i="21"/>
  <c r="F8" i="21"/>
  <c r="G8" i="21" s="1"/>
  <c r="F5" i="21"/>
  <c r="G5" i="21" s="1"/>
  <c r="F9" i="21"/>
  <c r="G7" i="21"/>
  <c r="I101" i="1"/>
  <c r="C106" i="1"/>
  <c r="D106" i="1" s="1"/>
  <c r="C105" i="1"/>
  <c r="D105" i="1" s="1"/>
  <c r="C104" i="1"/>
  <c r="D104" i="1" s="1"/>
  <c r="C103" i="1"/>
  <c r="D103" i="1" s="1"/>
  <c r="C102" i="1"/>
  <c r="D102" i="1" s="1"/>
  <c r="C101" i="1"/>
  <c r="D101" i="1" s="1"/>
  <c r="C99" i="1"/>
  <c r="D99" i="1" s="1"/>
  <c r="C98" i="1"/>
  <c r="D98" i="1" s="1"/>
  <c r="C93" i="1"/>
  <c r="D93" i="1" s="1"/>
  <c r="C97" i="1"/>
  <c r="D97" i="1" s="1"/>
  <c r="C96" i="1"/>
  <c r="D96" i="1" s="1"/>
  <c r="C95" i="1"/>
  <c r="D95" i="1" s="1"/>
  <c r="C94" i="1"/>
  <c r="D94" i="1" s="1"/>
  <c r="C92" i="1"/>
  <c r="D92" i="1" s="1"/>
  <c r="B16" i="19"/>
  <c r="E16" i="19" s="1"/>
  <c r="B14" i="19"/>
  <c r="O6" i="19" s="1"/>
  <c r="K18" i="19" s="1"/>
  <c r="B12" i="19"/>
  <c r="N6" i="19" s="1"/>
  <c r="K17" i="19" s="1"/>
  <c r="B10" i="19"/>
  <c r="E10" i="19" s="1"/>
  <c r="B8" i="19"/>
  <c r="L6" i="19" s="1"/>
  <c r="K15" i="19" s="1"/>
  <c r="J6" i="19"/>
  <c r="J7" i="19" s="1"/>
  <c r="L13" i="19" s="1"/>
  <c r="B6" i="19"/>
  <c r="K6" i="19" s="1"/>
  <c r="K14" i="19" s="1"/>
  <c r="E4" i="19"/>
  <c r="F39" i="1"/>
  <c r="F40" i="1" s="1"/>
  <c r="D50" i="1" s="1"/>
  <c r="G86" i="1"/>
  <c r="D48" i="1"/>
  <c r="D121" i="1"/>
  <c r="B16" i="18"/>
  <c r="P6" i="18" s="1"/>
  <c r="K19" i="18" s="1"/>
  <c r="B14" i="18"/>
  <c r="E14" i="18" s="1"/>
  <c r="B12" i="18"/>
  <c r="N7" i="18" s="1"/>
  <c r="L17" i="18" s="1"/>
  <c r="B10" i="18"/>
  <c r="M6" i="18" s="1"/>
  <c r="K16" i="18" s="1"/>
  <c r="E10" i="18"/>
  <c r="B8" i="18"/>
  <c r="L6" i="18" s="1"/>
  <c r="K15" i="18" s="1"/>
  <c r="J6" i="18"/>
  <c r="J7" i="18" s="1"/>
  <c r="L13" i="18" s="1"/>
  <c r="B6" i="18"/>
  <c r="K6" i="18" s="1"/>
  <c r="K14" i="18" s="1"/>
  <c r="E4" i="18"/>
  <c r="E4" i="14"/>
  <c r="B16" i="14"/>
  <c r="E16" i="14" s="1"/>
  <c r="B14" i="14"/>
  <c r="E14" i="14" s="1"/>
  <c r="B12" i="14"/>
  <c r="E12" i="14" s="1"/>
  <c r="B10" i="14"/>
  <c r="E10" i="14" s="1"/>
  <c r="B8" i="14"/>
  <c r="L7" i="14" s="1"/>
  <c r="L15" i="14" s="1"/>
  <c r="J6" i="14"/>
  <c r="K13" i="14" s="1"/>
  <c r="B6" i="14"/>
  <c r="E6" i="14" s="1"/>
  <c r="H44" i="1"/>
  <c r="C44" i="1"/>
  <c r="M21" i="11"/>
  <c r="M22" i="11"/>
  <c r="M23" i="11"/>
  <c r="M24" i="11"/>
  <c r="M25" i="11"/>
  <c r="M26" i="11"/>
  <c r="M27" i="11"/>
  <c r="M28" i="11"/>
  <c r="M29" i="11"/>
  <c r="J21" i="11"/>
  <c r="J22" i="11"/>
  <c r="J23" i="11"/>
  <c r="J24" i="11"/>
  <c r="J25" i="11"/>
  <c r="J26" i="11"/>
  <c r="J27" i="11"/>
  <c r="J28" i="11"/>
  <c r="J29" i="11"/>
  <c r="F21" i="11"/>
  <c r="F22" i="11"/>
  <c r="F23" i="11"/>
  <c r="F24" i="11"/>
  <c r="F25" i="11"/>
  <c r="F26" i="11"/>
  <c r="F27" i="11"/>
  <c r="F28" i="11"/>
  <c r="F29" i="11"/>
  <c r="F30" i="11"/>
  <c r="F31" i="11"/>
  <c r="F32" i="11"/>
  <c r="F33" i="11"/>
  <c r="M7" i="11"/>
  <c r="M8" i="11"/>
  <c r="M9" i="11"/>
  <c r="M10" i="11"/>
  <c r="M11" i="11"/>
  <c r="M12" i="11"/>
  <c r="M13" i="11"/>
  <c r="M14" i="11"/>
  <c r="M15" i="11"/>
  <c r="M16" i="11"/>
  <c r="M17" i="11"/>
  <c r="M18" i="11"/>
  <c r="M19" i="11"/>
  <c r="M20" i="11"/>
  <c r="J7" i="11"/>
  <c r="J8" i="11"/>
  <c r="J9" i="11"/>
  <c r="J10" i="11"/>
  <c r="J11" i="11"/>
  <c r="J12" i="11"/>
  <c r="J13" i="11"/>
  <c r="J14" i="11"/>
  <c r="J15" i="11"/>
  <c r="J16" i="11"/>
  <c r="J17" i="11"/>
  <c r="J18" i="11"/>
  <c r="J19" i="11"/>
  <c r="J20" i="11"/>
  <c r="F7" i="11"/>
  <c r="F8" i="11"/>
  <c r="F9" i="11"/>
  <c r="F10" i="11"/>
  <c r="F11" i="11"/>
  <c r="F12" i="11"/>
  <c r="F13" i="11"/>
  <c r="F14" i="11"/>
  <c r="F15" i="11"/>
  <c r="F16" i="11"/>
  <c r="F17" i="11"/>
  <c r="F18" i="11"/>
  <c r="F19" i="11"/>
  <c r="F20" i="11"/>
  <c r="M33" i="11"/>
  <c r="J33" i="11"/>
  <c r="M32" i="11"/>
  <c r="J32" i="11"/>
  <c r="M31" i="11"/>
  <c r="J31" i="11"/>
  <c r="M30" i="11"/>
  <c r="J30" i="11"/>
  <c r="M6" i="11"/>
  <c r="J6" i="11"/>
  <c r="F6" i="11"/>
  <c r="M7" i="19"/>
  <c r="L16" i="19" s="1"/>
  <c r="M6" i="19"/>
  <c r="K16" i="19" s="1"/>
  <c r="E8" i="19"/>
  <c r="P7" i="19"/>
  <c r="L19" i="19" s="1"/>
  <c r="L6" i="14"/>
  <c r="K15" i="14" s="1"/>
  <c r="J7" i="14"/>
  <c r="L13" i="14" s="1"/>
  <c r="L7" i="19"/>
  <c r="L15" i="19" s="1"/>
  <c r="E8" i="14" l="1"/>
  <c r="K13" i="18"/>
  <c r="N7" i="14"/>
  <c r="L17" i="14" s="1"/>
  <c r="P6" i="19"/>
  <c r="K19" i="19" s="1"/>
  <c r="N6" i="14"/>
  <c r="K17" i="14" s="1"/>
  <c r="P6" i="14"/>
  <c r="K19" i="14" s="1"/>
  <c r="E6" i="18"/>
  <c r="P7" i="14"/>
  <c r="L19" i="14" s="1"/>
  <c r="E12" i="19"/>
  <c r="F34" i="11"/>
  <c r="E34" i="11" s="1"/>
  <c r="M6" i="14"/>
  <c r="K16" i="14" s="1"/>
  <c r="M7" i="14"/>
  <c r="L16" i="14" s="1"/>
  <c r="N7" i="19"/>
  <c r="L17" i="19" s="1"/>
  <c r="P7" i="18"/>
  <c r="L19" i="18" s="1"/>
  <c r="K13" i="19"/>
  <c r="K20" i="19" s="1"/>
  <c r="N6" i="18"/>
  <c r="K17" i="18" s="1"/>
  <c r="E6" i="19"/>
  <c r="O7" i="14"/>
  <c r="L18" i="14" s="1"/>
  <c r="K7" i="18"/>
  <c r="L14" i="18" s="1"/>
  <c r="K7" i="19"/>
  <c r="L14" i="19" s="1"/>
  <c r="O6" i="14"/>
  <c r="K18" i="14" s="1"/>
  <c r="O7" i="18"/>
  <c r="L18" i="18" s="1"/>
  <c r="L7" i="18"/>
  <c r="L15" i="18" s="1"/>
  <c r="J34" i="11"/>
  <c r="I34" i="11" s="1"/>
  <c r="O6" i="18"/>
  <c r="K18" i="18" s="1"/>
  <c r="E8" i="18"/>
  <c r="E12" i="18"/>
  <c r="O7" i="19"/>
  <c r="L18" i="19" s="1"/>
  <c r="M7" i="18"/>
  <c r="L16" i="18" s="1"/>
  <c r="M34" i="11"/>
  <c r="L34" i="11" s="1"/>
  <c r="K7" i="14"/>
  <c r="L14" i="14" s="1"/>
  <c r="E14" i="19"/>
  <c r="K6" i="14"/>
  <c r="K14" i="14" s="1"/>
  <c r="E16" i="18"/>
  <c r="G9" i="21"/>
  <c r="K20" i="14" l="1"/>
  <c r="L20" i="14"/>
  <c r="L20" i="19"/>
  <c r="K20" i="18"/>
  <c r="L20" i="18"/>
</calcChain>
</file>

<file path=xl/sharedStrings.xml><?xml version="1.0" encoding="utf-8"?>
<sst xmlns="http://schemas.openxmlformats.org/spreadsheetml/2006/main" count="426" uniqueCount="251">
  <si>
    <t>Date:</t>
  </si>
  <si>
    <t>CPC Name:</t>
  </si>
  <si>
    <t>Date Of Property Visit</t>
  </si>
  <si>
    <t>Name of the builder company</t>
  </si>
  <si>
    <t>Name of the Project</t>
  </si>
  <si>
    <t>Docouments Provided</t>
  </si>
  <si>
    <t>Road</t>
  </si>
  <si>
    <t>City</t>
  </si>
  <si>
    <t>Class of locality</t>
  </si>
  <si>
    <t>Nature of land with topographical condtion</t>
  </si>
  <si>
    <t xml:space="preserve">Nature of the locality </t>
  </si>
  <si>
    <t>Boundaries</t>
  </si>
  <si>
    <t>East</t>
  </si>
  <si>
    <t>West</t>
  </si>
  <si>
    <t>North</t>
  </si>
  <si>
    <t>As per deed</t>
  </si>
  <si>
    <t>At site</t>
  </si>
  <si>
    <t>Approval details:</t>
  </si>
  <si>
    <t>Permissible FSI</t>
  </si>
  <si>
    <t>Permissible TDR/Paid FSI</t>
  </si>
  <si>
    <t>Total FSI availaible for the project</t>
  </si>
  <si>
    <t>Total number of Buildings</t>
  </si>
  <si>
    <t>Recommended Rates of the Property :</t>
  </si>
  <si>
    <t>Valuation as per Government reckoners rates</t>
  </si>
  <si>
    <t>Undertaking :</t>
  </si>
  <si>
    <t>Authorized Signatory
                                                                                                                                                                                                                                                                                     Name &amp; Seal of the agency</t>
  </si>
  <si>
    <t>2) I/We have no direct or Indirect Interest in the property being valued</t>
  </si>
  <si>
    <t>Quality of infrastructure in vicinity</t>
  </si>
  <si>
    <t>Description</t>
  </si>
  <si>
    <t>Attached Terrace area</t>
  </si>
  <si>
    <t>PLC Y/N</t>
  </si>
  <si>
    <t>Flat No.</t>
  </si>
  <si>
    <t>1) We have personally visited the property &amp; identified the same based on the documents provided</t>
  </si>
  <si>
    <t>Type of Work</t>
  </si>
  <si>
    <t>Plinth</t>
  </si>
  <si>
    <t>RCC</t>
  </si>
  <si>
    <t>Plaster</t>
  </si>
  <si>
    <t>3) The information furnished above is true and correct to my/our knowledge.</t>
  </si>
  <si>
    <t>5) Legal title of the property is not verified by us.</t>
  </si>
  <si>
    <t>6) Gross carpet area =  Net Carpet area + Fungible area.</t>
  </si>
  <si>
    <t>7) Fungible Area= Enclosed Balcony + Flower Bed + Covered Balcony + Service Slab + Duct + Chajja + Wheather Shed area.</t>
  </si>
  <si>
    <t xml:space="preserve">Latitude &amp; Longitude </t>
  </si>
  <si>
    <t>Flooring</t>
  </si>
  <si>
    <t>Finishing</t>
  </si>
  <si>
    <r>
      <t xml:space="preserve">Construction details:    </t>
    </r>
    <r>
      <rPr>
        <b/>
        <sz val="11"/>
        <color indexed="8"/>
        <rFont val="Times New Roman"/>
        <family val="1"/>
      </rPr>
      <t xml:space="preserve">                                                              </t>
    </r>
  </si>
  <si>
    <t xml:space="preserve">Valuation Report </t>
  </si>
  <si>
    <t xml:space="preserve">Details of Flats in Building   </t>
  </si>
  <si>
    <t>Yes</t>
  </si>
  <si>
    <t>Expiry date:NA</t>
  </si>
  <si>
    <t>Expiry date: One year from date of issue</t>
  </si>
  <si>
    <t>Quality of construction: Good</t>
  </si>
  <si>
    <t>Violations Observed if any : NA</t>
  </si>
  <si>
    <t>NA</t>
  </si>
  <si>
    <t>South</t>
  </si>
  <si>
    <t xml:space="preserve">Distance from city centre: </t>
  </si>
  <si>
    <t>Plane</t>
  </si>
  <si>
    <t>Expiry date: NA</t>
  </si>
  <si>
    <t>Projected life of the structure: 60 Years After Completion</t>
  </si>
  <si>
    <t>Material laying at Site: :Bricks, Cement &amp; Steel etc.</t>
  </si>
  <si>
    <t>Wheather the construction is as per approved Building plan : Under Construction</t>
  </si>
  <si>
    <t xml:space="preserve">4)  The saleable area is as per Our Calculation.  </t>
  </si>
  <si>
    <t>Does the boundaries at site match, as mentioned in the Docoumentation: NA</t>
  </si>
  <si>
    <t>Dated</t>
  </si>
  <si>
    <t xml:space="preserve">Project location details       </t>
  </si>
  <si>
    <t>Locality</t>
  </si>
  <si>
    <t>District</t>
  </si>
  <si>
    <t>Pin Code</t>
  </si>
  <si>
    <t>Near by Landmark</t>
  </si>
  <si>
    <t>Good</t>
  </si>
  <si>
    <t>Total land area of the project in Sq. Mt.</t>
  </si>
  <si>
    <t>Total Approved Builtup area of the project in Sq. Mt.</t>
  </si>
  <si>
    <t xml:space="preserve">Layout Approval No     </t>
  </si>
  <si>
    <t xml:space="preserve">Approval Detail : Plan approval </t>
  </si>
  <si>
    <t xml:space="preserve">Building plan approval No    </t>
  </si>
  <si>
    <t>Expected Completion</t>
  </si>
  <si>
    <t>Approved no of units residential</t>
  </si>
  <si>
    <t>Approved no of Floors</t>
  </si>
  <si>
    <t>Development charges Per Sq. Ft.</t>
  </si>
  <si>
    <r>
      <t xml:space="preserve">Proposed Amenities                                                                                                                                                                                                                                   </t>
    </r>
    <r>
      <rPr>
        <sz val="11"/>
        <rFont val="Times New Roman"/>
        <family val="1"/>
      </rPr>
      <t xml:space="preserve">1.  Vitrified tiles flooring 2. Granite Kitchen Platform  3. Decorative Enternace  etc.   </t>
    </r>
    <r>
      <rPr>
        <b/>
        <sz val="11"/>
        <rFont val="Times New Roman"/>
        <family val="1"/>
      </rPr>
      <t xml:space="preserve">                                               </t>
    </r>
  </si>
  <si>
    <t xml:space="preserve">Commencement date of construction </t>
  </si>
  <si>
    <t>Society formation charges</t>
  </si>
  <si>
    <t>Discription</t>
  </si>
  <si>
    <t>Carpet</t>
  </si>
  <si>
    <t>Fungible</t>
  </si>
  <si>
    <t>Terrace</t>
  </si>
  <si>
    <t>L</t>
  </si>
  <si>
    <t>W</t>
  </si>
  <si>
    <t>A</t>
  </si>
  <si>
    <t>Hall</t>
  </si>
  <si>
    <t>Bed1</t>
  </si>
  <si>
    <t>Bed2</t>
  </si>
  <si>
    <t>kitch</t>
  </si>
  <si>
    <t>passage1</t>
  </si>
  <si>
    <t>passage2</t>
  </si>
  <si>
    <t>passage3</t>
  </si>
  <si>
    <t>passage4</t>
  </si>
  <si>
    <t>toilet1</t>
  </si>
  <si>
    <t>toilet2</t>
  </si>
  <si>
    <t>toilet3</t>
  </si>
  <si>
    <t>Total</t>
  </si>
  <si>
    <t xml:space="preserve">Floor No </t>
  </si>
  <si>
    <t>Flat</t>
  </si>
  <si>
    <t xml:space="preserve">Recommended rate of Parking </t>
  </si>
  <si>
    <t>CB</t>
  </si>
  <si>
    <t>FB</t>
  </si>
  <si>
    <t>DB</t>
  </si>
  <si>
    <t>Approved area of the building in Sq.Mt</t>
  </si>
  <si>
    <t xml:space="preserve">O. Certificate No.: </t>
  </si>
  <si>
    <t xml:space="preserve">Date of approval: </t>
  </si>
  <si>
    <t>Contect Details ( Name &amp; Contect No.)</t>
  </si>
  <si>
    <t>Name / no of the Building</t>
  </si>
  <si>
    <t>Accessibility to the Project from the City:
(Proximity to civic amenities like school, hospital, market, etc.)</t>
  </si>
  <si>
    <t>Does property have Electricity / Water / Drainage Connection</t>
  </si>
  <si>
    <t>Date of Commencement of Construction</t>
  </si>
  <si>
    <t>Distressed valuation of the Property</t>
  </si>
  <si>
    <t>Building details Floor Wise</t>
  </si>
  <si>
    <t>Floor</t>
  </si>
  <si>
    <t>Particulars</t>
  </si>
  <si>
    <t xml:space="preserve">total </t>
  </si>
  <si>
    <t xml:space="preserve">completed  </t>
  </si>
  <si>
    <t>plinth</t>
  </si>
  <si>
    <t>slab</t>
  </si>
  <si>
    <t>total slab</t>
  </si>
  <si>
    <t>completed slab</t>
  </si>
  <si>
    <t>p</t>
  </si>
  <si>
    <t>rcc</t>
  </si>
  <si>
    <t>Bricks</t>
  </si>
  <si>
    <t>Wood &amp; painting</t>
  </si>
  <si>
    <t>Progress</t>
  </si>
  <si>
    <t xml:space="preserve">Bricks </t>
  </si>
  <si>
    <t>Total Floor</t>
  </si>
  <si>
    <t>completed Floor</t>
  </si>
  <si>
    <t xml:space="preserve">Recommended </t>
  </si>
  <si>
    <t>plaster</t>
  </si>
  <si>
    <t>Recommended</t>
  </si>
  <si>
    <t xml:space="preserve"> </t>
  </si>
  <si>
    <t>total</t>
  </si>
  <si>
    <t xml:space="preserve">totaL floor </t>
  </si>
  <si>
    <t xml:space="preserve">Name of the builder </t>
  </si>
  <si>
    <t>all available at  1 to 3 km.</t>
  </si>
  <si>
    <t>Middle Class</t>
  </si>
  <si>
    <t>Developing</t>
  </si>
  <si>
    <t>1 BHK</t>
  </si>
  <si>
    <t>Google Map :</t>
  </si>
  <si>
    <t>Type of Structure : RCC Framed Structure</t>
  </si>
  <si>
    <t>Gross Carpet area</t>
  </si>
  <si>
    <t>Built-up Area</t>
  </si>
  <si>
    <t>Ground Floor For Parking</t>
  </si>
  <si>
    <t>Axis Goregaon</t>
  </si>
  <si>
    <t>Palghar</t>
  </si>
  <si>
    <t>01 Building (01 Wing)</t>
  </si>
  <si>
    <t>NA Order</t>
  </si>
  <si>
    <t>Recommended rate of the Flat Per Sq. Ft. ( on Saleable area)</t>
  </si>
  <si>
    <t>2506058585/7776948955</t>
  </si>
  <si>
    <t>Kelve East</t>
  </si>
  <si>
    <t>Open Land</t>
  </si>
  <si>
    <t>Balaji Apt.</t>
  </si>
  <si>
    <t>BS/BP/ZANZROLI/PALGHAR/G.NO.193/NR/337</t>
  </si>
  <si>
    <t>16/03/2017.</t>
  </si>
  <si>
    <t>05/08/2017.</t>
  </si>
  <si>
    <t>Recommended rate of the Shop Per Sq. Ft. ( on Saleable area)</t>
  </si>
  <si>
    <t>Shop</t>
  </si>
  <si>
    <t>1 RK</t>
  </si>
  <si>
    <t>1st to 4th Floors</t>
  </si>
  <si>
    <t>Shops = 06
Flats = 26</t>
  </si>
  <si>
    <t>M/s. S. S. Realty</t>
  </si>
  <si>
    <t xml:space="preserve">Approved usage of the Property: Residential + Commercial
(Restrictive Covenants in regard to Land Use, if any) : No                                                                                                                                         </t>
  </si>
  <si>
    <t>Approved Layout, Approved Building Plan, NA Order</t>
  </si>
  <si>
    <t>Mr.Sanjay Yadav</t>
  </si>
  <si>
    <t>35000/-</t>
  </si>
  <si>
    <t>Maintenance charges</t>
  </si>
  <si>
    <t>18900/-</t>
  </si>
  <si>
    <t>Builder Saleable area</t>
  </si>
  <si>
    <t xml:space="preserve"> Building no.3 (Type C1a) - B Wing</t>
  </si>
  <si>
    <t>S. S. Park</t>
  </si>
  <si>
    <t>S. S. Park (Building no.3 - Type C1a - Wing B) /01 Building (01 wing)</t>
  </si>
  <si>
    <t xml:space="preserve">PHOTOGRAPHS OF PROPERTY : 
</t>
  </si>
  <si>
    <t xml:space="preserve">Ground Floor </t>
  </si>
  <si>
    <t>RERA Number</t>
  </si>
  <si>
    <t>P99000017470</t>
  </si>
  <si>
    <t>50000/-</t>
  </si>
  <si>
    <t>Pratiksha</t>
  </si>
  <si>
    <t>21/11/2020.</t>
  </si>
  <si>
    <t xml:space="preserve">Kelve </t>
  </si>
  <si>
    <t>Kelve East Road</t>
  </si>
  <si>
    <t>Kelve Road Station</t>
  </si>
  <si>
    <t>About 500M from Kelve Road Railway Station</t>
  </si>
  <si>
    <t>Market Research Data</t>
  </si>
  <si>
    <t>Source</t>
  </si>
  <si>
    <t>Distance from proposed property</t>
  </si>
  <si>
    <t>Net Carpet</t>
  </si>
  <si>
    <t>Saleable Area</t>
  </si>
  <si>
    <t>Rate on Saleable</t>
  </si>
  <si>
    <t>Market Value</t>
  </si>
  <si>
    <t>3BHK</t>
  </si>
  <si>
    <t>99Acers</t>
  </si>
  <si>
    <t>housing</t>
  </si>
  <si>
    <t>Average</t>
  </si>
  <si>
    <t xml:space="preserve">Valuation Adopted </t>
  </si>
  <si>
    <t>Riddhi Siddhi Apartment</t>
  </si>
  <si>
    <t>1Rk</t>
  </si>
  <si>
    <t>1BHK</t>
  </si>
  <si>
    <t>Dhanashree</t>
  </si>
  <si>
    <t>OLD APF</t>
  </si>
  <si>
    <t>1. Rate has not Changed.</t>
  </si>
  <si>
    <t>Building no.3 (Type C1a)  = G + 1st to 4th Floor</t>
  </si>
  <si>
    <t>Construction details:</t>
  </si>
  <si>
    <t>Basement</t>
  </si>
  <si>
    <t>Ground</t>
  </si>
  <si>
    <t>Floors</t>
  </si>
  <si>
    <t xml:space="preserve">Stage of construction: </t>
  </si>
  <si>
    <t>All work Completed. OC Received.</t>
  </si>
  <si>
    <t>Slab/Floor</t>
  </si>
  <si>
    <t>Complition %</t>
  </si>
  <si>
    <t>Progress %</t>
  </si>
  <si>
    <t>Disbursement %</t>
  </si>
  <si>
    <t>Piling Work in process</t>
  </si>
  <si>
    <t>Excavation</t>
  </si>
  <si>
    <t>Excavation in process</t>
  </si>
  <si>
    <t>Excavation Completed</t>
  </si>
  <si>
    <t>RCC (Including podiums)</t>
  </si>
  <si>
    <t>Footing in Process</t>
  </si>
  <si>
    <t>Brickwork</t>
  </si>
  <si>
    <t>Brickwork &amp; Internal Plaster</t>
  </si>
  <si>
    <t>Footing Completed</t>
  </si>
  <si>
    <t>Internal Plaster</t>
  </si>
  <si>
    <t>Basement 1</t>
  </si>
  <si>
    <t>Ext. Plaster &amp; Plumbing</t>
  </si>
  <si>
    <t>External Plaster &amp; Plumbing</t>
  </si>
  <si>
    <t>Basement 2</t>
  </si>
  <si>
    <t>Flooring &amp; Fitting</t>
  </si>
  <si>
    <t>Basement 3</t>
  </si>
  <si>
    <t>Painting &amp; Wooden</t>
  </si>
  <si>
    <t>Basement 4</t>
  </si>
  <si>
    <t>Building Common Amenities</t>
  </si>
  <si>
    <t>Plinth in process</t>
  </si>
  <si>
    <t>Possession</t>
  </si>
  <si>
    <t>Plinth completed</t>
  </si>
  <si>
    <t>Podium</t>
  </si>
  <si>
    <t>3000 to 3400</t>
  </si>
  <si>
    <t>Gaurav</t>
  </si>
  <si>
    <t>Cost Sheet</t>
  </si>
  <si>
    <t>MHSUL/KS.NO.1/T.1A/NAP/SR-191/2016
(Type C1a)  = G + 1st to 4th Floor</t>
  </si>
  <si>
    <t>P</t>
  </si>
  <si>
    <t>Location Link</t>
  </si>
  <si>
    <t>https://goo.gl/maps/WQV1Vn89xBh9iic28</t>
  </si>
  <si>
    <t>Office No. 1031, Wing J, Akshar Business Park, Plot No. 03 Sector 25, Near APMC Market, Vashi,  Navi Mumbai, Maharashtra 400703 TEL: 022-46090378/79/80                                                                       
E mail : vsjcapf@gmail.com. Web site : www.vsjadon.com</t>
  </si>
  <si>
    <t>Gut. no.</t>
  </si>
  <si>
    <t>S. S. Park, Building no.3 (Type C1a) - Wing B, Gut. no. 193, Village Zhanzhroli, Kelve (E), Palghar 401401.</t>
  </si>
  <si>
    <t>19.623657,72.796870</t>
  </si>
  <si>
    <r>
      <t xml:space="preserve">Remarks:  
1. Construction work was stopped. work is same as last visit dtd.11/08/2024
2. We have considered rate by verifying it from market inquire.
3. We have considered Other charges from cost sheet.
4. Car parking is subjected to authentic documentation.
5. We adopted Carpet Area as per Approved Plan.
6 The Built-up is as per Our Calculation.  
7. We considered Saleable Area as per builder area sheet.
8. As building have received CC on 05/08/2017, still building work is not completed.
9. </t>
    </r>
    <r>
      <rPr>
        <b/>
        <sz val="11"/>
        <color rgb="FFFF0000"/>
        <rFont val="Times New Roman"/>
        <family val="1"/>
      </rPr>
      <t xml:space="preserve">As per RERA, completion period of project is expired on 31/12/2024 but still project is under construction.
</t>
    </r>
    <r>
      <rPr>
        <b/>
        <sz val="11"/>
        <rFont val="Times New Roman"/>
        <family val="1"/>
      </rPr>
      <t>10.</t>
    </r>
    <r>
      <rPr>
        <b/>
        <sz val="11"/>
        <color rgb="FFFF0000"/>
        <rFont val="Times New Roman"/>
        <family val="1"/>
      </rPr>
      <t xml:space="preserve"> </t>
    </r>
    <r>
      <rPr>
        <b/>
        <sz val="11"/>
        <rFont val="Times New Roman"/>
        <family val="1"/>
      </rPr>
      <t xml:space="preserve">As checked on RERA portal on dated 12/08/2025, we have observed that above project "S. S. Park" is kept under abeyance.
</t>
    </r>
    <r>
      <rPr>
        <b/>
        <sz val="11"/>
        <color indexed="8"/>
        <rFont val="Times New Roman"/>
        <family val="1"/>
      </rPr>
      <t xml:space="preserve">
8. On site we meet Mr. Sanjay Yadav(Builder) - 7776948955 &amp; Mr.Rajesh - 7559412038.</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</si>
</sst>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 #,##0.00_ ;_ * \-#,##0.00_ ;_ * &quot;-&quot;??_ ;_ @_ "/>
    <numFmt numFmtId="164" formatCode="_(* #,##0.00_);_(* \(#,##0.00\);_(* &quot;-&quot;??_);_(@_)"/>
    <numFmt numFmtId="165" formatCode="_(* #,##0_);_(* \(#,##0\);_(* &quot;-&quot;??_);_(@_)"/>
  </numFmts>
  <fonts count="25" x14ac:knownFonts="1">
    <font>
      <sz val="11"/>
      <color theme="1"/>
      <name val="Calibri"/>
      <family val="2"/>
      <scheme val="minor"/>
    </font>
    <font>
      <sz val="11"/>
      <color indexed="8"/>
      <name val="Calibri"/>
      <family val="2"/>
    </font>
    <font>
      <sz val="11"/>
      <color indexed="8"/>
      <name val="Calibri"/>
      <family val="2"/>
    </font>
    <font>
      <b/>
      <sz val="11"/>
      <color indexed="8"/>
      <name val="Times New Roman"/>
      <family val="1"/>
    </font>
    <font>
      <sz val="11"/>
      <color indexed="8"/>
      <name val="Times New Roman"/>
      <family val="1"/>
    </font>
    <font>
      <sz val="11"/>
      <color indexed="8"/>
      <name val="Times New Roman"/>
      <family val="1"/>
    </font>
    <font>
      <b/>
      <sz val="12"/>
      <color indexed="8"/>
      <name val="Times New Roman"/>
      <family val="1"/>
    </font>
    <font>
      <b/>
      <sz val="11"/>
      <color indexed="8"/>
      <name val="Times New Roman"/>
      <family val="1"/>
    </font>
    <font>
      <b/>
      <sz val="11"/>
      <name val="Times New Roman"/>
      <family val="1"/>
    </font>
    <font>
      <sz val="11"/>
      <name val="Times New Roman"/>
      <family val="1"/>
    </font>
    <font>
      <sz val="12"/>
      <color indexed="8"/>
      <name val="Times New Roman"/>
      <family val="1"/>
    </font>
    <font>
      <b/>
      <sz val="14"/>
      <color indexed="8"/>
      <name val="Times New Roman"/>
      <family val="1"/>
    </font>
    <font>
      <b/>
      <sz val="10"/>
      <color indexed="8"/>
      <name val="Times New Roman"/>
      <family val="1"/>
    </font>
    <font>
      <sz val="11"/>
      <name val="Calibri"/>
      <family val="2"/>
    </font>
    <font>
      <sz val="11"/>
      <color theme="1"/>
      <name val="Calibri"/>
      <family val="2"/>
      <scheme val="minor"/>
    </font>
    <font>
      <u/>
      <sz val="11"/>
      <color theme="10"/>
      <name val="Calibri"/>
      <family val="2"/>
    </font>
    <font>
      <b/>
      <sz val="11"/>
      <color theme="1"/>
      <name val="Calibri"/>
      <family val="2"/>
      <scheme val="minor"/>
    </font>
    <font>
      <sz val="11"/>
      <color rgb="FFFF0000"/>
      <name val="Calibri"/>
      <family val="2"/>
      <scheme val="minor"/>
    </font>
    <font>
      <b/>
      <sz val="11"/>
      <color theme="1"/>
      <name val="Times New Roman"/>
      <family val="1"/>
    </font>
    <font>
      <sz val="11"/>
      <color rgb="FFFF0000"/>
      <name val="Calibri"/>
      <family val="2"/>
    </font>
    <font>
      <sz val="12"/>
      <color theme="1"/>
      <name val="Times New Roman"/>
      <family val="1"/>
    </font>
    <font>
      <sz val="12"/>
      <name val="Times New Roman"/>
      <family val="1"/>
    </font>
    <font>
      <b/>
      <sz val="12"/>
      <name val="Times New Roman"/>
      <family val="1"/>
    </font>
    <font>
      <sz val="11"/>
      <color rgb="FF000000"/>
      <name val="Times New Roman"/>
      <family val="1"/>
    </font>
    <font>
      <b/>
      <sz val="11"/>
      <color rgb="FFFF0000"/>
      <name val="Times New Roman"/>
      <family val="1"/>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92D050"/>
        <bgColor indexed="64"/>
      </patternFill>
    </fill>
  </fills>
  <borders count="28">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s>
  <cellStyleXfs count="7">
    <xf numFmtId="0" fontId="0" fillId="0" borderId="0"/>
    <xf numFmtId="164" fontId="1" fillId="0" borderId="0" applyFont="0" applyFill="0" applyBorder="0" applyAlignment="0" applyProtection="0"/>
    <xf numFmtId="0" fontId="2" fillId="0" borderId="0"/>
    <xf numFmtId="0" fontId="1" fillId="0" borderId="0"/>
    <xf numFmtId="0" fontId="15" fillId="0" borderId="0" applyNumberFormat="0" applyFill="0" applyBorder="0" applyAlignment="0" applyProtection="0"/>
    <xf numFmtId="0" fontId="14" fillId="0" borderId="0"/>
    <xf numFmtId="0" fontId="14" fillId="0" borderId="0"/>
  </cellStyleXfs>
  <cellXfs count="210">
    <xf numFmtId="0" fontId="0" fillId="0" borderId="0" xfId="0"/>
    <xf numFmtId="0" fontId="2" fillId="0" borderId="0" xfId="2"/>
    <xf numFmtId="0" fontId="4" fillId="0" borderId="2" xfId="0" applyFont="1" applyBorder="1" applyAlignment="1">
      <alignment vertical="top"/>
    </xf>
    <xf numFmtId="1" fontId="6" fillId="0" borderId="2" xfId="0" applyNumberFormat="1" applyFont="1" applyBorder="1" applyAlignment="1">
      <alignment horizontal="center" vertical="top" wrapText="1"/>
    </xf>
    <xf numFmtId="0" fontId="0" fillId="0" borderId="2" xfId="0" applyBorder="1"/>
    <xf numFmtId="0" fontId="16" fillId="0" borderId="2" xfId="0" applyFont="1" applyBorder="1"/>
    <xf numFmtId="0" fontId="0" fillId="0" borderId="3" xfId="0" applyBorder="1"/>
    <xf numFmtId="0" fontId="0" fillId="3" borderId="2" xfId="0" applyFill="1" applyBorder="1"/>
    <xf numFmtId="0" fontId="16" fillId="0" borderId="2" xfId="0" applyFont="1" applyBorder="1" applyAlignment="1">
      <alignment horizontal="center"/>
    </xf>
    <xf numFmtId="1" fontId="10" fillId="0" borderId="2" xfId="0" applyNumberFormat="1" applyFont="1" applyBorder="1" applyAlignment="1">
      <alignment horizontal="center" vertical="center" wrapText="1"/>
    </xf>
    <xf numFmtId="0" fontId="16" fillId="3" borderId="2" xfId="0" applyFont="1" applyFill="1" applyBorder="1"/>
    <xf numFmtId="0" fontId="0" fillId="0" borderId="4" xfId="0" applyBorder="1"/>
    <xf numFmtId="0" fontId="0" fillId="0" borderId="0" xfId="0" applyAlignment="1">
      <alignment wrapText="1"/>
    </xf>
    <xf numFmtId="0" fontId="0" fillId="0" borderId="2" xfId="0" applyBorder="1" applyAlignment="1">
      <alignment wrapText="1"/>
    </xf>
    <xf numFmtId="0" fontId="16" fillId="2" borderId="2" xfId="0" applyFont="1" applyFill="1" applyBorder="1"/>
    <xf numFmtId="0" fontId="0" fillId="4" borderId="2" xfId="0" applyFill="1" applyBorder="1"/>
    <xf numFmtId="1" fontId="3" fillId="0" borderId="2" xfId="0" applyNumberFormat="1" applyFont="1" applyBorder="1" applyAlignment="1">
      <alignment horizontal="center" vertical="top" wrapText="1"/>
    </xf>
    <xf numFmtId="14" fontId="0" fillId="0" borderId="0" xfId="0" applyNumberFormat="1"/>
    <xf numFmtId="0" fontId="1" fillId="0" borderId="0" xfId="3"/>
    <xf numFmtId="0" fontId="14" fillId="0" borderId="0" xfId="5"/>
    <xf numFmtId="0" fontId="16" fillId="0" borderId="2" xfId="5" applyFont="1" applyBorder="1" applyAlignment="1">
      <alignment horizontal="left"/>
    </xf>
    <xf numFmtId="0" fontId="16" fillId="0" borderId="2" xfId="5" applyFont="1" applyBorder="1" applyAlignment="1">
      <alignment horizontal="center" vertical="top" wrapText="1"/>
    </xf>
    <xf numFmtId="0" fontId="13" fillId="0" borderId="2" xfId="4" applyFont="1" applyBorder="1" applyAlignment="1">
      <alignment horizontal="center" vertical="top" wrapText="1"/>
    </xf>
    <xf numFmtId="0" fontId="14" fillId="0" borderId="2" xfId="5" applyBorder="1" applyAlignment="1">
      <alignment horizontal="center" vertical="center"/>
    </xf>
    <xf numFmtId="1" fontId="14" fillId="0" borderId="2" xfId="5" applyNumberFormat="1" applyBorder="1" applyAlignment="1">
      <alignment horizontal="center" vertical="center"/>
    </xf>
    <xf numFmtId="165" fontId="14" fillId="0" borderId="2" xfId="1" applyNumberFormat="1" applyFont="1" applyBorder="1" applyAlignment="1">
      <alignment horizontal="right" vertical="center"/>
    </xf>
    <xf numFmtId="43" fontId="1" fillId="0" borderId="0" xfId="3" applyNumberFormat="1"/>
    <xf numFmtId="0" fontId="16" fillId="0" borderId="2" xfId="5" applyFont="1" applyBorder="1" applyAlignment="1">
      <alignment horizontal="center" vertical="center"/>
    </xf>
    <xf numFmtId="1" fontId="17" fillId="0" borderId="2" xfId="5" applyNumberFormat="1" applyFont="1" applyBorder="1" applyAlignment="1">
      <alignment horizontal="center" vertical="center"/>
    </xf>
    <xf numFmtId="0" fontId="1" fillId="0" borderId="2" xfId="3" applyBorder="1" applyAlignment="1">
      <alignment horizontal="center" vertical="center"/>
    </xf>
    <xf numFmtId="0" fontId="19" fillId="0" borderId="0" xfId="3" applyFont="1"/>
    <xf numFmtId="1" fontId="1" fillId="0" borderId="0" xfId="3" applyNumberFormat="1"/>
    <xf numFmtId="0" fontId="1" fillId="0" borderId="0" xfId="3" applyAlignment="1">
      <alignment wrapText="1"/>
    </xf>
    <xf numFmtId="0" fontId="14" fillId="0" borderId="2" xfId="5" applyBorder="1" applyAlignment="1">
      <alignment horizontal="left" vertical="center"/>
    </xf>
    <xf numFmtId="0" fontId="20" fillId="0" borderId="16" xfId="6" applyFont="1" applyBorder="1" applyProtection="1">
      <protection hidden="1"/>
    </xf>
    <xf numFmtId="0" fontId="20" fillId="0" borderId="0" xfId="6" applyFont="1" applyProtection="1">
      <protection hidden="1"/>
    </xf>
    <xf numFmtId="0" fontId="20" fillId="0" borderId="19" xfId="6" applyFont="1" applyBorder="1" applyProtection="1">
      <protection hidden="1"/>
    </xf>
    <xf numFmtId="0" fontId="23" fillId="0" borderId="0" xfId="0" applyFont="1" applyProtection="1">
      <protection hidden="1"/>
    </xf>
    <xf numFmtId="0" fontId="20" fillId="0" borderId="0" xfId="6" applyFont="1"/>
    <xf numFmtId="0" fontId="20" fillId="0" borderId="19" xfId="6" applyFont="1" applyBorder="1"/>
    <xf numFmtId="0" fontId="23" fillId="0" borderId="19" xfId="0" applyFont="1" applyBorder="1" applyProtection="1">
      <protection hidden="1"/>
    </xf>
    <xf numFmtId="1" fontId="0" fillId="0" borderId="19" xfId="0" applyNumberFormat="1" applyBorder="1"/>
    <xf numFmtId="1" fontId="0" fillId="0" borderId="0" xfId="0" applyNumberFormat="1"/>
    <xf numFmtId="1" fontId="0" fillId="0" borderId="19" xfId="0" applyNumberFormat="1" applyBorder="1" applyAlignment="1">
      <alignment horizontal="right"/>
    </xf>
    <xf numFmtId="0" fontId="0" fillId="0" borderId="19" xfId="0" applyBorder="1"/>
    <xf numFmtId="1" fontId="0" fillId="0" borderId="23" xfId="0" applyNumberFormat="1" applyBorder="1"/>
    <xf numFmtId="1" fontId="0" fillId="0" borderId="0" xfId="0" applyNumberFormat="1" applyAlignment="1">
      <alignment horizontal="right"/>
    </xf>
    <xf numFmtId="0" fontId="21" fillId="0" borderId="17" xfId="6" applyFont="1" applyBorder="1" applyAlignment="1" applyProtection="1">
      <alignment horizontal="center" vertical="top"/>
      <protection locked="0"/>
    </xf>
    <xf numFmtId="0" fontId="21" fillId="0" borderId="1" xfId="6" applyFont="1" applyBorder="1" applyAlignment="1" applyProtection="1">
      <alignment horizontal="center" vertical="top"/>
      <protection locked="0"/>
    </xf>
    <xf numFmtId="0" fontId="4" fillId="0" borderId="1" xfId="0" applyFont="1" applyBorder="1" applyAlignment="1">
      <alignment horizontal="left" vertical="top"/>
    </xf>
    <xf numFmtId="0" fontId="21" fillId="0" borderId="2" xfId="6" applyFont="1" applyBorder="1" applyAlignment="1" applyProtection="1">
      <alignment horizontal="center" vertical="top"/>
      <protection locked="0"/>
    </xf>
    <xf numFmtId="0" fontId="4" fillId="0" borderId="1" xfId="0" applyFont="1" applyBorder="1" applyAlignment="1">
      <alignment vertical="top"/>
    </xf>
    <xf numFmtId="0" fontId="0" fillId="3" borderId="0" xfId="0" applyFill="1"/>
    <xf numFmtId="14" fontId="0" fillId="3" borderId="0" xfId="0" applyNumberFormat="1" applyFill="1" applyAlignment="1">
      <alignment wrapText="1"/>
    </xf>
    <xf numFmtId="0" fontId="21" fillId="0" borderId="2" xfId="6" applyFont="1" applyBorder="1" applyAlignment="1" applyProtection="1">
      <alignment horizontal="center" vertical="top" wrapText="1"/>
      <protection locked="0"/>
    </xf>
    <xf numFmtId="0" fontId="21" fillId="0" borderId="2" xfId="6" applyFont="1" applyBorder="1" applyAlignment="1" applyProtection="1">
      <alignment horizontal="center" wrapText="1"/>
      <protection locked="0"/>
    </xf>
    <xf numFmtId="1" fontId="21" fillId="0" borderId="2" xfId="6" applyNumberFormat="1" applyFont="1" applyBorder="1" applyAlignment="1" applyProtection="1">
      <alignment horizontal="center" wrapText="1"/>
      <protection locked="0"/>
    </xf>
    <xf numFmtId="0" fontId="21" fillId="0" borderId="21" xfId="6" applyFont="1" applyBorder="1" applyAlignment="1" applyProtection="1">
      <alignment horizontal="center" wrapText="1"/>
      <protection locked="0"/>
    </xf>
    <xf numFmtId="0" fontId="12" fillId="0" borderId="0" xfId="0" applyFont="1" applyAlignment="1">
      <alignment vertical="top"/>
    </xf>
    <xf numFmtId="0" fontId="3" fillId="0" borderId="0" xfId="0" applyFont="1" applyAlignment="1">
      <alignment vertical="top"/>
    </xf>
    <xf numFmtId="0" fontId="3" fillId="0" borderId="0" xfId="0" applyFont="1" applyAlignment="1">
      <alignment horizontal="center" vertical="top" wrapText="1"/>
    </xf>
    <xf numFmtId="0" fontId="3" fillId="0" borderId="0" xfId="0" applyFont="1" applyAlignment="1">
      <alignment vertical="top" wrapText="1"/>
    </xf>
    <xf numFmtId="0" fontId="18" fillId="0" borderId="0" xfId="0" applyFont="1"/>
    <xf numFmtId="0" fontId="5" fillId="0" borderId="1" xfId="0" applyFont="1" applyBorder="1" applyAlignment="1">
      <alignment horizontal="center" vertical="top"/>
    </xf>
    <xf numFmtId="0" fontId="5" fillId="0" borderId="6" xfId="0" applyFont="1" applyBorder="1" applyAlignment="1">
      <alignment horizontal="center" vertical="top"/>
    </xf>
    <xf numFmtId="0" fontId="4" fillId="0" borderId="1" xfId="0" applyFont="1" applyBorder="1" applyAlignment="1">
      <alignment horizontal="center" vertical="top"/>
    </xf>
    <xf numFmtId="0" fontId="4" fillId="0" borderId="1" xfId="0" applyFont="1" applyBorder="1" applyAlignment="1">
      <alignment horizontal="left" vertical="top"/>
    </xf>
    <xf numFmtId="0" fontId="4" fillId="0" borderId="6" xfId="0" applyFont="1" applyBorder="1" applyAlignment="1">
      <alignment horizontal="left" vertical="top"/>
    </xf>
    <xf numFmtId="0" fontId="4" fillId="0" borderId="1" xfId="0" applyFont="1" applyBorder="1" applyAlignment="1">
      <alignment horizontal="left" vertical="top" wrapText="1"/>
    </xf>
    <xf numFmtId="0" fontId="4" fillId="0" borderId="5" xfId="0" applyFont="1" applyBorder="1" applyAlignment="1">
      <alignment horizontal="left" vertical="top" wrapText="1"/>
    </xf>
    <xf numFmtId="0" fontId="4" fillId="0" borderId="6" xfId="0" applyFont="1" applyBorder="1" applyAlignment="1">
      <alignment horizontal="left" vertical="top" wrapText="1"/>
    </xf>
    <xf numFmtId="14" fontId="9" fillId="0" borderId="1" xfId="0" applyNumberFormat="1" applyFont="1" applyBorder="1" applyAlignment="1">
      <alignment horizontal="left" vertical="top"/>
    </xf>
    <xf numFmtId="14" fontId="9" fillId="0" borderId="5" xfId="0" applyNumberFormat="1" applyFont="1" applyBorder="1" applyAlignment="1">
      <alignment horizontal="left" vertical="top"/>
    </xf>
    <xf numFmtId="14" fontId="9" fillId="0" borderId="6" xfId="0" applyNumberFormat="1" applyFont="1" applyBorder="1" applyAlignment="1">
      <alignment horizontal="left" vertical="top"/>
    </xf>
    <xf numFmtId="0" fontId="4" fillId="0" borderId="7" xfId="0" applyFont="1" applyBorder="1" applyAlignment="1">
      <alignment horizontal="left" vertical="top"/>
    </xf>
    <xf numFmtId="0" fontId="4" fillId="0" borderId="8" xfId="0" applyFont="1" applyBorder="1" applyAlignment="1">
      <alignment horizontal="left" vertical="top"/>
    </xf>
    <xf numFmtId="0" fontId="4" fillId="0" borderId="9" xfId="0" applyFont="1" applyBorder="1" applyAlignment="1">
      <alignment horizontal="left" vertical="top"/>
    </xf>
    <xf numFmtId="0" fontId="4" fillId="0" borderId="12" xfId="0" applyFont="1" applyBorder="1" applyAlignment="1">
      <alignment horizontal="left" vertical="top"/>
    </xf>
    <xf numFmtId="0" fontId="4" fillId="0" borderId="3" xfId="0" applyFont="1" applyBorder="1" applyAlignment="1">
      <alignment horizontal="left" vertical="top"/>
    </xf>
    <xf numFmtId="0" fontId="4" fillId="0" borderId="13" xfId="0" applyFont="1" applyBorder="1" applyAlignment="1">
      <alignment horizontal="left" vertical="top"/>
    </xf>
    <xf numFmtId="0" fontId="5" fillId="0" borderId="1" xfId="0" applyFont="1" applyBorder="1" applyAlignment="1">
      <alignment horizontal="left" vertical="top"/>
    </xf>
    <xf numFmtId="0" fontId="5" fillId="0" borderId="5" xfId="0" applyFont="1" applyBorder="1" applyAlignment="1">
      <alignment horizontal="left" vertical="top"/>
    </xf>
    <xf numFmtId="0" fontId="5" fillId="0" borderId="6" xfId="0" applyFont="1" applyBorder="1" applyAlignment="1">
      <alignment horizontal="left" vertical="top"/>
    </xf>
    <xf numFmtId="0" fontId="4" fillId="0" borderId="5" xfId="0" applyFont="1" applyBorder="1" applyAlignment="1">
      <alignment horizontal="left" vertical="top"/>
    </xf>
    <xf numFmtId="0" fontId="4" fillId="0" borderId="2" xfId="0" applyFont="1" applyBorder="1" applyAlignment="1">
      <alignment horizontal="left" vertical="top"/>
    </xf>
    <xf numFmtId="0" fontId="4" fillId="0" borderId="1" xfId="0" applyFont="1" applyBorder="1" applyAlignment="1">
      <alignment horizontal="center" vertical="top" wrapText="1"/>
    </xf>
    <xf numFmtId="0" fontId="4" fillId="0" borderId="6" xfId="0" applyFont="1" applyBorder="1" applyAlignment="1">
      <alignment horizontal="center" vertical="top" wrapText="1"/>
    </xf>
    <xf numFmtId="0" fontId="4" fillId="0" borderId="7" xfId="0" applyFont="1" applyBorder="1" applyAlignment="1">
      <alignment horizontal="left" vertical="top" wrapText="1"/>
    </xf>
    <xf numFmtId="0" fontId="5" fillId="0" borderId="8" xfId="0" applyFont="1" applyBorder="1" applyAlignment="1">
      <alignment horizontal="left" vertical="top" wrapText="1"/>
    </xf>
    <xf numFmtId="0" fontId="5" fillId="0" borderId="9" xfId="0" applyFont="1" applyBorder="1" applyAlignment="1">
      <alignment horizontal="left" vertical="top" wrapText="1"/>
    </xf>
    <xf numFmtId="0" fontId="5" fillId="0" borderId="12" xfId="0" applyFont="1" applyBorder="1" applyAlignment="1">
      <alignment horizontal="left" vertical="top" wrapText="1"/>
    </xf>
    <xf numFmtId="0" fontId="5" fillId="0" borderId="3" xfId="0" applyFont="1" applyBorder="1" applyAlignment="1">
      <alignment horizontal="left" vertical="top" wrapText="1"/>
    </xf>
    <xf numFmtId="0" fontId="5" fillId="0" borderId="13" xfId="0" applyFont="1" applyBorder="1" applyAlignment="1">
      <alignment horizontal="left" vertical="top" wrapText="1"/>
    </xf>
    <xf numFmtId="0" fontId="4" fillId="0" borderId="2" xfId="0" applyFont="1" applyBorder="1" applyAlignment="1">
      <alignment horizontal="left" vertical="top" wrapText="1"/>
    </xf>
    <xf numFmtId="0" fontId="9" fillId="0" borderId="2" xfId="0" applyFont="1" applyBorder="1" applyAlignment="1">
      <alignment horizontal="left" vertical="top"/>
    </xf>
    <xf numFmtId="0" fontId="4" fillId="0" borderId="1" xfId="0" applyFont="1" applyBorder="1" applyAlignment="1">
      <alignment vertical="top" wrapText="1"/>
    </xf>
    <xf numFmtId="0" fontId="4" fillId="0" borderId="5" xfId="0" applyFont="1" applyBorder="1" applyAlignment="1">
      <alignment vertical="top" wrapText="1"/>
    </xf>
    <xf numFmtId="0" fontId="4" fillId="0" borderId="6" xfId="0" applyFont="1" applyBorder="1" applyAlignment="1">
      <alignment vertical="top" wrapText="1"/>
    </xf>
    <xf numFmtId="0" fontId="9" fillId="0" borderId="5" xfId="0" applyFont="1" applyBorder="1" applyAlignment="1">
      <alignment horizontal="left" vertical="top" wrapText="1"/>
    </xf>
    <xf numFmtId="0" fontId="9" fillId="0" borderId="6" xfId="0" applyFont="1" applyBorder="1" applyAlignment="1">
      <alignment horizontal="left" vertical="top" wrapText="1"/>
    </xf>
    <xf numFmtId="0" fontId="4" fillId="0" borderId="8" xfId="0" applyFont="1" applyBorder="1" applyAlignment="1">
      <alignment horizontal="left" vertical="top" wrapText="1"/>
    </xf>
    <xf numFmtId="0" fontId="4" fillId="0" borderId="9" xfId="0" applyFont="1" applyBorder="1" applyAlignment="1">
      <alignment horizontal="left" vertical="top" wrapText="1"/>
    </xf>
    <xf numFmtId="0" fontId="4" fillId="0" borderId="12" xfId="0" applyFont="1" applyBorder="1" applyAlignment="1">
      <alignment horizontal="left" vertical="top" wrapText="1"/>
    </xf>
    <xf numFmtId="0" fontId="4" fillId="0" borderId="3" xfId="0" applyFont="1" applyBorder="1" applyAlignment="1">
      <alignment horizontal="left" vertical="top" wrapText="1"/>
    </xf>
    <xf numFmtId="0" fontId="4" fillId="0" borderId="13" xfId="0" applyFont="1" applyBorder="1" applyAlignment="1">
      <alignment horizontal="left" vertical="top" wrapText="1"/>
    </xf>
    <xf numFmtId="0" fontId="9" fillId="0" borderId="1" xfId="0" applyFont="1" applyBorder="1" applyAlignment="1">
      <alignment horizontal="center" vertical="top"/>
    </xf>
    <xf numFmtId="0" fontId="9" fillId="0" borderId="6" xfId="0" applyFont="1" applyBorder="1" applyAlignment="1">
      <alignment horizontal="center" vertical="top"/>
    </xf>
    <xf numFmtId="0" fontId="9" fillId="0" borderId="1" xfId="0" applyFont="1" applyBorder="1" applyAlignment="1">
      <alignment horizontal="left" vertical="top"/>
    </xf>
    <xf numFmtId="0" fontId="9" fillId="0" borderId="5" xfId="0" applyFont="1" applyBorder="1" applyAlignment="1">
      <alignment horizontal="left" vertical="top"/>
    </xf>
    <xf numFmtId="0" fontId="9" fillId="0" borderId="6" xfId="0" applyFont="1" applyBorder="1" applyAlignment="1">
      <alignment horizontal="left" vertical="top"/>
    </xf>
    <xf numFmtId="0" fontId="3" fillId="0" borderId="1" xfId="0" applyFont="1" applyBorder="1" applyAlignment="1">
      <alignment horizontal="left" vertical="top"/>
    </xf>
    <xf numFmtId="0" fontId="3" fillId="0" borderId="5" xfId="0" applyFont="1" applyBorder="1" applyAlignment="1">
      <alignment horizontal="left" vertical="top"/>
    </xf>
    <xf numFmtId="0" fontId="3" fillId="0" borderId="6" xfId="0" applyFont="1" applyBorder="1" applyAlignment="1">
      <alignment horizontal="left" vertical="top"/>
    </xf>
    <xf numFmtId="0" fontId="3" fillId="0" borderId="7" xfId="2" applyFont="1" applyBorder="1" applyAlignment="1">
      <alignment horizontal="left" vertical="top" wrapText="1"/>
    </xf>
    <xf numFmtId="0" fontId="3" fillId="0" borderId="8" xfId="2" applyFont="1" applyBorder="1" applyAlignment="1">
      <alignment horizontal="left" vertical="top" wrapText="1"/>
    </xf>
    <xf numFmtId="0" fontId="3" fillId="0" borderId="9" xfId="2" applyFont="1" applyBorder="1" applyAlignment="1">
      <alignment horizontal="left" vertical="top" wrapText="1"/>
    </xf>
    <xf numFmtId="0" fontId="3" fillId="0" borderId="12" xfId="2" applyFont="1" applyBorder="1" applyAlignment="1">
      <alignment horizontal="left" vertical="top" wrapText="1"/>
    </xf>
    <xf numFmtId="0" fontId="3" fillId="0" borderId="3" xfId="2" applyFont="1" applyBorder="1" applyAlignment="1">
      <alignment horizontal="left" vertical="top" wrapText="1"/>
    </xf>
    <xf numFmtId="0" fontId="3" fillId="0" borderId="13" xfId="2" applyFont="1" applyBorder="1" applyAlignment="1">
      <alignment horizontal="left" vertical="top" wrapText="1"/>
    </xf>
    <xf numFmtId="0" fontId="5" fillId="0" borderId="2" xfId="0" applyFont="1" applyBorder="1" applyAlignment="1">
      <alignment horizontal="left" vertical="top"/>
    </xf>
    <xf numFmtId="14" fontId="4" fillId="0" borderId="1" xfId="0" applyNumberFormat="1" applyFont="1" applyBorder="1" applyAlignment="1">
      <alignment horizontal="left" vertical="top"/>
    </xf>
    <xf numFmtId="0" fontId="3" fillId="0" borderId="2" xfId="0" applyFont="1" applyBorder="1" applyAlignment="1">
      <alignment horizontal="left" vertical="top"/>
    </xf>
    <xf numFmtId="0" fontId="4" fillId="0" borderId="2" xfId="0" applyFont="1" applyBorder="1" applyAlignment="1">
      <alignment horizontal="center" vertical="top"/>
    </xf>
    <xf numFmtId="0" fontId="22" fillId="0" borderId="2" xfId="6" applyFont="1" applyBorder="1" applyAlignment="1" applyProtection="1">
      <alignment horizontal="left" vertical="top" wrapText="1"/>
      <protection locked="0"/>
    </xf>
    <xf numFmtId="0" fontId="22" fillId="0" borderId="18" xfId="6" applyFont="1" applyBorder="1" applyAlignment="1" applyProtection="1">
      <alignment horizontal="left" vertical="top" wrapText="1"/>
      <protection locked="0"/>
    </xf>
    <xf numFmtId="0" fontId="21" fillId="0" borderId="26" xfId="6" applyFont="1" applyBorder="1" applyAlignment="1" applyProtection="1">
      <alignment horizontal="center" vertical="top"/>
      <protection locked="0"/>
    </xf>
    <xf numFmtId="0" fontId="21" fillId="0" borderId="5" xfId="6" applyFont="1" applyBorder="1" applyAlignment="1" applyProtection="1">
      <alignment horizontal="center" vertical="top"/>
      <protection locked="0"/>
    </xf>
    <xf numFmtId="0" fontId="8" fillId="0" borderId="7" xfId="0" applyFont="1" applyBorder="1" applyAlignment="1">
      <alignment vertical="top" wrapText="1"/>
    </xf>
    <xf numFmtId="0" fontId="8" fillId="0" borderId="8" xfId="0" applyFont="1" applyBorder="1" applyAlignment="1">
      <alignment vertical="top" wrapText="1"/>
    </xf>
    <xf numFmtId="0" fontId="8" fillId="0" borderId="9" xfId="0" applyFont="1" applyBorder="1" applyAlignment="1">
      <alignment vertical="top" wrapText="1"/>
    </xf>
    <xf numFmtId="0" fontId="8" fillId="0" borderId="10" xfId="0" applyFont="1" applyBorder="1" applyAlignment="1">
      <alignment vertical="top" wrapText="1"/>
    </xf>
    <xf numFmtId="0" fontId="8" fillId="0" borderId="0" xfId="0" applyFont="1" applyAlignment="1">
      <alignment vertical="top" wrapText="1"/>
    </xf>
    <xf numFmtId="0" fontId="8" fillId="0" borderId="11" xfId="0" applyFont="1" applyBorder="1" applyAlignment="1">
      <alignment vertical="top" wrapText="1"/>
    </xf>
    <xf numFmtId="0" fontId="8" fillId="0" borderId="12" xfId="0" applyFont="1" applyBorder="1" applyAlignment="1">
      <alignment vertical="top" wrapText="1"/>
    </xf>
    <xf numFmtId="0" fontId="8" fillId="0" borderId="3" xfId="0" applyFont="1" applyBorder="1" applyAlignment="1">
      <alignment vertical="top" wrapText="1"/>
    </xf>
    <xf numFmtId="0" fontId="8" fillId="0" borderId="13" xfId="0" applyFont="1" applyBorder="1" applyAlignment="1">
      <alignment vertical="top" wrapText="1"/>
    </xf>
    <xf numFmtId="0" fontId="7" fillId="0" borderId="1" xfId="0" applyFont="1" applyBorder="1" applyAlignment="1">
      <alignment horizontal="left" vertical="top"/>
    </xf>
    <xf numFmtId="0" fontId="7" fillId="0" borderId="5" xfId="0" applyFont="1" applyBorder="1" applyAlignment="1">
      <alignment horizontal="left" vertical="top"/>
    </xf>
    <xf numFmtId="0" fontId="7" fillId="0" borderId="6" xfId="0" applyFont="1" applyBorder="1" applyAlignment="1">
      <alignment horizontal="left" vertical="top"/>
    </xf>
    <xf numFmtId="0" fontId="4" fillId="0" borderId="6" xfId="0" applyFont="1" applyBorder="1" applyAlignment="1">
      <alignment horizontal="center" vertical="top"/>
    </xf>
    <xf numFmtId="0" fontId="9" fillId="0" borderId="2" xfId="0" applyFont="1" applyBorder="1" applyAlignment="1">
      <alignment horizontal="center" vertical="top" wrapText="1"/>
    </xf>
    <xf numFmtId="0" fontId="21" fillId="0" borderId="2" xfId="6" applyFont="1" applyBorder="1" applyAlignment="1" applyProtection="1">
      <alignment horizontal="center" vertical="top"/>
      <protection locked="0"/>
    </xf>
    <xf numFmtId="0" fontId="3" fillId="0" borderId="7" xfId="0" applyFont="1" applyBorder="1" applyAlignment="1">
      <alignment horizontal="center" vertical="top" wrapText="1"/>
    </xf>
    <xf numFmtId="0" fontId="3" fillId="0" borderId="8" xfId="0" applyFont="1" applyBorder="1" applyAlignment="1">
      <alignment horizontal="center" vertical="top" wrapText="1"/>
    </xf>
    <xf numFmtId="0" fontId="3" fillId="0" borderId="9" xfId="0" applyFont="1" applyBorder="1" applyAlignment="1">
      <alignment horizontal="center" vertical="top" wrapText="1"/>
    </xf>
    <xf numFmtId="0" fontId="3" fillId="0" borderId="10" xfId="0" applyFont="1" applyBorder="1" applyAlignment="1">
      <alignment horizontal="center" vertical="top" wrapText="1"/>
    </xf>
    <xf numFmtId="0" fontId="3" fillId="0" borderId="0" xfId="0" applyFont="1" applyAlignment="1">
      <alignment horizontal="center" vertical="top" wrapText="1"/>
    </xf>
    <xf numFmtId="0" fontId="3" fillId="0" borderId="11" xfId="0" applyFont="1" applyBorder="1" applyAlignment="1">
      <alignment horizontal="center" vertical="top" wrapText="1"/>
    </xf>
    <xf numFmtId="0" fontId="3" fillId="0" borderId="12" xfId="0" applyFont="1" applyBorder="1" applyAlignment="1">
      <alignment horizontal="center" vertical="top" wrapText="1"/>
    </xf>
    <xf numFmtId="0" fontId="3" fillId="0" borderId="3" xfId="0" applyFont="1" applyBorder="1" applyAlignment="1">
      <alignment horizontal="center" vertical="top" wrapText="1"/>
    </xf>
    <xf numFmtId="0" fontId="3" fillId="0" borderId="13" xfId="0" applyFont="1" applyBorder="1" applyAlignment="1">
      <alignment horizontal="center" vertical="top" wrapText="1"/>
    </xf>
    <xf numFmtId="0" fontId="11" fillId="0" borderId="2" xfId="0" applyFont="1" applyBorder="1" applyAlignment="1">
      <alignment horizontal="center" vertical="top"/>
    </xf>
    <xf numFmtId="0" fontId="3" fillId="0" borderId="2" xfId="0" applyFont="1" applyBorder="1" applyAlignment="1">
      <alignment horizontal="center" vertical="top"/>
    </xf>
    <xf numFmtId="1" fontId="10" fillId="0" borderId="1" xfId="0" applyNumberFormat="1" applyFont="1" applyBorder="1" applyAlignment="1">
      <alignment horizontal="center" vertical="center" wrapText="1"/>
    </xf>
    <xf numFmtId="1" fontId="10" fillId="0" borderId="6" xfId="0" applyNumberFormat="1" applyFont="1" applyBorder="1" applyAlignment="1">
      <alignment horizontal="center" vertical="center" wrapText="1"/>
    </xf>
    <xf numFmtId="1" fontId="6" fillId="0" borderId="7" xfId="0" applyNumberFormat="1" applyFont="1" applyBorder="1" applyAlignment="1">
      <alignment horizontal="center" vertical="center" wrapText="1"/>
    </xf>
    <xf numFmtId="1" fontId="6" fillId="0" borderId="8" xfId="0" applyNumberFormat="1" applyFont="1" applyBorder="1" applyAlignment="1">
      <alignment horizontal="center" vertical="center" wrapText="1"/>
    </xf>
    <xf numFmtId="1" fontId="6" fillId="0" borderId="9" xfId="0" applyNumberFormat="1" applyFont="1" applyBorder="1" applyAlignment="1">
      <alignment horizontal="center" vertical="center" wrapText="1"/>
    </xf>
    <xf numFmtId="1" fontId="10" fillId="0" borderId="7" xfId="0" applyNumberFormat="1" applyFont="1" applyBorder="1" applyAlignment="1">
      <alignment horizontal="center" vertical="center" wrapText="1"/>
    </xf>
    <xf numFmtId="1" fontId="10" fillId="0" borderId="9" xfId="0" applyNumberFormat="1" applyFont="1" applyBorder="1" applyAlignment="1">
      <alignment horizontal="center" vertical="center" wrapText="1"/>
    </xf>
    <xf numFmtId="1" fontId="10" fillId="0" borderId="10" xfId="0" applyNumberFormat="1" applyFont="1" applyBorder="1" applyAlignment="1">
      <alignment horizontal="center" vertical="center" wrapText="1"/>
    </xf>
    <xf numFmtId="1" fontId="10" fillId="0" borderId="11" xfId="0" applyNumberFormat="1" applyFont="1" applyBorder="1" applyAlignment="1">
      <alignment horizontal="center" vertical="center" wrapText="1"/>
    </xf>
    <xf numFmtId="1" fontId="10" fillId="0" borderId="12" xfId="0" applyNumberFormat="1" applyFont="1" applyBorder="1" applyAlignment="1">
      <alignment horizontal="center" vertical="center" wrapText="1"/>
    </xf>
    <xf numFmtId="1" fontId="10" fillId="0" borderId="13" xfId="0" applyNumberFormat="1" applyFont="1" applyBorder="1" applyAlignment="1">
      <alignment horizontal="center" vertical="center" wrapText="1"/>
    </xf>
    <xf numFmtId="0" fontId="9" fillId="0" borderId="1" xfId="0" applyFont="1" applyBorder="1" applyAlignment="1">
      <alignment horizontal="left" vertical="top" wrapText="1"/>
    </xf>
    <xf numFmtId="1" fontId="6" fillId="0" borderId="2" xfId="0" applyNumberFormat="1" applyFont="1" applyBorder="1" applyAlignment="1">
      <alignment horizontal="center" vertical="top" wrapText="1"/>
    </xf>
    <xf numFmtId="0" fontId="5" fillId="0" borderId="1" xfId="0" applyFont="1" applyBorder="1" applyAlignment="1">
      <alignment vertical="top"/>
    </xf>
    <xf numFmtId="0" fontId="5" fillId="0" borderId="5" xfId="0" applyFont="1" applyBorder="1" applyAlignment="1">
      <alignment vertical="top"/>
    </xf>
    <xf numFmtId="0" fontId="5" fillId="0" borderId="6" xfId="0" applyFont="1" applyBorder="1" applyAlignment="1">
      <alignment vertical="top"/>
    </xf>
    <xf numFmtId="2" fontId="4" fillId="0" borderId="2" xfId="0" applyNumberFormat="1" applyFont="1" applyBorder="1" applyAlignment="1">
      <alignment horizontal="left" vertical="top"/>
    </xf>
    <xf numFmtId="0" fontId="3" fillId="0" borderId="1" xfId="0" applyFont="1" applyBorder="1" applyAlignment="1">
      <alignment horizontal="left" vertical="top" wrapText="1"/>
    </xf>
    <xf numFmtId="0" fontId="3" fillId="0" borderId="5" xfId="0" applyFont="1" applyBorder="1" applyAlignment="1">
      <alignment horizontal="left" vertical="top" wrapText="1"/>
    </xf>
    <xf numFmtId="0" fontId="3" fillId="0" borderId="6" xfId="0" applyFont="1" applyBorder="1" applyAlignment="1">
      <alignment horizontal="left" vertical="top" wrapText="1"/>
    </xf>
    <xf numFmtId="0" fontId="21" fillId="0" borderId="2" xfId="6" applyFont="1" applyBorder="1" applyAlignment="1" applyProtection="1">
      <alignment horizontal="center" vertical="top" wrapText="1"/>
      <protection locked="0"/>
    </xf>
    <xf numFmtId="0" fontId="3" fillId="0" borderId="1" xfId="0" applyFont="1" applyBorder="1" applyAlignment="1">
      <alignment horizontal="center" vertical="top" wrapText="1"/>
    </xf>
    <xf numFmtId="0" fontId="3" fillId="0" borderId="5" xfId="0" applyFont="1" applyBorder="1" applyAlignment="1">
      <alignment horizontal="center" vertical="top" wrapText="1"/>
    </xf>
    <xf numFmtId="0" fontId="3" fillId="0" borderId="6" xfId="0" applyFont="1" applyBorder="1" applyAlignment="1">
      <alignment horizontal="center" vertical="top" wrapText="1"/>
    </xf>
    <xf numFmtId="0" fontId="9" fillId="0" borderId="2" xfId="0" applyFont="1" applyBorder="1" applyAlignment="1">
      <alignment horizontal="left" vertical="top" wrapText="1"/>
    </xf>
    <xf numFmtId="0" fontId="4" fillId="0" borderId="1" xfId="0" applyFont="1" applyBorder="1" applyAlignment="1">
      <alignment vertical="top"/>
    </xf>
    <xf numFmtId="0" fontId="4" fillId="0" borderId="5" xfId="0" applyFont="1" applyBorder="1" applyAlignment="1">
      <alignment vertical="top"/>
    </xf>
    <xf numFmtId="0" fontId="4" fillId="0" borderId="6" xfId="0" applyFont="1" applyBorder="1" applyAlignment="1">
      <alignment vertical="top"/>
    </xf>
    <xf numFmtId="0" fontId="3" fillId="0" borderId="1" xfId="0" applyFont="1" applyBorder="1" applyAlignment="1">
      <alignment horizontal="center" vertical="top"/>
    </xf>
    <xf numFmtId="0" fontId="3" fillId="0" borderId="5" xfId="0" applyFont="1" applyBorder="1" applyAlignment="1">
      <alignment horizontal="center" vertical="top"/>
    </xf>
    <xf numFmtId="0" fontId="3" fillId="0" borderId="6" xfId="0" applyFont="1" applyBorder="1" applyAlignment="1">
      <alignment horizontal="center" vertical="top"/>
    </xf>
    <xf numFmtId="0" fontId="3" fillId="0" borderId="1" xfId="0" applyFont="1" applyBorder="1" applyAlignment="1">
      <alignment vertical="top"/>
    </xf>
    <xf numFmtId="0" fontId="3" fillId="0" borderId="5" xfId="0" applyFont="1" applyBorder="1" applyAlignment="1">
      <alignment vertical="top"/>
    </xf>
    <xf numFmtId="0" fontId="3" fillId="0" borderId="6" xfId="0" applyFont="1" applyBorder="1" applyAlignment="1">
      <alignment vertical="top"/>
    </xf>
    <xf numFmtId="0" fontId="21" fillId="0" borderId="20" xfId="6" applyFont="1" applyBorder="1" applyAlignment="1" applyProtection="1">
      <alignment horizontal="center" vertical="top"/>
      <protection locked="0"/>
    </xf>
    <xf numFmtId="0" fontId="21" fillId="0" borderId="27" xfId="6" applyFont="1" applyBorder="1" applyAlignment="1" applyProtection="1">
      <alignment horizontal="center" vertical="top"/>
      <protection locked="0"/>
    </xf>
    <xf numFmtId="0" fontId="0" fillId="0" borderId="6" xfId="0" applyBorder="1" applyAlignment="1">
      <alignment horizontal="left"/>
    </xf>
    <xf numFmtId="1" fontId="6" fillId="0" borderId="2" xfId="0" applyNumberFormat="1" applyFont="1" applyBorder="1" applyAlignment="1">
      <alignment horizontal="center" vertical="center" wrapText="1"/>
    </xf>
    <xf numFmtId="0" fontId="22" fillId="0" borderId="24" xfId="6" applyFont="1" applyBorder="1" applyAlignment="1" applyProtection="1">
      <alignment horizontal="center" vertical="top" wrapText="1"/>
      <protection locked="0"/>
    </xf>
    <xf numFmtId="0" fontId="22" fillId="0" borderId="25" xfId="6" applyFont="1" applyBorder="1" applyAlignment="1" applyProtection="1">
      <alignment horizontal="center" vertical="top" wrapText="1"/>
      <protection locked="0"/>
    </xf>
    <xf numFmtId="0" fontId="22" fillId="0" borderId="14" xfId="6" applyFont="1" applyBorder="1" applyAlignment="1" applyProtection="1">
      <alignment horizontal="left" vertical="top" wrapText="1"/>
      <protection locked="0"/>
    </xf>
    <xf numFmtId="0" fontId="22" fillId="0" borderId="15" xfId="6" applyFont="1" applyBorder="1" applyAlignment="1" applyProtection="1">
      <alignment horizontal="left" vertical="top" wrapText="1"/>
      <protection locked="0"/>
    </xf>
    <xf numFmtId="0" fontId="21" fillId="0" borderId="18" xfId="6" applyFont="1" applyBorder="1" applyAlignment="1" applyProtection="1">
      <alignment horizontal="center" vertical="top"/>
      <protection locked="0"/>
    </xf>
    <xf numFmtId="0" fontId="22" fillId="0" borderId="17" xfId="6" applyFont="1" applyBorder="1" applyAlignment="1" applyProtection="1">
      <alignment horizontal="left" vertical="top"/>
      <protection locked="0"/>
    </xf>
    <xf numFmtId="0" fontId="22" fillId="0" borderId="1" xfId="6" applyFont="1" applyBorder="1" applyAlignment="1" applyProtection="1">
      <alignment horizontal="left" vertical="top"/>
      <protection locked="0"/>
    </xf>
    <xf numFmtId="9" fontId="21" fillId="0" borderId="21" xfId="6" applyNumberFormat="1" applyFont="1" applyBorder="1" applyAlignment="1" applyProtection="1">
      <alignment horizontal="center" vertical="center" wrapText="1"/>
      <protection hidden="1"/>
    </xf>
    <xf numFmtId="0" fontId="21" fillId="0" borderId="18" xfId="6" applyFont="1" applyBorder="1" applyAlignment="1" applyProtection="1">
      <alignment horizontal="center" vertical="top" wrapText="1"/>
      <protection locked="0"/>
    </xf>
    <xf numFmtId="0" fontId="21" fillId="0" borderId="17" xfId="6" applyFont="1" applyBorder="1" applyAlignment="1" applyProtection="1">
      <alignment horizontal="center" vertical="top"/>
      <protection locked="0"/>
    </xf>
    <xf numFmtId="0" fontId="21" fillId="0" borderId="1" xfId="6" applyFont="1" applyBorder="1" applyAlignment="1" applyProtection="1">
      <alignment horizontal="center" vertical="top"/>
      <protection locked="0"/>
    </xf>
    <xf numFmtId="9" fontId="21" fillId="0" borderId="2" xfId="6" applyNumberFormat="1" applyFont="1" applyBorder="1" applyAlignment="1" applyProtection="1">
      <alignment horizontal="center" vertical="center" wrapText="1"/>
      <protection hidden="1"/>
    </xf>
    <xf numFmtId="9" fontId="21" fillId="0" borderId="18" xfId="6" applyNumberFormat="1" applyFont="1" applyBorder="1" applyAlignment="1" applyProtection="1">
      <alignment horizontal="center" vertical="center" wrapText="1"/>
      <protection hidden="1"/>
    </xf>
    <xf numFmtId="9" fontId="21" fillId="0" borderId="22" xfId="6" applyNumberFormat="1" applyFont="1" applyBorder="1" applyAlignment="1" applyProtection="1">
      <alignment horizontal="center" vertical="center" wrapText="1"/>
      <protection hidden="1"/>
    </xf>
    <xf numFmtId="0" fontId="21" fillId="0" borderId="17" xfId="6" applyFont="1" applyBorder="1" applyAlignment="1" applyProtection="1">
      <alignment horizontal="center" vertical="top" wrapText="1"/>
      <protection locked="0"/>
    </xf>
    <xf numFmtId="0" fontId="21" fillId="0" borderId="1" xfId="6" applyFont="1" applyBorder="1" applyAlignment="1" applyProtection="1">
      <alignment horizontal="center" vertical="top" wrapText="1"/>
      <protection locked="0"/>
    </xf>
    <xf numFmtId="0" fontId="0" fillId="3" borderId="2" xfId="0" applyFill="1" applyBorder="1" applyAlignment="1">
      <alignment horizontal="center" wrapText="1"/>
    </xf>
    <xf numFmtId="0" fontId="16" fillId="0" borderId="2" xfId="0" applyFont="1" applyBorder="1" applyAlignment="1">
      <alignment horizontal="center"/>
    </xf>
    <xf numFmtId="0" fontId="15" fillId="0" borderId="1" xfId="4" applyBorder="1" applyAlignment="1">
      <alignment horizontal="left" vertical="top"/>
    </xf>
  </cellXfs>
  <cellStyles count="7">
    <cellStyle name="Comma 2" xfId="1" xr:uid="{00000000-0005-0000-0000-000000000000}"/>
    <cellStyle name="Excel Built-in Normal" xfId="2" xr:uid="{00000000-0005-0000-0000-000001000000}"/>
    <cellStyle name="Excel Built-in Normal 2" xfId="3" xr:uid="{00000000-0005-0000-0000-000002000000}"/>
    <cellStyle name="Hyperlink" xfId="4" builtinId="8"/>
    <cellStyle name="Normal" xfId="0" builtinId="0"/>
    <cellStyle name="Normal 3" xfId="6" xr:uid="{00000000-0005-0000-0000-000005000000}"/>
    <cellStyle name="Normal 4" xfId="5" xr:uid="{00000000-0005-0000-0000-000006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jpg"/><Relationship Id="rId18" Type="http://schemas.openxmlformats.org/officeDocument/2006/relationships/image" Target="../media/image18.jp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jpg"/><Relationship Id="rId17" Type="http://schemas.openxmlformats.org/officeDocument/2006/relationships/image" Target="../media/image17.jpg"/><Relationship Id="rId2" Type="http://schemas.openxmlformats.org/officeDocument/2006/relationships/image" Target="../media/image2.jpeg"/><Relationship Id="rId16" Type="http://schemas.openxmlformats.org/officeDocument/2006/relationships/image" Target="../media/image16.jp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jpg"/><Relationship Id="rId5" Type="http://schemas.openxmlformats.org/officeDocument/2006/relationships/image" Target="../media/image5.png"/><Relationship Id="rId15" Type="http://schemas.openxmlformats.org/officeDocument/2006/relationships/image" Target="../media/image15.jp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jpg"/></Relationships>
</file>

<file path=xl/drawings/_rels/drawing2.xml.rels><?xml version="1.0" encoding="UTF-8" standalone="yes"?>
<Relationships xmlns="http://schemas.openxmlformats.org/package/2006/relationships"><Relationship Id="rId3" Type="http://schemas.openxmlformats.org/officeDocument/2006/relationships/image" Target="../media/image23.jpeg"/><Relationship Id="rId2" Type="http://schemas.openxmlformats.org/officeDocument/2006/relationships/image" Target="../media/image22.jpeg"/><Relationship Id="rId1" Type="http://schemas.openxmlformats.org/officeDocument/2006/relationships/image" Target="../media/image2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5.png"/><Relationship Id="rId1" Type="http://schemas.openxmlformats.org/officeDocument/2006/relationships/image" Target="../media/image24.png"/></Relationships>
</file>

<file path=xl/drawings/_rels/drawing4.xml.rels><?xml version="1.0" encoding="UTF-8" standalone="yes"?>
<Relationships xmlns="http://schemas.openxmlformats.org/package/2006/relationships"><Relationship Id="rId2" Type="http://schemas.openxmlformats.org/officeDocument/2006/relationships/image" Target="../media/image27.jpeg"/><Relationship Id="rId1" Type="http://schemas.openxmlformats.org/officeDocument/2006/relationships/image" Target="../media/image26.jpeg"/></Relationships>
</file>

<file path=xl/drawings/_rels/vmlDrawing1.vml.rels><?xml version="1.0" encoding="UTF-8" standalone="yes"?>
<Relationships xmlns="http://schemas.openxmlformats.org/package/2006/relationships"><Relationship Id="rId2" Type="http://schemas.openxmlformats.org/officeDocument/2006/relationships/image" Target="../media/image20.png"/><Relationship Id="rId1" Type="http://schemas.openxmlformats.org/officeDocument/2006/relationships/image" Target="../media/image19.png"/></Relationships>
</file>

<file path=xl/drawings/drawing1.xml><?xml version="1.0" encoding="utf-8"?>
<xdr:wsDr xmlns:xdr="http://schemas.openxmlformats.org/drawingml/2006/spreadsheetDrawing" xmlns:a="http://schemas.openxmlformats.org/drawingml/2006/main">
  <xdr:twoCellAnchor editAs="oneCell">
    <xdr:from>
      <xdr:col>0</xdr:col>
      <xdr:colOff>190500</xdr:colOff>
      <xdr:row>164</xdr:row>
      <xdr:rowOff>145676</xdr:rowOff>
    </xdr:from>
    <xdr:to>
      <xdr:col>8</xdr:col>
      <xdr:colOff>583266</xdr:colOff>
      <xdr:row>183</xdr:row>
      <xdr:rowOff>164726</xdr:rowOff>
    </xdr:to>
    <xdr:pic>
      <xdr:nvPicPr>
        <xdr:cNvPr id="8" name="Picture 9">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a:ext>
          </a:extLst>
        </a:blip>
        <a:srcRect/>
        <a:stretch>
          <a:fillRect/>
        </a:stretch>
      </xdr:blipFill>
      <xdr:spPr bwMode="auto">
        <a:xfrm>
          <a:off x="190500" y="35007176"/>
          <a:ext cx="6096560" cy="36385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168088</xdr:colOff>
      <xdr:row>184</xdr:row>
      <xdr:rowOff>97490</xdr:rowOff>
    </xdr:from>
    <xdr:to>
      <xdr:col>8</xdr:col>
      <xdr:colOff>551329</xdr:colOff>
      <xdr:row>203</xdr:row>
      <xdr:rowOff>97490</xdr:rowOff>
    </xdr:to>
    <xdr:pic>
      <xdr:nvPicPr>
        <xdr:cNvPr id="9" name="Picture 10">
          <a:extLst>
            <a:ext uri="{FF2B5EF4-FFF2-40B4-BE49-F238E27FC236}">
              <a16:creationId xmlns:a16="http://schemas.microsoft.com/office/drawing/2014/main" id="{00000000-0008-0000-0000-000009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a:ext>
          </a:extLst>
        </a:blip>
        <a:srcRect/>
        <a:stretch>
          <a:fillRect/>
        </a:stretch>
      </xdr:blipFill>
      <xdr:spPr bwMode="auto">
        <a:xfrm>
          <a:off x="168088" y="39743902"/>
          <a:ext cx="6087035" cy="361950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12</xdr:col>
      <xdr:colOff>429260</xdr:colOff>
      <xdr:row>117</xdr:row>
      <xdr:rowOff>125730</xdr:rowOff>
    </xdr:from>
    <xdr:to>
      <xdr:col>22</xdr:col>
      <xdr:colOff>452844</xdr:colOff>
      <xdr:row>155</xdr:row>
      <xdr:rowOff>69422</xdr:rowOff>
    </xdr:to>
    <xdr:grpSp>
      <xdr:nvGrpSpPr>
        <xdr:cNvPr id="2" name="Group 1">
          <a:extLst>
            <a:ext uri="{FF2B5EF4-FFF2-40B4-BE49-F238E27FC236}">
              <a16:creationId xmlns:a16="http://schemas.microsoft.com/office/drawing/2014/main" id="{00000000-0008-0000-0000-000002000000}"/>
            </a:ext>
          </a:extLst>
        </xdr:cNvPr>
        <xdr:cNvGrpSpPr/>
      </xdr:nvGrpSpPr>
      <xdr:grpSpPr>
        <a:xfrm>
          <a:off x="7662398" y="26256468"/>
          <a:ext cx="6248538" cy="6848585"/>
          <a:chOff x="63500" y="26714450"/>
          <a:chExt cx="6353264" cy="6941392"/>
        </a:xfrm>
      </xdr:grpSpPr>
      <xdr:pic>
        <xdr:nvPicPr>
          <xdr:cNvPr id="15" name="Picture 14">
            <a:extLst>
              <a:ext uri="{FF2B5EF4-FFF2-40B4-BE49-F238E27FC236}">
                <a16:creationId xmlns:a16="http://schemas.microsoft.com/office/drawing/2014/main" id="{00000000-0008-0000-0000-00000F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a:ext>
            </a:extLst>
          </a:blip>
          <a:stretch>
            <a:fillRect/>
          </a:stretch>
        </xdr:blipFill>
        <xdr:spPr>
          <a:xfrm>
            <a:off x="1248571" y="31855842"/>
            <a:ext cx="3997113" cy="1800000"/>
          </a:xfrm>
          <a:prstGeom prst="rect">
            <a:avLst/>
          </a:prstGeom>
          <a:ln>
            <a:solidFill>
              <a:schemeClr val="tx1"/>
            </a:solidFill>
          </a:ln>
        </xdr:spPr>
      </xdr:pic>
      <xdr:pic>
        <xdr:nvPicPr>
          <xdr:cNvPr id="16" name="Picture 15">
            <a:extLst>
              <a:ext uri="{FF2B5EF4-FFF2-40B4-BE49-F238E27FC236}">
                <a16:creationId xmlns:a16="http://schemas.microsoft.com/office/drawing/2014/main" id="{00000000-0008-0000-0000-000010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a:ext>
            </a:extLst>
          </a:blip>
          <a:stretch>
            <a:fillRect/>
          </a:stretch>
        </xdr:blipFill>
        <xdr:spPr>
          <a:xfrm>
            <a:off x="294919" y="26714450"/>
            <a:ext cx="1351385" cy="2736000"/>
          </a:xfrm>
          <a:prstGeom prst="rect">
            <a:avLst/>
          </a:prstGeom>
          <a:ln>
            <a:solidFill>
              <a:schemeClr val="tx1"/>
            </a:solidFill>
          </a:ln>
        </xdr:spPr>
      </xdr:pic>
      <xdr:pic>
        <xdr:nvPicPr>
          <xdr:cNvPr id="17" name="Picture 16">
            <a:extLst>
              <a:ext uri="{FF2B5EF4-FFF2-40B4-BE49-F238E27FC236}">
                <a16:creationId xmlns:a16="http://schemas.microsoft.com/office/drawing/2014/main" id="{00000000-0008-0000-0000-000011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a:ext>
            </a:extLst>
          </a:blip>
          <a:stretch>
            <a:fillRect/>
          </a:stretch>
        </xdr:blipFill>
        <xdr:spPr>
          <a:xfrm>
            <a:off x="63500" y="29573146"/>
            <a:ext cx="970313" cy="2160000"/>
          </a:xfrm>
          <a:prstGeom prst="rect">
            <a:avLst/>
          </a:prstGeom>
          <a:ln>
            <a:solidFill>
              <a:schemeClr val="tx1"/>
            </a:solidFill>
          </a:ln>
        </xdr:spPr>
      </xdr:pic>
      <xdr:pic>
        <xdr:nvPicPr>
          <xdr:cNvPr id="18" name="Picture 17">
            <a:extLst>
              <a:ext uri="{FF2B5EF4-FFF2-40B4-BE49-F238E27FC236}">
                <a16:creationId xmlns:a16="http://schemas.microsoft.com/office/drawing/2014/main" id="{00000000-0008-0000-0000-000012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a:ext>
            </a:extLst>
          </a:blip>
          <a:stretch>
            <a:fillRect/>
          </a:stretch>
        </xdr:blipFill>
        <xdr:spPr>
          <a:xfrm>
            <a:off x="4811641" y="26714450"/>
            <a:ext cx="1351385" cy="2736000"/>
          </a:xfrm>
          <a:prstGeom prst="rect">
            <a:avLst/>
          </a:prstGeom>
          <a:ln>
            <a:solidFill>
              <a:schemeClr val="tx1"/>
            </a:solidFill>
          </a:ln>
        </xdr:spPr>
      </xdr:pic>
      <xdr:pic>
        <xdr:nvPicPr>
          <xdr:cNvPr id="19" name="Picture 18">
            <a:extLst>
              <a:ext uri="{FF2B5EF4-FFF2-40B4-BE49-F238E27FC236}">
                <a16:creationId xmlns:a16="http://schemas.microsoft.com/office/drawing/2014/main" id="{00000000-0008-0000-0000-000013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a:ext>
            </a:extLst>
          </a:blip>
          <a:stretch>
            <a:fillRect/>
          </a:stretch>
        </xdr:blipFill>
        <xdr:spPr>
          <a:xfrm>
            <a:off x="3306067" y="26729738"/>
            <a:ext cx="1351385" cy="2736000"/>
          </a:xfrm>
          <a:prstGeom prst="rect">
            <a:avLst/>
          </a:prstGeom>
          <a:ln>
            <a:solidFill>
              <a:schemeClr val="tx1"/>
            </a:solidFill>
          </a:ln>
        </xdr:spPr>
      </xdr:pic>
      <xdr:pic>
        <xdr:nvPicPr>
          <xdr:cNvPr id="20" name="Picture 19">
            <a:extLst>
              <a:ext uri="{FF2B5EF4-FFF2-40B4-BE49-F238E27FC236}">
                <a16:creationId xmlns:a16="http://schemas.microsoft.com/office/drawing/2014/main" id="{00000000-0008-0000-0000-000014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a:ext>
            </a:extLst>
          </a:blip>
          <a:stretch>
            <a:fillRect/>
          </a:stretch>
        </xdr:blipFill>
        <xdr:spPr>
          <a:xfrm>
            <a:off x="1174245" y="29573146"/>
            <a:ext cx="970313" cy="2160000"/>
          </a:xfrm>
          <a:prstGeom prst="rect">
            <a:avLst/>
          </a:prstGeom>
          <a:ln>
            <a:solidFill>
              <a:schemeClr val="tx1"/>
            </a:solidFill>
          </a:ln>
        </xdr:spPr>
      </xdr:pic>
      <xdr:pic>
        <xdr:nvPicPr>
          <xdr:cNvPr id="21" name="Picture 20">
            <a:extLst>
              <a:ext uri="{FF2B5EF4-FFF2-40B4-BE49-F238E27FC236}">
                <a16:creationId xmlns:a16="http://schemas.microsoft.com/office/drawing/2014/main" id="{00000000-0008-0000-0000-00001500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a:ext>
            </a:extLst>
          </a:blip>
          <a:stretch>
            <a:fillRect/>
          </a:stretch>
        </xdr:blipFill>
        <xdr:spPr>
          <a:xfrm>
            <a:off x="1800493" y="26729738"/>
            <a:ext cx="1351385" cy="2736000"/>
          </a:xfrm>
          <a:prstGeom prst="rect">
            <a:avLst/>
          </a:prstGeom>
          <a:ln>
            <a:solidFill>
              <a:schemeClr val="tx1"/>
            </a:solidFill>
          </a:ln>
        </xdr:spPr>
      </xdr:pic>
      <xdr:pic>
        <xdr:nvPicPr>
          <xdr:cNvPr id="22" name="Picture 21">
            <a:extLst>
              <a:ext uri="{FF2B5EF4-FFF2-40B4-BE49-F238E27FC236}">
                <a16:creationId xmlns:a16="http://schemas.microsoft.com/office/drawing/2014/main" id="{00000000-0008-0000-0000-000016000000}"/>
              </a:ext>
            </a:extLst>
          </xdr:cNvPr>
          <xdr:cNvPicPr>
            <a:picLocks noChangeAspect="1"/>
          </xdr:cNvPicPr>
        </xdr:nvPicPr>
        <xdr:blipFill>
          <a:blip xmlns:r="http://schemas.openxmlformats.org/officeDocument/2006/relationships" r:embed="rId10"/>
          <a:stretch>
            <a:fillRect/>
          </a:stretch>
        </xdr:blipFill>
        <xdr:spPr>
          <a:xfrm>
            <a:off x="2284990" y="29573146"/>
            <a:ext cx="4131774" cy="2160000"/>
          </a:xfrm>
          <a:prstGeom prst="rect">
            <a:avLst/>
          </a:prstGeom>
          <a:ln>
            <a:solidFill>
              <a:schemeClr val="tx1"/>
            </a:solidFill>
          </a:ln>
        </xdr:spPr>
      </xdr:pic>
    </xdr:grpSp>
    <xdr:clientData/>
  </xdr:twoCellAnchor>
  <xdr:twoCellAnchor>
    <xdr:from>
      <xdr:col>0</xdr:col>
      <xdr:colOff>129540</xdr:colOff>
      <xdr:row>122</xdr:row>
      <xdr:rowOff>15240</xdr:rowOff>
    </xdr:from>
    <xdr:to>
      <xdr:col>8</xdr:col>
      <xdr:colOff>712018</xdr:colOff>
      <xdr:row>161</xdr:row>
      <xdr:rowOff>133441</xdr:rowOff>
    </xdr:to>
    <xdr:grpSp>
      <xdr:nvGrpSpPr>
        <xdr:cNvPr id="3" name="Group 2">
          <a:extLst>
            <a:ext uri="{FF2B5EF4-FFF2-40B4-BE49-F238E27FC236}">
              <a16:creationId xmlns:a16="http://schemas.microsoft.com/office/drawing/2014/main" id="{0AA4AA46-C8C1-ACB0-4DC0-3C7659BB0929}"/>
            </a:ext>
          </a:extLst>
        </xdr:cNvPr>
        <xdr:cNvGrpSpPr/>
      </xdr:nvGrpSpPr>
      <xdr:grpSpPr>
        <a:xfrm>
          <a:off x="129540" y="27054517"/>
          <a:ext cx="5998540" cy="7204801"/>
          <a:chOff x="217334" y="320040"/>
          <a:chExt cx="6000298" cy="7250521"/>
        </a:xfrm>
      </xdr:grpSpPr>
      <xdr:pic>
        <xdr:nvPicPr>
          <xdr:cNvPr id="4" name="Picture 3">
            <a:extLst>
              <a:ext uri="{FF2B5EF4-FFF2-40B4-BE49-F238E27FC236}">
                <a16:creationId xmlns:a16="http://schemas.microsoft.com/office/drawing/2014/main" id="{40521E02-8149-3DDF-555E-32C421F19AC0}"/>
              </a:ext>
            </a:extLst>
          </xdr:cNvPr>
          <xdr:cNvPicPr>
            <a:picLocks noChangeAspect="1"/>
          </xdr:cNvPicPr>
        </xdr:nvPicPr>
        <xdr:blipFill>
          <a:blip xmlns:r="http://schemas.openxmlformats.org/officeDocument/2006/relationships" r:embed="rId11" cstate="hqprint">
            <a:extLst>
              <a:ext uri="{28A0092B-C50C-407E-A947-70E740481C1C}">
                <a14:useLocalDpi xmlns:a14="http://schemas.microsoft.com/office/drawing/2010/main"/>
              </a:ext>
            </a:extLst>
          </a:blip>
          <a:stretch>
            <a:fillRect/>
          </a:stretch>
        </xdr:blipFill>
        <xdr:spPr>
          <a:xfrm>
            <a:off x="217334" y="3045300"/>
            <a:ext cx="1888031" cy="2520000"/>
          </a:xfrm>
          <a:prstGeom prst="rect">
            <a:avLst/>
          </a:prstGeom>
          <a:ln>
            <a:solidFill>
              <a:schemeClr val="tx1"/>
            </a:solidFill>
          </a:ln>
        </xdr:spPr>
      </xdr:pic>
      <xdr:pic>
        <xdr:nvPicPr>
          <xdr:cNvPr id="5" name="Picture 4">
            <a:extLst>
              <a:ext uri="{FF2B5EF4-FFF2-40B4-BE49-F238E27FC236}">
                <a16:creationId xmlns:a16="http://schemas.microsoft.com/office/drawing/2014/main" id="{7FEB94DB-FC3D-3DB9-D409-0633BD18731E}"/>
              </a:ext>
            </a:extLst>
          </xdr:cNvPr>
          <xdr:cNvPicPr>
            <a:picLocks noChangeAspect="1"/>
          </xdr:cNvPicPr>
        </xdr:nvPicPr>
        <xdr:blipFill>
          <a:blip xmlns:r="http://schemas.openxmlformats.org/officeDocument/2006/relationships" r:embed="rId12" cstate="hqprint">
            <a:extLst>
              <a:ext uri="{28A0092B-C50C-407E-A947-70E740481C1C}">
                <a14:useLocalDpi xmlns:a14="http://schemas.microsoft.com/office/drawing/2010/main"/>
              </a:ext>
            </a:extLst>
          </a:blip>
          <a:stretch>
            <a:fillRect/>
          </a:stretch>
        </xdr:blipFill>
        <xdr:spPr>
          <a:xfrm>
            <a:off x="4329601" y="320040"/>
            <a:ext cx="1888031" cy="2520000"/>
          </a:xfrm>
          <a:prstGeom prst="rect">
            <a:avLst/>
          </a:prstGeom>
          <a:ln>
            <a:solidFill>
              <a:schemeClr val="tx1"/>
            </a:solidFill>
          </a:ln>
        </xdr:spPr>
      </xdr:pic>
      <xdr:pic>
        <xdr:nvPicPr>
          <xdr:cNvPr id="6" name="Picture 5">
            <a:extLst>
              <a:ext uri="{FF2B5EF4-FFF2-40B4-BE49-F238E27FC236}">
                <a16:creationId xmlns:a16="http://schemas.microsoft.com/office/drawing/2014/main" id="{2CCB7868-9DE3-CBD7-28FA-8F834BCBD3F5}"/>
              </a:ext>
            </a:extLst>
          </xdr:cNvPr>
          <xdr:cNvPicPr>
            <a:picLocks noChangeAspect="1"/>
          </xdr:cNvPicPr>
        </xdr:nvPicPr>
        <xdr:blipFill>
          <a:blip xmlns:r="http://schemas.openxmlformats.org/officeDocument/2006/relationships" r:embed="rId13" cstate="hqprint">
            <a:extLst>
              <a:ext uri="{28A0092B-C50C-407E-A947-70E740481C1C}">
                <a14:useLocalDpi xmlns:a14="http://schemas.microsoft.com/office/drawing/2010/main"/>
              </a:ext>
            </a:extLst>
          </a:blip>
          <a:stretch>
            <a:fillRect/>
          </a:stretch>
        </xdr:blipFill>
        <xdr:spPr>
          <a:xfrm>
            <a:off x="2273468" y="320040"/>
            <a:ext cx="1888031" cy="2520000"/>
          </a:xfrm>
          <a:prstGeom prst="rect">
            <a:avLst/>
          </a:prstGeom>
          <a:ln>
            <a:solidFill>
              <a:schemeClr val="tx1"/>
            </a:solidFill>
          </a:ln>
        </xdr:spPr>
      </xdr:pic>
      <xdr:pic>
        <xdr:nvPicPr>
          <xdr:cNvPr id="7" name="Picture 6">
            <a:extLst>
              <a:ext uri="{FF2B5EF4-FFF2-40B4-BE49-F238E27FC236}">
                <a16:creationId xmlns:a16="http://schemas.microsoft.com/office/drawing/2014/main" id="{F295D84C-3CA7-BB0D-0CEA-C05D637545E6}"/>
              </a:ext>
            </a:extLst>
          </xdr:cNvPr>
          <xdr:cNvPicPr>
            <a:picLocks noChangeAspect="1"/>
          </xdr:cNvPicPr>
        </xdr:nvPicPr>
        <xdr:blipFill>
          <a:blip xmlns:r="http://schemas.openxmlformats.org/officeDocument/2006/relationships" r:embed="rId14" cstate="hqprint">
            <a:extLst>
              <a:ext uri="{28A0092B-C50C-407E-A947-70E740481C1C}">
                <a14:useLocalDpi xmlns:a14="http://schemas.microsoft.com/office/drawing/2010/main"/>
              </a:ext>
            </a:extLst>
          </a:blip>
          <a:stretch>
            <a:fillRect/>
          </a:stretch>
        </xdr:blipFill>
        <xdr:spPr>
          <a:xfrm>
            <a:off x="217335" y="320040"/>
            <a:ext cx="1888031" cy="2520000"/>
          </a:xfrm>
          <a:prstGeom prst="rect">
            <a:avLst/>
          </a:prstGeom>
          <a:ln>
            <a:solidFill>
              <a:schemeClr val="tx1"/>
            </a:solidFill>
          </a:ln>
        </xdr:spPr>
      </xdr:pic>
      <xdr:pic>
        <xdr:nvPicPr>
          <xdr:cNvPr id="10" name="Picture 9">
            <a:extLst>
              <a:ext uri="{FF2B5EF4-FFF2-40B4-BE49-F238E27FC236}">
                <a16:creationId xmlns:a16="http://schemas.microsoft.com/office/drawing/2014/main" id="{4DE72DD5-2E70-313B-4029-AE00EDF37B6C}"/>
              </a:ext>
            </a:extLst>
          </xdr:cNvPr>
          <xdr:cNvPicPr>
            <a:picLocks noChangeAspect="1"/>
          </xdr:cNvPicPr>
        </xdr:nvPicPr>
        <xdr:blipFill>
          <a:blip xmlns:r="http://schemas.openxmlformats.org/officeDocument/2006/relationships" r:embed="rId15" cstate="hqprint">
            <a:extLst>
              <a:ext uri="{28A0092B-C50C-407E-A947-70E740481C1C}">
                <a14:useLocalDpi xmlns:a14="http://schemas.microsoft.com/office/drawing/2010/main"/>
              </a:ext>
            </a:extLst>
          </a:blip>
          <a:stretch>
            <a:fillRect/>
          </a:stretch>
        </xdr:blipFill>
        <xdr:spPr>
          <a:xfrm>
            <a:off x="1353220" y="5770561"/>
            <a:ext cx="2398065" cy="1800000"/>
          </a:xfrm>
          <a:prstGeom prst="rect">
            <a:avLst/>
          </a:prstGeom>
          <a:ln>
            <a:solidFill>
              <a:schemeClr val="tx1"/>
            </a:solidFill>
          </a:ln>
        </xdr:spPr>
      </xdr:pic>
      <xdr:pic>
        <xdr:nvPicPr>
          <xdr:cNvPr id="11" name="Picture 10">
            <a:extLst>
              <a:ext uri="{FF2B5EF4-FFF2-40B4-BE49-F238E27FC236}">
                <a16:creationId xmlns:a16="http://schemas.microsoft.com/office/drawing/2014/main" id="{34E1DE3B-61CC-6116-8A07-63D4D630A54B}"/>
              </a:ext>
            </a:extLst>
          </xdr:cNvPr>
          <xdr:cNvPicPr>
            <a:picLocks noChangeAspect="1"/>
          </xdr:cNvPicPr>
        </xdr:nvPicPr>
        <xdr:blipFill>
          <a:blip xmlns:r="http://schemas.openxmlformats.org/officeDocument/2006/relationships" r:embed="rId16" cstate="hqprint">
            <a:extLst>
              <a:ext uri="{28A0092B-C50C-407E-A947-70E740481C1C}">
                <a14:useLocalDpi xmlns:a14="http://schemas.microsoft.com/office/drawing/2010/main"/>
              </a:ext>
            </a:extLst>
          </a:blip>
          <a:stretch>
            <a:fillRect/>
          </a:stretch>
        </xdr:blipFill>
        <xdr:spPr>
          <a:xfrm>
            <a:off x="2273468" y="3045300"/>
            <a:ext cx="1888031" cy="2520000"/>
          </a:xfrm>
          <a:prstGeom prst="rect">
            <a:avLst/>
          </a:prstGeom>
          <a:ln>
            <a:solidFill>
              <a:schemeClr val="tx1"/>
            </a:solidFill>
          </a:ln>
        </xdr:spPr>
      </xdr:pic>
      <xdr:pic>
        <xdr:nvPicPr>
          <xdr:cNvPr id="12" name="Picture 11">
            <a:extLst>
              <a:ext uri="{FF2B5EF4-FFF2-40B4-BE49-F238E27FC236}">
                <a16:creationId xmlns:a16="http://schemas.microsoft.com/office/drawing/2014/main" id="{02D257C0-B5B1-F703-7622-C61619CC0077}"/>
              </a:ext>
            </a:extLst>
          </xdr:cNvPr>
          <xdr:cNvPicPr>
            <a:picLocks noChangeAspect="1"/>
          </xdr:cNvPicPr>
        </xdr:nvPicPr>
        <xdr:blipFill>
          <a:blip xmlns:r="http://schemas.openxmlformats.org/officeDocument/2006/relationships" r:embed="rId17" cstate="hqprint">
            <a:extLst>
              <a:ext uri="{28A0092B-C50C-407E-A947-70E740481C1C}">
                <a14:useLocalDpi xmlns:a14="http://schemas.microsoft.com/office/drawing/2010/main"/>
              </a:ext>
            </a:extLst>
          </a:blip>
          <a:stretch>
            <a:fillRect/>
          </a:stretch>
        </xdr:blipFill>
        <xdr:spPr>
          <a:xfrm>
            <a:off x="4329601" y="3045300"/>
            <a:ext cx="1888031" cy="2520000"/>
          </a:xfrm>
          <a:prstGeom prst="rect">
            <a:avLst/>
          </a:prstGeom>
          <a:ln>
            <a:solidFill>
              <a:schemeClr val="tx1"/>
            </a:solidFill>
          </a:ln>
        </xdr:spPr>
      </xdr:pic>
      <xdr:pic>
        <xdr:nvPicPr>
          <xdr:cNvPr id="13" name="Picture 12">
            <a:extLst>
              <a:ext uri="{FF2B5EF4-FFF2-40B4-BE49-F238E27FC236}">
                <a16:creationId xmlns:a16="http://schemas.microsoft.com/office/drawing/2014/main" id="{3544D919-375F-45E5-D5F2-C9218A6C7DFE}"/>
              </a:ext>
            </a:extLst>
          </xdr:cNvPr>
          <xdr:cNvPicPr>
            <a:picLocks noChangeAspect="1"/>
          </xdr:cNvPicPr>
        </xdr:nvPicPr>
        <xdr:blipFill>
          <a:blip xmlns:r="http://schemas.openxmlformats.org/officeDocument/2006/relationships" r:embed="rId18" cstate="hqprint">
            <a:extLst>
              <a:ext uri="{28A0092B-C50C-407E-A947-70E740481C1C}">
                <a14:useLocalDpi xmlns:a14="http://schemas.microsoft.com/office/drawing/2010/main"/>
              </a:ext>
            </a:extLst>
          </a:blip>
          <a:stretch>
            <a:fillRect/>
          </a:stretch>
        </xdr:blipFill>
        <xdr:spPr>
          <a:xfrm>
            <a:off x="3919388" y="5770561"/>
            <a:ext cx="1348594" cy="1800000"/>
          </a:xfrm>
          <a:prstGeom prst="rect">
            <a:avLst/>
          </a:prstGeom>
          <a:ln>
            <a:solidFill>
              <a:schemeClr val="tx1"/>
            </a:solidFill>
          </a:ln>
        </xdr:spPr>
      </xdr:pic>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13</xdr:col>
      <xdr:colOff>0</xdr:colOff>
      <xdr:row>11</xdr:row>
      <xdr:rowOff>0</xdr:rowOff>
    </xdr:from>
    <xdr:to>
      <xdr:col>15</xdr:col>
      <xdr:colOff>400050</xdr:colOff>
      <xdr:row>20</xdr:row>
      <xdr:rowOff>66675</xdr:rowOff>
    </xdr:to>
    <xdr:pic>
      <xdr:nvPicPr>
        <xdr:cNvPr id="2140" name="Picture 1">
          <a:extLst>
            <a:ext uri="{FF2B5EF4-FFF2-40B4-BE49-F238E27FC236}">
              <a16:creationId xmlns:a16="http://schemas.microsoft.com/office/drawing/2014/main" id="{00000000-0008-0000-0100-00005C08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096250" y="2095500"/>
          <a:ext cx="1619250" cy="21621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15</xdr:col>
      <xdr:colOff>542925</xdr:colOff>
      <xdr:row>11</xdr:row>
      <xdr:rowOff>38100</xdr:rowOff>
    </xdr:from>
    <xdr:to>
      <xdr:col>18</xdr:col>
      <xdr:colOff>333375</xdr:colOff>
      <xdr:row>20</xdr:row>
      <xdr:rowOff>104775</xdr:rowOff>
    </xdr:to>
    <xdr:pic>
      <xdr:nvPicPr>
        <xdr:cNvPr id="2141" name="Picture 2">
          <a:extLst>
            <a:ext uri="{FF2B5EF4-FFF2-40B4-BE49-F238E27FC236}">
              <a16:creationId xmlns:a16="http://schemas.microsoft.com/office/drawing/2014/main" id="{00000000-0008-0000-0100-00005D08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858375" y="2133600"/>
          <a:ext cx="1619250" cy="21621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22</xdr:row>
      <xdr:rowOff>0</xdr:rowOff>
    </xdr:from>
    <xdr:to>
      <xdr:col>15</xdr:col>
      <xdr:colOff>400050</xdr:colOff>
      <xdr:row>33</xdr:row>
      <xdr:rowOff>66675</xdr:rowOff>
    </xdr:to>
    <xdr:pic>
      <xdr:nvPicPr>
        <xdr:cNvPr id="2142" name="Picture 3">
          <a:extLst>
            <a:ext uri="{FF2B5EF4-FFF2-40B4-BE49-F238E27FC236}">
              <a16:creationId xmlns:a16="http://schemas.microsoft.com/office/drawing/2014/main" id="{00000000-0008-0000-0100-00005E08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8096250" y="4572000"/>
          <a:ext cx="1619250" cy="21621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11</xdr:row>
      <xdr:rowOff>0</xdr:rowOff>
    </xdr:from>
    <xdr:to>
      <xdr:col>6</xdr:col>
      <xdr:colOff>352425</xdr:colOff>
      <xdr:row>29</xdr:row>
      <xdr:rowOff>171450</xdr:rowOff>
    </xdr:to>
    <xdr:pic>
      <xdr:nvPicPr>
        <xdr:cNvPr id="4141" name="Picture 1">
          <a:extLst>
            <a:ext uri="{FF2B5EF4-FFF2-40B4-BE49-F238E27FC236}">
              <a16:creationId xmlns:a16="http://schemas.microsoft.com/office/drawing/2014/main" id="{00000000-0008-0000-0200-00002D100000}"/>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rcRect/>
        <a:stretch>
          <a:fillRect/>
        </a:stretch>
      </xdr:blipFill>
      <xdr:spPr bwMode="auto">
        <a:xfrm>
          <a:off x="581025" y="2105025"/>
          <a:ext cx="6753225" cy="36004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76200</xdr:colOff>
      <xdr:row>30</xdr:row>
      <xdr:rowOff>66675</xdr:rowOff>
    </xdr:from>
    <xdr:to>
      <xdr:col>6</xdr:col>
      <xdr:colOff>428625</xdr:colOff>
      <xdr:row>49</xdr:row>
      <xdr:rowOff>47625</xdr:rowOff>
    </xdr:to>
    <xdr:pic>
      <xdr:nvPicPr>
        <xdr:cNvPr id="4142" name="Picture 2">
          <a:extLst>
            <a:ext uri="{FF2B5EF4-FFF2-40B4-BE49-F238E27FC236}">
              <a16:creationId xmlns:a16="http://schemas.microsoft.com/office/drawing/2014/main" id="{00000000-0008-0000-0200-00002E100000}"/>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rcRect/>
        <a:stretch>
          <a:fillRect/>
        </a:stretch>
      </xdr:blipFill>
      <xdr:spPr bwMode="auto">
        <a:xfrm>
          <a:off x="657225" y="5791200"/>
          <a:ext cx="6753225" cy="36004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7</xdr:col>
      <xdr:colOff>514350</xdr:colOff>
      <xdr:row>0</xdr:row>
      <xdr:rowOff>171450</xdr:rowOff>
    </xdr:from>
    <xdr:to>
      <xdr:col>13</xdr:col>
      <xdr:colOff>95250</xdr:colOff>
      <xdr:row>24</xdr:row>
      <xdr:rowOff>104775</xdr:rowOff>
    </xdr:to>
    <xdr:pic>
      <xdr:nvPicPr>
        <xdr:cNvPr id="3167" name="Picture 1">
          <a:extLst>
            <a:ext uri="{FF2B5EF4-FFF2-40B4-BE49-F238E27FC236}">
              <a16:creationId xmlns:a16="http://schemas.microsoft.com/office/drawing/2014/main" id="{00000000-0008-0000-0300-00005F0C0000}"/>
            </a:ext>
          </a:extLst>
        </xdr:cNvPr>
        <xdr:cNvPicPr>
          <a:picLocks noChangeAspect="1" noChangeArrowheads="1"/>
        </xdr:cNvPicPr>
      </xdr:nvPicPr>
      <xdr:blipFill>
        <a:blip xmlns:r="http://schemas.openxmlformats.org/officeDocument/2006/relationships" r:embed="rId1" cstate="screen">
          <a:extLst>
            <a:ext uri="{28A0092B-C50C-407E-A947-70E740481C1C}">
              <a14:useLocalDpi xmlns:a14="http://schemas.microsoft.com/office/drawing/2010/main"/>
            </a:ext>
          </a:extLst>
        </a:blip>
        <a:srcRect/>
        <a:stretch>
          <a:fillRect/>
        </a:stretch>
      </xdr:blipFill>
      <xdr:spPr bwMode="auto">
        <a:xfrm>
          <a:off x="5038725" y="171450"/>
          <a:ext cx="3238500" cy="450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209550</xdr:colOff>
      <xdr:row>0</xdr:row>
      <xdr:rowOff>171450</xdr:rowOff>
    </xdr:from>
    <xdr:to>
      <xdr:col>7</xdr:col>
      <xdr:colOff>400050</xdr:colOff>
      <xdr:row>24</xdr:row>
      <xdr:rowOff>104775</xdr:rowOff>
    </xdr:to>
    <xdr:pic>
      <xdr:nvPicPr>
        <xdr:cNvPr id="3168" name="Picture 2">
          <a:extLst>
            <a:ext uri="{FF2B5EF4-FFF2-40B4-BE49-F238E27FC236}">
              <a16:creationId xmlns:a16="http://schemas.microsoft.com/office/drawing/2014/main" id="{00000000-0008-0000-0300-0000600C0000}"/>
            </a:ext>
          </a:extLst>
        </xdr:cNvPr>
        <xdr:cNvPicPr>
          <a:picLocks noChangeAspect="1" noChangeArrowheads="1"/>
        </xdr:cNvPicPr>
      </xdr:nvPicPr>
      <xdr:blipFill>
        <a:blip xmlns:r="http://schemas.openxmlformats.org/officeDocument/2006/relationships" r:embed="rId2" cstate="screen">
          <a:extLst>
            <a:ext uri="{28A0092B-C50C-407E-A947-70E740481C1C}">
              <a14:useLocalDpi xmlns:a14="http://schemas.microsoft.com/office/drawing/2010/main"/>
            </a:ext>
          </a:extLst>
        </a:blip>
        <a:srcRect/>
        <a:stretch>
          <a:fillRect/>
        </a:stretch>
      </xdr:blipFill>
      <xdr:spPr bwMode="auto">
        <a:xfrm>
          <a:off x="1685925" y="171450"/>
          <a:ext cx="3238500" cy="450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goo.gl/maps/WQV1Vn89xBh9iic28" TargetMode="Externa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173"/>
  <sheetViews>
    <sheetView tabSelected="1" view="pageBreakPreview" zoomScale="130" zoomScaleNormal="100" zoomScaleSheetLayoutView="130" zoomScalePageLayoutView="85" workbookViewId="0">
      <selection activeCell="N8" sqref="N8"/>
    </sheetView>
  </sheetViews>
  <sheetFormatPr defaultRowHeight="14.4" x14ac:dyDescent="0.3"/>
  <cols>
    <col min="1" max="1" width="8.77734375" customWidth="1"/>
    <col min="2" max="3" width="14.44140625" customWidth="1"/>
    <col min="4" max="4" width="7.21875" customWidth="1"/>
    <col min="5" max="5" width="5.5546875" customWidth="1"/>
    <col min="6" max="6" width="9" customWidth="1"/>
    <col min="7" max="8" width="9.77734375" customWidth="1"/>
    <col min="9" max="9" width="10.77734375" customWidth="1"/>
    <col min="10" max="10" width="3.21875" customWidth="1"/>
    <col min="11" max="11" width="3.5546875" customWidth="1"/>
    <col min="16" max="16" width="10.77734375" bestFit="1" customWidth="1"/>
  </cols>
  <sheetData>
    <row r="1" spans="1:10" ht="43.95" customHeight="1" x14ac:dyDescent="0.3">
      <c r="A1" s="174" t="s">
        <v>246</v>
      </c>
      <c r="B1" s="175"/>
      <c r="C1" s="175"/>
      <c r="D1" s="175"/>
      <c r="E1" s="175"/>
      <c r="F1" s="175"/>
      <c r="G1" s="175"/>
      <c r="H1" s="175"/>
      <c r="I1" s="175"/>
      <c r="J1" s="176"/>
    </row>
    <row r="2" spans="1:10" x14ac:dyDescent="0.3">
      <c r="A2" s="181" t="s">
        <v>45</v>
      </c>
      <c r="B2" s="182"/>
      <c r="C2" s="182"/>
      <c r="D2" s="182"/>
      <c r="E2" s="182"/>
      <c r="F2" s="182"/>
      <c r="G2" s="182"/>
      <c r="H2" s="182"/>
      <c r="I2" s="182"/>
      <c r="J2" s="183"/>
    </row>
    <row r="3" spans="1:10" x14ac:dyDescent="0.3">
      <c r="A3" s="80" t="s">
        <v>0</v>
      </c>
      <c r="B3" s="81"/>
      <c r="C3" s="81"/>
      <c r="D3" s="81"/>
      <c r="E3" s="82"/>
      <c r="F3" s="71" t="str">
        <f ca="1">TEXT(TODAY(),"DD/MM/YYYY")</f>
        <v>12/08/2025</v>
      </c>
      <c r="G3" s="72"/>
      <c r="H3" s="72"/>
      <c r="I3" s="72"/>
      <c r="J3" s="73"/>
    </row>
    <row r="4" spans="1:10" x14ac:dyDescent="0.3">
      <c r="A4" s="66" t="s">
        <v>1</v>
      </c>
      <c r="B4" s="81"/>
      <c r="C4" s="81"/>
      <c r="D4" s="81"/>
      <c r="E4" s="82"/>
      <c r="F4" s="107" t="s">
        <v>148</v>
      </c>
      <c r="G4" s="108"/>
      <c r="H4" s="108"/>
      <c r="I4" s="108"/>
      <c r="J4" s="109"/>
    </row>
    <row r="5" spans="1:10" x14ac:dyDescent="0.3">
      <c r="A5" s="80" t="s">
        <v>2</v>
      </c>
      <c r="B5" s="81"/>
      <c r="C5" s="81"/>
      <c r="D5" s="81"/>
      <c r="E5" s="82"/>
      <c r="F5" s="71">
        <v>45881</v>
      </c>
      <c r="G5" s="72"/>
      <c r="H5" s="72"/>
      <c r="I5" s="72"/>
      <c r="J5" s="73"/>
    </row>
    <row r="6" spans="1:10" ht="16.5" customHeight="1" x14ac:dyDescent="0.3">
      <c r="A6" s="66" t="s">
        <v>138</v>
      </c>
      <c r="B6" s="81"/>
      <c r="C6" s="81"/>
      <c r="D6" s="81"/>
      <c r="E6" s="82"/>
      <c r="F6" s="68" t="s">
        <v>168</v>
      </c>
      <c r="G6" s="69"/>
      <c r="H6" s="69"/>
      <c r="I6" s="69"/>
      <c r="J6" s="70"/>
    </row>
    <row r="7" spans="1:10" ht="15" customHeight="1" x14ac:dyDescent="0.3">
      <c r="A7" s="80" t="s">
        <v>3</v>
      </c>
      <c r="B7" s="81"/>
      <c r="C7" s="81"/>
      <c r="D7" s="81"/>
      <c r="E7" s="82"/>
      <c r="F7" s="68" t="s">
        <v>165</v>
      </c>
      <c r="G7" s="69"/>
      <c r="H7" s="69"/>
      <c r="I7" s="69"/>
      <c r="J7" s="70"/>
    </row>
    <row r="8" spans="1:10" x14ac:dyDescent="0.3">
      <c r="A8" s="80" t="s">
        <v>4</v>
      </c>
      <c r="B8" s="81"/>
      <c r="C8" s="81"/>
      <c r="D8" s="81"/>
      <c r="E8" s="82"/>
      <c r="F8" s="110" t="s">
        <v>174</v>
      </c>
      <c r="G8" s="111"/>
      <c r="H8" s="111"/>
      <c r="I8" s="111"/>
      <c r="J8" s="112"/>
    </row>
    <row r="9" spans="1:10" x14ac:dyDescent="0.3">
      <c r="A9" s="66" t="s">
        <v>109</v>
      </c>
      <c r="B9" s="81"/>
      <c r="C9" s="81"/>
      <c r="D9" s="81"/>
      <c r="E9" s="82"/>
      <c r="F9" s="66" t="s">
        <v>153</v>
      </c>
      <c r="G9" s="83"/>
      <c r="H9" s="83"/>
      <c r="I9" s="83"/>
      <c r="J9" s="67"/>
    </row>
    <row r="10" spans="1:10" ht="31.5" customHeight="1" x14ac:dyDescent="0.3">
      <c r="A10" s="66" t="s">
        <v>110</v>
      </c>
      <c r="B10" s="83"/>
      <c r="C10" s="83"/>
      <c r="D10" s="83"/>
      <c r="E10" s="67"/>
      <c r="F10" s="68" t="s">
        <v>175</v>
      </c>
      <c r="G10" s="69"/>
      <c r="H10" s="69"/>
      <c r="I10" s="69"/>
      <c r="J10" s="70"/>
    </row>
    <row r="11" spans="1:10" x14ac:dyDescent="0.3">
      <c r="A11" s="80" t="s">
        <v>5</v>
      </c>
      <c r="B11" s="81"/>
      <c r="C11" s="81"/>
      <c r="D11" s="81"/>
      <c r="E11" s="82"/>
      <c r="F11" s="68" t="s">
        <v>167</v>
      </c>
      <c r="G11" s="69"/>
      <c r="H11" s="69"/>
      <c r="I11" s="69"/>
      <c r="J11" s="70"/>
    </row>
    <row r="12" spans="1:10" x14ac:dyDescent="0.3">
      <c r="A12" s="66" t="s">
        <v>178</v>
      </c>
      <c r="B12" s="81"/>
      <c r="C12" s="81"/>
      <c r="D12" s="81"/>
      <c r="E12" s="82"/>
      <c r="F12" s="68" t="s">
        <v>179</v>
      </c>
      <c r="G12" s="69"/>
      <c r="H12" s="69"/>
      <c r="I12" s="69"/>
      <c r="J12" s="70"/>
    </row>
    <row r="13" spans="1:10" ht="33" customHeight="1" x14ac:dyDescent="0.3">
      <c r="A13" s="84" t="s">
        <v>63</v>
      </c>
      <c r="B13" s="84"/>
      <c r="C13" s="68" t="s">
        <v>248</v>
      </c>
      <c r="D13" s="69"/>
      <c r="E13" s="69"/>
      <c r="F13" s="69"/>
      <c r="G13" s="69"/>
      <c r="H13" s="69"/>
      <c r="I13" s="69"/>
      <c r="J13" s="70"/>
    </row>
    <row r="14" spans="1:10" x14ac:dyDescent="0.3">
      <c r="A14" s="84" t="s">
        <v>247</v>
      </c>
      <c r="B14" s="84"/>
      <c r="C14" s="94">
        <v>193</v>
      </c>
      <c r="D14" s="94"/>
      <c r="E14" s="94"/>
      <c r="F14" s="93" t="s">
        <v>64</v>
      </c>
      <c r="G14" s="93"/>
      <c r="H14" s="98" t="s">
        <v>154</v>
      </c>
      <c r="I14" s="98"/>
      <c r="J14" s="99"/>
    </row>
    <row r="15" spans="1:10" x14ac:dyDescent="0.3">
      <c r="A15" s="84" t="s">
        <v>6</v>
      </c>
      <c r="B15" s="84"/>
      <c r="C15" s="94" t="s">
        <v>184</v>
      </c>
      <c r="D15" s="94"/>
      <c r="E15" s="94"/>
      <c r="F15" s="93" t="s">
        <v>65</v>
      </c>
      <c r="G15" s="93"/>
      <c r="H15" s="98" t="s">
        <v>149</v>
      </c>
      <c r="I15" s="98"/>
      <c r="J15" s="99"/>
    </row>
    <row r="16" spans="1:10" x14ac:dyDescent="0.3">
      <c r="A16" s="84" t="s">
        <v>7</v>
      </c>
      <c r="B16" s="84"/>
      <c r="C16" s="94" t="s">
        <v>183</v>
      </c>
      <c r="D16" s="94"/>
      <c r="E16" s="94"/>
      <c r="F16" s="93" t="s">
        <v>66</v>
      </c>
      <c r="G16" s="93"/>
      <c r="H16" s="98">
        <v>401401</v>
      </c>
      <c r="I16" s="98"/>
      <c r="J16" s="99"/>
    </row>
    <row r="17" spans="1:10" ht="32.25" customHeight="1" x14ac:dyDescent="0.3">
      <c r="A17" s="84" t="s">
        <v>67</v>
      </c>
      <c r="B17" s="84"/>
      <c r="C17" s="94" t="s">
        <v>185</v>
      </c>
      <c r="D17" s="94"/>
      <c r="E17" s="94"/>
      <c r="F17" s="93" t="s">
        <v>54</v>
      </c>
      <c r="G17" s="93"/>
      <c r="H17" s="98" t="s">
        <v>186</v>
      </c>
      <c r="I17" s="98"/>
      <c r="J17" s="99"/>
    </row>
    <row r="18" spans="1:10" ht="15" customHeight="1" x14ac:dyDescent="0.3">
      <c r="A18" s="87" t="s">
        <v>111</v>
      </c>
      <c r="B18" s="100"/>
      <c r="C18" s="100"/>
      <c r="D18" s="100"/>
      <c r="E18" s="101"/>
      <c r="F18" s="74" t="s">
        <v>139</v>
      </c>
      <c r="G18" s="75"/>
      <c r="H18" s="75"/>
      <c r="I18" s="75"/>
      <c r="J18" s="76"/>
    </row>
    <row r="19" spans="1:10" ht="31.5" customHeight="1" x14ac:dyDescent="0.3">
      <c r="A19" s="102"/>
      <c r="B19" s="103"/>
      <c r="C19" s="103"/>
      <c r="D19" s="103"/>
      <c r="E19" s="104"/>
      <c r="F19" s="77"/>
      <c r="G19" s="78"/>
      <c r="H19" s="78"/>
      <c r="I19" s="78"/>
      <c r="J19" s="79"/>
    </row>
    <row r="20" spans="1:10" ht="15" customHeight="1" x14ac:dyDescent="0.3">
      <c r="A20" s="87" t="s">
        <v>112</v>
      </c>
      <c r="B20" s="88"/>
      <c r="C20" s="88"/>
      <c r="D20" s="88"/>
      <c r="E20" s="89"/>
      <c r="F20" s="87" t="s">
        <v>47</v>
      </c>
      <c r="G20" s="100"/>
      <c r="H20" s="100"/>
      <c r="I20" s="100"/>
      <c r="J20" s="101"/>
    </row>
    <row r="21" spans="1:10" x14ac:dyDescent="0.3">
      <c r="A21" s="90"/>
      <c r="B21" s="91"/>
      <c r="C21" s="91"/>
      <c r="D21" s="91"/>
      <c r="E21" s="92"/>
      <c r="F21" s="102"/>
      <c r="G21" s="103"/>
      <c r="H21" s="103"/>
      <c r="I21" s="103"/>
      <c r="J21" s="104"/>
    </row>
    <row r="22" spans="1:10" x14ac:dyDescent="0.3">
      <c r="A22" s="80" t="s">
        <v>8</v>
      </c>
      <c r="B22" s="81"/>
      <c r="C22" s="81"/>
      <c r="D22" s="81"/>
      <c r="E22" s="82"/>
      <c r="F22" s="95" t="s">
        <v>140</v>
      </c>
      <c r="G22" s="96"/>
      <c r="H22" s="96"/>
      <c r="I22" s="96"/>
      <c r="J22" s="97"/>
    </row>
    <row r="23" spans="1:10" x14ac:dyDescent="0.3">
      <c r="A23" s="80" t="s">
        <v>9</v>
      </c>
      <c r="B23" s="81"/>
      <c r="C23" s="81"/>
      <c r="D23" s="81"/>
      <c r="E23" s="82"/>
      <c r="F23" s="178" t="s">
        <v>55</v>
      </c>
      <c r="G23" s="179"/>
      <c r="H23" s="179"/>
      <c r="I23" s="179"/>
      <c r="J23" s="180"/>
    </row>
    <row r="24" spans="1:10" x14ac:dyDescent="0.3">
      <c r="A24" s="80" t="s">
        <v>10</v>
      </c>
      <c r="B24" s="81"/>
      <c r="C24" s="81"/>
      <c r="D24" s="81"/>
      <c r="E24" s="82"/>
      <c r="F24" s="95" t="s">
        <v>141</v>
      </c>
      <c r="G24" s="96"/>
      <c r="H24" s="96"/>
      <c r="I24" s="96"/>
      <c r="J24" s="97"/>
    </row>
    <row r="25" spans="1:10" x14ac:dyDescent="0.3">
      <c r="A25" s="80" t="s">
        <v>27</v>
      </c>
      <c r="B25" s="81"/>
      <c r="C25" s="81"/>
      <c r="D25" s="81"/>
      <c r="E25" s="82"/>
      <c r="F25" s="178" t="s">
        <v>68</v>
      </c>
      <c r="G25" s="167"/>
      <c r="H25" s="167"/>
      <c r="I25" s="167"/>
      <c r="J25" s="168"/>
    </row>
    <row r="26" spans="1:10" x14ac:dyDescent="0.3">
      <c r="A26" s="63" t="s">
        <v>11</v>
      </c>
      <c r="B26" s="64"/>
      <c r="C26" s="63" t="s">
        <v>12</v>
      </c>
      <c r="D26" s="64"/>
      <c r="E26" s="65" t="s">
        <v>13</v>
      </c>
      <c r="F26" s="64"/>
      <c r="G26" s="65" t="s">
        <v>53</v>
      </c>
      <c r="H26" s="139"/>
      <c r="I26" s="63" t="s">
        <v>14</v>
      </c>
      <c r="J26" s="64"/>
    </row>
    <row r="27" spans="1:10" x14ac:dyDescent="0.3">
      <c r="A27" s="65" t="s">
        <v>15</v>
      </c>
      <c r="B27" s="139"/>
      <c r="C27" s="65" t="s">
        <v>52</v>
      </c>
      <c r="D27" s="139"/>
      <c r="E27" s="65" t="s">
        <v>52</v>
      </c>
      <c r="F27" s="139"/>
      <c r="G27" s="65" t="s">
        <v>52</v>
      </c>
      <c r="H27" s="139"/>
      <c r="I27" s="65" t="s">
        <v>52</v>
      </c>
      <c r="J27" s="139"/>
    </row>
    <row r="28" spans="1:10" x14ac:dyDescent="0.3">
      <c r="A28" s="63" t="s">
        <v>16</v>
      </c>
      <c r="B28" s="64"/>
      <c r="C28" s="105" t="s">
        <v>155</v>
      </c>
      <c r="D28" s="106"/>
      <c r="E28" s="105" t="s">
        <v>156</v>
      </c>
      <c r="F28" s="106"/>
      <c r="G28" s="105" t="s">
        <v>155</v>
      </c>
      <c r="H28" s="106"/>
      <c r="I28" s="105" t="s">
        <v>155</v>
      </c>
      <c r="J28" s="106"/>
    </row>
    <row r="29" spans="1:10" x14ac:dyDescent="0.3">
      <c r="A29" s="66" t="s">
        <v>61</v>
      </c>
      <c r="B29" s="83"/>
      <c r="C29" s="83"/>
      <c r="D29" s="83"/>
      <c r="E29" s="83"/>
      <c r="F29" s="83"/>
      <c r="G29" s="83"/>
      <c r="H29" s="83"/>
      <c r="I29" s="83"/>
      <c r="J29" s="67"/>
    </row>
    <row r="30" spans="1:10" x14ac:dyDescent="0.3">
      <c r="A30" s="66" t="s">
        <v>144</v>
      </c>
      <c r="B30" s="83"/>
      <c r="C30" s="83"/>
      <c r="D30" s="83"/>
      <c r="E30" s="83"/>
      <c r="F30" s="83"/>
      <c r="G30" s="83"/>
      <c r="H30" s="83"/>
      <c r="I30" s="83"/>
      <c r="J30" s="67"/>
    </row>
    <row r="31" spans="1:10" x14ac:dyDescent="0.3">
      <c r="A31" s="66" t="s">
        <v>41</v>
      </c>
      <c r="B31" s="67"/>
      <c r="C31" s="110" t="s">
        <v>249</v>
      </c>
      <c r="D31" s="111"/>
      <c r="E31" s="111"/>
      <c r="F31" s="111"/>
      <c r="G31" s="111"/>
      <c r="H31" s="111"/>
      <c r="I31" s="111"/>
      <c r="J31" s="112"/>
    </row>
    <row r="32" spans="1:10" x14ac:dyDescent="0.3">
      <c r="A32" s="66" t="s">
        <v>244</v>
      </c>
      <c r="B32" s="67"/>
      <c r="C32" s="209" t="s">
        <v>245</v>
      </c>
      <c r="D32" s="83"/>
      <c r="E32" s="83"/>
      <c r="F32" s="83"/>
      <c r="G32" s="83"/>
      <c r="H32" s="83"/>
      <c r="I32" s="83"/>
      <c r="J32" s="67"/>
    </row>
    <row r="33" spans="1:10" x14ac:dyDescent="0.3">
      <c r="A33" s="110" t="s">
        <v>17</v>
      </c>
      <c r="B33" s="111"/>
      <c r="C33" s="111"/>
      <c r="D33" s="111"/>
      <c r="E33" s="111"/>
      <c r="F33" s="111"/>
      <c r="G33" s="111"/>
      <c r="H33" s="111"/>
      <c r="I33" s="111"/>
      <c r="J33" s="112"/>
    </row>
    <row r="34" spans="1:10" ht="15" customHeight="1" x14ac:dyDescent="0.3">
      <c r="A34" s="93" t="s">
        <v>166</v>
      </c>
      <c r="B34" s="93"/>
      <c r="C34" s="93"/>
      <c r="D34" s="93"/>
      <c r="E34" s="93"/>
      <c r="F34" s="93"/>
      <c r="G34" s="93"/>
      <c r="H34" s="93"/>
      <c r="I34" s="93"/>
      <c r="J34" s="93"/>
    </row>
    <row r="35" spans="1:10" x14ac:dyDescent="0.3">
      <c r="A35" s="93"/>
      <c r="B35" s="93"/>
      <c r="C35" s="93"/>
      <c r="D35" s="93"/>
      <c r="E35" s="93"/>
      <c r="F35" s="93"/>
      <c r="G35" s="93"/>
      <c r="H35" s="93"/>
      <c r="I35" s="93"/>
      <c r="J35" s="93"/>
    </row>
    <row r="36" spans="1:10" ht="16.5" customHeight="1" x14ac:dyDescent="0.3">
      <c r="A36" s="84" t="s">
        <v>69</v>
      </c>
      <c r="B36" s="119"/>
      <c r="C36" s="119"/>
      <c r="D36" s="119"/>
      <c r="E36" s="119"/>
      <c r="F36" s="93">
        <v>6299.03</v>
      </c>
      <c r="G36" s="93"/>
      <c r="H36" s="93"/>
      <c r="I36" s="93"/>
      <c r="J36" s="93"/>
    </row>
    <row r="37" spans="1:10" x14ac:dyDescent="0.3">
      <c r="A37" s="119" t="s">
        <v>18</v>
      </c>
      <c r="B37" s="119"/>
      <c r="C37" s="119"/>
      <c r="D37" s="119"/>
      <c r="E37" s="119"/>
      <c r="F37" s="84">
        <v>0.9</v>
      </c>
      <c r="G37" s="84"/>
      <c r="H37" s="84"/>
      <c r="I37" s="84"/>
      <c r="J37" s="84"/>
    </row>
    <row r="38" spans="1:10" x14ac:dyDescent="0.3">
      <c r="A38" s="119" t="s">
        <v>19</v>
      </c>
      <c r="B38" s="119"/>
      <c r="C38" s="119"/>
      <c r="D38" s="119"/>
      <c r="E38" s="119"/>
      <c r="F38" s="84">
        <v>0</v>
      </c>
      <c r="G38" s="84"/>
      <c r="H38" s="84"/>
      <c r="I38" s="84"/>
      <c r="J38" s="84"/>
    </row>
    <row r="39" spans="1:10" x14ac:dyDescent="0.3">
      <c r="A39" s="119" t="s">
        <v>20</v>
      </c>
      <c r="B39" s="119"/>
      <c r="C39" s="119"/>
      <c r="D39" s="119"/>
      <c r="E39" s="119"/>
      <c r="F39" s="84">
        <f>F37+F38</f>
        <v>0.9</v>
      </c>
      <c r="G39" s="84"/>
      <c r="H39" s="84"/>
      <c r="I39" s="84"/>
      <c r="J39" s="84"/>
    </row>
    <row r="40" spans="1:10" x14ac:dyDescent="0.3">
      <c r="A40" s="84" t="s">
        <v>70</v>
      </c>
      <c r="B40" s="119"/>
      <c r="C40" s="119"/>
      <c r="D40" s="119"/>
      <c r="E40" s="119"/>
      <c r="F40" s="169">
        <f>F36*F39</f>
        <v>5669.1269999999995</v>
      </c>
      <c r="G40" s="169"/>
      <c r="H40" s="169"/>
      <c r="I40" s="169"/>
      <c r="J40" s="169"/>
    </row>
    <row r="41" spans="1:10" x14ac:dyDescent="0.3">
      <c r="A41" s="119" t="s">
        <v>21</v>
      </c>
      <c r="B41" s="119"/>
      <c r="C41" s="119"/>
      <c r="D41" s="119"/>
      <c r="E41" s="119"/>
      <c r="F41" s="84" t="s">
        <v>150</v>
      </c>
      <c r="G41" s="84"/>
      <c r="H41" s="84"/>
      <c r="I41" s="84"/>
      <c r="J41" s="84"/>
    </row>
    <row r="42" spans="1:10" x14ac:dyDescent="0.3">
      <c r="A42" s="121" t="s">
        <v>72</v>
      </c>
      <c r="B42" s="121"/>
      <c r="C42" s="121"/>
      <c r="D42" s="121"/>
      <c r="E42" s="121"/>
      <c r="F42" s="121"/>
      <c r="G42" s="121"/>
      <c r="H42" s="121"/>
      <c r="I42" s="121"/>
      <c r="J42" s="121"/>
    </row>
    <row r="43" spans="1:10" ht="30.75" customHeight="1" x14ac:dyDescent="0.3">
      <c r="A43" s="93" t="s">
        <v>71</v>
      </c>
      <c r="B43" s="93"/>
      <c r="C43" s="93" t="s">
        <v>157</v>
      </c>
      <c r="D43" s="93"/>
      <c r="E43" s="93"/>
      <c r="F43" s="93"/>
      <c r="G43" s="2" t="s">
        <v>62</v>
      </c>
      <c r="H43" s="84" t="s">
        <v>158</v>
      </c>
      <c r="I43" s="84"/>
      <c r="J43" s="84"/>
    </row>
    <row r="44" spans="1:10" ht="31.5" customHeight="1" x14ac:dyDescent="0.3">
      <c r="A44" s="93" t="s">
        <v>73</v>
      </c>
      <c r="B44" s="93"/>
      <c r="C44" s="93" t="str">
        <f>C43</f>
        <v>BS/BP/ZANZROLI/PALGHAR/G.NO.193/NR/337</v>
      </c>
      <c r="D44" s="93"/>
      <c r="E44" s="93"/>
      <c r="F44" s="93"/>
      <c r="G44" s="2" t="s">
        <v>62</v>
      </c>
      <c r="H44" s="84" t="str">
        <f>H43</f>
        <v>16/03/2017.</v>
      </c>
      <c r="I44" s="84" t="s">
        <v>48</v>
      </c>
      <c r="J44" s="84"/>
    </row>
    <row r="45" spans="1:10" ht="33.75" customHeight="1" x14ac:dyDescent="0.3">
      <c r="A45" s="68" t="s">
        <v>113</v>
      </c>
      <c r="B45" s="70"/>
      <c r="C45" s="68" t="s">
        <v>52</v>
      </c>
      <c r="D45" s="69"/>
      <c r="E45" s="69"/>
      <c r="F45" s="70"/>
      <c r="G45" s="2" t="s">
        <v>62</v>
      </c>
      <c r="H45" s="66" t="s">
        <v>52</v>
      </c>
      <c r="I45" s="83" t="s">
        <v>49</v>
      </c>
      <c r="J45" s="67"/>
    </row>
    <row r="46" spans="1:10" ht="46.5" customHeight="1" x14ac:dyDescent="0.3">
      <c r="A46" s="66" t="s">
        <v>151</v>
      </c>
      <c r="B46" s="67"/>
      <c r="C46" s="68" t="s">
        <v>242</v>
      </c>
      <c r="D46" s="69"/>
      <c r="E46" s="69"/>
      <c r="F46" s="70"/>
      <c r="G46" s="51" t="s">
        <v>62</v>
      </c>
      <c r="H46" s="120" t="s">
        <v>159</v>
      </c>
      <c r="I46" s="83"/>
      <c r="J46" s="67"/>
    </row>
    <row r="47" spans="1:10" x14ac:dyDescent="0.3">
      <c r="A47" s="66" t="s">
        <v>107</v>
      </c>
      <c r="B47" s="67"/>
      <c r="C47" s="68" t="s">
        <v>52</v>
      </c>
      <c r="D47" s="69"/>
      <c r="E47" s="69"/>
      <c r="F47" s="70" t="s">
        <v>108</v>
      </c>
      <c r="G47" s="49" t="s">
        <v>62</v>
      </c>
      <c r="H47" s="120" t="s">
        <v>52</v>
      </c>
      <c r="I47" s="83" t="s">
        <v>56</v>
      </c>
      <c r="J47" s="67"/>
    </row>
    <row r="48" spans="1:10" x14ac:dyDescent="0.3">
      <c r="A48" s="84" t="s">
        <v>79</v>
      </c>
      <c r="B48" s="84"/>
      <c r="C48" s="84"/>
      <c r="D48" s="122" t="str">
        <f>H45</f>
        <v>NA</v>
      </c>
      <c r="E48" s="122"/>
      <c r="F48" s="66" t="s">
        <v>74</v>
      </c>
      <c r="G48" s="189"/>
      <c r="H48" s="120">
        <v>45657</v>
      </c>
      <c r="I48" s="83"/>
      <c r="J48" s="67"/>
    </row>
    <row r="49" spans="1:13" x14ac:dyDescent="0.3">
      <c r="A49" s="184" t="s">
        <v>243</v>
      </c>
      <c r="B49" s="185"/>
      <c r="C49" s="185"/>
      <c r="D49" s="185"/>
      <c r="E49" s="185"/>
      <c r="F49" s="185"/>
      <c r="G49" s="185"/>
      <c r="H49" s="185"/>
      <c r="I49" s="185"/>
      <c r="J49" s="186"/>
    </row>
    <row r="50" spans="1:13" ht="30" customHeight="1" x14ac:dyDescent="0.3">
      <c r="A50" s="66" t="s">
        <v>106</v>
      </c>
      <c r="B50" s="83"/>
      <c r="C50" s="67"/>
      <c r="D50" s="65">
        <f>F40</f>
        <v>5669.1269999999995</v>
      </c>
      <c r="E50" s="139"/>
      <c r="F50" s="177" t="s">
        <v>75</v>
      </c>
      <c r="G50" s="177"/>
      <c r="H50" s="177"/>
      <c r="I50" s="140" t="s">
        <v>164</v>
      </c>
      <c r="J50" s="140"/>
    </row>
    <row r="51" spans="1:13" x14ac:dyDescent="0.3">
      <c r="A51" s="85" t="s">
        <v>76</v>
      </c>
      <c r="B51" s="86"/>
      <c r="C51" s="68" t="s">
        <v>205</v>
      </c>
      <c r="D51" s="69"/>
      <c r="E51" s="69"/>
      <c r="F51" s="69"/>
      <c r="G51" s="69"/>
      <c r="H51" s="69"/>
      <c r="I51" s="69"/>
      <c r="J51" s="70"/>
    </row>
    <row r="52" spans="1:13" ht="31.5" customHeight="1" x14ac:dyDescent="0.3">
      <c r="A52" s="66" t="s">
        <v>50</v>
      </c>
      <c r="B52" s="83"/>
      <c r="C52" s="83"/>
      <c r="D52" s="83"/>
      <c r="E52" s="67"/>
      <c r="F52" s="68" t="s">
        <v>57</v>
      </c>
      <c r="G52" s="69"/>
      <c r="H52" s="69"/>
      <c r="I52" s="69"/>
      <c r="J52" s="70"/>
    </row>
    <row r="53" spans="1:13" x14ac:dyDescent="0.3">
      <c r="A53" s="66" t="s">
        <v>58</v>
      </c>
      <c r="B53" s="83"/>
      <c r="C53" s="83"/>
      <c r="D53" s="83"/>
      <c r="E53" s="83"/>
      <c r="F53" s="83"/>
      <c r="G53" s="83"/>
      <c r="H53" s="83"/>
      <c r="I53" s="83"/>
      <c r="J53" s="67"/>
    </row>
    <row r="54" spans="1:13" ht="15" customHeight="1" thickBot="1" x14ac:dyDescent="0.35">
      <c r="A54" s="170" t="s">
        <v>44</v>
      </c>
      <c r="B54" s="171"/>
      <c r="C54" s="171"/>
      <c r="D54" s="171"/>
      <c r="E54" s="171"/>
      <c r="F54" s="171"/>
      <c r="G54" s="171"/>
      <c r="H54" s="171"/>
      <c r="I54" s="171"/>
      <c r="J54" s="172"/>
    </row>
    <row r="55" spans="1:13" ht="15.75" customHeight="1" x14ac:dyDescent="0.3">
      <c r="A55" s="191" t="s">
        <v>206</v>
      </c>
      <c r="B55" s="192"/>
      <c r="C55" s="193" t="s">
        <v>205</v>
      </c>
      <c r="D55" s="193"/>
      <c r="E55" s="193"/>
      <c r="F55" s="193"/>
      <c r="G55" s="193"/>
      <c r="H55" s="193"/>
      <c r="I55" s="193"/>
      <c r="J55" s="194"/>
      <c r="K55" s="35" t="str">
        <f ca="1">(IF(F59&gt;99%,"All work completed. Please provide OC.",IF(F59&gt;89.8%,"Plinth, RCC, Brick, Plaster, Flooring, Painting work Completed. Finishing work is in process.",IF(F59&lt;94%,(IF(C59=0,"Work not yet Started.",IF(D59=25%,"Piling work in process",IF(D59=50%,"Excavation work in process",IF(D59=100%,"Excavation work Completed. ","0")))&amp;(IF(C60=0%,"",IF(C60=L61,"Footing work is process",IF(C60=L62,"Footing work Completed",IF(C60=L63,"1st Basement Completed",IF(C60=L64,"1st &amp; 2nd Basement Completed",IF(C60=L65,"1st to 3rd Basement Completed",IF(C60=L66,"1st to 4th Basement Completed",IF(C60=L67,"Plinth work is process",IF(C60=L68,"Plinth work completed","0")))))))))))&amp;(IF(C61=(D56+G56+I56),", RCC Slab",IF(C61&gt;0,", RCC upto "&amp;C61&amp;" Slab",""))&amp;(IF(C62=I56,", Brickwork",IF(C62&gt;0,", Brickwork upto "&amp;C62&amp;" Floor",""))&amp;(IF(C63=I56,", Internal Plaster",IF(C63&gt;0,", Internal Plaster upto "&amp;C63&amp;" Floor",""))&amp;(IF(C64=I56,", External Plaster",IF(C64&gt;0,", External Plaster upto "&amp;C64&amp;" Floor",""))&amp;(IF(C65=I56,", Flooring",IF(C65&gt;0,", Flooring upto "&amp;C65&amp;" Floor",""))&amp;(IF(C66=I56,", Painting",IF(C66&gt;0,", Painting upto "&amp;C66&amp;" Floor",""))&amp;(IF(C67&gt;0,", Finishing upto "&amp;C67&amp;" Floor","")&amp;(IF(C61&gt;0.5," Completed",""))))))))))))))</f>
        <v>Excavation work Completed. Plinth work completed, RCC Slab, Brickwork, External Plaster upto 2.5 Floor Completed</v>
      </c>
      <c r="L55" s="35"/>
      <c r="M55" s="34"/>
    </row>
    <row r="56" spans="1:13" ht="15.6" x14ac:dyDescent="0.3">
      <c r="A56" s="47" t="s">
        <v>207</v>
      </c>
      <c r="B56" s="48">
        <v>0</v>
      </c>
      <c r="C56" s="50" t="s">
        <v>208</v>
      </c>
      <c r="D56" s="50">
        <v>1</v>
      </c>
      <c r="E56" s="141" t="s">
        <v>238</v>
      </c>
      <c r="F56" s="141"/>
      <c r="G56" s="50">
        <v>0</v>
      </c>
      <c r="H56" s="48" t="s">
        <v>209</v>
      </c>
      <c r="I56" s="141">
        <f ca="1">--TRIM(RIGHT(SUBSTITUTE(LEFT(C55,_xlfn.AGGREGATE(16,6,FIND({0,1,2,3,4,5,6,7,8,9},C55,ROW(INDIRECT("1:"&amp;LEN(C55)))),1))," ",REPT(" ",LEN(C55))),LEN(C55)))</f>
        <v>4</v>
      </c>
      <c r="J56" s="195"/>
      <c r="K56" s="35"/>
      <c r="L56" s="35"/>
      <c r="M56" s="36"/>
    </row>
    <row r="57" spans="1:13" ht="31.2" customHeight="1" x14ac:dyDescent="0.3">
      <c r="A57" s="196" t="s">
        <v>210</v>
      </c>
      <c r="B57" s="197"/>
      <c r="C57" s="123" t="str">
        <f ca="1">K55</f>
        <v>Excavation work Completed. Plinth work completed, RCC Slab, Brickwork, External Plaster upto 2.5 Floor Completed</v>
      </c>
      <c r="D57" s="123"/>
      <c r="E57" s="123"/>
      <c r="F57" s="123"/>
      <c r="G57" s="123"/>
      <c r="H57" s="123"/>
      <c r="I57" s="123"/>
      <c r="J57" s="124"/>
      <c r="K57" s="35" t="s">
        <v>211</v>
      </c>
      <c r="L57" s="35"/>
      <c r="M57" s="36"/>
    </row>
    <row r="58" spans="1:13" ht="15.75" customHeight="1" x14ac:dyDescent="0.3">
      <c r="A58" s="125" t="s">
        <v>33</v>
      </c>
      <c r="B58" s="126"/>
      <c r="C58" s="54" t="s">
        <v>212</v>
      </c>
      <c r="D58" s="173" t="s">
        <v>213</v>
      </c>
      <c r="E58" s="173"/>
      <c r="F58" s="173" t="s">
        <v>214</v>
      </c>
      <c r="G58" s="173"/>
      <c r="H58" s="173" t="s">
        <v>215</v>
      </c>
      <c r="I58" s="173"/>
      <c r="J58" s="199"/>
      <c r="K58" s="37" t="s">
        <v>216</v>
      </c>
      <c r="L58" s="38">
        <f ca="1">I56*25%</f>
        <v>1</v>
      </c>
      <c r="M58" s="39">
        <f ca="1">I56*25%</f>
        <v>1</v>
      </c>
    </row>
    <row r="59" spans="1:13" ht="15.75" customHeight="1" x14ac:dyDescent="0.3">
      <c r="A59" s="200" t="s">
        <v>217</v>
      </c>
      <c r="B59" s="201"/>
      <c r="C59" s="55">
        <f ca="1">L60</f>
        <v>4</v>
      </c>
      <c r="D59" s="202">
        <f ca="1">((100/I56)*C59)/100</f>
        <v>1</v>
      </c>
      <c r="E59" s="202"/>
      <c r="F59" s="202">
        <f ca="1">(((C60/I56*10)+(40/(D56+G56+I56)*C61)+(7.5/(I56)*C62)+(7.5/(I56)*C63)+(10/I56*C64)+(10/I56*C65)+(5/I56*C66)+(5/I56*C67)+(5/I56*C68))/100)</f>
        <v>0.63749999999999996</v>
      </c>
      <c r="G59" s="202"/>
      <c r="H59" s="202">
        <f ca="1">((((C59/I56)*20)+((C60/I56)*25)+(30/(I56+G56+D56)*C61)+(5/I56*C62)+(5/I56*C63)+(5/I56*C64)+(5/I56*C65)+(0/I56*C66)+(0/I56*C67)+(5/I56*C68))/100)</f>
        <v>0.83125000000000004</v>
      </c>
      <c r="I59" s="202"/>
      <c r="J59" s="203"/>
      <c r="K59" s="37" t="s">
        <v>218</v>
      </c>
      <c r="L59" s="37">
        <f ca="1">I56*50%</f>
        <v>2</v>
      </c>
      <c r="M59" s="40">
        <f ca="1">I56*50%</f>
        <v>2</v>
      </c>
    </row>
    <row r="60" spans="1:13" ht="15.6" x14ac:dyDescent="0.3">
      <c r="A60" s="200" t="s">
        <v>34</v>
      </c>
      <c r="B60" s="201"/>
      <c r="C60" s="56">
        <f ca="1">L68</f>
        <v>4</v>
      </c>
      <c r="D60" s="202">
        <f ca="1">((100/I56)*C60)/100</f>
        <v>1</v>
      </c>
      <c r="E60" s="202"/>
      <c r="F60" s="202"/>
      <c r="G60" s="202"/>
      <c r="H60" s="202"/>
      <c r="I60" s="202"/>
      <c r="J60" s="203"/>
      <c r="K60" s="37" t="s">
        <v>219</v>
      </c>
      <c r="L60" s="37">
        <f ca="1">I56</f>
        <v>4</v>
      </c>
      <c r="M60" s="40">
        <f ca="1">I56</f>
        <v>4</v>
      </c>
    </row>
    <row r="61" spans="1:13" ht="15.6" x14ac:dyDescent="0.3">
      <c r="A61" s="200" t="s">
        <v>220</v>
      </c>
      <c r="B61" s="201"/>
      <c r="C61" s="56">
        <v>5</v>
      </c>
      <c r="D61" s="202">
        <f ca="1">((100/(D56+G56+I56))*C61)/100</f>
        <v>1</v>
      </c>
      <c r="E61" s="202"/>
      <c r="F61" s="202"/>
      <c r="G61" s="202"/>
      <c r="H61" s="202"/>
      <c r="I61" s="202"/>
      <c r="J61" s="203"/>
      <c r="K61" s="37" t="s">
        <v>221</v>
      </c>
      <c r="L61" s="42">
        <f ca="1">(IF(B56&gt;1,(I56/(B56+2)),I56/4))</f>
        <v>1</v>
      </c>
      <c r="M61" s="41">
        <f ca="1">(IF(B56=0,I56/4,(I56/(B56+4))))</f>
        <v>1</v>
      </c>
    </row>
    <row r="62" spans="1:13" ht="15.75" customHeight="1" x14ac:dyDescent="0.3">
      <c r="A62" s="200" t="s">
        <v>222</v>
      </c>
      <c r="B62" s="201" t="s">
        <v>223</v>
      </c>
      <c r="C62" s="55">
        <v>4</v>
      </c>
      <c r="D62" s="202">
        <f ca="1">((100/I56)*C62)/100</f>
        <v>1</v>
      </c>
      <c r="E62" s="202"/>
      <c r="F62" s="202"/>
      <c r="G62" s="202"/>
      <c r="H62" s="202"/>
      <c r="I62" s="202"/>
      <c r="J62" s="203"/>
      <c r="K62" s="37" t="s">
        <v>224</v>
      </c>
      <c r="L62" s="42">
        <f ca="1">(IF(B56&gt;1,(I56/(B56+2)+L61),I56/4+L61))</f>
        <v>2</v>
      </c>
      <c r="M62" s="41">
        <f ca="1">(IF(B56=0,I56/4+M61,(I56/(B56+4)+M61)))</f>
        <v>2</v>
      </c>
    </row>
    <row r="63" spans="1:13" ht="15.75" customHeight="1" x14ac:dyDescent="0.3">
      <c r="A63" s="200" t="s">
        <v>225</v>
      </c>
      <c r="B63" s="201" t="s">
        <v>223</v>
      </c>
      <c r="C63" s="55">
        <v>0</v>
      </c>
      <c r="D63" s="202">
        <f ca="1">((100/I56)*C63)/100</f>
        <v>0</v>
      </c>
      <c r="E63" s="202"/>
      <c r="F63" s="202"/>
      <c r="G63" s="202"/>
      <c r="H63" s="202"/>
      <c r="I63" s="202"/>
      <c r="J63" s="203"/>
      <c r="K63" s="37" t="s">
        <v>226</v>
      </c>
      <c r="L63" s="42">
        <f>(IF(B56&gt;1,(I56/(B56+2)+L62),0))</f>
        <v>0</v>
      </c>
      <c r="M63" s="41">
        <f>(IF(B56=0,0,(I56/(B56+4)+M62)))</f>
        <v>0</v>
      </c>
    </row>
    <row r="64" spans="1:13" ht="15.75" customHeight="1" x14ac:dyDescent="0.3">
      <c r="A64" s="200" t="s">
        <v>227</v>
      </c>
      <c r="B64" s="201" t="s">
        <v>228</v>
      </c>
      <c r="C64" s="55">
        <v>2.5</v>
      </c>
      <c r="D64" s="202">
        <f ca="1">((100/(I56))*C64)/100</f>
        <v>0.625</v>
      </c>
      <c r="E64" s="202"/>
      <c r="F64" s="202"/>
      <c r="G64" s="202"/>
      <c r="H64" s="202"/>
      <c r="I64" s="202"/>
      <c r="J64" s="203"/>
      <c r="K64" s="37" t="s">
        <v>229</v>
      </c>
      <c r="L64" s="42">
        <f>(IF(B56&gt;2,(I56/(B56+2)+L63),0))</f>
        <v>0</v>
      </c>
      <c r="M64" s="41">
        <f>(IF(B56&gt;1,(I56/(B56+4)+M63),0))</f>
        <v>0</v>
      </c>
    </row>
    <row r="65" spans="1:16" ht="15.75" customHeight="1" x14ac:dyDescent="0.3">
      <c r="A65" s="200" t="s">
        <v>230</v>
      </c>
      <c r="B65" s="201" t="s">
        <v>230</v>
      </c>
      <c r="C65" s="55">
        <v>0</v>
      </c>
      <c r="D65" s="202">
        <f ca="1">((100/I56)*C65)/100</f>
        <v>0</v>
      </c>
      <c r="E65" s="202"/>
      <c r="F65" s="202"/>
      <c r="G65" s="202"/>
      <c r="H65" s="202"/>
      <c r="I65" s="202"/>
      <c r="J65" s="203"/>
      <c r="K65" s="37" t="s">
        <v>231</v>
      </c>
      <c r="L65" s="46">
        <f>(IF(B56&gt;3,(I56/(B56+2)+L64),0))</f>
        <v>0</v>
      </c>
      <c r="M65" s="43">
        <f>(IF(B56&gt;2,(I56/(B56+4)+M64),0))</f>
        <v>0</v>
      </c>
    </row>
    <row r="66" spans="1:16" ht="15.75" customHeight="1" x14ac:dyDescent="0.3">
      <c r="A66" s="200" t="s">
        <v>232</v>
      </c>
      <c r="B66" s="201"/>
      <c r="C66" s="55">
        <v>0</v>
      </c>
      <c r="D66" s="202">
        <f ca="1">((100/I56)*C66)/100</f>
        <v>0</v>
      </c>
      <c r="E66" s="202"/>
      <c r="F66" s="202"/>
      <c r="G66" s="202"/>
      <c r="H66" s="202"/>
      <c r="I66" s="202"/>
      <c r="J66" s="203"/>
      <c r="K66" s="37" t="s">
        <v>233</v>
      </c>
      <c r="L66" s="42">
        <f>(IF(B56&gt;4,(I56/(B56+2)+L65),0))</f>
        <v>0</v>
      </c>
      <c r="M66" s="44">
        <f>(IF(B56&gt;3,(I56/(B56+4)+M65),0))</f>
        <v>0</v>
      </c>
    </row>
    <row r="67" spans="1:16" ht="15.75" customHeight="1" x14ac:dyDescent="0.3">
      <c r="A67" s="205" t="s">
        <v>234</v>
      </c>
      <c r="B67" s="206" t="s">
        <v>234</v>
      </c>
      <c r="C67" s="55">
        <v>0</v>
      </c>
      <c r="D67" s="202">
        <f ca="1">((100/(I56))*C67)/100</f>
        <v>0</v>
      </c>
      <c r="E67" s="202"/>
      <c r="F67" s="202"/>
      <c r="G67" s="202"/>
      <c r="H67" s="202"/>
      <c r="I67" s="202"/>
      <c r="J67" s="203"/>
      <c r="K67" s="37" t="s">
        <v>235</v>
      </c>
      <c r="L67" s="42">
        <f ca="1">(IF(B56=1,(I56/(B56+3)+L62),IF(B56=0,(I56/4+L62),IF(B56&gt;1,0))))</f>
        <v>3</v>
      </c>
      <c r="M67" s="41">
        <f ca="1">(IF(B56=0,I56/4+M62,(I56/(B56+4)+M62+MAX(0,M63-M62)+MAX(0,M64-M63)+MAX(0,M65-M64)+MAX(0,M66-M65))))</f>
        <v>3</v>
      </c>
    </row>
    <row r="68" spans="1:16" ht="16.5" customHeight="1" thickBot="1" x14ac:dyDescent="0.35">
      <c r="A68" s="187" t="s">
        <v>236</v>
      </c>
      <c r="B68" s="188"/>
      <c r="C68" s="57">
        <v>0</v>
      </c>
      <c r="D68" s="198">
        <f ca="1">((100/(I56))*C68)/100</f>
        <v>0</v>
      </c>
      <c r="E68" s="198"/>
      <c r="F68" s="198"/>
      <c r="G68" s="198"/>
      <c r="H68" s="198"/>
      <c r="I68" s="198"/>
      <c r="J68" s="204"/>
      <c r="K68" s="37" t="s">
        <v>237</v>
      </c>
      <c r="L68" s="42">
        <f ca="1">(IF(B56&gt;1.5,(I56/(B56+2)+L62+MAX(0,L63-L62)+MAX(0,L64-L63)+MAX(0,L65-L64)+MAX(0,L66-L65)+MAX(0,L67-L66)),IF(B56=1,(I56/(B56+3)+L67),IF(B56=0,I56/4+L67))))</f>
        <v>4</v>
      </c>
      <c r="M68" s="45">
        <f ca="1">(IF(B56=0,I56/4+M67,(I56/(B56+4)+M67)))</f>
        <v>4</v>
      </c>
    </row>
    <row r="69" spans="1:16" x14ac:dyDescent="0.3">
      <c r="A69" s="66" t="s">
        <v>59</v>
      </c>
      <c r="B69" s="83"/>
      <c r="C69" s="83"/>
      <c r="D69" s="83"/>
      <c r="E69" s="83"/>
      <c r="F69" s="83"/>
      <c r="G69" s="83"/>
      <c r="H69" s="83"/>
      <c r="I69" s="83"/>
      <c r="J69" s="67"/>
    </row>
    <row r="70" spans="1:16" x14ac:dyDescent="0.3">
      <c r="A70" s="66" t="s">
        <v>51</v>
      </c>
      <c r="B70" s="83"/>
      <c r="C70" s="83"/>
      <c r="D70" s="83"/>
      <c r="E70" s="83"/>
      <c r="F70" s="83"/>
      <c r="G70" s="83"/>
      <c r="H70" s="83"/>
      <c r="I70" s="83"/>
      <c r="J70" s="67"/>
    </row>
    <row r="71" spans="1:16" ht="15" customHeight="1" x14ac:dyDescent="0.3">
      <c r="A71" s="127" t="s">
        <v>78</v>
      </c>
      <c r="B71" s="128"/>
      <c r="C71" s="128"/>
      <c r="D71" s="128"/>
      <c r="E71" s="128"/>
      <c r="F71" s="128"/>
      <c r="G71" s="128"/>
      <c r="H71" s="128"/>
      <c r="I71" s="128"/>
      <c r="J71" s="129"/>
    </row>
    <row r="72" spans="1:16" x14ac:dyDescent="0.3">
      <c r="A72" s="130"/>
      <c r="B72" s="131"/>
      <c r="C72" s="131"/>
      <c r="D72" s="131"/>
      <c r="E72" s="131"/>
      <c r="F72" s="131"/>
      <c r="G72" s="131"/>
      <c r="H72" s="131"/>
      <c r="I72" s="131"/>
      <c r="J72" s="132"/>
    </row>
    <row r="73" spans="1:16" ht="2.25" customHeight="1" x14ac:dyDescent="0.3">
      <c r="A73" s="130"/>
      <c r="B73" s="131"/>
      <c r="C73" s="131"/>
      <c r="D73" s="131"/>
      <c r="E73" s="131"/>
      <c r="F73" s="131"/>
      <c r="G73" s="131"/>
      <c r="H73" s="131"/>
      <c r="I73" s="131"/>
      <c r="J73" s="132"/>
    </row>
    <row r="74" spans="1:16" ht="15" hidden="1" customHeight="1" x14ac:dyDescent="0.3">
      <c r="A74" s="130"/>
      <c r="B74" s="131"/>
      <c r="C74" s="131"/>
      <c r="D74" s="131"/>
      <c r="E74" s="131"/>
      <c r="F74" s="131"/>
      <c r="G74" s="131"/>
      <c r="H74" s="131"/>
      <c r="I74" s="131"/>
      <c r="J74" s="132"/>
    </row>
    <row r="75" spans="1:16" ht="15" hidden="1" customHeight="1" x14ac:dyDescent="0.3">
      <c r="A75" s="130"/>
      <c r="B75" s="131"/>
      <c r="C75" s="131"/>
      <c r="D75" s="131"/>
      <c r="E75" s="131"/>
      <c r="F75" s="131"/>
      <c r="G75" s="131"/>
      <c r="H75" s="131"/>
      <c r="I75" s="131"/>
      <c r="J75" s="132"/>
    </row>
    <row r="76" spans="1:16" ht="15" hidden="1" customHeight="1" x14ac:dyDescent="0.3">
      <c r="A76" s="130"/>
      <c r="B76" s="131"/>
      <c r="C76" s="131"/>
      <c r="D76" s="131"/>
      <c r="E76" s="131"/>
      <c r="F76" s="131"/>
      <c r="G76" s="131"/>
      <c r="H76" s="131"/>
      <c r="I76" s="131"/>
      <c r="J76" s="132"/>
    </row>
    <row r="77" spans="1:16" ht="15" hidden="1" customHeight="1" x14ac:dyDescent="0.3">
      <c r="A77" s="133"/>
      <c r="B77" s="134"/>
      <c r="C77" s="134"/>
      <c r="D77" s="134"/>
      <c r="E77" s="134"/>
      <c r="F77" s="134"/>
      <c r="G77" s="134"/>
      <c r="H77" s="134"/>
      <c r="I77" s="134"/>
      <c r="J77" s="135"/>
    </row>
    <row r="78" spans="1:16" x14ac:dyDescent="0.3">
      <c r="A78" s="136" t="s">
        <v>22</v>
      </c>
      <c r="B78" s="137"/>
      <c r="C78" s="137"/>
      <c r="D78" s="137"/>
      <c r="E78" s="137"/>
      <c r="F78" s="137"/>
      <c r="G78" s="137"/>
      <c r="H78" s="137"/>
      <c r="I78" s="137"/>
      <c r="J78" s="138"/>
    </row>
    <row r="79" spans="1:16" x14ac:dyDescent="0.3">
      <c r="A79" s="66" t="s">
        <v>152</v>
      </c>
      <c r="B79" s="81"/>
      <c r="C79" s="81"/>
      <c r="D79" s="81"/>
      <c r="E79" s="81"/>
      <c r="F79" s="82"/>
      <c r="G79" s="110">
        <v>3400</v>
      </c>
      <c r="H79" s="111"/>
      <c r="I79" s="111"/>
      <c r="J79" s="112"/>
      <c r="L79" s="52" t="s">
        <v>239</v>
      </c>
      <c r="M79" s="52"/>
      <c r="N79" s="52" t="s">
        <v>240</v>
      </c>
      <c r="O79" s="52" t="s">
        <v>241</v>
      </c>
      <c r="P79" s="53">
        <v>44753</v>
      </c>
    </row>
    <row r="80" spans="1:16" x14ac:dyDescent="0.3">
      <c r="A80" s="66" t="s">
        <v>160</v>
      </c>
      <c r="B80" s="81"/>
      <c r="C80" s="81"/>
      <c r="D80" s="81"/>
      <c r="E80" s="81"/>
      <c r="F80" s="82"/>
      <c r="G80" s="66">
        <v>6000</v>
      </c>
      <c r="H80" s="83"/>
      <c r="I80" s="83"/>
      <c r="J80" s="67"/>
    </row>
    <row r="81" spans="1:10" ht="15" customHeight="1" x14ac:dyDescent="0.3">
      <c r="A81" s="66" t="s">
        <v>170</v>
      </c>
      <c r="B81" s="83"/>
      <c r="C81" s="83"/>
      <c r="D81" s="83"/>
      <c r="E81" s="83"/>
      <c r="F81" s="67"/>
      <c r="G81" s="68" t="s">
        <v>171</v>
      </c>
      <c r="H81" s="69"/>
      <c r="I81" s="69"/>
      <c r="J81" s="70"/>
    </row>
    <row r="82" spans="1:10" ht="15" customHeight="1" x14ac:dyDescent="0.3">
      <c r="A82" s="66" t="s">
        <v>80</v>
      </c>
      <c r="B82" s="83"/>
      <c r="C82" s="83"/>
      <c r="D82" s="83"/>
      <c r="E82" s="83"/>
      <c r="F82" s="67"/>
      <c r="G82" s="68" t="s">
        <v>169</v>
      </c>
      <c r="H82" s="69"/>
      <c r="I82" s="69"/>
      <c r="J82" s="70"/>
    </row>
    <row r="83" spans="1:10" x14ac:dyDescent="0.3">
      <c r="A83" s="66" t="s">
        <v>102</v>
      </c>
      <c r="B83" s="81"/>
      <c r="C83" s="81"/>
      <c r="D83" s="81"/>
      <c r="E83" s="81"/>
      <c r="F83" s="82"/>
      <c r="G83" s="68" t="s">
        <v>180</v>
      </c>
      <c r="H83" s="69"/>
      <c r="I83" s="69"/>
      <c r="J83" s="70"/>
    </row>
    <row r="84" spans="1:10" ht="15" hidden="1" customHeight="1" x14ac:dyDescent="0.3">
      <c r="A84" s="66" t="s">
        <v>77</v>
      </c>
      <c r="B84" s="83"/>
      <c r="C84" s="83"/>
      <c r="D84" s="83"/>
      <c r="E84" s="83"/>
      <c r="F84" s="67"/>
      <c r="G84" s="68" t="s">
        <v>52</v>
      </c>
      <c r="H84" s="69"/>
      <c r="I84" s="69"/>
      <c r="J84" s="70"/>
    </row>
    <row r="85" spans="1:10" hidden="1" x14ac:dyDescent="0.3">
      <c r="A85" s="66" t="s">
        <v>23</v>
      </c>
      <c r="B85" s="83"/>
      <c r="C85" s="83"/>
      <c r="D85" s="83"/>
      <c r="E85" s="83"/>
      <c r="F85" s="67"/>
      <c r="G85" s="68" t="s">
        <v>52</v>
      </c>
      <c r="H85" s="69"/>
      <c r="I85" s="69"/>
      <c r="J85" s="70"/>
    </row>
    <row r="86" spans="1:10" s="1" customFormat="1" ht="14.7" customHeight="1" x14ac:dyDescent="0.3">
      <c r="A86" s="110" t="s">
        <v>114</v>
      </c>
      <c r="B86" s="137"/>
      <c r="C86" s="137"/>
      <c r="D86" s="137"/>
      <c r="E86" s="137"/>
      <c r="F86" s="138"/>
      <c r="G86" s="66">
        <f>G79*0.8</f>
        <v>2720</v>
      </c>
      <c r="H86" s="83"/>
      <c r="I86" s="83"/>
      <c r="J86" s="67"/>
    </row>
    <row r="87" spans="1:10" s="1" customFormat="1" ht="21" customHeight="1" x14ac:dyDescent="0.3">
      <c r="A87" s="151" t="s">
        <v>115</v>
      </c>
      <c r="B87" s="151"/>
      <c r="C87" s="151"/>
      <c r="D87" s="151"/>
      <c r="E87" s="151"/>
      <c r="F87" s="151"/>
      <c r="G87" s="151"/>
      <c r="H87" s="151"/>
      <c r="I87" s="151"/>
      <c r="J87" s="151"/>
    </row>
    <row r="88" spans="1:10" x14ac:dyDescent="0.3">
      <c r="A88" s="152" t="s">
        <v>46</v>
      </c>
      <c r="B88" s="152"/>
      <c r="C88" s="152"/>
      <c r="D88" s="152"/>
      <c r="E88" s="152"/>
      <c r="F88" s="152"/>
      <c r="G88" s="152"/>
      <c r="H88" s="152"/>
      <c r="I88" s="152"/>
      <c r="J88" s="152"/>
    </row>
    <row r="89" spans="1:10" ht="48" customHeight="1" x14ac:dyDescent="0.3">
      <c r="A89" s="3" t="s">
        <v>31</v>
      </c>
      <c r="B89" s="3" t="s">
        <v>28</v>
      </c>
      <c r="C89" s="3" t="s">
        <v>145</v>
      </c>
      <c r="D89" s="165" t="s">
        <v>146</v>
      </c>
      <c r="E89" s="165"/>
      <c r="F89" s="16" t="s">
        <v>29</v>
      </c>
      <c r="G89" s="3" t="s">
        <v>172</v>
      </c>
      <c r="H89" s="3" t="s">
        <v>30</v>
      </c>
      <c r="I89" s="165" t="s">
        <v>116</v>
      </c>
      <c r="J89" s="165"/>
    </row>
    <row r="90" spans="1:10" ht="15.6" x14ac:dyDescent="0.3">
      <c r="A90" s="190" t="s">
        <v>173</v>
      </c>
      <c r="B90" s="190"/>
      <c r="C90" s="190"/>
      <c r="D90" s="190"/>
      <c r="E90" s="190"/>
      <c r="F90" s="190"/>
      <c r="G90" s="190"/>
      <c r="H90" s="190"/>
      <c r="I90" s="190"/>
      <c r="J90" s="190"/>
    </row>
    <row r="91" spans="1:10" ht="15.6" x14ac:dyDescent="0.3">
      <c r="A91" s="190" t="s">
        <v>147</v>
      </c>
      <c r="B91" s="190"/>
      <c r="C91" s="190"/>
      <c r="D91" s="190"/>
      <c r="E91" s="190"/>
      <c r="F91" s="190"/>
      <c r="G91" s="190"/>
      <c r="H91" s="190"/>
      <c r="I91" s="190"/>
      <c r="J91" s="190"/>
    </row>
    <row r="92" spans="1:10" ht="15.6" x14ac:dyDescent="0.3">
      <c r="A92" s="9">
        <v>1</v>
      </c>
      <c r="B92" s="9" t="s">
        <v>161</v>
      </c>
      <c r="C92" s="9">
        <f>(11.55)*10.764</f>
        <v>124.3242</v>
      </c>
      <c r="D92" s="153">
        <f t="shared" ref="D92:D97" si="0">C92*1.2</f>
        <v>149.18904000000001</v>
      </c>
      <c r="E92" s="154"/>
      <c r="F92" s="9">
        <v>0</v>
      </c>
      <c r="G92" s="9">
        <v>217</v>
      </c>
      <c r="H92" s="9" t="s">
        <v>52</v>
      </c>
      <c r="I92" s="158" t="s">
        <v>177</v>
      </c>
      <c r="J92" s="159"/>
    </row>
    <row r="93" spans="1:10" ht="15.6" x14ac:dyDescent="0.3">
      <c r="A93" s="9">
        <v>2</v>
      </c>
      <c r="B93" s="9" t="s">
        <v>161</v>
      </c>
      <c r="C93" s="9">
        <f>(11.55)*10.764</f>
        <v>124.3242</v>
      </c>
      <c r="D93" s="153">
        <f t="shared" si="0"/>
        <v>149.18904000000001</v>
      </c>
      <c r="E93" s="154"/>
      <c r="F93" s="9">
        <v>0</v>
      </c>
      <c r="G93" s="9">
        <v>217</v>
      </c>
      <c r="H93" s="9" t="s">
        <v>52</v>
      </c>
      <c r="I93" s="160"/>
      <c r="J93" s="161"/>
    </row>
    <row r="94" spans="1:10" ht="15.6" x14ac:dyDescent="0.3">
      <c r="A94" s="9">
        <v>3</v>
      </c>
      <c r="B94" s="9" t="s">
        <v>161</v>
      </c>
      <c r="C94" s="9">
        <f>(11.83)*10.764</f>
        <v>127.33811999999999</v>
      </c>
      <c r="D94" s="153">
        <f t="shared" si="0"/>
        <v>152.80574399999998</v>
      </c>
      <c r="E94" s="154"/>
      <c r="F94" s="9">
        <v>0</v>
      </c>
      <c r="G94" s="9">
        <v>221</v>
      </c>
      <c r="H94" s="9" t="s">
        <v>52</v>
      </c>
      <c r="I94" s="160"/>
      <c r="J94" s="161"/>
    </row>
    <row r="95" spans="1:10" ht="15.6" x14ac:dyDescent="0.3">
      <c r="A95" s="9">
        <v>4</v>
      </c>
      <c r="B95" s="9" t="s">
        <v>161</v>
      </c>
      <c r="C95" s="9">
        <f>(15.13)*10.764</f>
        <v>162.85932</v>
      </c>
      <c r="D95" s="153">
        <f t="shared" si="0"/>
        <v>195.431184</v>
      </c>
      <c r="E95" s="154"/>
      <c r="F95" s="9">
        <v>0</v>
      </c>
      <c r="G95" s="9">
        <v>284</v>
      </c>
      <c r="H95" s="9" t="s">
        <v>52</v>
      </c>
      <c r="I95" s="160"/>
      <c r="J95" s="161"/>
    </row>
    <row r="96" spans="1:10" ht="15.6" x14ac:dyDescent="0.3">
      <c r="A96" s="9">
        <v>5</v>
      </c>
      <c r="B96" s="9" t="s">
        <v>161</v>
      </c>
      <c r="C96" s="9">
        <f>(16.06)*10.764</f>
        <v>172.86983999999998</v>
      </c>
      <c r="D96" s="153">
        <f t="shared" si="0"/>
        <v>207.44380799999996</v>
      </c>
      <c r="E96" s="154"/>
      <c r="F96" s="9">
        <v>0</v>
      </c>
      <c r="G96" s="9">
        <v>301</v>
      </c>
      <c r="H96" s="9" t="s">
        <v>52</v>
      </c>
      <c r="I96" s="160"/>
      <c r="J96" s="161"/>
    </row>
    <row r="97" spans="1:10" ht="15.6" x14ac:dyDescent="0.3">
      <c r="A97" s="9">
        <v>6</v>
      </c>
      <c r="B97" s="9" t="s">
        <v>161</v>
      </c>
      <c r="C97" s="9">
        <f>(22.77)*10.764</f>
        <v>245.09627999999998</v>
      </c>
      <c r="D97" s="153">
        <f t="shared" si="0"/>
        <v>294.11553599999996</v>
      </c>
      <c r="E97" s="154"/>
      <c r="F97" s="9">
        <v>0</v>
      </c>
      <c r="G97" s="9">
        <v>431</v>
      </c>
      <c r="H97" s="9" t="s">
        <v>52</v>
      </c>
      <c r="I97" s="160"/>
      <c r="J97" s="161"/>
    </row>
    <row r="98" spans="1:10" ht="15.6" x14ac:dyDescent="0.3">
      <c r="A98" s="9">
        <v>1</v>
      </c>
      <c r="B98" s="9" t="s">
        <v>162</v>
      </c>
      <c r="C98" s="9">
        <f>(20.44)*10.764</f>
        <v>220.01616000000001</v>
      </c>
      <c r="D98" s="153">
        <f>C98*1.2</f>
        <v>264.01939199999998</v>
      </c>
      <c r="E98" s="154"/>
      <c r="F98" s="9">
        <v>0</v>
      </c>
      <c r="G98" s="9">
        <v>370</v>
      </c>
      <c r="H98" s="9" t="s">
        <v>52</v>
      </c>
      <c r="I98" s="160"/>
      <c r="J98" s="161"/>
    </row>
    <row r="99" spans="1:10" ht="15.6" x14ac:dyDescent="0.3">
      <c r="A99" s="9">
        <v>2</v>
      </c>
      <c r="B99" s="9" t="s">
        <v>142</v>
      </c>
      <c r="C99" s="9">
        <f>(29.05)*10.764</f>
        <v>312.69419999999997</v>
      </c>
      <c r="D99" s="153">
        <f>C99*1.2</f>
        <v>375.23303999999996</v>
      </c>
      <c r="E99" s="154"/>
      <c r="F99" s="9">
        <v>0</v>
      </c>
      <c r="G99" s="9">
        <v>526</v>
      </c>
      <c r="H99" s="9" t="s">
        <v>52</v>
      </c>
      <c r="I99" s="162"/>
      <c r="J99" s="163"/>
    </row>
    <row r="100" spans="1:10" ht="15.6" x14ac:dyDescent="0.3">
      <c r="A100" s="155" t="s">
        <v>163</v>
      </c>
      <c r="B100" s="156"/>
      <c r="C100" s="156"/>
      <c r="D100" s="156"/>
      <c r="E100" s="156"/>
      <c r="F100" s="156"/>
      <c r="G100" s="156"/>
      <c r="H100" s="156"/>
      <c r="I100" s="156"/>
      <c r="J100" s="157"/>
    </row>
    <row r="101" spans="1:10" ht="15.6" x14ac:dyDescent="0.3">
      <c r="A101" s="9">
        <v>1</v>
      </c>
      <c r="B101" s="9" t="s">
        <v>142</v>
      </c>
      <c r="C101" s="9">
        <f>(29.57)*10.764</f>
        <v>318.29147999999998</v>
      </c>
      <c r="D101" s="153">
        <f t="shared" ref="D101:D106" si="1">C101*1.2</f>
        <v>381.94977599999999</v>
      </c>
      <c r="E101" s="154"/>
      <c r="F101" s="9">
        <v>0</v>
      </c>
      <c r="G101" s="9">
        <v>535</v>
      </c>
      <c r="H101" s="9" t="s">
        <v>52</v>
      </c>
      <c r="I101" s="158" t="str">
        <f>A100</f>
        <v>1st to 4th Floors</v>
      </c>
      <c r="J101" s="159"/>
    </row>
    <row r="102" spans="1:10" ht="15.6" x14ac:dyDescent="0.3">
      <c r="A102" s="9">
        <v>2</v>
      </c>
      <c r="B102" s="9" t="s">
        <v>142</v>
      </c>
      <c r="C102" s="9">
        <f>(29.57)*10.764</f>
        <v>318.29147999999998</v>
      </c>
      <c r="D102" s="153">
        <f t="shared" si="1"/>
        <v>381.94977599999999</v>
      </c>
      <c r="E102" s="154"/>
      <c r="F102" s="9">
        <v>0</v>
      </c>
      <c r="G102" s="9">
        <v>535</v>
      </c>
      <c r="H102" s="9" t="s">
        <v>52</v>
      </c>
      <c r="I102" s="160"/>
      <c r="J102" s="161"/>
    </row>
    <row r="103" spans="1:10" ht="15.6" x14ac:dyDescent="0.3">
      <c r="A103" s="9">
        <v>3</v>
      </c>
      <c r="B103" s="9" t="s">
        <v>142</v>
      </c>
      <c r="C103" s="9">
        <f>(28.68)*10.764</f>
        <v>308.71151999999995</v>
      </c>
      <c r="D103" s="153">
        <f t="shared" si="1"/>
        <v>370.45382399999994</v>
      </c>
      <c r="E103" s="154"/>
      <c r="F103" s="9">
        <v>0</v>
      </c>
      <c r="G103" s="9">
        <v>519</v>
      </c>
      <c r="H103" s="9" t="s">
        <v>52</v>
      </c>
      <c r="I103" s="160"/>
      <c r="J103" s="161"/>
    </row>
    <row r="104" spans="1:10" ht="15.6" x14ac:dyDescent="0.3">
      <c r="A104" s="9">
        <v>4</v>
      </c>
      <c r="B104" s="9" t="s">
        <v>142</v>
      </c>
      <c r="C104" s="9">
        <f>(28.68)*10.764</f>
        <v>308.71151999999995</v>
      </c>
      <c r="D104" s="153">
        <f t="shared" si="1"/>
        <v>370.45382399999994</v>
      </c>
      <c r="E104" s="154"/>
      <c r="F104" s="9">
        <v>0</v>
      </c>
      <c r="G104" s="9">
        <v>519</v>
      </c>
      <c r="H104" s="9" t="s">
        <v>52</v>
      </c>
      <c r="I104" s="160"/>
      <c r="J104" s="161"/>
    </row>
    <row r="105" spans="1:10" ht="15.6" x14ac:dyDescent="0.3">
      <c r="A105" s="9">
        <v>5</v>
      </c>
      <c r="B105" s="9" t="s">
        <v>142</v>
      </c>
      <c r="C105" s="9">
        <f>(29.05)*10.764</f>
        <v>312.69419999999997</v>
      </c>
      <c r="D105" s="153">
        <f t="shared" si="1"/>
        <v>375.23303999999996</v>
      </c>
      <c r="E105" s="154"/>
      <c r="F105" s="9">
        <v>0</v>
      </c>
      <c r="G105" s="9">
        <v>526</v>
      </c>
      <c r="H105" s="9" t="s">
        <v>52</v>
      </c>
      <c r="I105" s="160"/>
      <c r="J105" s="161"/>
    </row>
    <row r="106" spans="1:10" ht="15.6" x14ac:dyDescent="0.3">
      <c r="A106" s="9">
        <v>6</v>
      </c>
      <c r="B106" s="9" t="s">
        <v>142</v>
      </c>
      <c r="C106" s="9">
        <f>(29.05)*10.764</f>
        <v>312.69419999999997</v>
      </c>
      <c r="D106" s="153">
        <f t="shared" si="1"/>
        <v>375.23303999999996</v>
      </c>
      <c r="E106" s="154"/>
      <c r="F106" s="9">
        <v>0</v>
      </c>
      <c r="G106" s="9">
        <v>526</v>
      </c>
      <c r="H106" s="9" t="s">
        <v>52</v>
      </c>
      <c r="I106" s="162"/>
      <c r="J106" s="163"/>
    </row>
    <row r="107" spans="1:10" ht="15" customHeight="1" x14ac:dyDescent="0.3">
      <c r="A107" s="113" t="s">
        <v>250</v>
      </c>
      <c r="B107" s="114"/>
      <c r="C107" s="114"/>
      <c r="D107" s="114"/>
      <c r="E107" s="114"/>
      <c r="F107" s="114"/>
      <c r="G107" s="114"/>
      <c r="H107" s="114"/>
      <c r="I107" s="114"/>
      <c r="J107" s="115"/>
    </row>
    <row r="108" spans="1:10" ht="164.4" customHeight="1" x14ac:dyDescent="0.3">
      <c r="A108" s="116"/>
      <c r="B108" s="117"/>
      <c r="C108" s="117"/>
      <c r="D108" s="117"/>
      <c r="E108" s="117"/>
      <c r="F108" s="117"/>
      <c r="G108" s="117"/>
      <c r="H108" s="117"/>
      <c r="I108" s="117"/>
      <c r="J108" s="118"/>
    </row>
    <row r="109" spans="1:10" x14ac:dyDescent="0.3">
      <c r="A109" s="166" t="s">
        <v>24</v>
      </c>
      <c r="B109" s="167"/>
      <c r="C109" s="167"/>
      <c r="D109" s="167"/>
      <c r="E109" s="167"/>
      <c r="F109" s="167"/>
      <c r="G109" s="167"/>
      <c r="H109" s="167"/>
      <c r="I109" s="167"/>
      <c r="J109" s="168"/>
    </row>
    <row r="110" spans="1:10" x14ac:dyDescent="0.3">
      <c r="A110" s="80" t="s">
        <v>32</v>
      </c>
      <c r="B110" s="81"/>
      <c r="C110" s="81"/>
      <c r="D110" s="81"/>
      <c r="E110" s="81"/>
      <c r="F110" s="81"/>
      <c r="G110" s="81"/>
      <c r="H110" s="81"/>
      <c r="I110" s="81"/>
      <c r="J110" s="82"/>
    </row>
    <row r="111" spans="1:10" x14ac:dyDescent="0.3">
      <c r="A111" s="166" t="s">
        <v>26</v>
      </c>
      <c r="B111" s="167"/>
      <c r="C111" s="167"/>
      <c r="D111" s="167"/>
      <c r="E111" s="167"/>
      <c r="F111" s="167"/>
      <c r="G111" s="167"/>
      <c r="H111" s="167"/>
      <c r="I111" s="167"/>
      <c r="J111" s="168"/>
    </row>
    <row r="112" spans="1:10" ht="16.5" customHeight="1" x14ac:dyDescent="0.3">
      <c r="A112" s="66" t="s">
        <v>37</v>
      </c>
      <c r="B112" s="83"/>
      <c r="C112" s="83"/>
      <c r="D112" s="83"/>
      <c r="E112" s="83"/>
      <c r="F112" s="83"/>
      <c r="G112" s="83"/>
      <c r="H112" s="83"/>
      <c r="I112" s="83"/>
      <c r="J112" s="67"/>
    </row>
    <row r="113" spans="1:10" x14ac:dyDescent="0.3">
      <c r="A113" s="164" t="s">
        <v>60</v>
      </c>
      <c r="B113" s="98"/>
      <c r="C113" s="98"/>
      <c r="D113" s="98"/>
      <c r="E113" s="98"/>
      <c r="F113" s="98"/>
      <c r="G113" s="98"/>
      <c r="H113" s="98"/>
      <c r="I113" s="98"/>
      <c r="J113" s="99"/>
    </row>
    <row r="114" spans="1:10" x14ac:dyDescent="0.3">
      <c r="A114" s="66" t="s">
        <v>38</v>
      </c>
      <c r="B114" s="83"/>
      <c r="C114" s="83"/>
      <c r="D114" s="83"/>
      <c r="E114" s="83"/>
      <c r="F114" s="83"/>
      <c r="G114" s="83"/>
      <c r="H114" s="83"/>
      <c r="I114" s="83"/>
      <c r="J114" s="67"/>
    </row>
    <row r="115" spans="1:10" x14ac:dyDescent="0.3">
      <c r="A115" s="66" t="s">
        <v>39</v>
      </c>
      <c r="B115" s="83"/>
      <c r="C115" s="83"/>
      <c r="D115" s="83"/>
      <c r="E115" s="83"/>
      <c r="F115" s="83"/>
      <c r="G115" s="83"/>
      <c r="H115" s="83"/>
      <c r="I115" s="83"/>
      <c r="J115" s="67"/>
    </row>
    <row r="116" spans="1:10" ht="15" customHeight="1" x14ac:dyDescent="0.3">
      <c r="A116" s="68" t="s">
        <v>40</v>
      </c>
      <c r="B116" s="69"/>
      <c r="C116" s="69"/>
      <c r="D116" s="69"/>
      <c r="E116" s="69"/>
      <c r="F116" s="69"/>
      <c r="G116" s="69"/>
      <c r="H116" s="69"/>
      <c r="I116" s="69"/>
      <c r="J116" s="70"/>
    </row>
    <row r="117" spans="1:10" x14ac:dyDescent="0.3">
      <c r="A117" s="142" t="s">
        <v>25</v>
      </c>
      <c r="B117" s="143"/>
      <c r="C117" s="143"/>
      <c r="D117" s="143"/>
      <c r="E117" s="143"/>
      <c r="F117" s="143"/>
      <c r="G117" s="143"/>
      <c r="H117" s="143"/>
      <c r="I117" s="143"/>
      <c r="J117" s="144"/>
    </row>
    <row r="118" spans="1:10" x14ac:dyDescent="0.3">
      <c r="A118" s="145"/>
      <c r="B118" s="146"/>
      <c r="C118" s="146"/>
      <c r="D118" s="146"/>
      <c r="E118" s="146"/>
      <c r="F118" s="146"/>
      <c r="G118" s="146"/>
      <c r="H118" s="146"/>
      <c r="I118" s="146"/>
      <c r="J118" s="147"/>
    </row>
    <row r="119" spans="1:10" x14ac:dyDescent="0.3">
      <c r="A119" s="145"/>
      <c r="B119" s="146"/>
      <c r="C119" s="146"/>
      <c r="D119" s="146"/>
      <c r="E119" s="146"/>
      <c r="F119" s="146"/>
      <c r="G119" s="146"/>
      <c r="H119" s="146"/>
      <c r="I119" s="146"/>
      <c r="J119" s="147"/>
    </row>
    <row r="120" spans="1:10" x14ac:dyDescent="0.3">
      <c r="A120" s="148"/>
      <c r="B120" s="149"/>
      <c r="C120" s="149"/>
      <c r="D120" s="149"/>
      <c r="E120" s="149"/>
      <c r="F120" s="149"/>
      <c r="G120" s="149"/>
      <c r="H120" s="149"/>
      <c r="I120" s="149"/>
      <c r="J120" s="150"/>
    </row>
    <row r="121" spans="1:10" x14ac:dyDescent="0.3">
      <c r="A121" s="58" t="s">
        <v>176</v>
      </c>
      <c r="B121" s="59"/>
      <c r="C121" s="59"/>
      <c r="D121" s="59" t="str">
        <f>F8</f>
        <v>S. S. Park</v>
      </c>
      <c r="F121" s="60"/>
      <c r="G121" s="60"/>
      <c r="H121" s="60"/>
      <c r="I121" s="60"/>
      <c r="J121" s="60"/>
    </row>
    <row r="122" spans="1:10" x14ac:dyDescent="0.3">
      <c r="A122" s="61"/>
      <c r="B122" s="61"/>
      <c r="C122" s="61"/>
      <c r="D122" s="61"/>
      <c r="E122" s="61"/>
      <c r="F122" s="60"/>
      <c r="G122" s="60"/>
      <c r="H122" s="60"/>
      <c r="I122" s="60"/>
      <c r="J122" s="60"/>
    </row>
    <row r="123" spans="1:10" x14ac:dyDescent="0.3">
      <c r="A123" s="61"/>
      <c r="B123" s="61"/>
      <c r="C123" s="61"/>
      <c r="D123" s="61"/>
      <c r="E123" s="61"/>
      <c r="F123" s="60"/>
      <c r="G123" s="60"/>
      <c r="H123" s="60"/>
      <c r="I123" s="60"/>
      <c r="J123" s="60"/>
    </row>
    <row r="124" spans="1:10" x14ac:dyDescent="0.3">
      <c r="A124" s="60"/>
      <c r="B124" s="60"/>
      <c r="C124" s="60"/>
      <c r="D124" s="60"/>
      <c r="E124" s="60"/>
      <c r="F124" s="60"/>
      <c r="G124" s="60"/>
      <c r="H124" s="60"/>
      <c r="I124" s="60"/>
      <c r="J124" s="60"/>
    </row>
    <row r="125" spans="1:10" x14ac:dyDescent="0.3">
      <c r="A125" s="60"/>
      <c r="B125" s="60"/>
      <c r="C125" s="60"/>
      <c r="D125" s="60"/>
      <c r="E125" s="60"/>
      <c r="F125" s="60"/>
      <c r="G125" s="60"/>
      <c r="H125" s="60"/>
      <c r="I125" s="60"/>
      <c r="J125" s="60"/>
    </row>
    <row r="126" spans="1:10" x14ac:dyDescent="0.3">
      <c r="A126" s="60"/>
      <c r="B126" s="60"/>
      <c r="C126" s="60"/>
      <c r="D126" s="60"/>
      <c r="E126" s="60"/>
      <c r="F126" s="60"/>
      <c r="G126" s="60"/>
      <c r="H126" s="60"/>
      <c r="I126" s="60"/>
      <c r="J126" s="60"/>
    </row>
    <row r="127" spans="1:10" x14ac:dyDescent="0.3">
      <c r="A127" s="60"/>
      <c r="B127" s="60"/>
      <c r="C127" s="60"/>
      <c r="D127" s="60"/>
      <c r="E127" s="60"/>
      <c r="F127" s="60"/>
      <c r="G127" s="60"/>
      <c r="H127" s="60"/>
      <c r="I127" s="60"/>
      <c r="J127" s="60"/>
    </row>
    <row r="128" spans="1:10" x14ac:dyDescent="0.3">
      <c r="A128" s="60"/>
      <c r="B128" s="60"/>
      <c r="C128" s="60"/>
      <c r="D128" s="60"/>
      <c r="E128" s="60"/>
      <c r="F128" s="60"/>
      <c r="G128" s="60"/>
      <c r="H128" s="60"/>
      <c r="I128" s="60"/>
      <c r="J128" s="60"/>
    </row>
    <row r="129" spans="1:10" x14ac:dyDescent="0.3">
      <c r="A129" s="60"/>
      <c r="B129" s="60"/>
      <c r="C129" s="60"/>
      <c r="D129" s="60"/>
      <c r="E129" s="60"/>
      <c r="F129" s="60"/>
      <c r="G129" s="60"/>
      <c r="H129" s="60"/>
      <c r="I129" s="60"/>
      <c r="J129" s="60"/>
    </row>
    <row r="130" spans="1:10" x14ac:dyDescent="0.3">
      <c r="G130" s="61"/>
      <c r="H130" s="61"/>
      <c r="I130" s="61"/>
      <c r="J130" s="61"/>
    </row>
    <row r="131" spans="1:10" x14ac:dyDescent="0.3">
      <c r="F131" s="61"/>
      <c r="G131" s="61"/>
      <c r="H131" s="61"/>
      <c r="I131" s="61"/>
      <c r="J131" s="61"/>
    </row>
    <row r="132" spans="1:10" x14ac:dyDescent="0.3">
      <c r="F132" s="61"/>
      <c r="G132" s="61"/>
      <c r="H132" s="61"/>
      <c r="I132" s="61"/>
      <c r="J132" s="61"/>
    </row>
    <row r="164" spans="1:1" x14ac:dyDescent="0.3">
      <c r="A164" s="62" t="s">
        <v>143</v>
      </c>
    </row>
    <row r="173" spans="1:1" ht="15.6" customHeight="1" x14ac:dyDescent="0.3"/>
  </sheetData>
  <mergeCells count="203">
    <mergeCell ref="A15:B15"/>
    <mergeCell ref="C15:E15"/>
    <mergeCell ref="F15:G15"/>
    <mergeCell ref="A16:B16"/>
    <mergeCell ref="C16:E16"/>
    <mergeCell ref="F16:G16"/>
    <mergeCell ref="H14:J14"/>
    <mergeCell ref="H15:J15"/>
    <mergeCell ref="H16:J16"/>
    <mergeCell ref="A14:B14"/>
    <mergeCell ref="C14:E14"/>
    <mergeCell ref="F14:G14"/>
    <mergeCell ref="A32:B32"/>
    <mergeCell ref="C32:J32"/>
    <mergeCell ref="C31:J31"/>
    <mergeCell ref="H58:J58"/>
    <mergeCell ref="A59:B59"/>
    <mergeCell ref="D59:E59"/>
    <mergeCell ref="F59:G68"/>
    <mergeCell ref="H59:J68"/>
    <mergeCell ref="A60:B60"/>
    <mergeCell ref="D60:E60"/>
    <mergeCell ref="A61:B61"/>
    <mergeCell ref="D61:E61"/>
    <mergeCell ref="A62:B62"/>
    <mergeCell ref="D62:E62"/>
    <mergeCell ref="A63:B63"/>
    <mergeCell ref="D63:E63"/>
    <mergeCell ref="A64:B64"/>
    <mergeCell ref="D64:E64"/>
    <mergeCell ref="A65:B65"/>
    <mergeCell ref="D65:E65"/>
    <mergeCell ref="A66:B66"/>
    <mergeCell ref="D66:E66"/>
    <mergeCell ref="A67:B67"/>
    <mergeCell ref="D67:E67"/>
    <mergeCell ref="A68:B68"/>
    <mergeCell ref="D96:E96"/>
    <mergeCell ref="D97:E97"/>
    <mergeCell ref="C46:F46"/>
    <mergeCell ref="A81:F81"/>
    <mergeCell ref="G81:J81"/>
    <mergeCell ref="F48:G48"/>
    <mergeCell ref="D93:E93"/>
    <mergeCell ref="D94:E94"/>
    <mergeCell ref="G80:J80"/>
    <mergeCell ref="I92:J99"/>
    <mergeCell ref="A90:J90"/>
    <mergeCell ref="A91:J91"/>
    <mergeCell ref="A83:F83"/>
    <mergeCell ref="D95:E95"/>
    <mergeCell ref="D92:E92"/>
    <mergeCell ref="A80:F80"/>
    <mergeCell ref="A55:B55"/>
    <mergeCell ref="C55:J55"/>
    <mergeCell ref="I56:J56"/>
    <mergeCell ref="A57:B57"/>
    <mergeCell ref="D68:E68"/>
    <mergeCell ref="D99:E99"/>
    <mergeCell ref="D58:E58"/>
    <mergeCell ref="H43:J43"/>
    <mergeCell ref="F38:J38"/>
    <mergeCell ref="H48:J48"/>
    <mergeCell ref="A49:J49"/>
    <mergeCell ref="A41:E41"/>
    <mergeCell ref="A33:J33"/>
    <mergeCell ref="A46:B46"/>
    <mergeCell ref="A44:B44"/>
    <mergeCell ref="H44:J44"/>
    <mergeCell ref="H47:J47"/>
    <mergeCell ref="A1:J1"/>
    <mergeCell ref="A52:E52"/>
    <mergeCell ref="F52:J52"/>
    <mergeCell ref="F37:J37"/>
    <mergeCell ref="A13:B13"/>
    <mergeCell ref="A43:B43"/>
    <mergeCell ref="F36:J36"/>
    <mergeCell ref="C28:D28"/>
    <mergeCell ref="F50:H50"/>
    <mergeCell ref="G26:H26"/>
    <mergeCell ref="F23:J23"/>
    <mergeCell ref="A22:E22"/>
    <mergeCell ref="A18:E19"/>
    <mergeCell ref="I26:J26"/>
    <mergeCell ref="C27:D27"/>
    <mergeCell ref="E27:F27"/>
    <mergeCell ref="G27:H27"/>
    <mergeCell ref="I27:J27"/>
    <mergeCell ref="A23:E23"/>
    <mergeCell ref="F25:J25"/>
    <mergeCell ref="A27:B27"/>
    <mergeCell ref="A2:J2"/>
    <mergeCell ref="A3:E3"/>
    <mergeCell ref="F3:J3"/>
    <mergeCell ref="G84:J84"/>
    <mergeCell ref="A85:F85"/>
    <mergeCell ref="A82:F82"/>
    <mergeCell ref="F40:J40"/>
    <mergeCell ref="I28:J28"/>
    <mergeCell ref="A29:J29"/>
    <mergeCell ref="A30:J30"/>
    <mergeCell ref="A79:F79"/>
    <mergeCell ref="G79:J79"/>
    <mergeCell ref="A37:E37"/>
    <mergeCell ref="F39:J39"/>
    <mergeCell ref="A40:E40"/>
    <mergeCell ref="A54:J54"/>
    <mergeCell ref="A48:C48"/>
    <mergeCell ref="C43:F43"/>
    <mergeCell ref="A45:B45"/>
    <mergeCell ref="A39:E39"/>
    <mergeCell ref="C51:J51"/>
    <mergeCell ref="A28:B28"/>
    <mergeCell ref="A34:J35"/>
    <mergeCell ref="A36:E36"/>
    <mergeCell ref="A53:J53"/>
    <mergeCell ref="F58:G58"/>
    <mergeCell ref="A50:C50"/>
    <mergeCell ref="A117:J120"/>
    <mergeCell ref="A86:F86"/>
    <mergeCell ref="G86:J86"/>
    <mergeCell ref="A87:J87"/>
    <mergeCell ref="A88:J88"/>
    <mergeCell ref="D104:E104"/>
    <mergeCell ref="A100:J100"/>
    <mergeCell ref="I101:J106"/>
    <mergeCell ref="D98:E98"/>
    <mergeCell ref="A113:J113"/>
    <mergeCell ref="A114:J114"/>
    <mergeCell ref="A115:J115"/>
    <mergeCell ref="I89:J89"/>
    <mergeCell ref="A111:J111"/>
    <mergeCell ref="D106:E106"/>
    <mergeCell ref="D105:E105"/>
    <mergeCell ref="A116:J116"/>
    <mergeCell ref="A110:J110"/>
    <mergeCell ref="D101:E101"/>
    <mergeCell ref="D102:E102"/>
    <mergeCell ref="D103:E103"/>
    <mergeCell ref="D89:E89"/>
    <mergeCell ref="A112:J112"/>
    <mergeCell ref="A109:J109"/>
    <mergeCell ref="A107:J108"/>
    <mergeCell ref="G85:J85"/>
    <mergeCell ref="E28:F28"/>
    <mergeCell ref="A38:E38"/>
    <mergeCell ref="H46:J46"/>
    <mergeCell ref="A42:J42"/>
    <mergeCell ref="D48:E48"/>
    <mergeCell ref="C44:F44"/>
    <mergeCell ref="C45:F45"/>
    <mergeCell ref="A51:B51"/>
    <mergeCell ref="H45:J45"/>
    <mergeCell ref="C57:J57"/>
    <mergeCell ref="A58:B58"/>
    <mergeCell ref="G83:J83"/>
    <mergeCell ref="A69:J69"/>
    <mergeCell ref="A70:J70"/>
    <mergeCell ref="A71:J77"/>
    <mergeCell ref="A78:J78"/>
    <mergeCell ref="A84:F84"/>
    <mergeCell ref="A31:B31"/>
    <mergeCell ref="D50:E50"/>
    <mergeCell ref="I50:J50"/>
    <mergeCell ref="G82:J82"/>
    <mergeCell ref="E56:F56"/>
    <mergeCell ref="A4:E4"/>
    <mergeCell ref="F4:J4"/>
    <mergeCell ref="A6:E6"/>
    <mergeCell ref="F6:J6"/>
    <mergeCell ref="A11:E11"/>
    <mergeCell ref="A12:E12"/>
    <mergeCell ref="F12:J12"/>
    <mergeCell ref="A9:E9"/>
    <mergeCell ref="F8:J8"/>
    <mergeCell ref="F11:J11"/>
    <mergeCell ref="A8:E8"/>
    <mergeCell ref="A10:E10"/>
    <mergeCell ref="F10:J10"/>
    <mergeCell ref="C13:J13"/>
    <mergeCell ref="F9:J9"/>
    <mergeCell ref="A26:B26"/>
    <mergeCell ref="C26:D26"/>
    <mergeCell ref="E26:F26"/>
    <mergeCell ref="A47:B47"/>
    <mergeCell ref="C47:F47"/>
    <mergeCell ref="F5:J5"/>
    <mergeCell ref="F18:J19"/>
    <mergeCell ref="A7:E7"/>
    <mergeCell ref="F7:J7"/>
    <mergeCell ref="A17:B17"/>
    <mergeCell ref="A5:E5"/>
    <mergeCell ref="A20:E21"/>
    <mergeCell ref="F17:G17"/>
    <mergeCell ref="C17:E17"/>
    <mergeCell ref="F22:J22"/>
    <mergeCell ref="A24:E24"/>
    <mergeCell ref="A25:E25"/>
    <mergeCell ref="F24:J24"/>
    <mergeCell ref="H17:J17"/>
    <mergeCell ref="F20:J21"/>
    <mergeCell ref="G28:H28"/>
    <mergeCell ref="F41:J41"/>
  </mergeCells>
  <phoneticPr fontId="0" type="noConversion"/>
  <hyperlinks>
    <hyperlink ref="C32" r:id="rId1" xr:uid="{00000000-0004-0000-0000-000000000000}"/>
  </hyperlinks>
  <pageMargins left="0.55118110236220474" right="0.55118110236220474" top="0.78740157480314965" bottom="0.78740157480314965" header="0.19685039370078741" footer="0.19685039370078741"/>
  <pageSetup paperSize="9" scale="98" fitToHeight="0" orientation="portrait" r:id="rId2"/>
  <headerFooter>
    <oddHeader>&amp;C&amp;G</oddHeader>
    <oddFooter>&amp;L&amp;"Times New Roman,Bold"Ref No: &amp;F&amp;C&amp;G&amp;R&amp;P</oddFooter>
  </headerFooter>
  <rowBreaks count="2" manualBreakCount="2">
    <brk id="120" max="16383" man="1"/>
    <brk id="163" max="16383" man="1"/>
  </rowBreaks>
  <drawing r:id="rId3"/>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P20"/>
  <sheetViews>
    <sheetView workbookViewId="0">
      <selection activeCell="C18" sqref="C18"/>
    </sheetView>
  </sheetViews>
  <sheetFormatPr defaultRowHeight="14.4" x14ac:dyDescent="0.3"/>
  <cols>
    <col min="2" max="2" width="11.77734375" customWidth="1"/>
  </cols>
  <sheetData>
    <row r="2" spans="1:16" x14ac:dyDescent="0.3">
      <c r="A2" t="s">
        <v>117</v>
      </c>
      <c r="B2" s="14" t="s">
        <v>137</v>
      </c>
      <c r="C2" s="10">
        <v>4</v>
      </c>
    </row>
    <row r="3" spans="1:16" x14ac:dyDescent="0.3">
      <c r="B3" t="s">
        <v>118</v>
      </c>
      <c r="C3" t="s">
        <v>119</v>
      </c>
    </row>
    <row r="4" spans="1:16" x14ac:dyDescent="0.3">
      <c r="A4" t="s">
        <v>120</v>
      </c>
      <c r="B4" s="4">
        <v>10</v>
      </c>
      <c r="C4" s="15">
        <v>10</v>
      </c>
      <c r="E4">
        <f>C4*10</f>
        <v>100</v>
      </c>
    </row>
    <row r="5" spans="1:16" x14ac:dyDescent="0.3">
      <c r="A5" t="s">
        <v>121</v>
      </c>
      <c r="B5" t="s">
        <v>122</v>
      </c>
      <c r="C5" t="s">
        <v>123</v>
      </c>
      <c r="J5" s="4" t="s">
        <v>124</v>
      </c>
      <c r="K5" s="4" t="s">
        <v>125</v>
      </c>
      <c r="L5" s="4" t="s">
        <v>126</v>
      </c>
      <c r="M5" s="4" t="s">
        <v>36</v>
      </c>
      <c r="N5" s="4" t="s">
        <v>42</v>
      </c>
      <c r="O5" s="4" t="s">
        <v>127</v>
      </c>
      <c r="P5" s="4" t="s">
        <v>43</v>
      </c>
    </row>
    <row r="6" spans="1:16" x14ac:dyDescent="0.3">
      <c r="B6" s="4">
        <f>C2+1</f>
        <v>5</v>
      </c>
      <c r="C6" s="15">
        <v>3</v>
      </c>
      <c r="E6">
        <f>(100/B6)*C6</f>
        <v>60</v>
      </c>
      <c r="G6" s="11" t="s">
        <v>128</v>
      </c>
      <c r="J6" s="11">
        <f>C4</f>
        <v>10</v>
      </c>
      <c r="K6" s="11">
        <f>40/B6*C6</f>
        <v>24</v>
      </c>
      <c r="L6" s="11">
        <f>15/B8*C8</f>
        <v>0</v>
      </c>
      <c r="M6" s="11">
        <f>10/B10*C10</f>
        <v>0</v>
      </c>
      <c r="N6" s="11">
        <f>10/B12*C12</f>
        <v>0</v>
      </c>
      <c r="O6" s="11">
        <f>5/B14*C14</f>
        <v>0</v>
      </c>
      <c r="P6" s="11">
        <f>5/B16*C16</f>
        <v>0</v>
      </c>
    </row>
    <row r="7" spans="1:16" x14ac:dyDescent="0.3">
      <c r="A7" t="s">
        <v>129</v>
      </c>
      <c r="B7" t="s">
        <v>130</v>
      </c>
      <c r="C7" t="s">
        <v>131</v>
      </c>
      <c r="G7" s="4" t="s">
        <v>132</v>
      </c>
      <c r="H7" s="4"/>
      <c r="I7" s="4"/>
      <c r="J7" s="4">
        <f>J6+20</f>
        <v>30</v>
      </c>
      <c r="K7" s="4">
        <f>30/B6*C6</f>
        <v>18</v>
      </c>
      <c r="L7" s="4">
        <f>15/B8*C8</f>
        <v>0</v>
      </c>
      <c r="M7" s="4">
        <f>10/B10*C10</f>
        <v>0</v>
      </c>
      <c r="N7" s="4">
        <f>5/B12*C12</f>
        <v>0</v>
      </c>
      <c r="O7" s="4">
        <f>5/B14*C14</f>
        <v>0</v>
      </c>
      <c r="P7" s="4">
        <f>5/B16*C16</f>
        <v>0</v>
      </c>
    </row>
    <row r="8" spans="1:16" x14ac:dyDescent="0.3">
      <c r="B8" s="4">
        <f>C2</f>
        <v>4</v>
      </c>
      <c r="C8" s="15">
        <v>0</v>
      </c>
      <c r="E8">
        <f>(100/B8)*C8</f>
        <v>0</v>
      </c>
    </row>
    <row r="9" spans="1:16" x14ac:dyDescent="0.3">
      <c r="A9" t="s">
        <v>133</v>
      </c>
      <c r="B9" t="s">
        <v>130</v>
      </c>
      <c r="C9" t="s">
        <v>131</v>
      </c>
    </row>
    <row r="10" spans="1:16" x14ac:dyDescent="0.3">
      <c r="B10" s="4">
        <f>C2</f>
        <v>4</v>
      </c>
      <c r="C10" s="15">
        <v>0</v>
      </c>
      <c r="E10">
        <f>(100/B10)*C10</f>
        <v>0</v>
      </c>
    </row>
    <row r="11" spans="1:16" x14ac:dyDescent="0.3">
      <c r="A11" t="s">
        <v>42</v>
      </c>
      <c r="B11" t="s">
        <v>130</v>
      </c>
      <c r="C11" t="s">
        <v>131</v>
      </c>
    </row>
    <row r="12" spans="1:16" x14ac:dyDescent="0.3">
      <c r="B12" s="4">
        <f>C2</f>
        <v>4</v>
      </c>
      <c r="C12" s="15">
        <v>0</v>
      </c>
      <c r="E12">
        <f>(100/B12)*C12</f>
        <v>0</v>
      </c>
      <c r="J12" s="4"/>
      <c r="K12" s="4" t="s">
        <v>128</v>
      </c>
      <c r="L12" s="4" t="s">
        <v>134</v>
      </c>
      <c r="M12" t="s">
        <v>135</v>
      </c>
    </row>
    <row r="13" spans="1:16" ht="28.8" x14ac:dyDescent="0.3">
      <c r="A13" s="12" t="s">
        <v>127</v>
      </c>
      <c r="B13" t="s">
        <v>130</v>
      </c>
      <c r="C13" t="s">
        <v>131</v>
      </c>
      <c r="J13" s="4" t="s">
        <v>34</v>
      </c>
      <c r="K13" s="4">
        <f>J6</f>
        <v>10</v>
      </c>
      <c r="L13" s="4">
        <f>J7</f>
        <v>30</v>
      </c>
      <c r="M13" t="s">
        <v>135</v>
      </c>
    </row>
    <row r="14" spans="1:16" x14ac:dyDescent="0.3">
      <c r="B14" s="4">
        <f>C2</f>
        <v>4</v>
      </c>
      <c r="C14" s="15">
        <v>0</v>
      </c>
      <c r="E14">
        <f>(100/B14)*C14</f>
        <v>0</v>
      </c>
      <c r="J14" s="4" t="s">
        <v>35</v>
      </c>
      <c r="K14" s="4">
        <f>K6</f>
        <v>24</v>
      </c>
      <c r="L14" s="4">
        <f>K7</f>
        <v>18</v>
      </c>
    </row>
    <row r="15" spans="1:16" x14ac:dyDescent="0.3">
      <c r="A15" t="s">
        <v>43</v>
      </c>
      <c r="B15" t="s">
        <v>130</v>
      </c>
      <c r="C15" t="s">
        <v>131</v>
      </c>
      <c r="J15" s="4" t="s">
        <v>126</v>
      </c>
      <c r="K15" s="4">
        <f>L6</f>
        <v>0</v>
      </c>
      <c r="L15" s="4">
        <f>L7</f>
        <v>0</v>
      </c>
    </row>
    <row r="16" spans="1:16" x14ac:dyDescent="0.3">
      <c r="B16" s="4">
        <f>C2</f>
        <v>4</v>
      </c>
      <c r="C16" s="15">
        <v>0</v>
      </c>
      <c r="E16">
        <f>(100/B16)*C16</f>
        <v>0</v>
      </c>
      <c r="J16" s="4" t="s">
        <v>36</v>
      </c>
      <c r="K16" s="4">
        <f>M6</f>
        <v>0</v>
      </c>
      <c r="L16" s="4">
        <f>M7</f>
        <v>0</v>
      </c>
    </row>
    <row r="17" spans="10:12" x14ac:dyDescent="0.3">
      <c r="J17" s="4" t="s">
        <v>42</v>
      </c>
      <c r="K17" s="4">
        <f>N6</f>
        <v>0</v>
      </c>
      <c r="L17" s="4">
        <f>N7</f>
        <v>0</v>
      </c>
    </row>
    <row r="18" spans="10:12" ht="28.8" x14ac:dyDescent="0.3">
      <c r="J18" s="13" t="s">
        <v>127</v>
      </c>
      <c r="K18" s="4">
        <f>O6</f>
        <v>0</v>
      </c>
      <c r="L18" s="4">
        <f>O7</f>
        <v>0</v>
      </c>
    </row>
    <row r="19" spans="10:12" x14ac:dyDescent="0.3">
      <c r="J19" s="4" t="s">
        <v>43</v>
      </c>
      <c r="K19" s="4">
        <f>P6</f>
        <v>0</v>
      </c>
      <c r="L19" s="4">
        <f>P7</f>
        <v>0</v>
      </c>
    </row>
    <row r="20" spans="10:12" x14ac:dyDescent="0.3">
      <c r="J20" s="4" t="s">
        <v>136</v>
      </c>
      <c r="K20" s="4">
        <f>K13+K14+K15+K16+K17+K18+K19</f>
        <v>34</v>
      </c>
      <c r="L20" s="4">
        <f>L13+L14+L15+L16+L17+L18+L19</f>
        <v>48</v>
      </c>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20"/>
  <sheetViews>
    <sheetView topLeftCell="A52" workbookViewId="0">
      <selection activeCell="G18" sqref="G18"/>
    </sheetView>
  </sheetViews>
  <sheetFormatPr defaultColWidth="8.77734375" defaultRowHeight="14.4" x14ac:dyDescent="0.3"/>
  <cols>
    <col min="1" max="1" width="8.77734375" style="18"/>
    <col min="2" max="2" width="22.21875" style="18" customWidth="1"/>
    <col min="3" max="3" width="37" style="18" customWidth="1"/>
    <col min="4" max="5" width="11.44140625" style="18" customWidth="1"/>
    <col min="6" max="6" width="14" style="18" customWidth="1"/>
    <col min="7" max="7" width="20" style="18" customWidth="1"/>
    <col min="8" max="8" width="16.44140625" style="18" customWidth="1"/>
    <col min="9" max="9" width="8.77734375" style="18"/>
    <col min="10" max="10" width="9.77734375" style="18" bestFit="1" customWidth="1"/>
    <col min="11" max="16384" width="8.77734375" style="18"/>
  </cols>
  <sheetData>
    <row r="1" spans="1:10" ht="15" customHeight="1" x14ac:dyDescent="0.3"/>
    <row r="2" spans="1:10" ht="15" customHeight="1" x14ac:dyDescent="0.3">
      <c r="A2" s="19"/>
      <c r="B2" s="19"/>
      <c r="C2" s="19"/>
      <c r="D2" s="19"/>
      <c r="E2" s="19"/>
      <c r="F2" s="19"/>
      <c r="G2" s="19"/>
      <c r="H2" s="19"/>
    </row>
    <row r="3" spans="1:10" ht="15.75" customHeight="1" x14ac:dyDescent="0.3">
      <c r="A3" s="19"/>
      <c r="B3" s="20" t="s">
        <v>187</v>
      </c>
      <c r="C3" s="20"/>
      <c r="D3" s="20"/>
      <c r="E3" s="20"/>
      <c r="F3" s="20"/>
      <c r="G3" s="20"/>
      <c r="H3" s="20"/>
    </row>
    <row r="4" spans="1:10" x14ac:dyDescent="0.3">
      <c r="A4" s="19"/>
      <c r="B4" s="21" t="s">
        <v>188</v>
      </c>
      <c r="C4" s="21" t="s">
        <v>189</v>
      </c>
      <c r="D4" s="21" t="s">
        <v>101</v>
      </c>
      <c r="E4" s="21" t="s">
        <v>190</v>
      </c>
      <c r="F4" s="21" t="s">
        <v>191</v>
      </c>
      <c r="G4" s="21" t="s">
        <v>192</v>
      </c>
      <c r="H4" s="21" t="s">
        <v>193</v>
      </c>
    </row>
    <row r="5" spans="1:10" ht="15" customHeight="1" x14ac:dyDescent="0.3">
      <c r="A5" s="19"/>
      <c r="B5" s="22" t="s">
        <v>196</v>
      </c>
      <c r="C5" s="33" t="s">
        <v>199</v>
      </c>
      <c r="D5" s="23" t="s">
        <v>200</v>
      </c>
      <c r="E5" s="23">
        <v>232</v>
      </c>
      <c r="F5" s="24">
        <f>E5*1.45</f>
        <v>336.4</v>
      </c>
      <c r="G5" s="24">
        <f>H5/F5</f>
        <v>2419.7384066587397</v>
      </c>
      <c r="H5" s="25">
        <v>814000</v>
      </c>
      <c r="J5" s="26"/>
    </row>
    <row r="6" spans="1:10" x14ac:dyDescent="0.3">
      <c r="A6" s="19"/>
      <c r="B6" s="22" t="s">
        <v>196</v>
      </c>
      <c r="C6" s="33" t="s">
        <v>199</v>
      </c>
      <c r="D6" s="23" t="s">
        <v>201</v>
      </c>
      <c r="E6" s="23">
        <v>299</v>
      </c>
      <c r="F6" s="24">
        <f>E6*1.45</f>
        <v>433.55</v>
      </c>
      <c r="G6" s="24">
        <f>H6/F6</f>
        <v>2419.559451043709</v>
      </c>
      <c r="H6" s="25">
        <v>1049000</v>
      </c>
      <c r="J6" s="26"/>
    </row>
    <row r="7" spans="1:10" ht="15" customHeight="1" x14ac:dyDescent="0.3">
      <c r="A7" s="19"/>
      <c r="B7" s="22" t="s">
        <v>196</v>
      </c>
      <c r="C7" s="33" t="s">
        <v>199</v>
      </c>
      <c r="D7" s="23" t="s">
        <v>194</v>
      </c>
      <c r="E7" s="23">
        <v>300</v>
      </c>
      <c r="F7" s="24">
        <f>E7*1.45</f>
        <v>435</v>
      </c>
      <c r="G7" s="24">
        <f>H7/F7</f>
        <v>2420.6896551724139</v>
      </c>
      <c r="H7" s="25">
        <v>1053000</v>
      </c>
      <c r="J7" s="26"/>
    </row>
    <row r="8" spans="1:10" ht="15" customHeight="1" x14ac:dyDescent="0.3">
      <c r="A8" s="19"/>
      <c r="B8" s="22" t="s">
        <v>195</v>
      </c>
      <c r="C8" s="33" t="s">
        <v>199</v>
      </c>
      <c r="D8" s="23" t="s">
        <v>194</v>
      </c>
      <c r="E8" s="23">
        <v>311</v>
      </c>
      <c r="F8" s="24">
        <f>E8*1.45</f>
        <v>450.95</v>
      </c>
      <c r="G8" s="24">
        <f>H8/F8</f>
        <v>2421.5544960638654</v>
      </c>
      <c r="H8" s="25">
        <v>1092000</v>
      </c>
      <c r="J8" s="26"/>
    </row>
    <row r="9" spans="1:10" ht="15" customHeight="1" x14ac:dyDescent="0.3">
      <c r="A9" s="19"/>
      <c r="B9" s="27" t="s">
        <v>197</v>
      </c>
      <c r="C9" s="23"/>
      <c r="D9" s="23"/>
      <c r="E9" s="23">
        <v>0</v>
      </c>
      <c r="F9" s="24">
        <f>E9*1.5</f>
        <v>0</v>
      </c>
      <c r="G9" s="28">
        <f>AVERAGE(G5:G8)</f>
        <v>2420.385502234682</v>
      </c>
      <c r="H9" s="23"/>
      <c r="J9" s="26"/>
    </row>
    <row r="10" spans="1:10" ht="15" customHeight="1" x14ac:dyDescent="0.3">
      <c r="B10" s="27" t="s">
        <v>198</v>
      </c>
      <c r="C10" s="23"/>
      <c r="D10" s="23"/>
      <c r="E10" s="23"/>
      <c r="F10" s="29"/>
      <c r="G10" s="27">
        <v>2500</v>
      </c>
      <c r="H10" s="27"/>
      <c r="I10" s="30"/>
      <c r="J10" s="26"/>
    </row>
    <row r="11" spans="1:10" ht="15" customHeight="1" x14ac:dyDescent="0.3">
      <c r="G11" s="31"/>
    </row>
    <row r="12" spans="1:10" x14ac:dyDescent="0.3">
      <c r="E12" s="31"/>
      <c r="G12" s="31"/>
    </row>
    <row r="13" spans="1:10" x14ac:dyDescent="0.3">
      <c r="E13" s="31"/>
      <c r="G13" s="31"/>
    </row>
    <row r="14" spans="1:10" x14ac:dyDescent="0.3">
      <c r="E14" s="31"/>
      <c r="G14" s="31"/>
    </row>
    <row r="15" spans="1:10" x14ac:dyDescent="0.3">
      <c r="E15" s="31"/>
      <c r="G15" s="31"/>
    </row>
    <row r="16" spans="1:10" x14ac:dyDescent="0.3">
      <c r="E16" s="31"/>
      <c r="G16" s="31"/>
    </row>
    <row r="17" spans="2:7" x14ac:dyDescent="0.3">
      <c r="E17" s="31"/>
      <c r="G17" s="31"/>
    </row>
    <row r="18" spans="2:7" x14ac:dyDescent="0.3">
      <c r="G18" s="31"/>
    </row>
    <row r="19" spans="2:7" x14ac:dyDescent="0.3">
      <c r="G19" s="31"/>
    </row>
    <row r="20" spans="2:7" x14ac:dyDescent="0.3">
      <c r="B20" s="32"/>
      <c r="G20" s="31"/>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C28"/>
  <sheetViews>
    <sheetView topLeftCell="A13" workbookViewId="0">
      <selection activeCell="C29" sqref="C29"/>
    </sheetView>
  </sheetViews>
  <sheetFormatPr defaultRowHeight="14.4" x14ac:dyDescent="0.3"/>
  <cols>
    <col min="1" max="1" width="10.21875" bestFit="1" customWidth="1"/>
    <col min="2" max="2" width="11.77734375" customWidth="1"/>
  </cols>
  <sheetData>
    <row r="2" spans="1:2" x14ac:dyDescent="0.3">
      <c r="A2" s="17">
        <v>44142</v>
      </c>
      <c r="B2" t="s">
        <v>181</v>
      </c>
    </row>
    <row r="27" spans="1:3" x14ac:dyDescent="0.3">
      <c r="A27" t="s">
        <v>182</v>
      </c>
      <c r="B27" t="s">
        <v>202</v>
      </c>
      <c r="C27" t="s">
        <v>203</v>
      </c>
    </row>
    <row r="28" spans="1:3" x14ac:dyDescent="0.3">
      <c r="C28" t="s">
        <v>204</v>
      </c>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M34"/>
  <sheetViews>
    <sheetView topLeftCell="A7" workbookViewId="0">
      <selection activeCell="Q17" sqref="Q17"/>
    </sheetView>
  </sheetViews>
  <sheetFormatPr defaultRowHeight="14.4" x14ac:dyDescent="0.3"/>
  <sheetData>
    <row r="2" spans="2:13" x14ac:dyDescent="0.3">
      <c r="C2" s="7" t="s">
        <v>100</v>
      </c>
      <c r="D2" s="207"/>
      <c r="E2" s="207"/>
    </row>
    <row r="3" spans="2:13" x14ac:dyDescent="0.3">
      <c r="E3" s="6"/>
      <c r="F3" s="6"/>
      <c r="G3" s="6"/>
      <c r="H3" s="6"/>
      <c r="I3" s="6"/>
      <c r="J3" s="6"/>
    </row>
    <row r="4" spans="2:13" x14ac:dyDescent="0.3">
      <c r="B4" s="7" t="s">
        <v>101</v>
      </c>
      <c r="C4" s="5" t="s">
        <v>81</v>
      </c>
      <c r="D4" s="208" t="s">
        <v>82</v>
      </c>
      <c r="E4" s="208"/>
      <c r="F4" s="208"/>
      <c r="G4" s="8"/>
      <c r="H4" s="208" t="s">
        <v>83</v>
      </c>
      <c r="I4" s="208"/>
      <c r="J4" s="208"/>
      <c r="K4" s="208" t="s">
        <v>84</v>
      </c>
      <c r="L4" s="208"/>
      <c r="M4" s="208"/>
    </row>
    <row r="5" spans="2:13" x14ac:dyDescent="0.3">
      <c r="B5" s="7">
        <v>1</v>
      </c>
      <c r="C5" s="5"/>
      <c r="D5" s="5" t="s">
        <v>85</v>
      </c>
      <c r="E5" s="5" t="s">
        <v>86</v>
      </c>
      <c r="F5" s="5" t="s">
        <v>87</v>
      </c>
      <c r="G5" s="5"/>
      <c r="H5" s="5" t="s">
        <v>85</v>
      </c>
      <c r="I5" s="5" t="s">
        <v>86</v>
      </c>
      <c r="J5" s="5" t="s">
        <v>87</v>
      </c>
      <c r="K5" s="5" t="s">
        <v>85</v>
      </c>
      <c r="L5" s="5" t="s">
        <v>86</v>
      </c>
      <c r="M5" s="5" t="s">
        <v>87</v>
      </c>
    </row>
    <row r="6" spans="2:13" x14ac:dyDescent="0.3">
      <c r="C6" s="4" t="s">
        <v>88</v>
      </c>
      <c r="D6" s="4"/>
      <c r="E6" s="4"/>
      <c r="F6" s="4">
        <f>D6*E6</f>
        <v>0</v>
      </c>
      <c r="G6" s="4" t="s">
        <v>103</v>
      </c>
      <c r="H6" s="4"/>
      <c r="I6" s="4"/>
      <c r="J6" s="4">
        <f>H6*I6</f>
        <v>0</v>
      </c>
      <c r="K6" s="4"/>
      <c r="L6" s="4"/>
      <c r="M6" s="4">
        <f>K6*L6</f>
        <v>0</v>
      </c>
    </row>
    <row r="7" spans="2:13" x14ac:dyDescent="0.3">
      <c r="C7" s="4"/>
      <c r="D7" s="4"/>
      <c r="E7" s="4"/>
      <c r="F7" s="4">
        <f t="shared" ref="F7:F33" si="0">D7*E7</f>
        <v>0</v>
      </c>
      <c r="G7" s="4" t="s">
        <v>104</v>
      </c>
      <c r="H7" s="4"/>
      <c r="I7" s="4"/>
      <c r="J7" s="4">
        <f t="shared" ref="J7:J29" si="1">H7*I7</f>
        <v>0</v>
      </c>
      <c r="K7" s="4"/>
      <c r="L7" s="4"/>
      <c r="M7" s="4">
        <f t="shared" ref="M7:M29" si="2">K7*L7</f>
        <v>0</v>
      </c>
    </row>
    <row r="8" spans="2:13" x14ac:dyDescent="0.3">
      <c r="C8" s="4"/>
      <c r="D8" s="4"/>
      <c r="E8" s="4"/>
      <c r="F8" s="4">
        <f t="shared" si="0"/>
        <v>0</v>
      </c>
      <c r="G8" s="4"/>
      <c r="H8" s="4"/>
      <c r="I8" s="4"/>
      <c r="J8" s="4">
        <f t="shared" si="1"/>
        <v>0</v>
      </c>
      <c r="K8" s="4"/>
      <c r="L8" s="4"/>
      <c r="M8" s="4">
        <f t="shared" si="2"/>
        <v>0</v>
      </c>
    </row>
    <row r="9" spans="2:13" x14ac:dyDescent="0.3">
      <c r="C9" s="4" t="s">
        <v>91</v>
      </c>
      <c r="D9" s="4"/>
      <c r="E9" s="4"/>
      <c r="F9" s="4">
        <f t="shared" si="0"/>
        <v>0</v>
      </c>
      <c r="G9" s="4" t="s">
        <v>103</v>
      </c>
      <c r="H9" s="4"/>
      <c r="I9" s="4"/>
      <c r="J9" s="4">
        <f t="shared" si="1"/>
        <v>0</v>
      </c>
      <c r="K9" s="4"/>
      <c r="L9" s="4"/>
      <c r="M9" s="4">
        <f t="shared" si="2"/>
        <v>0</v>
      </c>
    </row>
    <row r="10" spans="2:13" x14ac:dyDescent="0.3">
      <c r="C10" s="4"/>
      <c r="D10" s="4"/>
      <c r="E10" s="4"/>
      <c r="F10" s="4">
        <f t="shared" si="0"/>
        <v>0</v>
      </c>
      <c r="G10" s="4" t="s">
        <v>104</v>
      </c>
      <c r="H10" s="4"/>
      <c r="I10" s="4"/>
      <c r="J10" s="4">
        <f t="shared" si="1"/>
        <v>0</v>
      </c>
      <c r="K10" s="4"/>
      <c r="L10" s="4"/>
      <c r="M10" s="4">
        <f t="shared" si="2"/>
        <v>0</v>
      </c>
    </row>
    <row r="11" spans="2:13" x14ac:dyDescent="0.3">
      <c r="C11" s="4"/>
      <c r="D11" s="4"/>
      <c r="E11" s="4"/>
      <c r="F11" s="4">
        <f t="shared" si="0"/>
        <v>0</v>
      </c>
      <c r="G11" s="4"/>
      <c r="H11" s="4"/>
      <c r="I11" s="4"/>
      <c r="J11" s="4">
        <f t="shared" si="1"/>
        <v>0</v>
      </c>
      <c r="K11" s="4"/>
      <c r="L11" s="4"/>
      <c r="M11" s="4">
        <f t="shared" si="2"/>
        <v>0</v>
      </c>
    </row>
    <row r="12" spans="2:13" x14ac:dyDescent="0.3">
      <c r="C12" s="4"/>
      <c r="D12" s="4"/>
      <c r="E12" s="4"/>
      <c r="F12" s="4">
        <f t="shared" si="0"/>
        <v>0</v>
      </c>
      <c r="G12" s="4"/>
      <c r="H12" s="4"/>
      <c r="I12" s="4"/>
      <c r="J12" s="4">
        <f t="shared" si="1"/>
        <v>0</v>
      </c>
      <c r="K12" s="4"/>
      <c r="L12" s="4"/>
      <c r="M12" s="4">
        <f t="shared" si="2"/>
        <v>0</v>
      </c>
    </row>
    <row r="13" spans="2:13" x14ac:dyDescent="0.3">
      <c r="C13" s="4" t="s">
        <v>89</v>
      </c>
      <c r="D13" s="4"/>
      <c r="E13" s="4"/>
      <c r="F13" s="4">
        <f t="shared" si="0"/>
        <v>0</v>
      </c>
      <c r="G13" s="4" t="s">
        <v>103</v>
      </c>
      <c r="H13" s="4"/>
      <c r="I13" s="4"/>
      <c r="J13" s="4">
        <f t="shared" si="1"/>
        <v>0</v>
      </c>
      <c r="K13" s="4"/>
      <c r="L13" s="4"/>
      <c r="M13" s="4">
        <f t="shared" si="2"/>
        <v>0</v>
      </c>
    </row>
    <row r="14" spans="2:13" x14ac:dyDescent="0.3">
      <c r="C14" s="4"/>
      <c r="D14" s="4"/>
      <c r="E14" s="4"/>
      <c r="F14" s="4">
        <f t="shared" si="0"/>
        <v>0</v>
      </c>
      <c r="G14" s="4" t="s">
        <v>104</v>
      </c>
      <c r="H14" s="4"/>
      <c r="I14" s="4"/>
      <c r="J14" s="4">
        <f t="shared" si="1"/>
        <v>0</v>
      </c>
      <c r="K14" s="4"/>
      <c r="L14" s="4"/>
      <c r="M14" s="4">
        <f t="shared" si="2"/>
        <v>0</v>
      </c>
    </row>
    <row r="15" spans="2:13" x14ac:dyDescent="0.3">
      <c r="C15" s="4"/>
      <c r="D15" s="4"/>
      <c r="E15" s="4"/>
      <c r="F15" s="4">
        <f t="shared" si="0"/>
        <v>0</v>
      </c>
      <c r="G15" s="4"/>
      <c r="H15" s="4"/>
      <c r="I15" s="4"/>
      <c r="J15" s="4">
        <f t="shared" si="1"/>
        <v>0</v>
      </c>
      <c r="K15" s="4"/>
      <c r="L15" s="4"/>
      <c r="M15" s="4">
        <f t="shared" si="2"/>
        <v>0</v>
      </c>
    </row>
    <row r="16" spans="2:13" x14ac:dyDescent="0.3">
      <c r="C16" s="4"/>
      <c r="D16" s="4"/>
      <c r="E16" s="4"/>
      <c r="F16" s="4">
        <f t="shared" si="0"/>
        <v>0</v>
      </c>
      <c r="G16" s="4"/>
      <c r="H16" s="4"/>
      <c r="I16" s="4"/>
      <c r="J16" s="4">
        <f t="shared" si="1"/>
        <v>0</v>
      </c>
      <c r="K16" s="4"/>
      <c r="L16" s="4"/>
      <c r="M16" s="4">
        <f t="shared" si="2"/>
        <v>0</v>
      </c>
    </row>
    <row r="17" spans="3:13" x14ac:dyDescent="0.3">
      <c r="C17" s="4" t="s">
        <v>90</v>
      </c>
      <c r="D17" s="4"/>
      <c r="E17" s="4"/>
      <c r="F17" s="4">
        <f t="shared" si="0"/>
        <v>0</v>
      </c>
      <c r="G17" s="4" t="s">
        <v>103</v>
      </c>
      <c r="H17" s="4"/>
      <c r="I17" s="4"/>
      <c r="J17" s="4">
        <f t="shared" si="1"/>
        <v>0</v>
      </c>
      <c r="K17" s="4"/>
      <c r="L17" s="4"/>
      <c r="M17" s="4">
        <f t="shared" si="2"/>
        <v>0</v>
      </c>
    </row>
    <row r="18" spans="3:13" x14ac:dyDescent="0.3">
      <c r="C18" s="4"/>
      <c r="D18" s="4"/>
      <c r="E18" s="4"/>
      <c r="F18" s="4">
        <f t="shared" si="0"/>
        <v>0</v>
      </c>
      <c r="G18" s="4" t="s">
        <v>104</v>
      </c>
      <c r="H18" s="4"/>
      <c r="I18" s="4"/>
      <c r="J18" s="4">
        <f t="shared" si="1"/>
        <v>0</v>
      </c>
      <c r="K18" s="4"/>
      <c r="L18" s="4"/>
      <c r="M18" s="4">
        <f t="shared" si="2"/>
        <v>0</v>
      </c>
    </row>
    <row r="19" spans="3:13" x14ac:dyDescent="0.3">
      <c r="C19" s="4"/>
      <c r="D19" s="4"/>
      <c r="E19" s="4"/>
      <c r="F19" s="4">
        <f t="shared" si="0"/>
        <v>0</v>
      </c>
      <c r="G19" s="4"/>
      <c r="H19" s="4"/>
      <c r="I19" s="4"/>
      <c r="J19" s="4">
        <f t="shared" si="1"/>
        <v>0</v>
      </c>
      <c r="K19" s="4"/>
      <c r="L19" s="4"/>
      <c r="M19" s="4">
        <f t="shared" si="2"/>
        <v>0</v>
      </c>
    </row>
    <row r="20" spans="3:13" x14ac:dyDescent="0.3">
      <c r="C20" s="4" t="s">
        <v>90</v>
      </c>
      <c r="D20" s="4"/>
      <c r="E20" s="4"/>
      <c r="F20" s="4">
        <f t="shared" si="0"/>
        <v>0</v>
      </c>
      <c r="G20" s="4" t="s">
        <v>103</v>
      </c>
      <c r="H20" s="4"/>
      <c r="I20" s="4"/>
      <c r="J20" s="4">
        <f t="shared" si="1"/>
        <v>0</v>
      </c>
      <c r="K20" s="4"/>
      <c r="L20" s="4"/>
      <c r="M20" s="4">
        <f t="shared" si="2"/>
        <v>0</v>
      </c>
    </row>
    <row r="21" spans="3:13" x14ac:dyDescent="0.3">
      <c r="C21" s="4"/>
      <c r="D21" s="4"/>
      <c r="E21" s="4"/>
      <c r="F21" s="4">
        <f t="shared" si="0"/>
        <v>0</v>
      </c>
      <c r="G21" s="4" t="s">
        <v>104</v>
      </c>
      <c r="H21" s="4"/>
      <c r="I21" s="4"/>
      <c r="J21" s="4">
        <f t="shared" si="1"/>
        <v>0</v>
      </c>
      <c r="K21" s="4"/>
      <c r="L21" s="4"/>
      <c r="M21" s="4">
        <f t="shared" si="2"/>
        <v>0</v>
      </c>
    </row>
    <row r="22" spans="3:13" x14ac:dyDescent="0.3">
      <c r="C22" s="4"/>
      <c r="D22" s="4"/>
      <c r="E22" s="4"/>
      <c r="F22" s="4">
        <f t="shared" si="0"/>
        <v>0</v>
      </c>
      <c r="G22" s="4"/>
      <c r="H22" s="4"/>
      <c r="I22" s="4"/>
      <c r="J22" s="4">
        <f t="shared" si="1"/>
        <v>0</v>
      </c>
      <c r="K22" s="4"/>
      <c r="L22" s="4"/>
      <c r="M22" s="4">
        <f t="shared" si="2"/>
        <v>0</v>
      </c>
    </row>
    <row r="23" spans="3:13" x14ac:dyDescent="0.3">
      <c r="C23" s="4" t="s">
        <v>96</v>
      </c>
      <c r="D23" s="4"/>
      <c r="E23" s="4"/>
      <c r="F23" s="4">
        <f t="shared" si="0"/>
        <v>0</v>
      </c>
      <c r="G23" s="4" t="s">
        <v>105</v>
      </c>
      <c r="H23" s="4"/>
      <c r="I23" s="4"/>
      <c r="J23" s="4">
        <f t="shared" si="1"/>
        <v>0</v>
      </c>
      <c r="K23" s="4"/>
      <c r="L23" s="4"/>
      <c r="M23" s="4">
        <f t="shared" si="2"/>
        <v>0</v>
      </c>
    </row>
    <row r="24" spans="3:13" x14ac:dyDescent="0.3">
      <c r="C24" s="4" t="s">
        <v>97</v>
      </c>
      <c r="D24" s="4"/>
      <c r="E24" s="4"/>
      <c r="F24" s="4">
        <f t="shared" si="0"/>
        <v>0</v>
      </c>
      <c r="G24" s="4" t="s">
        <v>105</v>
      </c>
      <c r="H24" s="4"/>
      <c r="I24" s="4"/>
      <c r="J24" s="4">
        <f t="shared" si="1"/>
        <v>0</v>
      </c>
      <c r="K24" s="4"/>
      <c r="L24" s="4"/>
      <c r="M24" s="4">
        <f t="shared" si="2"/>
        <v>0</v>
      </c>
    </row>
    <row r="25" spans="3:13" x14ac:dyDescent="0.3">
      <c r="C25" s="4" t="s">
        <v>98</v>
      </c>
      <c r="D25" s="4"/>
      <c r="E25" s="4"/>
      <c r="F25" s="4">
        <f t="shared" si="0"/>
        <v>0</v>
      </c>
      <c r="G25" s="4" t="s">
        <v>105</v>
      </c>
      <c r="H25" s="4"/>
      <c r="I25" s="4"/>
      <c r="J25" s="4">
        <f t="shared" si="1"/>
        <v>0</v>
      </c>
      <c r="K25" s="4"/>
      <c r="L25" s="4"/>
      <c r="M25" s="4">
        <f t="shared" si="2"/>
        <v>0</v>
      </c>
    </row>
    <row r="26" spans="3:13" x14ac:dyDescent="0.3">
      <c r="C26" s="4"/>
      <c r="D26" s="4"/>
      <c r="E26" s="4"/>
      <c r="F26" s="4">
        <f t="shared" si="0"/>
        <v>0</v>
      </c>
      <c r="G26" s="4"/>
      <c r="H26" s="4"/>
      <c r="I26" s="4"/>
      <c r="J26" s="4">
        <f t="shared" si="1"/>
        <v>0</v>
      </c>
      <c r="K26" s="4"/>
      <c r="L26" s="4"/>
      <c r="M26" s="4">
        <f t="shared" si="2"/>
        <v>0</v>
      </c>
    </row>
    <row r="27" spans="3:13" x14ac:dyDescent="0.3">
      <c r="C27" s="4" t="s">
        <v>92</v>
      </c>
      <c r="D27" s="4"/>
      <c r="E27" s="4"/>
      <c r="F27" s="4">
        <f t="shared" si="0"/>
        <v>0</v>
      </c>
      <c r="G27" s="4"/>
      <c r="H27" s="4"/>
      <c r="I27" s="4"/>
      <c r="J27" s="4">
        <f t="shared" si="1"/>
        <v>0</v>
      </c>
      <c r="K27" s="4"/>
      <c r="L27" s="4"/>
      <c r="M27" s="4">
        <f t="shared" si="2"/>
        <v>0</v>
      </c>
    </row>
    <row r="28" spans="3:13" x14ac:dyDescent="0.3">
      <c r="C28" s="4" t="s">
        <v>93</v>
      </c>
      <c r="D28" s="4"/>
      <c r="E28" s="4"/>
      <c r="F28" s="4">
        <f t="shared" si="0"/>
        <v>0</v>
      </c>
      <c r="G28" s="4"/>
      <c r="H28" s="4"/>
      <c r="I28" s="4"/>
      <c r="J28" s="4">
        <f t="shared" si="1"/>
        <v>0</v>
      </c>
      <c r="K28" s="4"/>
      <c r="L28" s="4"/>
      <c r="M28" s="4">
        <f t="shared" si="2"/>
        <v>0</v>
      </c>
    </row>
    <row r="29" spans="3:13" x14ac:dyDescent="0.3">
      <c r="C29" s="4" t="s">
        <v>94</v>
      </c>
      <c r="D29" s="4"/>
      <c r="E29" s="4"/>
      <c r="F29" s="4">
        <f t="shared" si="0"/>
        <v>0</v>
      </c>
      <c r="G29" s="4"/>
      <c r="H29" s="4"/>
      <c r="I29" s="4"/>
      <c r="J29" s="4">
        <f t="shared" si="1"/>
        <v>0</v>
      </c>
      <c r="K29" s="4"/>
      <c r="L29" s="4"/>
      <c r="M29" s="4">
        <f t="shared" si="2"/>
        <v>0</v>
      </c>
    </row>
    <row r="30" spans="3:13" x14ac:dyDescent="0.3">
      <c r="C30" s="4" t="s">
        <v>95</v>
      </c>
      <c r="D30" s="4"/>
      <c r="E30" s="4"/>
      <c r="F30" s="4">
        <f t="shared" si="0"/>
        <v>0</v>
      </c>
      <c r="G30" s="4"/>
      <c r="H30" s="4"/>
      <c r="I30" s="4"/>
      <c r="J30" s="4">
        <f>H30*I30</f>
        <v>0</v>
      </c>
      <c r="K30" s="4"/>
      <c r="L30" s="4"/>
      <c r="M30" s="4">
        <f>K30*L30</f>
        <v>0</v>
      </c>
    </row>
    <row r="31" spans="3:13" x14ac:dyDescent="0.3">
      <c r="C31" s="4"/>
      <c r="D31" s="4"/>
      <c r="E31" s="4"/>
      <c r="F31" s="4">
        <f t="shared" si="0"/>
        <v>0</v>
      </c>
      <c r="G31" s="4"/>
      <c r="H31" s="4"/>
      <c r="I31" s="4"/>
      <c r="J31" s="4">
        <f>H31*I31</f>
        <v>0</v>
      </c>
      <c r="K31" s="4"/>
      <c r="L31" s="4"/>
      <c r="M31" s="4">
        <f>K31*L31</f>
        <v>0</v>
      </c>
    </row>
    <row r="32" spans="3:13" x14ac:dyDescent="0.3">
      <c r="C32" s="4"/>
      <c r="D32" s="4"/>
      <c r="E32" s="4"/>
      <c r="F32" s="4">
        <f t="shared" si="0"/>
        <v>0</v>
      </c>
      <c r="G32" s="4"/>
      <c r="H32" s="4"/>
      <c r="I32" s="4"/>
      <c r="J32" s="4">
        <f>H32*I32</f>
        <v>0</v>
      </c>
      <c r="K32" s="4"/>
      <c r="L32" s="4"/>
      <c r="M32" s="4">
        <f>K32*L32</f>
        <v>0</v>
      </c>
    </row>
    <row r="33" spans="3:13" x14ac:dyDescent="0.3">
      <c r="C33" s="4"/>
      <c r="D33" s="4"/>
      <c r="E33" s="4"/>
      <c r="F33" s="4">
        <f t="shared" si="0"/>
        <v>0</v>
      </c>
      <c r="G33" s="4"/>
      <c r="H33" s="4"/>
      <c r="I33" s="4"/>
      <c r="J33" s="4">
        <f>H33*I33</f>
        <v>0</v>
      </c>
      <c r="K33" s="4"/>
      <c r="L33" s="4"/>
      <c r="M33" s="4">
        <f>K33*L33</f>
        <v>0</v>
      </c>
    </row>
    <row r="34" spans="3:13" x14ac:dyDescent="0.3">
      <c r="C34" s="4" t="s">
        <v>99</v>
      </c>
      <c r="D34" s="4"/>
      <c r="E34" s="4">
        <f>F34*10.764</f>
        <v>0</v>
      </c>
      <c r="F34" s="4">
        <f>SUM(F6:F33)</f>
        <v>0</v>
      </c>
      <c r="G34" s="4"/>
      <c r="H34" s="4"/>
      <c r="I34" s="4">
        <f>J34*10.764</f>
        <v>0</v>
      </c>
      <c r="J34" s="4">
        <f>SUM(J6:J33)</f>
        <v>0</v>
      </c>
      <c r="K34" s="4"/>
      <c r="L34" s="4">
        <f>M34*10.764</f>
        <v>0</v>
      </c>
      <c r="M34" s="4">
        <f>SUM(M6:M33)</f>
        <v>0</v>
      </c>
    </row>
  </sheetData>
  <mergeCells count="4">
    <mergeCell ref="D2:E2"/>
    <mergeCell ref="D4:F4"/>
    <mergeCell ref="H4:J4"/>
    <mergeCell ref="K4:M4"/>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P20"/>
  <sheetViews>
    <sheetView workbookViewId="0">
      <selection activeCell="C7" sqref="C7"/>
    </sheetView>
  </sheetViews>
  <sheetFormatPr defaultRowHeight="14.4" x14ac:dyDescent="0.3"/>
  <cols>
    <col min="2" max="2" width="11.77734375" customWidth="1"/>
  </cols>
  <sheetData>
    <row r="2" spans="1:16" x14ac:dyDescent="0.3">
      <c r="A2" t="s">
        <v>117</v>
      </c>
      <c r="B2" s="10" t="s">
        <v>137</v>
      </c>
      <c r="C2" s="10">
        <v>4</v>
      </c>
    </row>
    <row r="3" spans="1:16" x14ac:dyDescent="0.3">
      <c r="B3" t="s">
        <v>118</v>
      </c>
      <c r="C3" t="s">
        <v>119</v>
      </c>
    </row>
    <row r="4" spans="1:16" x14ac:dyDescent="0.3">
      <c r="A4" t="s">
        <v>120</v>
      </c>
      <c r="B4" s="4">
        <v>10</v>
      </c>
      <c r="C4" s="15">
        <v>10</v>
      </c>
      <c r="E4">
        <f>C4*10</f>
        <v>100</v>
      </c>
    </row>
    <row r="5" spans="1:16" x14ac:dyDescent="0.3">
      <c r="A5" t="s">
        <v>121</v>
      </c>
      <c r="B5" t="s">
        <v>122</v>
      </c>
      <c r="C5" t="s">
        <v>123</v>
      </c>
      <c r="J5" s="4" t="s">
        <v>124</v>
      </c>
      <c r="K5" s="4" t="s">
        <v>125</v>
      </c>
      <c r="L5" s="4" t="s">
        <v>126</v>
      </c>
      <c r="M5" s="4" t="s">
        <v>36</v>
      </c>
      <c r="N5" s="4" t="s">
        <v>42</v>
      </c>
      <c r="O5" s="4" t="s">
        <v>127</v>
      </c>
      <c r="P5" s="4" t="s">
        <v>43</v>
      </c>
    </row>
    <row r="6" spans="1:16" x14ac:dyDescent="0.3">
      <c r="B6" s="4">
        <f>C2+1</f>
        <v>5</v>
      </c>
      <c r="C6" s="15">
        <v>1</v>
      </c>
      <c r="E6">
        <f>(100/B6)*C6</f>
        <v>20</v>
      </c>
      <c r="G6" s="11" t="s">
        <v>128</v>
      </c>
      <c r="J6" s="11">
        <f>C4</f>
        <v>10</v>
      </c>
      <c r="K6" s="11">
        <f>40/B6*C6</f>
        <v>8</v>
      </c>
      <c r="L6" s="11">
        <f>15/B8*C8</f>
        <v>0</v>
      </c>
      <c r="M6" s="11">
        <f>10/B10*C10</f>
        <v>0</v>
      </c>
      <c r="N6" s="11">
        <f>10/B12*C12</f>
        <v>0</v>
      </c>
      <c r="O6" s="11">
        <f>5/B14*C14</f>
        <v>0</v>
      </c>
      <c r="P6" s="11">
        <f>5/B16*C16</f>
        <v>0</v>
      </c>
    </row>
    <row r="7" spans="1:16" x14ac:dyDescent="0.3">
      <c r="A7" t="s">
        <v>129</v>
      </c>
      <c r="B7" t="s">
        <v>130</v>
      </c>
      <c r="C7" t="s">
        <v>131</v>
      </c>
      <c r="G7" s="4" t="s">
        <v>132</v>
      </c>
      <c r="H7" s="4"/>
      <c r="I7" s="4"/>
      <c r="J7" s="4">
        <f>J6+20</f>
        <v>30</v>
      </c>
      <c r="K7" s="4">
        <f>30/B6*C6</f>
        <v>6</v>
      </c>
      <c r="L7" s="4">
        <f>15/B8*C8</f>
        <v>0</v>
      </c>
      <c r="M7" s="4">
        <f>10/B10*C10</f>
        <v>0</v>
      </c>
      <c r="N7" s="4">
        <f>5/B12*C12</f>
        <v>0</v>
      </c>
      <c r="O7" s="4">
        <f>5/B14*C14</f>
        <v>0</v>
      </c>
      <c r="P7" s="4">
        <f>5/B16*C16</f>
        <v>0</v>
      </c>
    </row>
    <row r="8" spans="1:16" x14ac:dyDescent="0.3">
      <c r="B8" s="4">
        <f>C2</f>
        <v>4</v>
      </c>
      <c r="C8" s="15">
        <v>0</v>
      </c>
      <c r="E8">
        <f>(100/B8)*C8</f>
        <v>0</v>
      </c>
    </row>
    <row r="9" spans="1:16" x14ac:dyDescent="0.3">
      <c r="A9" t="s">
        <v>133</v>
      </c>
      <c r="B9" t="s">
        <v>130</v>
      </c>
      <c r="C9" t="s">
        <v>131</v>
      </c>
    </row>
    <row r="10" spans="1:16" x14ac:dyDescent="0.3">
      <c r="B10" s="4">
        <f>C2</f>
        <v>4</v>
      </c>
      <c r="C10" s="15">
        <v>0</v>
      </c>
      <c r="E10">
        <f>(100/B10)*C10</f>
        <v>0</v>
      </c>
    </row>
    <row r="11" spans="1:16" x14ac:dyDescent="0.3">
      <c r="A11" t="s">
        <v>42</v>
      </c>
      <c r="B11" t="s">
        <v>130</v>
      </c>
      <c r="C11" t="s">
        <v>131</v>
      </c>
    </row>
    <row r="12" spans="1:16" x14ac:dyDescent="0.3">
      <c r="B12" s="4">
        <f>C2</f>
        <v>4</v>
      </c>
      <c r="C12" s="15">
        <v>0</v>
      </c>
      <c r="E12">
        <f>(100/B12)*C12</f>
        <v>0</v>
      </c>
      <c r="J12" s="4"/>
      <c r="K12" s="4" t="s">
        <v>128</v>
      </c>
      <c r="L12" s="4" t="s">
        <v>134</v>
      </c>
      <c r="M12" t="s">
        <v>135</v>
      </c>
    </row>
    <row r="13" spans="1:16" ht="28.8" x14ac:dyDescent="0.3">
      <c r="A13" s="12" t="s">
        <v>127</v>
      </c>
      <c r="B13" t="s">
        <v>130</v>
      </c>
      <c r="C13" t="s">
        <v>131</v>
      </c>
      <c r="J13" s="4" t="s">
        <v>34</v>
      </c>
      <c r="K13" s="4">
        <f>J6</f>
        <v>10</v>
      </c>
      <c r="L13" s="4">
        <f>J7</f>
        <v>30</v>
      </c>
      <c r="M13" t="s">
        <v>135</v>
      </c>
    </row>
    <row r="14" spans="1:16" x14ac:dyDescent="0.3">
      <c r="B14" s="4">
        <f>C2</f>
        <v>4</v>
      </c>
      <c r="C14" s="15">
        <v>0</v>
      </c>
      <c r="E14">
        <f>(100/B14)*C14</f>
        <v>0</v>
      </c>
      <c r="J14" s="4" t="s">
        <v>35</v>
      </c>
      <c r="K14" s="4">
        <f>K6</f>
        <v>8</v>
      </c>
      <c r="L14" s="4">
        <f>K7</f>
        <v>6</v>
      </c>
    </row>
    <row r="15" spans="1:16" x14ac:dyDescent="0.3">
      <c r="A15" t="s">
        <v>43</v>
      </c>
      <c r="B15" t="s">
        <v>130</v>
      </c>
      <c r="C15" t="s">
        <v>131</v>
      </c>
      <c r="J15" s="4" t="s">
        <v>126</v>
      </c>
      <c r="K15" s="4">
        <f>L6</f>
        <v>0</v>
      </c>
      <c r="L15" s="4">
        <f>L7</f>
        <v>0</v>
      </c>
    </row>
    <row r="16" spans="1:16" x14ac:dyDescent="0.3">
      <c r="B16" s="4">
        <f>C2</f>
        <v>4</v>
      </c>
      <c r="C16" s="15">
        <v>0</v>
      </c>
      <c r="E16">
        <f>(100/B16)*C16</f>
        <v>0</v>
      </c>
      <c r="J16" s="4" t="s">
        <v>36</v>
      </c>
      <c r="K16" s="4">
        <f>M6</f>
        <v>0</v>
      </c>
      <c r="L16" s="4">
        <f>M7</f>
        <v>0</v>
      </c>
    </row>
    <row r="17" spans="10:12" x14ac:dyDescent="0.3">
      <c r="J17" s="4" t="s">
        <v>42</v>
      </c>
      <c r="K17" s="4">
        <f>N6</f>
        <v>0</v>
      </c>
      <c r="L17" s="4">
        <f>N7</f>
        <v>0</v>
      </c>
    </row>
    <row r="18" spans="10:12" ht="28.8" x14ac:dyDescent="0.3">
      <c r="J18" s="13" t="s">
        <v>127</v>
      </c>
      <c r="K18" s="4">
        <f>O6</f>
        <v>0</v>
      </c>
      <c r="L18" s="4">
        <f>O7</f>
        <v>0</v>
      </c>
    </row>
    <row r="19" spans="10:12" x14ac:dyDescent="0.3">
      <c r="J19" s="4" t="s">
        <v>43</v>
      </c>
      <c r="K19" s="4">
        <f>P6</f>
        <v>0</v>
      </c>
      <c r="L19" s="4">
        <f>P7</f>
        <v>0</v>
      </c>
    </row>
    <row r="20" spans="10:12" x14ac:dyDescent="0.3">
      <c r="J20" s="4" t="s">
        <v>136</v>
      </c>
      <c r="K20" s="4">
        <f>K13+K14+K15+K16+K17+K18+K19</f>
        <v>18</v>
      </c>
      <c r="L20" s="4">
        <f>L13+L14+L15+L16+L17+L18+L19</f>
        <v>36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P20"/>
  <sheetViews>
    <sheetView workbookViewId="0">
      <selection activeCell="C7" sqref="C7"/>
    </sheetView>
  </sheetViews>
  <sheetFormatPr defaultRowHeight="14.4" x14ac:dyDescent="0.3"/>
  <cols>
    <col min="2" max="2" width="11.77734375" customWidth="1"/>
  </cols>
  <sheetData>
    <row r="2" spans="1:16" x14ac:dyDescent="0.3">
      <c r="A2" t="s">
        <v>117</v>
      </c>
      <c r="B2" s="10" t="s">
        <v>137</v>
      </c>
      <c r="C2" s="10">
        <v>4</v>
      </c>
    </row>
    <row r="3" spans="1:16" x14ac:dyDescent="0.3">
      <c r="B3" t="s">
        <v>118</v>
      </c>
      <c r="C3" t="s">
        <v>119</v>
      </c>
    </row>
    <row r="4" spans="1:16" x14ac:dyDescent="0.3">
      <c r="A4" t="s">
        <v>120</v>
      </c>
      <c r="B4" s="4">
        <v>10</v>
      </c>
      <c r="C4" s="15">
        <v>10</v>
      </c>
      <c r="E4">
        <f>C4*10</f>
        <v>100</v>
      </c>
    </row>
    <row r="5" spans="1:16" x14ac:dyDescent="0.3">
      <c r="A5" t="s">
        <v>121</v>
      </c>
      <c r="B5" t="s">
        <v>122</v>
      </c>
      <c r="C5" t="s">
        <v>123</v>
      </c>
      <c r="J5" s="4" t="s">
        <v>124</v>
      </c>
      <c r="K5" s="4" t="s">
        <v>125</v>
      </c>
      <c r="L5" s="4" t="s">
        <v>126</v>
      </c>
      <c r="M5" s="4" t="s">
        <v>36</v>
      </c>
      <c r="N5" s="4" t="s">
        <v>42</v>
      </c>
      <c r="O5" s="4" t="s">
        <v>127</v>
      </c>
      <c r="P5" s="4" t="s">
        <v>43</v>
      </c>
    </row>
    <row r="6" spans="1:16" x14ac:dyDescent="0.3">
      <c r="B6" s="4">
        <f>C2+1</f>
        <v>5</v>
      </c>
      <c r="C6" s="15">
        <v>2</v>
      </c>
      <c r="E6">
        <f>(100/B6)*C6</f>
        <v>40</v>
      </c>
      <c r="G6" s="11" t="s">
        <v>128</v>
      </c>
      <c r="J6" s="11">
        <f>C4</f>
        <v>10</v>
      </c>
      <c r="K6" s="11">
        <f>40/B6*C6</f>
        <v>16</v>
      </c>
      <c r="L6" s="11">
        <f>15/B8*C8</f>
        <v>0</v>
      </c>
      <c r="M6" s="11">
        <f>10/B10*C10</f>
        <v>0</v>
      </c>
      <c r="N6" s="11">
        <f>10/B12*C12</f>
        <v>0</v>
      </c>
      <c r="O6" s="11">
        <f>5/B14*C14</f>
        <v>0</v>
      </c>
      <c r="P6" s="11">
        <f>5/B16*C16</f>
        <v>0</v>
      </c>
    </row>
    <row r="7" spans="1:16" x14ac:dyDescent="0.3">
      <c r="A7" t="s">
        <v>129</v>
      </c>
      <c r="B7" t="s">
        <v>130</v>
      </c>
      <c r="C7" t="s">
        <v>131</v>
      </c>
      <c r="G7" s="4" t="s">
        <v>132</v>
      </c>
      <c r="H7" s="4"/>
      <c r="I7" s="4"/>
      <c r="J7" s="4">
        <f>J6+20</f>
        <v>30</v>
      </c>
      <c r="K7" s="4">
        <f>30/B6*C6</f>
        <v>12</v>
      </c>
      <c r="L7" s="4">
        <f>15/B8*C8</f>
        <v>0</v>
      </c>
      <c r="M7" s="4">
        <f>10/B10*C10</f>
        <v>0</v>
      </c>
      <c r="N7" s="4">
        <f>5/B12*C12</f>
        <v>0</v>
      </c>
      <c r="O7" s="4">
        <f>5/B14*C14</f>
        <v>0</v>
      </c>
      <c r="P7" s="4">
        <f>5/B16*C16</f>
        <v>0</v>
      </c>
    </row>
    <row r="8" spans="1:16" x14ac:dyDescent="0.3">
      <c r="B8" s="4">
        <f>C2</f>
        <v>4</v>
      </c>
      <c r="C8" s="15">
        <v>0</v>
      </c>
      <c r="E8">
        <f>(100/B8)*C8</f>
        <v>0</v>
      </c>
    </row>
    <row r="9" spans="1:16" x14ac:dyDescent="0.3">
      <c r="A9" t="s">
        <v>133</v>
      </c>
      <c r="B9" t="s">
        <v>130</v>
      </c>
      <c r="C9" t="s">
        <v>131</v>
      </c>
    </row>
    <row r="10" spans="1:16" x14ac:dyDescent="0.3">
      <c r="B10" s="4">
        <f>C2</f>
        <v>4</v>
      </c>
      <c r="C10" s="15">
        <v>0</v>
      </c>
      <c r="E10">
        <f>(100/B10)*C10</f>
        <v>0</v>
      </c>
    </row>
    <row r="11" spans="1:16" x14ac:dyDescent="0.3">
      <c r="A11" t="s">
        <v>42</v>
      </c>
      <c r="B11" t="s">
        <v>130</v>
      </c>
      <c r="C11" t="s">
        <v>131</v>
      </c>
    </row>
    <row r="12" spans="1:16" x14ac:dyDescent="0.3">
      <c r="B12" s="4">
        <f>C2</f>
        <v>4</v>
      </c>
      <c r="C12" s="15">
        <v>0</v>
      </c>
      <c r="E12">
        <f>(100/B12)*C12</f>
        <v>0</v>
      </c>
      <c r="J12" s="4"/>
      <c r="K12" s="4" t="s">
        <v>128</v>
      </c>
      <c r="L12" s="4" t="s">
        <v>134</v>
      </c>
      <c r="M12" t="s">
        <v>135</v>
      </c>
    </row>
    <row r="13" spans="1:16" ht="28.8" x14ac:dyDescent="0.3">
      <c r="A13" s="12" t="s">
        <v>127</v>
      </c>
      <c r="B13" t="s">
        <v>130</v>
      </c>
      <c r="C13" t="s">
        <v>131</v>
      </c>
      <c r="J13" s="4" t="s">
        <v>34</v>
      </c>
      <c r="K13" s="4">
        <f>J6</f>
        <v>10</v>
      </c>
      <c r="L13" s="4">
        <f>J7</f>
        <v>30</v>
      </c>
      <c r="M13" t="s">
        <v>135</v>
      </c>
    </row>
    <row r="14" spans="1:16" x14ac:dyDescent="0.3">
      <c r="B14" s="4">
        <f>C2</f>
        <v>4</v>
      </c>
      <c r="C14" s="15">
        <v>0</v>
      </c>
      <c r="E14">
        <f>(100/B14)*C14</f>
        <v>0</v>
      </c>
      <c r="J14" s="4" t="s">
        <v>35</v>
      </c>
      <c r="K14" s="4">
        <f>K6</f>
        <v>16</v>
      </c>
      <c r="L14" s="4">
        <f>K7</f>
        <v>12</v>
      </c>
    </row>
    <row r="15" spans="1:16" x14ac:dyDescent="0.3">
      <c r="A15" t="s">
        <v>43</v>
      </c>
      <c r="B15" t="s">
        <v>130</v>
      </c>
      <c r="C15" t="s">
        <v>131</v>
      </c>
      <c r="J15" s="4" t="s">
        <v>126</v>
      </c>
      <c r="K15" s="4">
        <f>L6</f>
        <v>0</v>
      </c>
      <c r="L15" s="4">
        <f>L7</f>
        <v>0</v>
      </c>
    </row>
    <row r="16" spans="1:16" x14ac:dyDescent="0.3">
      <c r="B16" s="4">
        <f>C2</f>
        <v>4</v>
      </c>
      <c r="C16" s="15">
        <v>0</v>
      </c>
      <c r="E16">
        <f>(100/B16)*C16</f>
        <v>0</v>
      </c>
      <c r="J16" s="4" t="s">
        <v>36</v>
      </c>
      <c r="K16" s="4">
        <f>M6</f>
        <v>0</v>
      </c>
      <c r="L16" s="4">
        <f>M7</f>
        <v>0</v>
      </c>
    </row>
    <row r="17" spans="10:12" x14ac:dyDescent="0.3">
      <c r="J17" s="4" t="s">
        <v>42</v>
      </c>
      <c r="K17" s="4">
        <f>N6</f>
        <v>0</v>
      </c>
      <c r="L17" s="4">
        <f>N7</f>
        <v>0</v>
      </c>
    </row>
    <row r="18" spans="10:12" ht="28.8" x14ac:dyDescent="0.3">
      <c r="J18" s="13" t="s">
        <v>127</v>
      </c>
      <c r="K18" s="4">
        <f>O6</f>
        <v>0</v>
      </c>
      <c r="L18" s="4">
        <f>O7</f>
        <v>0</v>
      </c>
    </row>
    <row r="19" spans="10:12" x14ac:dyDescent="0.3">
      <c r="J19" s="4" t="s">
        <v>43</v>
      </c>
      <c r="K19" s="4">
        <f>P6</f>
        <v>0</v>
      </c>
      <c r="L19" s="4">
        <f>P7</f>
        <v>0</v>
      </c>
    </row>
    <row r="20" spans="10:12" x14ac:dyDescent="0.3">
      <c r="J20" s="4" t="s">
        <v>136</v>
      </c>
      <c r="K20" s="4">
        <f>K13+K14+K15+K16+K17+K18+K19</f>
        <v>26</v>
      </c>
      <c r="L20" s="4">
        <f>L13+L14+L15+L16+L17+L18+L19</f>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Sheet1</vt:lpstr>
      <vt:lpstr>Construction % (2)</vt:lpstr>
      <vt:lpstr>VALUATION</vt:lpstr>
      <vt:lpstr>Note</vt:lpstr>
      <vt:lpstr>Wing A</vt:lpstr>
      <vt:lpstr>Construction %</vt:lpstr>
      <vt:lpstr>Construction % (3)</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USER</cp:lastModifiedBy>
  <cp:lastPrinted>2025-08-12T09:50:44Z</cp:lastPrinted>
  <dcterms:created xsi:type="dcterms:W3CDTF">2013-11-23T05:32:33Z</dcterms:created>
  <dcterms:modified xsi:type="dcterms:W3CDTF">2025-08-12T09:52:41Z</dcterms:modified>
</cp:coreProperties>
</file>