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8359759D-5D8D-431B-A248-69B7AEFA062F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Report!$A$1:$H$748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6" i="1" l="1"/>
  <c r="J95" i="1"/>
  <c r="J94" i="1"/>
  <c r="J93" i="1"/>
  <c r="D344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H86" i="1"/>
  <c r="D98" i="1" l="1"/>
  <c r="D97" i="1"/>
  <c r="D96" i="1"/>
  <c r="D92" i="1"/>
  <c r="D95" i="1"/>
  <c r="J89" i="1"/>
  <c r="J91" i="1"/>
  <c r="J92" i="1" s="1"/>
  <c r="J97" i="1" s="1"/>
  <c r="J98" i="1" s="1"/>
  <c r="C90" i="1" s="1"/>
  <c r="D91" i="1"/>
  <c r="J85" i="1"/>
  <c r="J87" i="1" s="1"/>
  <c r="J90" i="1"/>
  <c r="C89" i="1" s="1"/>
  <c r="J88" i="1"/>
  <c r="D94" i="1"/>
  <c r="D93" i="1"/>
  <c r="J152" i="1"/>
  <c r="J151" i="1"/>
  <c r="J150" i="1"/>
  <c r="J149" i="1"/>
  <c r="H142" i="1"/>
  <c r="E89" i="1" l="1"/>
  <c r="D90" i="1"/>
  <c r="G89" i="1"/>
  <c r="D89" i="1"/>
  <c r="J86" i="1" s="1"/>
  <c r="D154" i="1"/>
  <c r="D148" i="1"/>
  <c r="J147" i="1"/>
  <c r="J148" i="1" s="1"/>
  <c r="J153" i="1" s="1"/>
  <c r="J154" i="1" s="1"/>
  <c r="C146" i="1" s="1"/>
  <c r="D153" i="1"/>
  <c r="D147" i="1"/>
  <c r="J146" i="1"/>
  <c r="C145" i="1" s="1"/>
  <c r="D145" i="1" s="1"/>
  <c r="D152" i="1"/>
  <c r="D151" i="1"/>
  <c r="J145" i="1"/>
  <c r="J141" i="1"/>
  <c r="J143" i="1" s="1"/>
  <c r="D150" i="1"/>
  <c r="D149" i="1"/>
  <c r="J144" i="1"/>
  <c r="J195" i="1"/>
  <c r="J194" i="1"/>
  <c r="J193" i="1"/>
  <c r="J192" i="1"/>
  <c r="D622" i="1"/>
  <c r="I86" i="1" l="1"/>
  <c r="E145" i="1"/>
  <c r="D146" i="1"/>
  <c r="I142" i="1" s="1"/>
  <c r="I143" i="1" s="1"/>
  <c r="J142" i="1"/>
  <c r="G145" i="1"/>
  <c r="C155" i="1"/>
  <c r="J166" i="1"/>
  <c r="J165" i="1"/>
  <c r="J164" i="1"/>
  <c r="J163" i="1"/>
  <c r="G319" i="1"/>
  <c r="I87" i="1" l="1"/>
  <c r="I85" i="1" s="1"/>
  <c r="C87" i="1" s="1"/>
  <c r="I141" i="1"/>
  <c r="C143" i="1" s="1"/>
  <c r="J124" i="1"/>
  <c r="J123" i="1"/>
  <c r="J122" i="1"/>
  <c r="J121" i="1"/>
  <c r="J110" i="1"/>
  <c r="J109" i="1"/>
  <c r="J108" i="1"/>
  <c r="J107" i="1"/>
  <c r="D393" i="1"/>
  <c r="F393" i="1" s="1"/>
  <c r="J392" i="1"/>
  <c r="I392" i="1"/>
  <c r="G392" i="1"/>
  <c r="D392" i="1"/>
  <c r="F392" i="1" s="1"/>
  <c r="D388" i="1"/>
  <c r="F388" i="1" s="1"/>
  <c r="J387" i="1"/>
  <c r="I387" i="1"/>
  <c r="G387" i="1"/>
  <c r="D387" i="1"/>
  <c r="F387" i="1" s="1"/>
  <c r="D383" i="1"/>
  <c r="F383" i="1" s="1"/>
  <c r="D382" i="1"/>
  <c r="C225" i="1" s="1"/>
  <c r="I382" i="1"/>
  <c r="J382" i="1"/>
  <c r="G382" i="1"/>
  <c r="H100" i="1"/>
  <c r="H114" i="1"/>
  <c r="G226" i="1" l="1"/>
  <c r="E227" i="1"/>
  <c r="G227" i="1"/>
  <c r="C227" i="1"/>
  <c r="F382" i="1"/>
  <c r="G225" i="1" s="1"/>
  <c r="J116" i="1"/>
  <c r="D119" i="1"/>
  <c r="J118" i="1"/>
  <c r="D123" i="1"/>
  <c r="J117" i="1"/>
  <c r="J113" i="1"/>
  <c r="J115" i="1" s="1"/>
  <c r="D117" i="1"/>
  <c r="D121" i="1"/>
  <c r="D126" i="1"/>
  <c r="D120" i="1"/>
  <c r="J119" i="1"/>
  <c r="J120" i="1" s="1"/>
  <c r="J125" i="1" s="1"/>
  <c r="J126" i="1" s="1"/>
  <c r="D125" i="1"/>
  <c r="D122" i="1"/>
  <c r="D124" i="1"/>
  <c r="J102" i="1"/>
  <c r="D112" i="1"/>
  <c r="D106" i="1"/>
  <c r="J105" i="1"/>
  <c r="J106" i="1" s="1"/>
  <c r="J111" i="1" s="1"/>
  <c r="J112" i="1" s="1"/>
  <c r="C104" i="1" s="1"/>
  <c r="D111" i="1"/>
  <c r="D105" i="1"/>
  <c r="J104" i="1"/>
  <c r="C103" i="1" s="1"/>
  <c r="D103" i="1" s="1"/>
  <c r="J99" i="1"/>
  <c r="J101" i="1" s="1"/>
  <c r="D110" i="1"/>
  <c r="J103" i="1"/>
  <c r="D108" i="1"/>
  <c r="D109" i="1"/>
  <c r="D107" i="1"/>
  <c r="E225" i="1"/>
  <c r="E226" i="1"/>
  <c r="C226" i="1"/>
  <c r="K543" i="1"/>
  <c r="J543" i="1"/>
  <c r="E315" i="1"/>
  <c r="E314" i="1"/>
  <c r="E308" i="1"/>
  <c r="E309" i="1"/>
  <c r="E310" i="1"/>
  <c r="E311" i="1"/>
  <c r="E312" i="1"/>
  <c r="E313" i="1"/>
  <c r="E307" i="1"/>
  <c r="E306" i="1"/>
  <c r="E305" i="1"/>
  <c r="E304" i="1"/>
  <c r="E300" i="1"/>
  <c r="E299" i="1"/>
  <c r="I424" i="1"/>
  <c r="J338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71" i="1"/>
  <c r="E117" i="1" l="1"/>
  <c r="D118" i="1"/>
  <c r="I114" i="1" s="1"/>
  <c r="I115" i="1" s="1"/>
  <c r="J114" i="1"/>
  <c r="G117" i="1"/>
  <c r="E103" i="1"/>
  <c r="D104" i="1"/>
  <c r="I100" i="1" s="1"/>
  <c r="I101" i="1" s="1"/>
  <c r="J100" i="1"/>
  <c r="G103" i="1"/>
  <c r="D539" i="1"/>
  <c r="F539" i="1" s="1"/>
  <c r="D538" i="1"/>
  <c r="F538" i="1" s="1"/>
  <c r="D537" i="1"/>
  <c r="F537" i="1" s="1"/>
  <c r="G536" i="1"/>
  <c r="D536" i="1"/>
  <c r="F536" i="1" s="1"/>
  <c r="E534" i="1"/>
  <c r="D534" i="1"/>
  <c r="E533" i="1"/>
  <c r="D533" i="1"/>
  <c r="D532" i="1"/>
  <c r="F532" i="1" s="1"/>
  <c r="G531" i="1"/>
  <c r="D531" i="1"/>
  <c r="D526" i="1"/>
  <c r="F526" i="1" s="1"/>
  <c r="D525" i="1"/>
  <c r="F525" i="1" s="1"/>
  <c r="D524" i="1"/>
  <c r="F524" i="1" s="1"/>
  <c r="G523" i="1"/>
  <c r="D523" i="1"/>
  <c r="F523" i="1" s="1"/>
  <c r="D521" i="1"/>
  <c r="F521" i="1" s="1"/>
  <c r="D520" i="1"/>
  <c r="F520" i="1" s="1"/>
  <c r="E519" i="1"/>
  <c r="D519" i="1"/>
  <c r="G518" i="1"/>
  <c r="E518" i="1"/>
  <c r="D518" i="1"/>
  <c r="D479" i="1"/>
  <c r="F479" i="1" s="1"/>
  <c r="G478" i="1"/>
  <c r="D478" i="1"/>
  <c r="F478" i="1" s="1"/>
  <c r="D473" i="1"/>
  <c r="F473" i="1" s="1"/>
  <c r="G472" i="1"/>
  <c r="D472" i="1"/>
  <c r="F472" i="1" s="1"/>
  <c r="D467" i="1"/>
  <c r="F467" i="1" s="1"/>
  <c r="G466" i="1"/>
  <c r="D466" i="1"/>
  <c r="F466" i="1" s="1"/>
  <c r="D461" i="1"/>
  <c r="F461" i="1" s="1"/>
  <c r="G460" i="1"/>
  <c r="D460" i="1"/>
  <c r="F460" i="1" s="1"/>
  <c r="D455" i="1"/>
  <c r="F455" i="1" s="1"/>
  <c r="G454" i="1"/>
  <c r="D454" i="1"/>
  <c r="F454" i="1" s="1"/>
  <c r="D449" i="1"/>
  <c r="F449" i="1" s="1"/>
  <c r="G448" i="1"/>
  <c r="D448" i="1"/>
  <c r="F448" i="1" s="1"/>
  <c r="D443" i="1"/>
  <c r="F443" i="1" s="1"/>
  <c r="G442" i="1"/>
  <c r="D442" i="1"/>
  <c r="F442" i="1" s="1"/>
  <c r="D437" i="1"/>
  <c r="F437" i="1" s="1"/>
  <c r="G436" i="1"/>
  <c r="D436" i="1"/>
  <c r="F436" i="1" s="1"/>
  <c r="D431" i="1"/>
  <c r="F431" i="1" s="1"/>
  <c r="G430" i="1"/>
  <c r="D430" i="1"/>
  <c r="F430" i="1" s="1"/>
  <c r="D419" i="1"/>
  <c r="F419" i="1" s="1"/>
  <c r="A419" i="1"/>
  <c r="D418" i="1"/>
  <c r="F418" i="1" s="1"/>
  <c r="D417" i="1"/>
  <c r="F417" i="1" s="1"/>
  <c r="A417" i="1"/>
  <c r="J416" i="1"/>
  <c r="I416" i="1"/>
  <c r="G416" i="1"/>
  <c r="D416" i="1"/>
  <c r="F416" i="1" s="1"/>
  <c r="C233" i="1" l="1"/>
  <c r="E233" i="1"/>
  <c r="F531" i="1"/>
  <c r="C234" i="1"/>
  <c r="E234" i="1"/>
  <c r="I99" i="1"/>
  <c r="C101" i="1" s="1"/>
  <c r="I113" i="1"/>
  <c r="C115" i="1" s="1"/>
  <c r="F533" i="1"/>
  <c r="F518" i="1"/>
  <c r="F519" i="1"/>
  <c r="F534" i="1"/>
  <c r="D410" i="1"/>
  <c r="F410" i="1" s="1"/>
  <c r="A410" i="1"/>
  <c r="D409" i="1"/>
  <c r="F409" i="1" s="1"/>
  <c r="D408" i="1"/>
  <c r="F408" i="1" s="1"/>
  <c r="A408" i="1"/>
  <c r="J407" i="1"/>
  <c r="I407" i="1"/>
  <c r="G407" i="1"/>
  <c r="D407" i="1"/>
  <c r="F407" i="1" s="1"/>
  <c r="D553" i="1"/>
  <c r="F553" i="1" s="1"/>
  <c r="D552" i="1"/>
  <c r="F552" i="1" s="1"/>
  <c r="D551" i="1"/>
  <c r="F551" i="1" s="1"/>
  <c r="D550" i="1"/>
  <c r="F550" i="1" s="1"/>
  <c r="D549" i="1"/>
  <c r="F549" i="1" s="1"/>
  <c r="D548" i="1"/>
  <c r="F548" i="1" s="1"/>
  <c r="D547" i="1"/>
  <c r="F547" i="1" s="1"/>
  <c r="D546" i="1"/>
  <c r="F546" i="1" s="1"/>
  <c r="D544" i="1"/>
  <c r="F544" i="1" s="1"/>
  <c r="D545" i="1"/>
  <c r="F545" i="1" s="1"/>
  <c r="I545" i="1" s="1"/>
  <c r="J398" i="1"/>
  <c r="I398" i="1"/>
  <c r="D399" i="1"/>
  <c r="F399" i="1" s="1"/>
  <c r="I399" i="1" s="1"/>
  <c r="D400" i="1"/>
  <c r="F400" i="1" s="1"/>
  <c r="D401" i="1"/>
  <c r="F401" i="1" s="1"/>
  <c r="D398" i="1"/>
  <c r="G398" i="1"/>
  <c r="G233" i="1" l="1"/>
  <c r="G234" i="1"/>
  <c r="F398" i="1"/>
  <c r="G228" i="1" s="1"/>
  <c r="E228" i="1"/>
  <c r="C228" i="1"/>
  <c r="I543" i="1"/>
  <c r="D543" i="1"/>
  <c r="G544" i="1"/>
  <c r="G545" i="1" s="1"/>
  <c r="G546" i="1" s="1"/>
  <c r="G547" i="1" s="1"/>
  <c r="G548" i="1" s="1"/>
  <c r="G549" i="1" s="1"/>
  <c r="G550" i="1" s="1"/>
  <c r="G551" i="1" s="1"/>
  <c r="G552" i="1" s="1"/>
  <c r="G553" i="1" s="1"/>
  <c r="D513" i="1"/>
  <c r="F513" i="1" s="1"/>
  <c r="D512" i="1"/>
  <c r="F512" i="1" s="1"/>
  <c r="D511" i="1"/>
  <c r="F511" i="1" s="1"/>
  <c r="G510" i="1"/>
  <c r="D510" i="1"/>
  <c r="F510" i="1" s="1"/>
  <c r="D500" i="1"/>
  <c r="F500" i="1" s="1"/>
  <c r="D498" i="1"/>
  <c r="F498" i="1" s="1"/>
  <c r="D497" i="1"/>
  <c r="F497" i="1" s="1"/>
  <c r="D499" i="1"/>
  <c r="F499" i="1" s="1"/>
  <c r="G497" i="1"/>
  <c r="E508" i="1"/>
  <c r="E507" i="1"/>
  <c r="D508" i="1"/>
  <c r="D507" i="1"/>
  <c r="D506" i="1"/>
  <c r="F506" i="1" s="1"/>
  <c r="D505" i="1"/>
  <c r="G505" i="1"/>
  <c r="D495" i="1"/>
  <c r="F495" i="1" s="1"/>
  <c r="D494" i="1"/>
  <c r="F494" i="1" s="1"/>
  <c r="I494" i="1" s="1"/>
  <c r="E493" i="1"/>
  <c r="D493" i="1"/>
  <c r="E492" i="1"/>
  <c r="D492" i="1"/>
  <c r="G492" i="1"/>
  <c r="G304" i="1"/>
  <c r="D330" i="1"/>
  <c r="F330" i="1" s="1"/>
  <c r="D329" i="1"/>
  <c r="F329" i="1" s="1"/>
  <c r="D328" i="1"/>
  <c r="F328" i="1" s="1"/>
  <c r="D327" i="1"/>
  <c r="F327" i="1" s="1"/>
  <c r="D326" i="1"/>
  <c r="F326" i="1" s="1"/>
  <c r="D325" i="1"/>
  <c r="F325" i="1" s="1"/>
  <c r="D324" i="1"/>
  <c r="F324" i="1" s="1"/>
  <c r="D323" i="1"/>
  <c r="F323" i="1" s="1"/>
  <c r="D322" i="1"/>
  <c r="F322" i="1" s="1"/>
  <c r="D321" i="1"/>
  <c r="F321" i="1" s="1"/>
  <c r="D320" i="1"/>
  <c r="F320" i="1" s="1"/>
  <c r="D319" i="1"/>
  <c r="D315" i="1"/>
  <c r="F315" i="1" s="1"/>
  <c r="D314" i="1"/>
  <c r="F314" i="1" s="1"/>
  <c r="D313" i="1"/>
  <c r="F313" i="1" s="1"/>
  <c r="D312" i="1"/>
  <c r="F312" i="1" s="1"/>
  <c r="D311" i="1"/>
  <c r="F311" i="1" s="1"/>
  <c r="D310" i="1"/>
  <c r="F310" i="1" s="1"/>
  <c r="D309" i="1"/>
  <c r="F309" i="1" s="1"/>
  <c r="D308" i="1"/>
  <c r="F308" i="1" s="1"/>
  <c r="D307" i="1"/>
  <c r="F307" i="1" s="1"/>
  <c r="D306" i="1"/>
  <c r="F306" i="1" s="1"/>
  <c r="D305" i="1"/>
  <c r="F305" i="1" s="1"/>
  <c r="D304" i="1"/>
  <c r="A305" i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D486" i="1"/>
  <c r="F486" i="1" s="1"/>
  <c r="D487" i="1"/>
  <c r="F487" i="1" s="1"/>
  <c r="G486" i="1"/>
  <c r="E483" i="1"/>
  <c r="D483" i="1"/>
  <c r="G299" i="1"/>
  <c r="D300" i="1"/>
  <c r="F300" i="1" s="1"/>
  <c r="D299" i="1"/>
  <c r="A300" i="1"/>
  <c r="D484" i="1"/>
  <c r="F484" i="1" s="1"/>
  <c r="G483" i="1"/>
  <c r="J424" i="1"/>
  <c r="D425" i="1"/>
  <c r="F425" i="1" s="1"/>
  <c r="D424" i="1"/>
  <c r="G424" i="1"/>
  <c r="D376" i="1"/>
  <c r="F376" i="1" s="1"/>
  <c r="D375" i="1"/>
  <c r="F375" i="1" s="1"/>
  <c r="D374" i="1"/>
  <c r="F374" i="1" s="1"/>
  <c r="D373" i="1"/>
  <c r="F373" i="1" s="1"/>
  <c r="D371" i="1"/>
  <c r="F371" i="1" s="1"/>
  <c r="D370" i="1"/>
  <c r="F370" i="1" s="1"/>
  <c r="E369" i="1"/>
  <c r="D369" i="1"/>
  <c r="E368" i="1"/>
  <c r="D368" i="1"/>
  <c r="D366" i="1"/>
  <c r="F366" i="1" s="1"/>
  <c r="D365" i="1"/>
  <c r="D362" i="1"/>
  <c r="F362" i="1" s="1"/>
  <c r="D361" i="1"/>
  <c r="F361" i="1" s="1"/>
  <c r="D360" i="1"/>
  <c r="F360" i="1" s="1"/>
  <c r="D359" i="1"/>
  <c r="F359" i="1" s="1"/>
  <c r="E357" i="1"/>
  <c r="D357" i="1"/>
  <c r="E356" i="1"/>
  <c r="D356" i="1"/>
  <c r="E355" i="1"/>
  <c r="D355" i="1"/>
  <c r="D354" i="1"/>
  <c r="F354" i="1" s="1"/>
  <c r="D352" i="1"/>
  <c r="D349" i="1"/>
  <c r="F349" i="1" s="1"/>
  <c r="D348" i="1"/>
  <c r="F348" i="1" s="1"/>
  <c r="D347" i="1"/>
  <c r="F347" i="1" s="1"/>
  <c r="D346" i="1"/>
  <c r="F346" i="1" s="1"/>
  <c r="E344" i="1"/>
  <c r="E343" i="1"/>
  <c r="D343" i="1"/>
  <c r="D342" i="1"/>
  <c r="F342" i="1" s="1"/>
  <c r="D341" i="1"/>
  <c r="F341" i="1" s="1"/>
  <c r="D339" i="1"/>
  <c r="D338" i="1"/>
  <c r="G373" i="1"/>
  <c r="G359" i="1"/>
  <c r="G346" i="1"/>
  <c r="I339" i="1"/>
  <c r="G368" i="1"/>
  <c r="G354" i="1"/>
  <c r="I344" i="1"/>
  <c r="J344" i="1" s="1"/>
  <c r="K343" i="1"/>
  <c r="I343" i="1"/>
  <c r="J343" i="1" s="1"/>
  <c r="G341" i="1"/>
  <c r="A366" i="1"/>
  <c r="I365" i="1"/>
  <c r="G365" i="1"/>
  <c r="I352" i="1"/>
  <c r="G352" i="1"/>
  <c r="I338" i="1"/>
  <c r="K338" i="1" s="1"/>
  <c r="L338" i="1" s="1"/>
  <c r="D295" i="1"/>
  <c r="F295" i="1" s="1"/>
  <c r="D294" i="1"/>
  <c r="F294" i="1" s="1"/>
  <c r="D293" i="1"/>
  <c r="F293" i="1" s="1"/>
  <c r="D292" i="1"/>
  <c r="F292" i="1" s="1"/>
  <c r="D291" i="1"/>
  <c r="F291" i="1" s="1"/>
  <c r="D290" i="1"/>
  <c r="F290" i="1" s="1"/>
  <c r="D289" i="1"/>
  <c r="F289" i="1" s="1"/>
  <c r="D288" i="1"/>
  <c r="F288" i="1" s="1"/>
  <c r="D287" i="1"/>
  <c r="F287" i="1" s="1"/>
  <c r="D286" i="1"/>
  <c r="F286" i="1" s="1"/>
  <c r="D285" i="1"/>
  <c r="F285" i="1" s="1"/>
  <c r="D284" i="1"/>
  <c r="F284" i="1" s="1"/>
  <c r="D283" i="1"/>
  <c r="F283" i="1" s="1"/>
  <c r="D282" i="1"/>
  <c r="F282" i="1" s="1"/>
  <c r="D281" i="1"/>
  <c r="F281" i="1" s="1"/>
  <c r="D280" i="1"/>
  <c r="F280" i="1" s="1"/>
  <c r="D279" i="1"/>
  <c r="F279" i="1" s="1"/>
  <c r="D278" i="1"/>
  <c r="F278" i="1" s="1"/>
  <c r="D277" i="1"/>
  <c r="F277" i="1" s="1"/>
  <c r="D276" i="1"/>
  <c r="F276" i="1" s="1"/>
  <c r="D275" i="1"/>
  <c r="F275" i="1" s="1"/>
  <c r="D274" i="1"/>
  <c r="F274" i="1" s="1"/>
  <c r="D273" i="1"/>
  <c r="F273" i="1" s="1"/>
  <c r="D272" i="1"/>
  <c r="F272" i="1" s="1"/>
  <c r="D271" i="1"/>
  <c r="F271" i="1" s="1"/>
  <c r="G271" i="1"/>
  <c r="D269" i="1"/>
  <c r="F269" i="1" s="1"/>
  <c r="D268" i="1"/>
  <c r="F268" i="1" s="1"/>
  <c r="D267" i="1"/>
  <c r="F267" i="1" s="1"/>
  <c r="D266" i="1"/>
  <c r="F266" i="1" s="1"/>
  <c r="D265" i="1"/>
  <c r="F265" i="1" s="1"/>
  <c r="D264" i="1"/>
  <c r="F264" i="1" s="1"/>
  <c r="D263" i="1"/>
  <c r="F263" i="1" s="1"/>
  <c r="D262" i="1"/>
  <c r="F262" i="1" s="1"/>
  <c r="D261" i="1"/>
  <c r="F261" i="1" s="1"/>
  <c r="D260" i="1"/>
  <c r="F260" i="1" s="1"/>
  <c r="D259" i="1"/>
  <c r="F259" i="1" s="1"/>
  <c r="D258" i="1"/>
  <c r="F258" i="1" s="1"/>
  <c r="D257" i="1"/>
  <c r="F257" i="1" s="1"/>
  <c r="D256" i="1"/>
  <c r="F256" i="1" s="1"/>
  <c r="D255" i="1"/>
  <c r="F255" i="1" s="1"/>
  <c r="D254" i="1"/>
  <c r="F254" i="1" s="1"/>
  <c r="D253" i="1"/>
  <c r="F253" i="1" s="1"/>
  <c r="D252" i="1"/>
  <c r="F252" i="1" s="1"/>
  <c r="D251" i="1"/>
  <c r="F251" i="1" s="1"/>
  <c r="D250" i="1"/>
  <c r="F250" i="1" s="1"/>
  <c r="D249" i="1"/>
  <c r="F249" i="1" s="1"/>
  <c r="D248" i="1"/>
  <c r="D247" i="1"/>
  <c r="D246" i="1"/>
  <c r="D245" i="1"/>
  <c r="I245" i="1"/>
  <c r="J41" i="1"/>
  <c r="J40" i="1"/>
  <c r="E215" i="1" l="1"/>
  <c r="C215" i="1"/>
  <c r="F365" i="1"/>
  <c r="E224" i="1"/>
  <c r="C224" i="1"/>
  <c r="C222" i="1"/>
  <c r="F352" i="1"/>
  <c r="G223" i="1" s="1"/>
  <c r="C223" i="1"/>
  <c r="E223" i="1"/>
  <c r="F319" i="1"/>
  <c r="G218" i="1" s="1"/>
  <c r="C218" i="1"/>
  <c r="E218" i="1"/>
  <c r="E222" i="1"/>
  <c r="E229" i="1"/>
  <c r="C229" i="1"/>
  <c r="F505" i="1"/>
  <c r="C232" i="1"/>
  <c r="E232" i="1"/>
  <c r="E230" i="1"/>
  <c r="C230" i="1"/>
  <c r="C231" i="1"/>
  <c r="E231" i="1"/>
  <c r="E235" i="1"/>
  <c r="C235" i="1"/>
  <c r="C217" i="1"/>
  <c r="E217" i="1"/>
  <c r="C216" i="1"/>
  <c r="E216" i="1"/>
  <c r="F543" i="1"/>
  <c r="G235" i="1" s="1"/>
  <c r="F338" i="1"/>
  <c r="F343" i="1"/>
  <c r="F424" i="1"/>
  <c r="G229" i="1" s="1"/>
  <c r="F304" i="1"/>
  <c r="G217" i="1" s="1"/>
  <c r="F299" i="1"/>
  <c r="G216" i="1" s="1"/>
  <c r="F492" i="1"/>
  <c r="F356" i="1"/>
  <c r="F493" i="1"/>
  <c r="F508" i="1"/>
  <c r="F507" i="1"/>
  <c r="F483" i="1"/>
  <c r="G230" i="1" s="1"/>
  <c r="F355" i="1"/>
  <c r="F368" i="1"/>
  <c r="F344" i="1"/>
  <c r="F369" i="1"/>
  <c r="F357" i="1"/>
  <c r="C14" i="1"/>
  <c r="E236" i="1" l="1"/>
  <c r="C236" i="1"/>
  <c r="G224" i="1"/>
  <c r="C219" i="1"/>
  <c r="E219" i="1"/>
  <c r="G231" i="1"/>
  <c r="G232" i="1"/>
  <c r="E29" i="1"/>
  <c r="F339" i="1" l="1"/>
  <c r="G222" i="1" s="1"/>
  <c r="G236" i="1" s="1"/>
  <c r="G338" i="1"/>
  <c r="F212" i="1" l="1"/>
  <c r="F246" i="1" l="1"/>
  <c r="F247" i="1"/>
  <c r="F248" i="1"/>
  <c r="F245" i="1"/>
  <c r="G215" i="1" l="1"/>
  <c r="G219" i="1" s="1"/>
  <c r="B556" i="1"/>
  <c r="B557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580" i="1"/>
  <c r="A246" i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G245" i="1"/>
  <c r="J180" i="1"/>
  <c r="J179" i="1"/>
  <c r="J178" i="1"/>
  <c r="J177" i="1"/>
  <c r="J138" i="1"/>
  <c r="J137" i="1"/>
  <c r="J136" i="1"/>
  <c r="J135" i="1"/>
  <c r="J82" i="1"/>
  <c r="J81" i="1"/>
  <c r="J80" i="1"/>
  <c r="J79" i="1"/>
  <c r="D54" i="1"/>
  <c r="C49" i="1"/>
  <c r="E42" i="1"/>
  <c r="E43" i="1" s="1"/>
  <c r="E26" i="1"/>
  <c r="E24" i="1"/>
  <c r="E7" i="1"/>
  <c r="E3" i="1"/>
  <c r="H128" i="1"/>
  <c r="H170" i="1"/>
  <c r="H72" i="1"/>
  <c r="D65" i="1" l="1"/>
  <c r="D138" i="1"/>
  <c r="D139" i="1"/>
  <c r="D140" i="1"/>
  <c r="D134" i="1"/>
  <c r="D135" i="1"/>
  <c r="D136" i="1"/>
  <c r="D137" i="1"/>
  <c r="J127" i="1"/>
  <c r="J129" i="1" s="1"/>
  <c r="D84" i="1"/>
  <c r="D82" i="1"/>
  <c r="D81" i="1"/>
  <c r="D80" i="1"/>
  <c r="D78" i="1"/>
  <c r="J71" i="1"/>
  <c r="D83" i="1"/>
  <c r="D79" i="1"/>
  <c r="J75" i="1"/>
  <c r="J76" i="1"/>
  <c r="C75" i="1" s="1"/>
  <c r="J74" i="1"/>
  <c r="J77" i="1"/>
  <c r="J78" i="1" s="1"/>
  <c r="J83" i="1" s="1"/>
  <c r="J84" i="1" s="1"/>
  <c r="C76" i="1" s="1"/>
  <c r="J169" i="1"/>
  <c r="J171" i="1" s="1"/>
  <c r="J173" i="1"/>
  <c r="D182" i="1"/>
  <c r="D180" i="1"/>
  <c r="D178" i="1"/>
  <c r="D176" i="1"/>
  <c r="J174" i="1"/>
  <c r="C173" i="1" s="1"/>
  <c r="J172" i="1"/>
  <c r="J175" i="1"/>
  <c r="J176" i="1" s="1"/>
  <c r="J181" i="1" s="1"/>
  <c r="J182" i="1" s="1"/>
  <c r="C174" i="1" s="1"/>
  <c r="D181" i="1"/>
  <c r="D179" i="1"/>
  <c r="D177" i="1"/>
  <c r="J133" i="1"/>
  <c r="J134" i="1" s="1"/>
  <c r="J139" i="1" s="1"/>
  <c r="J140" i="1" s="1"/>
  <c r="C132" i="1" s="1"/>
  <c r="J131" i="1"/>
  <c r="J132" i="1"/>
  <c r="C131" i="1" s="1"/>
  <c r="J130" i="1"/>
  <c r="D175" i="1" l="1"/>
  <c r="D173" i="1"/>
  <c r="D133" i="1"/>
  <c r="D77" i="1"/>
  <c r="J73" i="1"/>
  <c r="E75" i="1"/>
  <c r="D76" i="1"/>
  <c r="G75" i="1"/>
  <c r="D69" i="1" s="1"/>
  <c r="D70" i="1" s="1"/>
  <c r="D75" i="1"/>
  <c r="E131" i="1"/>
  <c r="D132" i="1"/>
  <c r="G131" i="1"/>
  <c r="D131" i="1"/>
  <c r="J128" i="1" s="1"/>
  <c r="E173" i="1"/>
  <c r="D174" i="1"/>
  <c r="G173" i="1"/>
  <c r="H156" i="1"/>
  <c r="H184" i="1"/>
  <c r="J189" i="1" l="1"/>
  <c r="C188" i="1" s="1"/>
  <c r="J187" i="1"/>
  <c r="D195" i="1"/>
  <c r="D190" i="1"/>
  <c r="J183" i="1"/>
  <c r="J185" i="1" s="1"/>
  <c r="D197" i="1"/>
  <c r="D193" i="1"/>
  <c r="J188" i="1"/>
  <c r="D191" i="1"/>
  <c r="J190" i="1"/>
  <c r="J191" i="1" s="1"/>
  <c r="J196" i="1" s="1"/>
  <c r="J197" i="1" s="1"/>
  <c r="C189" i="1" s="1"/>
  <c r="D194" i="1"/>
  <c r="D196" i="1"/>
  <c r="D192" i="1"/>
  <c r="J158" i="1"/>
  <c r="D166" i="1"/>
  <c r="D165" i="1"/>
  <c r="J155" i="1"/>
  <c r="J157" i="1" s="1"/>
  <c r="D164" i="1"/>
  <c r="D168" i="1"/>
  <c r="D162" i="1"/>
  <c r="J160" i="1"/>
  <c r="C159" i="1" s="1"/>
  <c r="J159" i="1"/>
  <c r="J161" i="1"/>
  <c r="J162" i="1" s="1"/>
  <c r="J167" i="1" s="1"/>
  <c r="J168" i="1" s="1"/>
  <c r="C160" i="1" s="1"/>
  <c r="D163" i="1"/>
  <c r="D167" i="1"/>
  <c r="D161" i="1"/>
  <c r="I72" i="1"/>
  <c r="J72" i="1"/>
  <c r="I170" i="1"/>
  <c r="J170" i="1"/>
  <c r="I128" i="1"/>
  <c r="F70" i="1"/>
  <c r="E188" i="1" l="1"/>
  <c r="D189" i="1"/>
  <c r="G188" i="1"/>
  <c r="D188" i="1"/>
  <c r="E159" i="1"/>
  <c r="D160" i="1"/>
  <c r="G159" i="1"/>
  <c r="D159" i="1"/>
  <c r="I73" i="1"/>
  <c r="I71" i="1" s="1"/>
  <c r="C73" i="1" s="1"/>
  <c r="I171" i="1"/>
  <c r="I169" i="1" s="1"/>
  <c r="C171" i="1" s="1"/>
  <c r="I129" i="1"/>
  <c r="I127" i="1" s="1"/>
  <c r="C129" i="1" s="1"/>
  <c r="I184" i="1" l="1"/>
  <c r="I185" i="1" s="1"/>
  <c r="J184" i="1"/>
  <c r="I183" i="1" s="1"/>
  <c r="C185" i="1" s="1"/>
  <c r="I156" i="1"/>
  <c r="I157" i="1" s="1"/>
  <c r="J156" i="1"/>
  <c r="I155" i="1" l="1"/>
  <c r="C157" i="1" s="1"/>
</calcChain>
</file>

<file path=xl/sharedStrings.xml><?xml version="1.0" encoding="utf-8"?>
<sst xmlns="http://schemas.openxmlformats.org/spreadsheetml/2006/main" count="957" uniqueCount="328">
  <si>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</si>
  <si>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</si>
  <si>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</si>
  <si>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</si>
  <si>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</si>
  <si>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</si>
  <si>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</si>
  <si>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</si>
  <si>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</si>
  <si>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</si>
  <si>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</si>
  <si>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</si>
  <si>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</si>
  <si>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</si>
  <si>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</si>
  <si>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</si>
  <si>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</si>
  <si>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</si>
  <si>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</si>
  <si>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</si>
  <si>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</si>
  <si>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</si>
  <si>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</si>
  <si>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</si>
  <si>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</si>
  <si>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</si>
  <si>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</si>
  <si>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</si>
  <si>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</si>
  <si>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</si>
  <si>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</si>
  <si>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</si>
  <si>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</si>
  <si>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</si>
  <si>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</si>
  <si>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</si>
  <si>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</si>
  <si>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</si>
  <si>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</si>
  <si>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</si>
  <si>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</si>
  <si>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</si>
  <si>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</si>
  <si>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</si>
  <si>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</si>
  <si>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</si>
  <si>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</si>
  <si>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</si>
  <si>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</si>
  <si>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</si>
  <si>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</si>
  <si>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</si>
  <si>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</si>
  <si>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</si>
  <si>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</si>
  <si>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</si>
  <si>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</si>
  <si>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</si>
  <si>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</si>
  <si>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</si>
  <si>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</si>
  <si>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</si>
  <si>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</si>
  <si>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</si>
  <si>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</si>
  <si>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</si>
  <si>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</si>
  <si>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</si>
  <si>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</si>
  <si>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</si>
  <si>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</si>
  <si>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</si>
  <si>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</si>
  <si>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</si>
  <si>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</si>
  <si>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</si>
  <si>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</si>
  <si>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</si>
  <si>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</si>
  <si>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</si>
  <si>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</si>
  <si>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</si>
  <si>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</si>
  <si>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</si>
  <si>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</si>
  <si>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</si>
  <si>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</si>
  <si>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</si>
  <si>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</si>
  <si>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</si>
  <si>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</si>
  <si>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</si>
  <si>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</si>
  <si>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</si>
  <si>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</si>
  <si>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</si>
  <si>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</si>
  <si>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</si>
  <si>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</si>
  <si>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</si>
  <si>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</si>
  <si>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</si>
  <si>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</si>
  <si>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</si>
  <si>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</si>
  <si>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</si>
  <si>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</si>
  <si>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</si>
  <si>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</si>
  <si>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</si>
  <si>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</si>
  <si>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</si>
  <si>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</si>
  <si>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</si>
  <si>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</si>
  <si>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</si>
  <si>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</si>
  <si>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</si>
  <si>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</si>
  <si>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</si>
  <si>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</si>
  <si>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</si>
  <si>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</si>
  <si>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</si>
  <si>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</si>
  <si>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</si>
  <si>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</si>
  <si>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</si>
  <si>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</si>
  <si>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</si>
  <si>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</si>
  <si>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</si>
  <si>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</si>
  <si>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</si>
  <si>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</si>
  <si>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</si>
  <si>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</si>
  <si>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</si>
  <si>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</si>
  <si>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</si>
  <si>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</si>
  <si>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</si>
  <si>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</si>
  <si>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</si>
  <si>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</si>
  <si>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</si>
  <si>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</si>
  <si>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</si>
  <si>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</si>
  <si>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</si>
  <si>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</si>
  <si>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</si>
  <si>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</si>
  <si>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</si>
  <si>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</si>
  <si>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</si>
  <si>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</si>
  <si>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</si>
  <si>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</si>
  <si>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</si>
  <si>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</si>
  <si>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</si>
  <si>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</si>
  <si>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</si>
  <si>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</si>
  <si>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Flat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</si>
  <si>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</si>
  <si>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</si>
  <si>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</si>
  <si>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</si>
  <si>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</si>
  <si>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</si>
  <si>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Axis Goregaon</t>
  </si>
  <si>
    <t xml:space="preserve">Mahavir Associates
</t>
  </si>
  <si>
    <t>Roop Rajat Park</t>
  </si>
  <si>
    <t>Betegaon</t>
  </si>
  <si>
    <t>Gut No</t>
  </si>
  <si>
    <t>157+158/9+168/1+168/2+169/1+169/2+158/1/1</t>
  </si>
  <si>
    <t>Palghar</t>
  </si>
  <si>
    <t>Roop Rajat Park Sector 3</t>
  </si>
  <si>
    <t>4.6KM from Boisar Railway Station</t>
  </si>
  <si>
    <t>Roop Rajat Bldg No. 1</t>
  </si>
  <si>
    <t>Ostwal Kesar Park</t>
  </si>
  <si>
    <t>Roop Rajat Park, Sector-lII, Building- 4</t>
  </si>
  <si>
    <t>https://goo.gl/maps/THekqKvWCx5BSmY48</t>
  </si>
  <si>
    <t>Phase III = P99000046640</t>
  </si>
  <si>
    <t>As per RERA - 31/03/2027</t>
  </si>
  <si>
    <t>Shop</t>
  </si>
  <si>
    <t>1st &amp; 2nd Podium Floor For Commercial</t>
  </si>
  <si>
    <t>A Wing</t>
  </si>
  <si>
    <t>2BHK</t>
  </si>
  <si>
    <t>B Wing</t>
  </si>
  <si>
    <t>C Wing</t>
  </si>
  <si>
    <t>1st &amp; 2nd  Floor For Residential</t>
  </si>
  <si>
    <t>1st &amp; 2nd Floor For Residential</t>
  </si>
  <si>
    <t>3rd Floor</t>
  </si>
  <si>
    <t>4th to 6th Floor</t>
  </si>
  <si>
    <t>Sector 3</t>
  </si>
  <si>
    <t>Ground Floor For Parking &amp; Security Office</t>
  </si>
  <si>
    <t>Building No. 6B</t>
  </si>
  <si>
    <t>Sector 1</t>
  </si>
  <si>
    <t>Building No. 2</t>
  </si>
  <si>
    <t>Ground Floor For Commercial &amp; Parking</t>
  </si>
  <si>
    <t>1st Floor For Residential</t>
  </si>
  <si>
    <t>2nd to 7th Floor</t>
  </si>
  <si>
    <t>Sector 4</t>
  </si>
  <si>
    <t>Building No. B1, B2, B3, B4, B5, B6, B7, B8, B9, B10, B11</t>
  </si>
  <si>
    <t>Row House</t>
  </si>
  <si>
    <t>4BHK</t>
  </si>
  <si>
    <t>We considered Gross carpet area = Net carpet + Balcony.</t>
  </si>
  <si>
    <t>1st to 7th Floor For Residential</t>
  </si>
  <si>
    <t>3BHK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</si>
  <si>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</si>
  <si>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</si>
  <si>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</si>
  <si>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</si>
  <si>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</si>
  <si>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</si>
  <si>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</si>
  <si>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</si>
  <si>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</si>
  <si>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</si>
  <si>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</si>
  <si>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Sector 3 Building No. 6B</t>
  </si>
  <si>
    <t>Building No. 7B</t>
  </si>
  <si>
    <t>Building No. 7A</t>
  </si>
  <si>
    <t xml:space="preserve">Sector 3 Building No. 7A </t>
  </si>
  <si>
    <t>Are drafted</t>
  </si>
  <si>
    <t>Sector 1 Building No.16</t>
  </si>
  <si>
    <t>Sector 3 Building No. 6A</t>
  </si>
  <si>
    <t>Sector 3 Building No. 7B</t>
  </si>
  <si>
    <t>Please check notes during all Visits</t>
  </si>
  <si>
    <t>Sector 1  Building No. 2 Wing A, b &amp; C are drafted.</t>
  </si>
  <si>
    <t>Sector 1  Building No. 16, 17 &amp; 18 are drafted</t>
  </si>
  <si>
    <t>Building No. 17</t>
  </si>
  <si>
    <t>Building No. 18</t>
  </si>
  <si>
    <t>Building No. 16</t>
  </si>
  <si>
    <t>Bldg No. 17 &amp; 18</t>
  </si>
  <si>
    <t>Sector 3 Building No. 1A, 1B, 2A, 2B, 2C, 3A, 3B, 5C, 6A, 12A, 12B, 13A, 13B</t>
  </si>
  <si>
    <t>Building No. 1A</t>
  </si>
  <si>
    <t>Building No. 1B</t>
  </si>
  <si>
    <t>Building No. 2A</t>
  </si>
  <si>
    <t>Building No. 2B</t>
  </si>
  <si>
    <t>Building No. 5C</t>
  </si>
  <si>
    <t>Building No. 12A</t>
  </si>
  <si>
    <t>Building No. 12B</t>
  </si>
  <si>
    <t>Building No. 13A</t>
  </si>
  <si>
    <t>Building No. 13B</t>
  </si>
  <si>
    <t>Building No. 6A</t>
  </si>
  <si>
    <t>Building No. 8A</t>
  </si>
  <si>
    <t>Building No. 8B</t>
  </si>
  <si>
    <t>Sector 1  Building No. 7A+7B &amp; 8A+8B are drafted</t>
  </si>
  <si>
    <t>Approved Plans, CC, Sale Plans, Cost Sheet</t>
  </si>
  <si>
    <t>Boisar Road</t>
  </si>
  <si>
    <t>Boisar East</t>
  </si>
  <si>
    <t>Chillar Road</t>
  </si>
  <si>
    <t xml:space="preserve">Office Of District Collector, Palghar
</t>
  </si>
  <si>
    <t>Mahsul/Kash-1/T-1/NAP/SR-439/2021</t>
  </si>
  <si>
    <t>Sector 4 (B1 to B11) = Gr + 1st Floor</t>
  </si>
  <si>
    <t>Layout Plan :</t>
  </si>
  <si>
    <t>Attached Otla area</t>
  </si>
  <si>
    <t>101 to 701</t>
  </si>
  <si>
    <t>102 to 702</t>
  </si>
  <si>
    <t>102 to 703</t>
  </si>
  <si>
    <t>103 to 704</t>
  </si>
  <si>
    <t>G + 1st Floor</t>
  </si>
  <si>
    <t>Wing A</t>
  </si>
  <si>
    <t>Sector 1 Building No.2
Wing A</t>
  </si>
  <si>
    <t>Sector 3 Building No. 7A &amp; 7B</t>
  </si>
  <si>
    <t xml:space="preserve">Sector 4 Row House </t>
  </si>
  <si>
    <t>Recommended rate of the Shop Per Sq. Ft. (Ground Floor)</t>
  </si>
  <si>
    <t>Recommended rate of the Row House Per Sq. Ft.</t>
  </si>
  <si>
    <t>Meter, Transformer, 1 Year House Tax, Water Charges ETC</t>
  </si>
  <si>
    <t>rate sheet</t>
  </si>
  <si>
    <t>cost sheet</t>
  </si>
  <si>
    <t>flat</t>
  </si>
  <si>
    <t>Row house</t>
  </si>
  <si>
    <t>market</t>
  </si>
  <si>
    <t>Recommended rate of the Shop Per Sq. Ft. (1st &amp; 2nd Floor)</t>
  </si>
  <si>
    <t>Sector 1 (Building No. 2 - Wing A) = Gr + 1st to 6th Floor</t>
  </si>
  <si>
    <t>Sector 3 (Building No. 7 - Wing A &amp; B) = Gr + 1st to 7th Floor</t>
  </si>
  <si>
    <t>201 to 701</t>
  </si>
  <si>
    <t>202 to 702</t>
  </si>
  <si>
    <t>202 to 703</t>
  </si>
  <si>
    <t>203 to 704</t>
  </si>
  <si>
    <t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</t>
  </si>
  <si>
    <t>Building No. 5</t>
  </si>
  <si>
    <t>Ground Floor For Parking, Driver Room &amp; Security Office</t>
  </si>
  <si>
    <t>Sector 1 - Building 5A 5B 5C 6A 6B area is same</t>
  </si>
  <si>
    <t>Sector 1 Building No.5
Wing A</t>
  </si>
  <si>
    <t>Sector 1 Building No.5
Wing B</t>
  </si>
  <si>
    <t xml:space="preserve">We have updated revised plans of Sector 1 (Building No. 5 - Wing A, B &amp; C) = Gr + 1st to 7th Floor &amp; CC (on 26/04/2024).
</t>
  </si>
  <si>
    <t>Sector 1 Building No.5
Wing C</t>
  </si>
  <si>
    <t>Sector 1 (Building No. 5 - Wing A, B, C) = Gr + 1st to 7th Floor</t>
  </si>
  <si>
    <t>Sector 1 (Building No. 5 - Wing C) = Gr + 1st to 7th Floor</t>
  </si>
  <si>
    <t xml:space="preserve">As per RERA </t>
  </si>
  <si>
    <t>Phase III 
Sector 1 (Building No. 2 - Wing ABC)
Sector 1 (Building No. 5 - Wing A, B, C )
Sector 1 (Building No. 11,12)
Sector 1 (Building No. 16)
Sector 3 (Building No. 6 - Wing A &amp; B)
Sector 3 (Building No. 7 - Wing A &amp; B)
Sector 3 (Building No. 8 - Wing A &amp; B)
Sector 4 (B1 to B11)</t>
  </si>
  <si>
    <t>Mahsul/Ka-1/Mej-1/B.S.P/S.R/C.R/ 439/21</t>
  </si>
  <si>
    <t>Sector 3 (Building No. 8 - Wing A &amp; B) = Gr + 1st to 7th Floor</t>
  </si>
  <si>
    <t>Building No. 7A + 7B</t>
  </si>
  <si>
    <t>Building No. 8A + 8B</t>
  </si>
  <si>
    <t xml:space="preserve">We have updated revised plans of Sector 3 (Building No. 8 - Wing A &amp; B) = Gr + 1st to 7th Floor &amp; CC (on 29/05/2024).
</t>
  </si>
  <si>
    <t>Sector 3 Building No. 8A &amp; 8B</t>
  </si>
  <si>
    <t xml:space="preserve">Sector 3 Building No. 8A </t>
  </si>
  <si>
    <t>Sector 3 Building No. 8B</t>
  </si>
  <si>
    <t>Sector 3 (Building No. 6 - Wing A &amp; B) = Gr + 1st to 7th Floor
Sector 3 (Building No. 7 - Wing A &amp; B) = Gr + 1st to 7th Floor</t>
  </si>
  <si>
    <t>Sector 1 (Building No. 16) = Gr + 1st to 7th Floor
Sector 3 (Building No. 6 - Wing A &amp; B) = Gr + 1st to 7th Floor
Sector 3 (Building No. 7 - Wing A &amp; B) = Gr + 1st to 7th Floor</t>
  </si>
  <si>
    <t>Sector 4 (B2) = Gr + 1st Floor</t>
  </si>
  <si>
    <t>Sector 4 (B1, B3 to B11) = Gr + 1st Floor</t>
  </si>
  <si>
    <t>Increase construction Table:</t>
  </si>
  <si>
    <t>Sector 1 (Building No. 2 - Wing A) = Gr + 1st to 6th Floor
Sector 1 (Building No. 5 - Wing A, B, C) = Gr + 1st to 7th Floor
Sector 3 (Building No. 8 - Wing A &amp; B) = Gr + 1st to 7th Floor</t>
  </si>
  <si>
    <t>Sector 1 (Building No. 16) = Gr + 1st to 7th Floor</t>
  </si>
  <si>
    <t>Work is same as last visit (10/08/2024)</t>
  </si>
  <si>
    <t>HT lines are passing through the project Roop Rajat Park in North direction. Please check for power NOC.</t>
  </si>
  <si>
    <t>Phase III 
Sector 1 (Building No. 2 - Wing A, B &amp; C)
Sector 1 (Building No. 5 - Wing A, B, C )
Sector 1 (Building No. 16)
Sector 3 (Building No. 6 - Wing A &amp; B)
Sector 3 (Building No. 7 - Wing A &amp; B)
Sector 3 (Building No. 8 - Wing A &amp; B)
Sector 4 (B1 to B11)</t>
  </si>
  <si>
    <t>24 Buildings</t>
  </si>
  <si>
    <t xml:space="preserve">Sector 1 (Building No. 2 - Wing A, B &amp; C) = Gr + 1st to 6th Floor
Sector 1 (Building No. 5 - Wing A, B, C) = Gr + 1st to 7th Floor
Sector 1 (Building No. 16) = Gr + 1st to 7th Floor
Sector 3 (Building No. 6 - Wing A &amp; B) = Gr + 1st to 7th Floor
Sector 3 (Building No. 7 - Wing A &amp; B) = Gr + 1st to 7th Floor
Sector 3 (Building No. 8 - Wing A &amp; B) = Gr + 1st to 7th Floor
Sector 4 (B1 to B11) = Gr + 1st Floor
</t>
  </si>
  <si>
    <t>Sector 1 (Building No. 2 - Wing A, B, C) = Gr + 1st to 6th Floor
Sector 1 (Building No. 5 - Wing A, B, C) = Gr + 1st to 7th Floor
Sector 1 (Building No. 16) = Gr + 1st to 7th Floor
Sector 3 (Building No. 6 - Wing A &amp; B) = Gr + 1st to 7th Floor
Sector 3 (Building No. 7 - Wing A &amp; B) = Gr + 1st to 7th Floor
Sector 3 (Building No. 8 - Wing A &amp; B) = Gr + 1st to 7th Floor
Sector 4 (B1 to B11) = Gr + 1st Floor</t>
  </si>
  <si>
    <t>Sector 1 (Building No. 2 - Wing A, B, C) = Gr + 1st to 6th Floor</t>
  </si>
  <si>
    <t xml:space="preserve">We have Added Sector I (Building No. 2 - Wing B &amp; C) on 27/05/2025 .
</t>
  </si>
  <si>
    <t>Sector 1 Building No.2
Wing B</t>
  </si>
  <si>
    <t>Sector 1 Building No.2
Wing C</t>
  </si>
  <si>
    <t>Sector 1 Building No.2</t>
  </si>
  <si>
    <t>Sector 1 (Building No. 2 - Wing B &amp; C) = Gr + 1st to 6th Floor</t>
  </si>
  <si>
    <t>Flats - 279, Row House - 11, Shops - 101</t>
  </si>
  <si>
    <t>Kunal Kadam</t>
  </si>
  <si>
    <t>Yadnyesh Patil</t>
  </si>
  <si>
    <t xml:space="preserve">Building No. 2&amp; 5 = Construction work is in process at the time of Visit. Internal Visit not allowed.
Building No. 6, 7, 8 &amp; 16 = All work Completed. Please provide OC. 
Row House B1 to B11 = All work Completed. Please provide OC.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</si>
</sst>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" fontId="12" fillId="0" borderId="1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0" fontId="7" fillId="2" borderId="0" xfId="1" applyFont="1" applyFill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left" vertical="top"/>
    </xf>
    <xf numFmtId="0" fontId="25" fillId="0" borderId="0" xfId="0" applyFont="1"/>
    <xf numFmtId="0" fontId="25" fillId="0" borderId="9" xfId="0" applyFont="1" applyBorder="1"/>
    <xf numFmtId="0" fontId="12" fillId="0" borderId="15" xfId="1" applyFont="1" applyBorder="1" applyAlignment="1" applyProtection="1">
      <alignment horizontal="center" vertical="top" wrapText="1"/>
      <protection locked="0"/>
    </xf>
    <xf numFmtId="0" fontId="27" fillId="0" borderId="0" xfId="0" applyFont="1"/>
    <xf numFmtId="14" fontId="0" fillId="0" borderId="0" xfId="0" applyNumberFormat="1"/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7" xfId="0" applyNumberFormat="1" applyFont="1" applyBorder="1" applyAlignment="1" applyProtection="1">
      <alignment horizontal="center" vertical="center"/>
      <protection locked="0"/>
    </xf>
    <xf numFmtId="1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4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9" fontId="13" fillId="0" borderId="33" xfId="1" applyNumberFormat="1" applyFont="1" applyBorder="1" applyAlignment="1" applyProtection="1">
      <alignment horizontal="center" vertical="top" wrapText="1"/>
      <protection locked="0"/>
    </xf>
    <xf numFmtId="0" fontId="13" fillId="0" borderId="34" xfId="1" applyFont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3" fillId="0" borderId="35" xfId="1" applyFont="1" applyBorder="1" applyAlignment="1" applyProtection="1">
      <alignment horizontal="center" vertical="top" wrapText="1"/>
      <protection locked="0"/>
    </xf>
    <xf numFmtId="0" fontId="13" fillId="0" borderId="3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1" fontId="8" fillId="2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1" xfId="1" applyFont="1" applyBorder="1" applyAlignment="1" applyProtection="1">
      <alignment horizontal="center" vertical="top" wrapText="1"/>
      <protection locked="0"/>
    </xf>
    <xf numFmtId="0" fontId="12" fillId="0" borderId="15" xfId="1" applyFont="1" applyBorder="1" applyAlignment="1" applyProtection="1">
      <alignment horizontal="center" vertical="top" wrapText="1"/>
      <protection locked="0"/>
    </xf>
    <xf numFmtId="0" fontId="12" fillId="0" borderId="32" xfId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  <xf numFmtId="0" fontId="19" fillId="0" borderId="0" xfId="0" applyFont="1" applyAlignment="1">
      <alignment horizontal="center" wrapText="1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7" Type="http://schemas.openxmlformats.org/officeDocument/2006/relationships/image" Target="../media/image48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Relationship Id="rId6" Type="http://schemas.openxmlformats.org/officeDocument/2006/relationships/image" Target="../media/image47.png"/><Relationship Id="rId5" Type="http://schemas.openxmlformats.org/officeDocument/2006/relationships/image" Target="../media/image46.png"/><Relationship Id="rId4" Type="http://schemas.openxmlformats.org/officeDocument/2006/relationships/image" Target="../media/image4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1.png"/><Relationship Id="rId1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399831</xdr:colOff>
      <xdr:row>707</xdr:row>
      <xdr:rowOff>152400</xdr:rowOff>
    </xdr:from>
    <xdr:to>
      <xdr:col>6</xdr:col>
      <xdr:colOff>358141</xdr:colOff>
      <xdr:row>744</xdr:row>
      <xdr:rowOff>131054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184691" y="130903980"/>
          <a:ext cx="4217890" cy="7309094"/>
          <a:chOff x="1154210" y="95731364"/>
          <a:chExt cx="4274352" cy="7938925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54210" y="95731364"/>
            <a:ext cx="4274352" cy="390445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54210" y="99768754"/>
            <a:ext cx="4274352" cy="3901535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404870</xdr:colOff>
      <xdr:row>666</xdr:row>
      <xdr:rowOff>30695</xdr:rowOff>
    </xdr:from>
    <xdr:to>
      <xdr:col>7</xdr:col>
      <xdr:colOff>334158</xdr:colOff>
      <xdr:row>692</xdr:row>
      <xdr:rowOff>186341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404870" y="122659355"/>
          <a:ext cx="5773828" cy="5306766"/>
          <a:chOff x="404870" y="102026636"/>
          <a:chExt cx="5633082" cy="5399999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404870" y="102026636"/>
            <a:ext cx="5633082" cy="5399999"/>
            <a:chOff x="504261" y="86940108"/>
            <a:chExt cx="5619440" cy="5323993"/>
          </a:xfrm>
        </xdr:grpSpPr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04261" y="86940108"/>
              <a:ext cx="5619440" cy="532399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2" name="Rectangle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>
            <a:xfrm>
              <a:off x="896472" y="88211244"/>
              <a:ext cx="769795" cy="761515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616323" y="87780061"/>
              <a:ext cx="212911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N" sz="1200" b="1"/>
                <a:t>Bldg No. 2 Wing A</a:t>
              </a:r>
              <a:r>
                <a:rPr lang="en-IN" sz="1200" b="1" baseline="0"/>
                <a:t> to C</a:t>
              </a:r>
              <a:endParaRPr lang="en-IN" sz="1200" b="1"/>
            </a:p>
          </xdr:txBody>
        </xdr:sp>
        <xdr:sp macro="" textlink="">
          <xdr:nvSpPr>
            <xdr:cNvPr id="43" name="Rectangle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>
            <a:xfrm>
              <a:off x="3089316" y="88631293"/>
              <a:ext cx="298758" cy="368430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44" name="TextBox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 txBox="1"/>
          </xdr:nvSpPr>
          <xdr:spPr>
            <a:xfrm>
              <a:off x="2820596" y="88384477"/>
              <a:ext cx="1539689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N" sz="1200" b="1"/>
                <a:t>Bldg No.</a:t>
              </a:r>
              <a:r>
                <a:rPr lang="en-IN" sz="1200" b="1" baseline="0"/>
                <a:t> 16</a:t>
              </a:r>
              <a:endParaRPr lang="en-IN" sz="1200" b="1"/>
            </a:p>
          </xdr:txBody>
        </xdr:sp>
        <xdr:sp macro="" textlink="">
          <xdr:nvSpPr>
            <xdr:cNvPr id="45" name="Rectangle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>
            <a:xfrm>
              <a:off x="3059128" y="89092240"/>
              <a:ext cx="192601" cy="469160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46" name="Rectangle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>
            <a:xfrm rot="16200000">
              <a:off x="3500178" y="88907475"/>
              <a:ext cx="179255" cy="672302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 txBox="1"/>
          </xdr:nvSpPr>
          <xdr:spPr>
            <a:xfrm>
              <a:off x="1587544" y="89169157"/>
              <a:ext cx="2017340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N" sz="1200" b="1"/>
                <a:t>Bldg No.</a:t>
              </a:r>
              <a:r>
                <a:rPr lang="en-IN" sz="1200" b="1" baseline="0"/>
                <a:t> 6 Wing A &amp; B</a:t>
              </a:r>
              <a:endParaRPr lang="en-IN" sz="1200" b="1"/>
            </a:p>
          </xdr:txBody>
        </xdr:sp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 txBox="1"/>
          </xdr:nvSpPr>
          <xdr:spPr>
            <a:xfrm>
              <a:off x="3630191" y="88900179"/>
              <a:ext cx="2021472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N" sz="1200" b="1"/>
                <a:t>Bldg No.</a:t>
              </a:r>
              <a:r>
                <a:rPr lang="en-IN" sz="1200" b="1" baseline="0"/>
                <a:t> 7 &amp; 8</a:t>
              </a:r>
              <a:endParaRPr lang="en-IN" sz="1200" b="1"/>
            </a:p>
          </xdr:txBody>
        </xdr:sp>
        <xdr:sp macro="" textlink="">
          <xdr:nvSpPr>
            <xdr:cNvPr id="49" name="Rectangle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/>
          </xdr:nvSpPr>
          <xdr:spPr>
            <a:xfrm rot="16200000">
              <a:off x="4419935" y="89038687"/>
              <a:ext cx="212439" cy="773455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50" name="TextBox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SpPr txBox="1"/>
          </xdr:nvSpPr>
          <xdr:spPr>
            <a:xfrm>
              <a:off x="3871888" y="89538147"/>
              <a:ext cx="2059922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N" sz="1200" b="1"/>
                <a:t>Row</a:t>
              </a:r>
              <a:r>
                <a:rPr lang="en-IN" sz="1200" b="1" baseline="0"/>
                <a:t> House B1 to B11</a:t>
              </a:r>
              <a:endParaRPr lang="en-IN" sz="1200" b="1"/>
            </a:p>
          </xdr:txBody>
        </xdr:sp>
      </xdr:grp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>
            <a:stCxn id="46" idx="3"/>
            <a:endCxn id="46" idx="1"/>
          </xdr:cNvCxnSpPr>
        </xdr:nvCxnSpPr>
        <xdr:spPr>
          <a:xfrm>
            <a:off x="3495840" y="104272193"/>
            <a:ext cx="0" cy="181854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872490</xdr:colOff>
      <xdr:row>622</xdr:row>
      <xdr:rowOff>66219</xdr:rowOff>
    </xdr:from>
    <xdr:to>
      <xdr:col>16</xdr:col>
      <xdr:colOff>298725</xdr:colOff>
      <xdr:row>663</xdr:row>
      <xdr:rowOff>112394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7570470" y="114175719"/>
          <a:ext cx="6009915" cy="7970975"/>
          <a:chOff x="400050" y="114482424"/>
          <a:chExt cx="5861325" cy="8247200"/>
        </a:xfrm>
      </xdr:grpSpPr>
      <xdr:pic>
        <xdr:nvPicPr>
          <xdr:cNvPr id="95" name="Picture 94">
            <a:extLst>
              <a:ext uri="{FF2B5EF4-FFF2-40B4-BE49-F238E27FC236}">
                <a16:creationId xmlns:a16="http://schemas.microsoft.com/office/drawing/2014/main" id="{1F8DE20F-7DF8-406E-960A-73D0133C36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4850" y="114569110"/>
            <a:ext cx="1660421" cy="216979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6" name="Picture 95">
            <a:extLst>
              <a:ext uri="{FF2B5EF4-FFF2-40B4-BE49-F238E27FC236}">
                <a16:creationId xmlns:a16="http://schemas.microsoft.com/office/drawing/2014/main" id="{FC466009-C7DE-489C-B8E6-E22579ACD6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64834" y="114563029"/>
            <a:ext cx="1690205" cy="216584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7" name="Picture 96">
            <a:extLst>
              <a:ext uri="{FF2B5EF4-FFF2-40B4-BE49-F238E27FC236}">
                <a16:creationId xmlns:a16="http://schemas.microsoft.com/office/drawing/2014/main" id="{743C2591-812D-42AC-92CF-C74395A914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43869" y="114572554"/>
            <a:ext cx="1690205" cy="216584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9" name="TextBox 51">
            <a:extLst>
              <a:ext uri="{FF2B5EF4-FFF2-40B4-BE49-F238E27FC236}">
                <a16:creationId xmlns:a16="http://schemas.microsoft.com/office/drawing/2014/main" id="{19BBF277-9D99-4BDA-A317-96D1D31EBB1A}"/>
              </a:ext>
            </a:extLst>
          </xdr:cNvPr>
          <xdr:cNvSpPr txBox="1"/>
        </xdr:nvSpPr>
        <xdr:spPr>
          <a:xfrm>
            <a:off x="1104484" y="114556549"/>
            <a:ext cx="1292341" cy="34872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Bldg No. 8B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0" name="TextBox 52">
            <a:extLst>
              <a:ext uri="{FF2B5EF4-FFF2-40B4-BE49-F238E27FC236}">
                <a16:creationId xmlns:a16="http://schemas.microsoft.com/office/drawing/2014/main" id="{07FD292A-FAAF-4911-A5AD-5367BC2D618C}"/>
              </a:ext>
            </a:extLst>
          </xdr:cNvPr>
          <xdr:cNvSpPr txBox="1"/>
        </xdr:nvSpPr>
        <xdr:spPr>
          <a:xfrm>
            <a:off x="2839207" y="114482424"/>
            <a:ext cx="1279517" cy="34872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Bldg No. 16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1" name="TextBox 53">
            <a:extLst>
              <a:ext uri="{FF2B5EF4-FFF2-40B4-BE49-F238E27FC236}">
                <a16:creationId xmlns:a16="http://schemas.microsoft.com/office/drawing/2014/main" id="{AC0104B3-B5FB-4DDC-BDEA-D421F34FE3ED}"/>
              </a:ext>
            </a:extLst>
          </xdr:cNvPr>
          <xdr:cNvSpPr txBox="1"/>
        </xdr:nvSpPr>
        <xdr:spPr>
          <a:xfrm>
            <a:off x="4649186" y="114532300"/>
            <a:ext cx="1279517" cy="34872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Bldg No. 12</a:t>
            </a:r>
            <a:endParaRPr lang="en-IN" b="1">
              <a:solidFill>
                <a:srgbClr val="FF0000"/>
              </a:solidFill>
            </a:endParaRPr>
          </a:p>
        </xdr:txBody>
      </xdr:sp>
      <xdr:pic>
        <xdr:nvPicPr>
          <xdr:cNvPr id="106" name="Picture 105">
            <a:extLst>
              <a:ext uri="{FF2B5EF4-FFF2-40B4-BE49-F238E27FC236}">
                <a16:creationId xmlns:a16="http://schemas.microsoft.com/office/drawing/2014/main" id="{A3382BF1-0A58-4B00-9062-DB857FA450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81375" y="116814600"/>
            <a:ext cx="288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0" name="Picture 119">
            <a:extLst>
              <a:ext uri="{FF2B5EF4-FFF2-40B4-BE49-F238E27FC236}">
                <a16:creationId xmlns:a16="http://schemas.microsoft.com/office/drawing/2014/main" id="{E53A6EFA-1337-4EA9-9BA5-761AFD6B9C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0050" y="116814600"/>
            <a:ext cx="288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1" name="Picture 120">
            <a:extLst>
              <a:ext uri="{FF2B5EF4-FFF2-40B4-BE49-F238E27FC236}">
                <a16:creationId xmlns:a16="http://schemas.microsoft.com/office/drawing/2014/main" id="{06D07C90-A443-4226-BB2F-DA94D91174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84150" y="119064375"/>
            <a:ext cx="2829600" cy="21412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2" name="Picture 121">
            <a:extLst>
              <a:ext uri="{FF2B5EF4-FFF2-40B4-BE49-F238E27FC236}">
                <a16:creationId xmlns:a16="http://schemas.microsoft.com/office/drawing/2014/main" id="{FF078B2B-4B3D-434A-82D2-9692084B94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71600" y="121281993"/>
            <a:ext cx="1922526" cy="144189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3" name="Picture 122">
            <a:extLst>
              <a:ext uri="{FF2B5EF4-FFF2-40B4-BE49-F238E27FC236}">
                <a16:creationId xmlns:a16="http://schemas.microsoft.com/office/drawing/2014/main" id="{8DB2EF1E-462E-4F80-B6E3-C9663CF98F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81375" y="121281993"/>
            <a:ext cx="1895475" cy="144763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4" name="Picture 123">
            <a:extLst>
              <a:ext uri="{FF2B5EF4-FFF2-40B4-BE49-F238E27FC236}">
                <a16:creationId xmlns:a16="http://schemas.microsoft.com/office/drawing/2014/main" id="{18D6C196-1E88-4F00-9938-794E85F0C6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9575" y="119064375"/>
            <a:ext cx="288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9</xdr:col>
      <xdr:colOff>516542</xdr:colOff>
      <xdr:row>574</xdr:row>
      <xdr:rowOff>119898</xdr:rowOff>
    </xdr:from>
    <xdr:to>
      <xdr:col>18</xdr:col>
      <xdr:colOff>512444</xdr:colOff>
      <xdr:row>610</xdr:row>
      <xdr:rowOff>161925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8410862" y="104727258"/>
          <a:ext cx="6632922" cy="7166727"/>
          <a:chOff x="74582" y="105923598"/>
          <a:chExt cx="6459567" cy="7233402"/>
        </a:xfrm>
      </xdr:grpSpPr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GrpSpPr/>
        </xdr:nvGrpSpPr>
        <xdr:grpSpPr>
          <a:xfrm>
            <a:off x="74582" y="105933123"/>
            <a:ext cx="6459567" cy="7223877"/>
            <a:chOff x="74582" y="105837873"/>
            <a:chExt cx="6459567" cy="7223877"/>
          </a:xfrm>
        </xdr:grpSpPr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105052" y="105837873"/>
              <a:ext cx="2105854" cy="2971621"/>
              <a:chOff x="105052" y="105837873"/>
              <a:chExt cx="2105854" cy="2971621"/>
            </a:xfrm>
          </xdr:grpSpPr>
          <xdr:pic>
            <xdr:nvPicPr>
              <xdr:cNvPr id="72" name="Picture 71">
                <a:extLst>
                  <a:ext uri="{FF2B5EF4-FFF2-40B4-BE49-F238E27FC236}">
                    <a16:creationId xmlns:a16="http://schemas.microsoft.com/office/drawing/2014/main" id="{CEE490E3-9EDF-42A2-A820-5BC82CFD6B3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3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105052" y="105870374"/>
                <a:ext cx="2105854" cy="293912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sp macro="" textlink="">
            <xdr:nvSpPr>
              <xdr:cNvPr id="60" name="TextBox 42">
                <a:extLst>
                  <a:ext uri="{FF2B5EF4-FFF2-40B4-BE49-F238E27FC236}">
                    <a16:creationId xmlns:a16="http://schemas.microsoft.com/office/drawing/2014/main" id="{50B72199-2223-4EE8-9798-495B125D99FE}"/>
                  </a:ext>
                </a:extLst>
              </xdr:cNvPr>
              <xdr:cNvSpPr txBox="1"/>
            </xdr:nvSpPr>
            <xdr:spPr>
              <a:xfrm>
                <a:off x="886387" y="105837873"/>
                <a:ext cx="1301959" cy="348725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b="1">
                    <a:solidFill>
                      <a:srgbClr val="FF0000"/>
                    </a:solidFill>
                  </a:rPr>
                  <a:t>Bldg No. 2A</a:t>
                </a:r>
                <a:endParaRPr lang="en-IN" b="1">
                  <a:solidFill>
                    <a:srgbClr val="FF0000"/>
                  </a:solidFill>
                </a:endParaRPr>
              </a:p>
            </xdr:txBody>
          </xdr:sp>
        </xdr:grp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pSpPr/>
          </xdr:nvGrpSpPr>
          <xdr:grpSpPr>
            <a:xfrm>
              <a:off x="92822" y="108853052"/>
              <a:ext cx="1559834" cy="2075098"/>
              <a:chOff x="102347" y="110091302"/>
              <a:chExt cx="1559834" cy="2075098"/>
            </a:xfrm>
          </xdr:grpSpPr>
          <xdr:pic>
            <xdr:nvPicPr>
              <xdr:cNvPr id="75" name="Picture 74">
                <a:extLst>
                  <a:ext uri="{FF2B5EF4-FFF2-40B4-BE49-F238E27FC236}">
                    <a16:creationId xmlns:a16="http://schemas.microsoft.com/office/drawing/2014/main" id="{0C14E530-235F-4667-8153-7D1EFA15534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102347" y="110128050"/>
                <a:ext cx="1559834" cy="203835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sp macro="" textlink="">
            <xdr:nvSpPr>
              <xdr:cNvPr id="61" name="TextBox 43">
                <a:extLst>
                  <a:ext uri="{FF2B5EF4-FFF2-40B4-BE49-F238E27FC236}">
                    <a16:creationId xmlns:a16="http://schemas.microsoft.com/office/drawing/2014/main" id="{CB622523-83A8-4192-9E06-B8D0E141A4A5}"/>
                  </a:ext>
                </a:extLst>
              </xdr:cNvPr>
              <xdr:cNvSpPr txBox="1"/>
            </xdr:nvSpPr>
            <xdr:spPr>
              <a:xfrm>
                <a:off x="238507" y="110091302"/>
                <a:ext cx="1304544" cy="321722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b="1">
                    <a:solidFill>
                      <a:srgbClr val="FF0000"/>
                    </a:solidFill>
                  </a:rPr>
                  <a:t>Bldg No. 5A</a:t>
                </a:r>
                <a:endParaRPr lang="en-IN" b="1">
                  <a:solidFill>
                    <a:srgbClr val="FF0000"/>
                  </a:solidFill>
                </a:endParaRPr>
              </a:p>
            </xdr:txBody>
          </xdr:sp>
        </xdr:grpSp>
        <xdr:grpSp>
          <xdr:nvGrpSpPr>
            <xdr:cNvPr id="11" name="Group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pSpPr/>
          </xdr:nvGrpSpPr>
          <xdr:grpSpPr>
            <a:xfrm>
              <a:off x="1733628" y="108828723"/>
              <a:ext cx="1519807" cy="2099427"/>
              <a:chOff x="1743153" y="110057448"/>
              <a:chExt cx="1519807" cy="2099427"/>
            </a:xfrm>
          </xdr:grpSpPr>
          <xdr:pic>
            <xdr:nvPicPr>
              <xdr:cNvPr id="78" name="Picture 77">
                <a:extLst>
                  <a:ext uri="{FF2B5EF4-FFF2-40B4-BE49-F238E27FC236}">
                    <a16:creationId xmlns:a16="http://schemas.microsoft.com/office/drawing/2014/main" id="{46D2F944-3AAE-4A2B-A009-2CF62523299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5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1743153" y="110128050"/>
                <a:ext cx="1519807" cy="2028825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sp macro="" textlink="">
            <xdr:nvSpPr>
              <xdr:cNvPr id="62" name="TextBox 44">
                <a:extLst>
                  <a:ext uri="{FF2B5EF4-FFF2-40B4-BE49-F238E27FC236}">
                    <a16:creationId xmlns:a16="http://schemas.microsoft.com/office/drawing/2014/main" id="{6ADD4897-81F7-4FD0-A376-D7FC118C4AA9}"/>
                  </a:ext>
                </a:extLst>
              </xdr:cNvPr>
              <xdr:cNvSpPr txBox="1"/>
            </xdr:nvSpPr>
            <xdr:spPr>
              <a:xfrm>
                <a:off x="1832725" y="110057448"/>
                <a:ext cx="1292341" cy="348725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b="1">
                    <a:solidFill>
                      <a:srgbClr val="FF0000"/>
                    </a:solidFill>
                  </a:rPr>
                  <a:t>Bldg No. 5B</a:t>
                </a:r>
                <a:endParaRPr lang="en-IN" b="1">
                  <a:solidFill>
                    <a:srgbClr val="FF0000"/>
                  </a:solidFill>
                </a:endParaRPr>
              </a:p>
            </xdr:txBody>
          </xdr:sp>
        </xdr:grpSp>
        <xdr:grpSp>
          <xdr:nvGrpSpPr>
            <xdr:cNvPr id="14" name="Group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GrpSpPr/>
          </xdr:nvGrpSpPr>
          <xdr:grpSpPr>
            <a:xfrm>
              <a:off x="4927501" y="108831601"/>
              <a:ext cx="1506570" cy="2107661"/>
              <a:chOff x="4937026" y="110069851"/>
              <a:chExt cx="1506570" cy="2107661"/>
            </a:xfrm>
          </xdr:grpSpPr>
          <xdr:pic>
            <xdr:nvPicPr>
              <xdr:cNvPr id="92" name="Picture 91">
                <a:extLst>
                  <a:ext uri="{FF2B5EF4-FFF2-40B4-BE49-F238E27FC236}">
                    <a16:creationId xmlns:a16="http://schemas.microsoft.com/office/drawing/2014/main" id="{D2957714-AE99-4266-B9B0-A42374B9E36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6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4937026" y="110138033"/>
                <a:ext cx="1506570" cy="2039479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sp macro="" textlink="">
            <xdr:nvSpPr>
              <xdr:cNvPr id="64" name="TextBox 46">
                <a:extLst>
                  <a:ext uri="{FF2B5EF4-FFF2-40B4-BE49-F238E27FC236}">
                    <a16:creationId xmlns:a16="http://schemas.microsoft.com/office/drawing/2014/main" id="{9401EE74-32E5-431F-A0FD-6D0DC2518764}"/>
                  </a:ext>
                </a:extLst>
              </xdr:cNvPr>
              <xdr:cNvSpPr txBox="1"/>
            </xdr:nvSpPr>
            <xdr:spPr>
              <a:xfrm>
                <a:off x="5121911" y="110069851"/>
                <a:ext cx="1301959" cy="348725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b="1">
                    <a:solidFill>
                      <a:srgbClr val="FF0000"/>
                    </a:solidFill>
                  </a:rPr>
                  <a:t>Bldg No. 6A</a:t>
                </a:r>
                <a:endParaRPr lang="en-IN" b="1">
                  <a:solidFill>
                    <a:srgbClr val="FF0000"/>
                  </a:solidFill>
                </a:endParaRPr>
              </a:p>
            </xdr:txBody>
          </xdr:sp>
        </xdr:grpSp>
        <xdr:grpSp>
          <xdr:nvGrpSpPr>
            <xdr:cNvPr id="18" name="Group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GrpSpPr/>
          </xdr:nvGrpSpPr>
          <xdr:grpSpPr>
            <a:xfrm>
              <a:off x="74582" y="110975775"/>
              <a:ext cx="1611343" cy="2085975"/>
              <a:chOff x="255557" y="112220851"/>
              <a:chExt cx="1529729" cy="1917224"/>
            </a:xfrm>
          </xdr:grpSpPr>
          <xdr:pic>
            <xdr:nvPicPr>
              <xdr:cNvPr id="93" name="Picture 92">
                <a:extLst>
                  <a:ext uri="{FF2B5EF4-FFF2-40B4-BE49-F238E27FC236}">
                    <a16:creationId xmlns:a16="http://schemas.microsoft.com/office/drawing/2014/main" id="{77EF4485-E6B9-48AB-A493-B31F7ED34C5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7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255557" y="112262108"/>
                <a:ext cx="1506568" cy="1875967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sp macro="" textlink="">
            <xdr:nvSpPr>
              <xdr:cNvPr id="65" name="TextBox 47">
                <a:extLst>
                  <a:ext uri="{FF2B5EF4-FFF2-40B4-BE49-F238E27FC236}">
                    <a16:creationId xmlns:a16="http://schemas.microsoft.com/office/drawing/2014/main" id="{D872CA64-DBD4-45EF-978C-E6B822E92B36}"/>
                  </a:ext>
                </a:extLst>
              </xdr:cNvPr>
              <xdr:cNvSpPr txBox="1"/>
            </xdr:nvSpPr>
            <xdr:spPr>
              <a:xfrm>
                <a:off x="492945" y="112220851"/>
                <a:ext cx="1292341" cy="348725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b="1">
                    <a:solidFill>
                      <a:srgbClr val="FF0000"/>
                    </a:solidFill>
                  </a:rPr>
                  <a:t>Bldg No. 6B</a:t>
                </a:r>
                <a:endParaRPr lang="en-IN" b="1">
                  <a:solidFill>
                    <a:srgbClr val="FF0000"/>
                  </a:solidFill>
                </a:endParaRPr>
              </a:p>
            </xdr:txBody>
          </xdr:sp>
        </xdr:grpSp>
        <xdr:grpSp>
          <xdr:nvGrpSpPr>
            <xdr:cNvPr id="17" name="Group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1689068" y="111023401"/>
              <a:ext cx="1549431" cy="2033858"/>
              <a:chOff x="1831944" y="112254535"/>
              <a:chExt cx="1456072" cy="1869523"/>
            </a:xfrm>
          </xdr:grpSpPr>
          <xdr:pic>
            <xdr:nvPicPr>
              <xdr:cNvPr id="73" name="Picture 72">
                <a:extLst>
                  <a:ext uri="{FF2B5EF4-FFF2-40B4-BE49-F238E27FC236}">
                    <a16:creationId xmlns:a16="http://schemas.microsoft.com/office/drawing/2014/main" id="{7B00AE4D-F2B1-4FDA-970B-EC2877AED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8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1857375" y="112254535"/>
                <a:ext cx="1430641" cy="1869523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sp macro="" textlink="">
            <xdr:nvSpPr>
              <xdr:cNvPr id="66" name="TextBox 48">
                <a:extLst>
                  <a:ext uri="{FF2B5EF4-FFF2-40B4-BE49-F238E27FC236}">
                    <a16:creationId xmlns:a16="http://schemas.microsoft.com/office/drawing/2014/main" id="{336B2BF9-1B34-465E-944E-EFD5C81408D2}"/>
                  </a:ext>
                </a:extLst>
              </xdr:cNvPr>
              <xdr:cNvSpPr txBox="1"/>
            </xdr:nvSpPr>
            <xdr:spPr>
              <a:xfrm>
                <a:off x="1831944" y="112254535"/>
                <a:ext cx="1301959" cy="348725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b="1">
                    <a:solidFill>
                      <a:srgbClr val="FF0000"/>
                    </a:solidFill>
                  </a:rPr>
                  <a:t>Bldg No. 7A</a:t>
                </a:r>
                <a:endParaRPr lang="en-IN" b="1">
                  <a:solidFill>
                    <a:srgbClr val="FF0000"/>
                  </a:solidFill>
                </a:endParaRPr>
              </a:p>
            </xdr:txBody>
          </xdr:sp>
        </xdr:grpSp>
        <xdr:grpSp>
          <xdr:nvGrpSpPr>
            <xdr:cNvPr id="15" name="Group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4918222" y="110956701"/>
              <a:ext cx="1615927" cy="2085975"/>
              <a:chOff x="4889648" y="112194349"/>
              <a:chExt cx="1518698" cy="1899112"/>
            </a:xfrm>
          </xdr:grpSpPr>
          <xdr:pic>
            <xdr:nvPicPr>
              <xdr:cNvPr id="94" name="Picture 93">
                <a:extLst>
                  <a:ext uri="{FF2B5EF4-FFF2-40B4-BE49-F238E27FC236}">
                    <a16:creationId xmlns:a16="http://schemas.microsoft.com/office/drawing/2014/main" id="{DA266A63-7E30-4E1A-BD10-137EBA79C2C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9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4889648" y="112254535"/>
                <a:ext cx="1430638" cy="1838926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sp macro="" textlink="">
            <xdr:nvSpPr>
              <xdr:cNvPr id="68" name="TextBox 50">
                <a:extLst>
                  <a:ext uri="{FF2B5EF4-FFF2-40B4-BE49-F238E27FC236}">
                    <a16:creationId xmlns:a16="http://schemas.microsoft.com/office/drawing/2014/main" id="{0BDAE954-2EAE-4842-972B-883EE3B01B32}"/>
                  </a:ext>
                </a:extLst>
              </xdr:cNvPr>
              <xdr:cNvSpPr txBox="1"/>
            </xdr:nvSpPr>
            <xdr:spPr>
              <a:xfrm>
                <a:off x="5106387" y="112194349"/>
                <a:ext cx="1301959" cy="348725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b="1">
                    <a:solidFill>
                      <a:srgbClr val="FF0000"/>
                    </a:solidFill>
                  </a:rPr>
                  <a:t>Bldg No. 8A</a:t>
                </a:r>
                <a:endParaRPr lang="en-IN" b="1">
                  <a:solidFill>
                    <a:srgbClr val="FF0000"/>
                  </a:solidFill>
                </a:endParaRPr>
              </a:p>
            </xdr:txBody>
          </xdr:sp>
        </xdr:grp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GrpSpPr/>
          </xdr:nvGrpSpPr>
          <xdr:grpSpPr>
            <a:xfrm>
              <a:off x="3310638" y="110994797"/>
              <a:ext cx="1528062" cy="2057400"/>
              <a:chOff x="3367788" y="112225960"/>
              <a:chExt cx="1430638" cy="1884762"/>
            </a:xfrm>
          </xdr:grpSpPr>
          <xdr:pic>
            <xdr:nvPicPr>
              <xdr:cNvPr id="79" name="Picture 78">
                <a:extLst>
                  <a:ext uri="{FF2B5EF4-FFF2-40B4-BE49-F238E27FC236}">
                    <a16:creationId xmlns:a16="http://schemas.microsoft.com/office/drawing/2014/main" id="{3EE6FD2B-16EC-43A8-A957-7B5291CAD53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0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3367788" y="112254535"/>
                <a:ext cx="1430638" cy="1856187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sp macro="" textlink="">
            <xdr:nvSpPr>
              <xdr:cNvPr id="81" name="TextBox 49">
                <a:extLst>
                  <a:ext uri="{FF2B5EF4-FFF2-40B4-BE49-F238E27FC236}">
                    <a16:creationId xmlns:a16="http://schemas.microsoft.com/office/drawing/2014/main" id="{D124331C-E7A3-4B75-BAEE-FB2B9FAE31A7}"/>
                  </a:ext>
                </a:extLst>
              </xdr:cNvPr>
              <xdr:cNvSpPr txBox="1"/>
            </xdr:nvSpPr>
            <xdr:spPr>
              <a:xfrm>
                <a:off x="3458922" y="112225960"/>
                <a:ext cx="1292341" cy="348725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b="1">
                    <a:solidFill>
                      <a:srgbClr val="FF0000"/>
                    </a:solidFill>
                  </a:rPr>
                  <a:t>Bldg No. 7B</a:t>
                </a:r>
                <a:endParaRPr lang="en-IN" b="1">
                  <a:solidFill>
                    <a:srgbClr val="FF0000"/>
                  </a:solidFill>
                </a:endParaRPr>
              </a:p>
            </xdr:txBody>
          </xdr:sp>
        </xdr:grpSp>
        <xdr:pic>
          <xdr:nvPicPr>
            <xdr:cNvPr id="82" name="Picture 81" descr="https://vsjcllp.vsjadon.com/upload/insp-233856-847.jpg">
              <a:extLst>
                <a:ext uri="{FF2B5EF4-FFF2-40B4-BE49-F238E27FC236}">
                  <a16:creationId xmlns:a16="http://schemas.microsoft.com/office/drawing/2014/main" id="{00000000-0008-0000-0000-000052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52924" y="105870374"/>
              <a:ext cx="2087974" cy="293912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2285998" y="105851325"/>
              <a:ext cx="3435560" cy="2943225"/>
              <a:chOff x="2285998" y="105851325"/>
              <a:chExt cx="3435560" cy="2943225"/>
            </a:xfrm>
          </xdr:grpSpPr>
          <xdr:pic>
            <xdr:nvPicPr>
              <xdr:cNvPr id="83" name="Picture 82" descr="https://vsjcllp.vsjadon.com/upload/insp-233856-851.jpg">
                <a:extLst>
                  <a:ext uri="{FF2B5EF4-FFF2-40B4-BE49-F238E27FC236}">
                    <a16:creationId xmlns:a16="http://schemas.microsoft.com/office/drawing/2014/main" id="{00000000-0008-0000-0000-000053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2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285998" y="105870375"/>
                <a:ext cx="1981201" cy="2924175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85" name="TextBox 42">
                <a:extLst>
                  <a:ext uri="{FF2B5EF4-FFF2-40B4-BE49-F238E27FC236}">
                    <a16:creationId xmlns:a16="http://schemas.microsoft.com/office/drawing/2014/main" id="{50B72199-2223-4EE8-9798-495B125D99FE}"/>
                  </a:ext>
                </a:extLst>
              </xdr:cNvPr>
              <xdr:cNvSpPr txBox="1"/>
            </xdr:nvSpPr>
            <xdr:spPr>
              <a:xfrm>
                <a:off x="4419599" y="105851325"/>
                <a:ext cx="1301959" cy="348725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b="1">
                    <a:solidFill>
                      <a:srgbClr val="FF0000"/>
                    </a:solidFill>
                  </a:rPr>
                  <a:t>Bldg No. 2C</a:t>
                </a:r>
                <a:endParaRPr lang="en-IN" b="1">
                  <a:solidFill>
                    <a:srgbClr val="FF0000"/>
                  </a:solidFill>
                </a:endParaRPr>
              </a:p>
            </xdr:txBody>
          </xdr:sp>
        </xdr:grpSp>
        <xdr:grpSp>
          <xdr:nvGrpSpPr>
            <xdr:cNvPr id="13" name="Group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3331994" y="108831601"/>
              <a:ext cx="1506571" cy="2098136"/>
              <a:chOff x="3341519" y="110069851"/>
              <a:chExt cx="1506571" cy="2098136"/>
            </a:xfrm>
          </xdr:grpSpPr>
          <xdr:pic>
            <xdr:nvPicPr>
              <xdr:cNvPr id="74" name="Picture 73">
                <a:extLst>
                  <a:ext uri="{FF2B5EF4-FFF2-40B4-BE49-F238E27FC236}">
                    <a16:creationId xmlns:a16="http://schemas.microsoft.com/office/drawing/2014/main" id="{76B80F76-2D5F-42D6-9AB7-0EDCB5E0884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3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3341519" y="110128508"/>
                <a:ext cx="1506571" cy="2039479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sp macro="" textlink="">
            <xdr:nvSpPr>
              <xdr:cNvPr id="63" name="TextBox 45">
                <a:extLst>
                  <a:ext uri="{FF2B5EF4-FFF2-40B4-BE49-F238E27FC236}">
                    <a16:creationId xmlns:a16="http://schemas.microsoft.com/office/drawing/2014/main" id="{EDB09D14-C90B-42D4-B578-5D7DCF7C3DD1}"/>
                  </a:ext>
                </a:extLst>
              </xdr:cNvPr>
              <xdr:cNvSpPr txBox="1"/>
            </xdr:nvSpPr>
            <xdr:spPr>
              <a:xfrm>
                <a:off x="3525911" y="110069851"/>
                <a:ext cx="1284326" cy="348725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b="1">
                    <a:solidFill>
                      <a:srgbClr val="FF0000"/>
                    </a:solidFill>
                  </a:rPr>
                  <a:t>Bldg No. 5C</a:t>
                </a:r>
                <a:endParaRPr lang="en-IN" b="1">
                  <a:solidFill>
                    <a:srgbClr val="FF0000"/>
                  </a:solidFill>
                </a:endParaRPr>
              </a:p>
            </xdr:txBody>
          </xdr:sp>
        </xdr:grpSp>
      </xdr:grpSp>
      <xdr:sp macro="" textlink="">
        <xdr:nvSpPr>
          <xdr:cNvPr id="86" name="TextBox 42">
            <a:extLst>
              <a:ext uri="{FF2B5EF4-FFF2-40B4-BE49-F238E27FC236}">
                <a16:creationId xmlns:a16="http://schemas.microsoft.com/office/drawing/2014/main" id="{50B72199-2223-4EE8-9798-495B125D99FE}"/>
              </a:ext>
            </a:extLst>
          </xdr:cNvPr>
          <xdr:cNvSpPr txBox="1"/>
        </xdr:nvSpPr>
        <xdr:spPr>
          <a:xfrm>
            <a:off x="2332007" y="105923598"/>
            <a:ext cx="1301959" cy="34872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Bldg No. 2B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327660</xdr:colOff>
      <xdr:row>581</xdr:row>
      <xdr:rowOff>15240</xdr:rowOff>
    </xdr:from>
    <xdr:to>
      <xdr:col>7</xdr:col>
      <xdr:colOff>563880</xdr:colOff>
      <xdr:row>620</xdr:row>
      <xdr:rowOff>68580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BD802446-7471-B441-AA5D-992A622E412E}"/>
            </a:ext>
          </a:extLst>
        </xdr:cNvPr>
        <xdr:cNvGrpSpPr/>
      </xdr:nvGrpSpPr>
      <xdr:grpSpPr>
        <a:xfrm>
          <a:off x="327660" y="106009440"/>
          <a:ext cx="6080760" cy="7772400"/>
          <a:chOff x="277892" y="198120"/>
          <a:chExt cx="5988370" cy="8067360"/>
        </a:xfrm>
      </xdr:grpSpPr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2EA60FEC-BDEC-E9C1-C201-A5975FB2DC88}"/>
              </a:ext>
            </a:extLst>
          </xdr:cNvPr>
          <xdr:cNvGrpSpPr/>
        </xdr:nvGrpSpPr>
        <xdr:grpSpPr>
          <a:xfrm>
            <a:off x="277892" y="5745480"/>
            <a:ext cx="5988369" cy="2520000"/>
            <a:chOff x="277892" y="5745480"/>
            <a:chExt cx="5988369" cy="2520000"/>
          </a:xfrm>
        </xdr:grpSpPr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3537D6F2-19E9-22F9-3F23-966786CE8B8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77892" y="574548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id="{B00F5FCB-6E46-7E6D-A09A-BBDB87D3D40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328061" y="574548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E0A8E771-5769-6D56-7DCE-4C595C83D70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78230" y="574548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5" name="Group 24">
            <a:extLst>
              <a:ext uri="{FF2B5EF4-FFF2-40B4-BE49-F238E27FC236}">
                <a16:creationId xmlns:a16="http://schemas.microsoft.com/office/drawing/2014/main" id="{658F5F82-B64A-82FD-4861-3834411A4DF7}"/>
              </a:ext>
            </a:extLst>
          </xdr:cNvPr>
          <xdr:cNvGrpSpPr/>
        </xdr:nvGrpSpPr>
        <xdr:grpSpPr>
          <a:xfrm>
            <a:off x="277893" y="2971800"/>
            <a:ext cx="5988369" cy="2520000"/>
            <a:chOff x="277893" y="2971800"/>
            <a:chExt cx="5988369" cy="2520000"/>
          </a:xfrm>
        </xdr:grpSpPr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CDDBD8A3-7A3E-A832-DA2F-C11D4004418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328062" y="29718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FB4AE1BA-2338-6DF5-045C-B58441B8569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78231" y="29718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182E42FD-6109-A667-905A-983C23F93BE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77893" y="29718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6" name="Group 25">
            <a:extLst>
              <a:ext uri="{FF2B5EF4-FFF2-40B4-BE49-F238E27FC236}">
                <a16:creationId xmlns:a16="http://schemas.microsoft.com/office/drawing/2014/main" id="{F2B19855-7797-61BB-BA3C-ACA2FEFEF911}"/>
              </a:ext>
            </a:extLst>
          </xdr:cNvPr>
          <xdr:cNvGrpSpPr/>
        </xdr:nvGrpSpPr>
        <xdr:grpSpPr>
          <a:xfrm>
            <a:off x="277893" y="198120"/>
            <a:ext cx="5988369" cy="2520000"/>
            <a:chOff x="277893" y="198120"/>
            <a:chExt cx="5988369" cy="2520000"/>
          </a:xfrm>
        </xdr:grpSpPr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8742BC56-4D79-4098-6E06-8CFC6479CC2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328062" y="19812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7304A23B-620D-A517-B2F9-518F2DC38FC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78231" y="19812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5AD0FFE6-0859-6393-7305-D74F670EA5A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77893" y="19812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266700</xdr:colOff>
      <xdr:row>623</xdr:row>
      <xdr:rowOff>30480</xdr:rowOff>
    </xdr:from>
    <xdr:to>
      <xdr:col>7</xdr:col>
      <xdr:colOff>543725</xdr:colOff>
      <xdr:row>658</xdr:row>
      <xdr:rowOff>55743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08015170-420F-1D6E-5CE8-DEF7A407931B}"/>
            </a:ext>
          </a:extLst>
        </xdr:cNvPr>
        <xdr:cNvGrpSpPr/>
      </xdr:nvGrpSpPr>
      <xdr:grpSpPr>
        <a:xfrm>
          <a:off x="266700" y="114338100"/>
          <a:ext cx="6121565" cy="6959463"/>
          <a:chOff x="7439014" y="198120"/>
          <a:chExt cx="6121565" cy="6959463"/>
        </a:xfrm>
      </xdr:grpSpPr>
      <xdr:grpSp>
        <xdr:nvGrpSpPr>
          <xdr:cNvPr id="38" name="Group 37">
            <a:extLst>
              <a:ext uri="{FF2B5EF4-FFF2-40B4-BE49-F238E27FC236}">
                <a16:creationId xmlns:a16="http://schemas.microsoft.com/office/drawing/2014/main" id="{D7173571-BE3A-0294-CA7E-42C61FB02A84}"/>
              </a:ext>
            </a:extLst>
          </xdr:cNvPr>
          <xdr:cNvGrpSpPr/>
        </xdr:nvGrpSpPr>
        <xdr:grpSpPr>
          <a:xfrm>
            <a:off x="7439014" y="198120"/>
            <a:ext cx="6121565" cy="2520000"/>
            <a:chOff x="7439014" y="198120"/>
            <a:chExt cx="6121565" cy="2520000"/>
          </a:xfrm>
        </xdr:grpSpPr>
        <xdr:pic>
          <xdr:nvPicPr>
            <xdr:cNvPr id="53" name="Picture 52">
              <a:extLst>
                <a:ext uri="{FF2B5EF4-FFF2-40B4-BE49-F238E27FC236}">
                  <a16:creationId xmlns:a16="http://schemas.microsoft.com/office/drawing/2014/main" id="{009518C4-9963-9BB2-63BE-4FF558EC9BC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439014" y="19812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4" name="Picture 53">
              <a:extLst>
                <a:ext uri="{FF2B5EF4-FFF2-40B4-BE49-F238E27FC236}">
                  <a16:creationId xmlns:a16="http://schemas.microsoft.com/office/drawing/2014/main" id="{32563CD3-834E-7612-0B7E-B38AB9DA880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1672548" y="19812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5" name="Picture 54">
              <a:extLst>
                <a:ext uri="{FF2B5EF4-FFF2-40B4-BE49-F238E27FC236}">
                  <a16:creationId xmlns:a16="http://schemas.microsoft.com/office/drawing/2014/main" id="{DFEF2AE9-5C3A-0312-6457-4262A30B178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55781" y="19812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39" name="Group 38">
            <a:extLst>
              <a:ext uri="{FF2B5EF4-FFF2-40B4-BE49-F238E27FC236}">
                <a16:creationId xmlns:a16="http://schemas.microsoft.com/office/drawing/2014/main" id="{A4B6D751-F929-EE8B-9953-B48F26602167}"/>
              </a:ext>
            </a:extLst>
          </xdr:cNvPr>
          <xdr:cNvGrpSpPr/>
        </xdr:nvGrpSpPr>
        <xdr:grpSpPr>
          <a:xfrm>
            <a:off x="8549930" y="5357583"/>
            <a:ext cx="3899733" cy="1800000"/>
            <a:chOff x="8128012" y="5357583"/>
            <a:chExt cx="3899733" cy="1800000"/>
          </a:xfrm>
        </xdr:grpSpPr>
        <xdr:pic>
          <xdr:nvPicPr>
            <xdr:cNvPr id="51" name="Picture 50">
              <a:extLst>
                <a:ext uri="{FF2B5EF4-FFF2-40B4-BE49-F238E27FC236}">
                  <a16:creationId xmlns:a16="http://schemas.microsoft.com/office/drawing/2014/main" id="{2C4441A0-D294-C86C-F1C2-A5067E819CF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128012" y="5357583"/>
              <a:ext cx="239806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2" name="Picture 51">
              <a:extLst>
                <a:ext uri="{FF2B5EF4-FFF2-40B4-BE49-F238E27FC236}">
                  <a16:creationId xmlns:a16="http://schemas.microsoft.com/office/drawing/2014/main" id="{63F3EBF1-F0F1-645A-8436-27F0C4BA77A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679151" y="5357583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40" name="Group 39">
            <a:extLst>
              <a:ext uri="{FF2B5EF4-FFF2-40B4-BE49-F238E27FC236}">
                <a16:creationId xmlns:a16="http://schemas.microsoft.com/office/drawing/2014/main" id="{A53DE6C2-FF6A-ACC5-3CA5-F8547D07C68C}"/>
              </a:ext>
            </a:extLst>
          </xdr:cNvPr>
          <xdr:cNvGrpSpPr/>
        </xdr:nvGrpSpPr>
        <xdr:grpSpPr>
          <a:xfrm>
            <a:off x="7529405" y="2971800"/>
            <a:ext cx="5940783" cy="2161743"/>
            <a:chOff x="7618368" y="2971800"/>
            <a:chExt cx="5940783" cy="2161743"/>
          </a:xfrm>
        </xdr:grpSpPr>
        <xdr:pic>
          <xdr:nvPicPr>
            <xdr:cNvPr id="41" name="Picture 40">
              <a:extLst>
                <a:ext uri="{FF2B5EF4-FFF2-40B4-BE49-F238E27FC236}">
                  <a16:creationId xmlns:a16="http://schemas.microsoft.com/office/drawing/2014/main" id="{09EC7139-7337-F5ED-B863-033B1E7D06A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18368" y="2971800"/>
              <a:ext cx="2880000" cy="216174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2" name="Picture 41">
              <a:extLst>
                <a:ext uri="{FF2B5EF4-FFF2-40B4-BE49-F238E27FC236}">
                  <a16:creationId xmlns:a16="http://schemas.microsoft.com/office/drawing/2014/main" id="{91D6B122-D4E5-D149-4525-5F2F57E818D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679151" y="2971800"/>
              <a:ext cx="2880000" cy="216174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164880</xdr:rowOff>
    </xdr:from>
    <xdr:to>
      <xdr:col>2</xdr:col>
      <xdr:colOff>2362699</xdr:colOff>
      <xdr:row>51</xdr:row>
      <xdr:rowOff>38880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760558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173148</xdr:colOff>
      <xdr:row>39</xdr:row>
      <xdr:rowOff>164880</xdr:rowOff>
    </xdr:from>
    <xdr:to>
      <xdr:col>7</xdr:col>
      <xdr:colOff>227434</xdr:colOff>
      <xdr:row>51</xdr:row>
      <xdr:rowOff>38880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0324" y="760558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173149</xdr:colOff>
      <xdr:row>27</xdr:row>
      <xdr:rowOff>7907</xdr:rowOff>
    </xdr:from>
    <xdr:to>
      <xdr:col>7</xdr:col>
      <xdr:colOff>227435</xdr:colOff>
      <xdr:row>38</xdr:row>
      <xdr:rowOff>72407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0325" y="5162613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173149</xdr:colOff>
      <xdr:row>14</xdr:row>
      <xdr:rowOff>0</xdr:rowOff>
    </xdr:from>
    <xdr:to>
      <xdr:col>7</xdr:col>
      <xdr:colOff>227435</xdr:colOff>
      <xdr:row>25</xdr:row>
      <xdr:rowOff>64500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0325" y="267820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503177</xdr:colOff>
      <xdr:row>39</xdr:row>
      <xdr:rowOff>97046</xdr:rowOff>
    </xdr:from>
    <xdr:to>
      <xdr:col>13</xdr:col>
      <xdr:colOff>333346</xdr:colOff>
      <xdr:row>50</xdr:row>
      <xdr:rowOff>161546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17942" y="7537752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503178</xdr:colOff>
      <xdr:row>26</xdr:row>
      <xdr:rowOff>64958</xdr:rowOff>
    </xdr:from>
    <xdr:to>
      <xdr:col>13</xdr:col>
      <xdr:colOff>333347</xdr:colOff>
      <xdr:row>37</xdr:row>
      <xdr:rowOff>129458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17943" y="5029164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503178</xdr:colOff>
      <xdr:row>14</xdr:row>
      <xdr:rowOff>0</xdr:rowOff>
    </xdr:from>
    <xdr:to>
      <xdr:col>13</xdr:col>
      <xdr:colOff>333347</xdr:colOff>
      <xdr:row>25</xdr:row>
      <xdr:rowOff>64500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17943" y="267820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THekqKvWCx5BSmY4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707"/>
  <sheetViews>
    <sheetView tabSelected="1" view="pageBreakPreview" topLeftCell="A733" zoomScaleNormal="100" zoomScaleSheetLayoutView="100" zoomScalePageLayoutView="85" workbookViewId="0">
      <selection activeCell="K740" sqref="K740"/>
    </sheetView>
  </sheetViews>
  <sheetFormatPr defaultColWidth="9.109375" defaultRowHeight="15.6" x14ac:dyDescent="0.3"/>
  <cols>
    <col min="1" max="1" width="11.44140625" style="36" customWidth="1"/>
    <col min="2" max="2" width="12" style="36" customWidth="1"/>
    <col min="3" max="3" width="12.6640625" style="36" customWidth="1"/>
    <col min="4" max="4" width="14.109375" style="36" customWidth="1"/>
    <col min="5" max="7" width="11.6640625" style="36" customWidth="1"/>
    <col min="8" max="8" width="12.44140625" style="36" customWidth="1"/>
    <col min="9" max="9" width="17.44140625" style="18" customWidth="1"/>
    <col min="10" max="10" width="11.44140625" style="18" customWidth="1"/>
    <col min="11" max="11" width="10.5546875" style="18" bestFit="1" customWidth="1"/>
    <col min="12" max="12" width="10.5546875" style="18" customWidth="1"/>
    <col min="13" max="13" width="11.88671875" style="18" customWidth="1"/>
    <col min="14" max="14" width="12.5546875" style="18" customWidth="1"/>
    <col min="15" max="15" width="9.88671875" style="18" customWidth="1"/>
    <col min="16" max="16" width="11.6640625" style="18" customWidth="1"/>
    <col min="17" max="247" width="9.109375" style="18"/>
    <col min="248" max="248" width="8.6640625" style="18" customWidth="1"/>
    <col min="249" max="249" width="9.88671875" style="18" customWidth="1"/>
    <col min="250" max="250" width="14.44140625" style="18" customWidth="1"/>
    <col min="251" max="251" width="7.33203125" style="18" customWidth="1"/>
    <col min="252" max="252" width="5.5546875" style="18" customWidth="1"/>
    <col min="253" max="253" width="9" style="18" customWidth="1"/>
    <col min="254" max="255" width="9.88671875" style="18" customWidth="1"/>
    <col min="256" max="256" width="11.109375" style="18" customWidth="1"/>
    <col min="257" max="257" width="2.88671875" style="18" customWidth="1"/>
    <col min="258" max="258" width="3.5546875" style="18" customWidth="1"/>
    <col min="259" max="503" width="9.109375" style="18"/>
    <col min="504" max="504" width="8.6640625" style="18" customWidth="1"/>
    <col min="505" max="505" width="9.88671875" style="18" customWidth="1"/>
    <col min="506" max="506" width="14.44140625" style="18" customWidth="1"/>
    <col min="507" max="507" width="7.33203125" style="18" customWidth="1"/>
    <col min="508" max="508" width="5.5546875" style="18" customWidth="1"/>
    <col min="509" max="509" width="9" style="18" customWidth="1"/>
    <col min="510" max="511" width="9.88671875" style="18" customWidth="1"/>
    <col min="512" max="512" width="11.109375" style="18" customWidth="1"/>
    <col min="513" max="513" width="2.88671875" style="18" customWidth="1"/>
    <col min="514" max="514" width="3.5546875" style="18" customWidth="1"/>
    <col min="515" max="759" width="9.109375" style="18"/>
    <col min="760" max="760" width="8.6640625" style="18" customWidth="1"/>
    <col min="761" max="761" width="9.88671875" style="18" customWidth="1"/>
    <col min="762" max="762" width="14.44140625" style="18" customWidth="1"/>
    <col min="763" max="763" width="7.33203125" style="18" customWidth="1"/>
    <col min="764" max="764" width="5.5546875" style="18" customWidth="1"/>
    <col min="765" max="765" width="9" style="18" customWidth="1"/>
    <col min="766" max="767" width="9.88671875" style="18" customWidth="1"/>
    <col min="768" max="768" width="11.109375" style="18" customWidth="1"/>
    <col min="769" max="769" width="2.88671875" style="18" customWidth="1"/>
    <col min="770" max="770" width="3.5546875" style="18" customWidth="1"/>
    <col min="771" max="1015" width="9.109375" style="18"/>
    <col min="1016" max="1016" width="8.6640625" style="18" customWidth="1"/>
    <col min="1017" max="1017" width="9.88671875" style="18" customWidth="1"/>
    <col min="1018" max="1018" width="14.44140625" style="18" customWidth="1"/>
    <col min="1019" max="1019" width="7.33203125" style="18" customWidth="1"/>
    <col min="1020" max="1020" width="5.5546875" style="18" customWidth="1"/>
    <col min="1021" max="1021" width="9" style="18" customWidth="1"/>
    <col min="1022" max="1023" width="9.88671875" style="18" customWidth="1"/>
    <col min="1024" max="1024" width="11.109375" style="18" customWidth="1"/>
    <col min="1025" max="1025" width="2.88671875" style="18" customWidth="1"/>
    <col min="1026" max="1026" width="3.5546875" style="18" customWidth="1"/>
    <col min="1027" max="1271" width="9.109375" style="18"/>
    <col min="1272" max="1272" width="8.6640625" style="18" customWidth="1"/>
    <col min="1273" max="1273" width="9.88671875" style="18" customWidth="1"/>
    <col min="1274" max="1274" width="14.44140625" style="18" customWidth="1"/>
    <col min="1275" max="1275" width="7.33203125" style="18" customWidth="1"/>
    <col min="1276" max="1276" width="5.5546875" style="18" customWidth="1"/>
    <col min="1277" max="1277" width="9" style="18" customWidth="1"/>
    <col min="1278" max="1279" width="9.88671875" style="18" customWidth="1"/>
    <col min="1280" max="1280" width="11.109375" style="18" customWidth="1"/>
    <col min="1281" max="1281" width="2.88671875" style="18" customWidth="1"/>
    <col min="1282" max="1282" width="3.5546875" style="18" customWidth="1"/>
    <col min="1283" max="1527" width="9.109375" style="18"/>
    <col min="1528" max="1528" width="8.6640625" style="18" customWidth="1"/>
    <col min="1529" max="1529" width="9.88671875" style="18" customWidth="1"/>
    <col min="1530" max="1530" width="14.44140625" style="18" customWidth="1"/>
    <col min="1531" max="1531" width="7.33203125" style="18" customWidth="1"/>
    <col min="1532" max="1532" width="5.5546875" style="18" customWidth="1"/>
    <col min="1533" max="1533" width="9" style="18" customWidth="1"/>
    <col min="1534" max="1535" width="9.88671875" style="18" customWidth="1"/>
    <col min="1536" max="1536" width="11.109375" style="18" customWidth="1"/>
    <col min="1537" max="1537" width="2.88671875" style="18" customWidth="1"/>
    <col min="1538" max="1538" width="3.5546875" style="18" customWidth="1"/>
    <col min="1539" max="1783" width="9.109375" style="18"/>
    <col min="1784" max="1784" width="8.6640625" style="18" customWidth="1"/>
    <col min="1785" max="1785" width="9.88671875" style="18" customWidth="1"/>
    <col min="1786" max="1786" width="14.44140625" style="18" customWidth="1"/>
    <col min="1787" max="1787" width="7.33203125" style="18" customWidth="1"/>
    <col min="1788" max="1788" width="5.5546875" style="18" customWidth="1"/>
    <col min="1789" max="1789" width="9" style="18" customWidth="1"/>
    <col min="1790" max="1791" width="9.88671875" style="18" customWidth="1"/>
    <col min="1792" max="1792" width="11.109375" style="18" customWidth="1"/>
    <col min="1793" max="1793" width="2.88671875" style="18" customWidth="1"/>
    <col min="1794" max="1794" width="3.5546875" style="18" customWidth="1"/>
    <col min="1795" max="2039" width="9.109375" style="18"/>
    <col min="2040" max="2040" width="8.6640625" style="18" customWidth="1"/>
    <col min="2041" max="2041" width="9.88671875" style="18" customWidth="1"/>
    <col min="2042" max="2042" width="14.44140625" style="18" customWidth="1"/>
    <col min="2043" max="2043" width="7.33203125" style="18" customWidth="1"/>
    <col min="2044" max="2044" width="5.5546875" style="18" customWidth="1"/>
    <col min="2045" max="2045" width="9" style="18" customWidth="1"/>
    <col min="2046" max="2047" width="9.88671875" style="18" customWidth="1"/>
    <col min="2048" max="2048" width="11.109375" style="18" customWidth="1"/>
    <col min="2049" max="2049" width="2.88671875" style="18" customWidth="1"/>
    <col min="2050" max="2050" width="3.5546875" style="18" customWidth="1"/>
    <col min="2051" max="2295" width="9.109375" style="18"/>
    <col min="2296" max="2296" width="8.6640625" style="18" customWidth="1"/>
    <col min="2297" max="2297" width="9.88671875" style="18" customWidth="1"/>
    <col min="2298" max="2298" width="14.44140625" style="18" customWidth="1"/>
    <col min="2299" max="2299" width="7.33203125" style="18" customWidth="1"/>
    <col min="2300" max="2300" width="5.5546875" style="18" customWidth="1"/>
    <col min="2301" max="2301" width="9" style="18" customWidth="1"/>
    <col min="2302" max="2303" width="9.88671875" style="18" customWidth="1"/>
    <col min="2304" max="2304" width="11.109375" style="18" customWidth="1"/>
    <col min="2305" max="2305" width="2.88671875" style="18" customWidth="1"/>
    <col min="2306" max="2306" width="3.5546875" style="18" customWidth="1"/>
    <col min="2307" max="2551" width="9.109375" style="18"/>
    <col min="2552" max="2552" width="8.6640625" style="18" customWidth="1"/>
    <col min="2553" max="2553" width="9.88671875" style="18" customWidth="1"/>
    <col min="2554" max="2554" width="14.44140625" style="18" customWidth="1"/>
    <col min="2555" max="2555" width="7.33203125" style="18" customWidth="1"/>
    <col min="2556" max="2556" width="5.5546875" style="18" customWidth="1"/>
    <col min="2557" max="2557" width="9" style="18" customWidth="1"/>
    <col min="2558" max="2559" width="9.88671875" style="18" customWidth="1"/>
    <col min="2560" max="2560" width="11.109375" style="18" customWidth="1"/>
    <col min="2561" max="2561" width="2.88671875" style="18" customWidth="1"/>
    <col min="2562" max="2562" width="3.5546875" style="18" customWidth="1"/>
    <col min="2563" max="2807" width="9.109375" style="18"/>
    <col min="2808" max="2808" width="8.6640625" style="18" customWidth="1"/>
    <col min="2809" max="2809" width="9.88671875" style="18" customWidth="1"/>
    <col min="2810" max="2810" width="14.44140625" style="18" customWidth="1"/>
    <col min="2811" max="2811" width="7.33203125" style="18" customWidth="1"/>
    <col min="2812" max="2812" width="5.5546875" style="18" customWidth="1"/>
    <col min="2813" max="2813" width="9" style="18" customWidth="1"/>
    <col min="2814" max="2815" width="9.88671875" style="18" customWidth="1"/>
    <col min="2816" max="2816" width="11.109375" style="18" customWidth="1"/>
    <col min="2817" max="2817" width="2.88671875" style="18" customWidth="1"/>
    <col min="2818" max="2818" width="3.5546875" style="18" customWidth="1"/>
    <col min="2819" max="3063" width="9.109375" style="18"/>
    <col min="3064" max="3064" width="8.6640625" style="18" customWidth="1"/>
    <col min="3065" max="3065" width="9.88671875" style="18" customWidth="1"/>
    <col min="3066" max="3066" width="14.44140625" style="18" customWidth="1"/>
    <col min="3067" max="3067" width="7.33203125" style="18" customWidth="1"/>
    <col min="3068" max="3068" width="5.5546875" style="18" customWidth="1"/>
    <col min="3069" max="3069" width="9" style="18" customWidth="1"/>
    <col min="3070" max="3071" width="9.88671875" style="18" customWidth="1"/>
    <col min="3072" max="3072" width="11.109375" style="18" customWidth="1"/>
    <col min="3073" max="3073" width="2.88671875" style="18" customWidth="1"/>
    <col min="3074" max="3074" width="3.5546875" style="18" customWidth="1"/>
    <col min="3075" max="3319" width="9.109375" style="18"/>
    <col min="3320" max="3320" width="8.6640625" style="18" customWidth="1"/>
    <col min="3321" max="3321" width="9.88671875" style="18" customWidth="1"/>
    <col min="3322" max="3322" width="14.44140625" style="18" customWidth="1"/>
    <col min="3323" max="3323" width="7.33203125" style="18" customWidth="1"/>
    <col min="3324" max="3324" width="5.5546875" style="18" customWidth="1"/>
    <col min="3325" max="3325" width="9" style="18" customWidth="1"/>
    <col min="3326" max="3327" width="9.88671875" style="18" customWidth="1"/>
    <col min="3328" max="3328" width="11.109375" style="18" customWidth="1"/>
    <col min="3329" max="3329" width="2.88671875" style="18" customWidth="1"/>
    <col min="3330" max="3330" width="3.5546875" style="18" customWidth="1"/>
    <col min="3331" max="3575" width="9.109375" style="18"/>
    <col min="3576" max="3576" width="8.6640625" style="18" customWidth="1"/>
    <col min="3577" max="3577" width="9.88671875" style="18" customWidth="1"/>
    <col min="3578" max="3578" width="14.44140625" style="18" customWidth="1"/>
    <col min="3579" max="3579" width="7.33203125" style="18" customWidth="1"/>
    <col min="3580" max="3580" width="5.5546875" style="18" customWidth="1"/>
    <col min="3581" max="3581" width="9" style="18" customWidth="1"/>
    <col min="3582" max="3583" width="9.88671875" style="18" customWidth="1"/>
    <col min="3584" max="3584" width="11.109375" style="18" customWidth="1"/>
    <col min="3585" max="3585" width="2.88671875" style="18" customWidth="1"/>
    <col min="3586" max="3586" width="3.5546875" style="18" customWidth="1"/>
    <col min="3587" max="3831" width="9.109375" style="18"/>
    <col min="3832" max="3832" width="8.6640625" style="18" customWidth="1"/>
    <col min="3833" max="3833" width="9.88671875" style="18" customWidth="1"/>
    <col min="3834" max="3834" width="14.44140625" style="18" customWidth="1"/>
    <col min="3835" max="3835" width="7.33203125" style="18" customWidth="1"/>
    <col min="3836" max="3836" width="5.5546875" style="18" customWidth="1"/>
    <col min="3837" max="3837" width="9" style="18" customWidth="1"/>
    <col min="3838" max="3839" width="9.88671875" style="18" customWidth="1"/>
    <col min="3840" max="3840" width="11.109375" style="18" customWidth="1"/>
    <col min="3841" max="3841" width="2.88671875" style="18" customWidth="1"/>
    <col min="3842" max="3842" width="3.5546875" style="18" customWidth="1"/>
    <col min="3843" max="4087" width="9.109375" style="18"/>
    <col min="4088" max="4088" width="8.6640625" style="18" customWidth="1"/>
    <col min="4089" max="4089" width="9.88671875" style="18" customWidth="1"/>
    <col min="4090" max="4090" width="14.44140625" style="18" customWidth="1"/>
    <col min="4091" max="4091" width="7.33203125" style="18" customWidth="1"/>
    <col min="4092" max="4092" width="5.5546875" style="18" customWidth="1"/>
    <col min="4093" max="4093" width="9" style="18" customWidth="1"/>
    <col min="4094" max="4095" width="9.88671875" style="18" customWidth="1"/>
    <col min="4096" max="4096" width="11.109375" style="18" customWidth="1"/>
    <col min="4097" max="4097" width="2.88671875" style="18" customWidth="1"/>
    <col min="4098" max="4098" width="3.5546875" style="18" customWidth="1"/>
    <col min="4099" max="4343" width="9.109375" style="18"/>
    <col min="4344" max="4344" width="8.6640625" style="18" customWidth="1"/>
    <col min="4345" max="4345" width="9.88671875" style="18" customWidth="1"/>
    <col min="4346" max="4346" width="14.44140625" style="18" customWidth="1"/>
    <col min="4347" max="4347" width="7.33203125" style="18" customWidth="1"/>
    <col min="4348" max="4348" width="5.5546875" style="18" customWidth="1"/>
    <col min="4349" max="4349" width="9" style="18" customWidth="1"/>
    <col min="4350" max="4351" width="9.88671875" style="18" customWidth="1"/>
    <col min="4352" max="4352" width="11.109375" style="18" customWidth="1"/>
    <col min="4353" max="4353" width="2.88671875" style="18" customWidth="1"/>
    <col min="4354" max="4354" width="3.5546875" style="18" customWidth="1"/>
    <col min="4355" max="4599" width="9.109375" style="18"/>
    <col min="4600" max="4600" width="8.6640625" style="18" customWidth="1"/>
    <col min="4601" max="4601" width="9.88671875" style="18" customWidth="1"/>
    <col min="4602" max="4602" width="14.44140625" style="18" customWidth="1"/>
    <col min="4603" max="4603" width="7.33203125" style="18" customWidth="1"/>
    <col min="4604" max="4604" width="5.5546875" style="18" customWidth="1"/>
    <col min="4605" max="4605" width="9" style="18" customWidth="1"/>
    <col min="4606" max="4607" width="9.88671875" style="18" customWidth="1"/>
    <col min="4608" max="4608" width="11.109375" style="18" customWidth="1"/>
    <col min="4609" max="4609" width="2.88671875" style="18" customWidth="1"/>
    <col min="4610" max="4610" width="3.5546875" style="18" customWidth="1"/>
    <col min="4611" max="4855" width="9.109375" style="18"/>
    <col min="4856" max="4856" width="8.6640625" style="18" customWidth="1"/>
    <col min="4857" max="4857" width="9.88671875" style="18" customWidth="1"/>
    <col min="4858" max="4858" width="14.44140625" style="18" customWidth="1"/>
    <col min="4859" max="4859" width="7.33203125" style="18" customWidth="1"/>
    <col min="4860" max="4860" width="5.5546875" style="18" customWidth="1"/>
    <col min="4861" max="4861" width="9" style="18" customWidth="1"/>
    <col min="4862" max="4863" width="9.88671875" style="18" customWidth="1"/>
    <col min="4864" max="4864" width="11.109375" style="18" customWidth="1"/>
    <col min="4865" max="4865" width="2.88671875" style="18" customWidth="1"/>
    <col min="4866" max="4866" width="3.5546875" style="18" customWidth="1"/>
    <col min="4867" max="5111" width="9.109375" style="18"/>
    <col min="5112" max="5112" width="8.6640625" style="18" customWidth="1"/>
    <col min="5113" max="5113" width="9.88671875" style="18" customWidth="1"/>
    <col min="5114" max="5114" width="14.44140625" style="18" customWidth="1"/>
    <col min="5115" max="5115" width="7.33203125" style="18" customWidth="1"/>
    <col min="5116" max="5116" width="5.5546875" style="18" customWidth="1"/>
    <col min="5117" max="5117" width="9" style="18" customWidth="1"/>
    <col min="5118" max="5119" width="9.88671875" style="18" customWidth="1"/>
    <col min="5120" max="5120" width="11.109375" style="18" customWidth="1"/>
    <col min="5121" max="5121" width="2.88671875" style="18" customWidth="1"/>
    <col min="5122" max="5122" width="3.5546875" style="18" customWidth="1"/>
    <col min="5123" max="5367" width="9.109375" style="18"/>
    <col min="5368" max="5368" width="8.6640625" style="18" customWidth="1"/>
    <col min="5369" max="5369" width="9.88671875" style="18" customWidth="1"/>
    <col min="5370" max="5370" width="14.44140625" style="18" customWidth="1"/>
    <col min="5371" max="5371" width="7.33203125" style="18" customWidth="1"/>
    <col min="5372" max="5372" width="5.5546875" style="18" customWidth="1"/>
    <col min="5373" max="5373" width="9" style="18" customWidth="1"/>
    <col min="5374" max="5375" width="9.88671875" style="18" customWidth="1"/>
    <col min="5376" max="5376" width="11.109375" style="18" customWidth="1"/>
    <col min="5377" max="5377" width="2.88671875" style="18" customWidth="1"/>
    <col min="5378" max="5378" width="3.5546875" style="18" customWidth="1"/>
    <col min="5379" max="5623" width="9.109375" style="18"/>
    <col min="5624" max="5624" width="8.6640625" style="18" customWidth="1"/>
    <col min="5625" max="5625" width="9.88671875" style="18" customWidth="1"/>
    <col min="5626" max="5626" width="14.44140625" style="18" customWidth="1"/>
    <col min="5627" max="5627" width="7.33203125" style="18" customWidth="1"/>
    <col min="5628" max="5628" width="5.5546875" style="18" customWidth="1"/>
    <col min="5629" max="5629" width="9" style="18" customWidth="1"/>
    <col min="5630" max="5631" width="9.88671875" style="18" customWidth="1"/>
    <col min="5632" max="5632" width="11.109375" style="18" customWidth="1"/>
    <col min="5633" max="5633" width="2.88671875" style="18" customWidth="1"/>
    <col min="5634" max="5634" width="3.5546875" style="18" customWidth="1"/>
    <col min="5635" max="5879" width="9.109375" style="18"/>
    <col min="5880" max="5880" width="8.6640625" style="18" customWidth="1"/>
    <col min="5881" max="5881" width="9.88671875" style="18" customWidth="1"/>
    <col min="5882" max="5882" width="14.44140625" style="18" customWidth="1"/>
    <col min="5883" max="5883" width="7.33203125" style="18" customWidth="1"/>
    <col min="5884" max="5884" width="5.5546875" style="18" customWidth="1"/>
    <col min="5885" max="5885" width="9" style="18" customWidth="1"/>
    <col min="5886" max="5887" width="9.88671875" style="18" customWidth="1"/>
    <col min="5888" max="5888" width="11.109375" style="18" customWidth="1"/>
    <col min="5889" max="5889" width="2.88671875" style="18" customWidth="1"/>
    <col min="5890" max="5890" width="3.5546875" style="18" customWidth="1"/>
    <col min="5891" max="6135" width="9.109375" style="18"/>
    <col min="6136" max="6136" width="8.6640625" style="18" customWidth="1"/>
    <col min="6137" max="6137" width="9.88671875" style="18" customWidth="1"/>
    <col min="6138" max="6138" width="14.44140625" style="18" customWidth="1"/>
    <col min="6139" max="6139" width="7.33203125" style="18" customWidth="1"/>
    <col min="6140" max="6140" width="5.5546875" style="18" customWidth="1"/>
    <col min="6141" max="6141" width="9" style="18" customWidth="1"/>
    <col min="6142" max="6143" width="9.88671875" style="18" customWidth="1"/>
    <col min="6144" max="6144" width="11.109375" style="18" customWidth="1"/>
    <col min="6145" max="6145" width="2.88671875" style="18" customWidth="1"/>
    <col min="6146" max="6146" width="3.5546875" style="18" customWidth="1"/>
    <col min="6147" max="6391" width="9.109375" style="18"/>
    <col min="6392" max="6392" width="8.6640625" style="18" customWidth="1"/>
    <col min="6393" max="6393" width="9.88671875" style="18" customWidth="1"/>
    <col min="6394" max="6394" width="14.44140625" style="18" customWidth="1"/>
    <col min="6395" max="6395" width="7.33203125" style="18" customWidth="1"/>
    <col min="6396" max="6396" width="5.5546875" style="18" customWidth="1"/>
    <col min="6397" max="6397" width="9" style="18" customWidth="1"/>
    <col min="6398" max="6399" width="9.88671875" style="18" customWidth="1"/>
    <col min="6400" max="6400" width="11.109375" style="18" customWidth="1"/>
    <col min="6401" max="6401" width="2.88671875" style="18" customWidth="1"/>
    <col min="6402" max="6402" width="3.5546875" style="18" customWidth="1"/>
    <col min="6403" max="6647" width="9.109375" style="18"/>
    <col min="6648" max="6648" width="8.6640625" style="18" customWidth="1"/>
    <col min="6649" max="6649" width="9.88671875" style="18" customWidth="1"/>
    <col min="6650" max="6650" width="14.44140625" style="18" customWidth="1"/>
    <col min="6651" max="6651" width="7.33203125" style="18" customWidth="1"/>
    <col min="6652" max="6652" width="5.5546875" style="18" customWidth="1"/>
    <col min="6653" max="6653" width="9" style="18" customWidth="1"/>
    <col min="6654" max="6655" width="9.88671875" style="18" customWidth="1"/>
    <col min="6656" max="6656" width="11.109375" style="18" customWidth="1"/>
    <col min="6657" max="6657" width="2.88671875" style="18" customWidth="1"/>
    <col min="6658" max="6658" width="3.5546875" style="18" customWidth="1"/>
    <col min="6659" max="6903" width="9.109375" style="18"/>
    <col min="6904" max="6904" width="8.6640625" style="18" customWidth="1"/>
    <col min="6905" max="6905" width="9.88671875" style="18" customWidth="1"/>
    <col min="6906" max="6906" width="14.44140625" style="18" customWidth="1"/>
    <col min="6907" max="6907" width="7.33203125" style="18" customWidth="1"/>
    <col min="6908" max="6908" width="5.5546875" style="18" customWidth="1"/>
    <col min="6909" max="6909" width="9" style="18" customWidth="1"/>
    <col min="6910" max="6911" width="9.88671875" style="18" customWidth="1"/>
    <col min="6912" max="6912" width="11.109375" style="18" customWidth="1"/>
    <col min="6913" max="6913" width="2.88671875" style="18" customWidth="1"/>
    <col min="6914" max="6914" width="3.5546875" style="18" customWidth="1"/>
    <col min="6915" max="7159" width="9.109375" style="18"/>
    <col min="7160" max="7160" width="8.6640625" style="18" customWidth="1"/>
    <col min="7161" max="7161" width="9.88671875" style="18" customWidth="1"/>
    <col min="7162" max="7162" width="14.44140625" style="18" customWidth="1"/>
    <col min="7163" max="7163" width="7.33203125" style="18" customWidth="1"/>
    <col min="7164" max="7164" width="5.5546875" style="18" customWidth="1"/>
    <col min="7165" max="7165" width="9" style="18" customWidth="1"/>
    <col min="7166" max="7167" width="9.88671875" style="18" customWidth="1"/>
    <col min="7168" max="7168" width="11.109375" style="18" customWidth="1"/>
    <col min="7169" max="7169" width="2.88671875" style="18" customWidth="1"/>
    <col min="7170" max="7170" width="3.5546875" style="18" customWidth="1"/>
    <col min="7171" max="7415" width="9.109375" style="18"/>
    <col min="7416" max="7416" width="8.6640625" style="18" customWidth="1"/>
    <col min="7417" max="7417" width="9.88671875" style="18" customWidth="1"/>
    <col min="7418" max="7418" width="14.44140625" style="18" customWidth="1"/>
    <col min="7419" max="7419" width="7.33203125" style="18" customWidth="1"/>
    <col min="7420" max="7420" width="5.5546875" style="18" customWidth="1"/>
    <col min="7421" max="7421" width="9" style="18" customWidth="1"/>
    <col min="7422" max="7423" width="9.88671875" style="18" customWidth="1"/>
    <col min="7424" max="7424" width="11.109375" style="18" customWidth="1"/>
    <col min="7425" max="7425" width="2.88671875" style="18" customWidth="1"/>
    <col min="7426" max="7426" width="3.5546875" style="18" customWidth="1"/>
    <col min="7427" max="7671" width="9.109375" style="18"/>
    <col min="7672" max="7672" width="8.6640625" style="18" customWidth="1"/>
    <col min="7673" max="7673" width="9.88671875" style="18" customWidth="1"/>
    <col min="7674" max="7674" width="14.44140625" style="18" customWidth="1"/>
    <col min="7675" max="7675" width="7.33203125" style="18" customWidth="1"/>
    <col min="7676" max="7676" width="5.5546875" style="18" customWidth="1"/>
    <col min="7677" max="7677" width="9" style="18" customWidth="1"/>
    <col min="7678" max="7679" width="9.88671875" style="18" customWidth="1"/>
    <col min="7680" max="7680" width="11.109375" style="18" customWidth="1"/>
    <col min="7681" max="7681" width="2.88671875" style="18" customWidth="1"/>
    <col min="7682" max="7682" width="3.5546875" style="18" customWidth="1"/>
    <col min="7683" max="7927" width="9.109375" style="18"/>
    <col min="7928" max="7928" width="8.6640625" style="18" customWidth="1"/>
    <col min="7929" max="7929" width="9.88671875" style="18" customWidth="1"/>
    <col min="7930" max="7930" width="14.44140625" style="18" customWidth="1"/>
    <col min="7931" max="7931" width="7.33203125" style="18" customWidth="1"/>
    <col min="7932" max="7932" width="5.5546875" style="18" customWidth="1"/>
    <col min="7933" max="7933" width="9" style="18" customWidth="1"/>
    <col min="7934" max="7935" width="9.88671875" style="18" customWidth="1"/>
    <col min="7936" max="7936" width="11.109375" style="18" customWidth="1"/>
    <col min="7937" max="7937" width="2.88671875" style="18" customWidth="1"/>
    <col min="7938" max="7938" width="3.5546875" style="18" customWidth="1"/>
    <col min="7939" max="8183" width="9.109375" style="18"/>
    <col min="8184" max="8184" width="8.6640625" style="18" customWidth="1"/>
    <col min="8185" max="8185" width="9.88671875" style="18" customWidth="1"/>
    <col min="8186" max="8186" width="14.44140625" style="18" customWidth="1"/>
    <col min="8187" max="8187" width="7.33203125" style="18" customWidth="1"/>
    <col min="8188" max="8188" width="5.5546875" style="18" customWidth="1"/>
    <col min="8189" max="8189" width="9" style="18" customWidth="1"/>
    <col min="8190" max="8191" width="9.88671875" style="18" customWidth="1"/>
    <col min="8192" max="8192" width="11.109375" style="18" customWidth="1"/>
    <col min="8193" max="8193" width="2.88671875" style="18" customWidth="1"/>
    <col min="8194" max="8194" width="3.5546875" style="18" customWidth="1"/>
    <col min="8195" max="8439" width="9.109375" style="18"/>
    <col min="8440" max="8440" width="8.6640625" style="18" customWidth="1"/>
    <col min="8441" max="8441" width="9.88671875" style="18" customWidth="1"/>
    <col min="8442" max="8442" width="14.44140625" style="18" customWidth="1"/>
    <col min="8443" max="8443" width="7.33203125" style="18" customWidth="1"/>
    <col min="8444" max="8444" width="5.5546875" style="18" customWidth="1"/>
    <col min="8445" max="8445" width="9" style="18" customWidth="1"/>
    <col min="8446" max="8447" width="9.88671875" style="18" customWidth="1"/>
    <col min="8448" max="8448" width="11.109375" style="18" customWidth="1"/>
    <col min="8449" max="8449" width="2.88671875" style="18" customWidth="1"/>
    <col min="8450" max="8450" width="3.5546875" style="18" customWidth="1"/>
    <col min="8451" max="8695" width="9.109375" style="18"/>
    <col min="8696" max="8696" width="8.6640625" style="18" customWidth="1"/>
    <col min="8697" max="8697" width="9.88671875" style="18" customWidth="1"/>
    <col min="8698" max="8698" width="14.44140625" style="18" customWidth="1"/>
    <col min="8699" max="8699" width="7.33203125" style="18" customWidth="1"/>
    <col min="8700" max="8700" width="5.5546875" style="18" customWidth="1"/>
    <col min="8701" max="8701" width="9" style="18" customWidth="1"/>
    <col min="8702" max="8703" width="9.88671875" style="18" customWidth="1"/>
    <col min="8704" max="8704" width="11.109375" style="18" customWidth="1"/>
    <col min="8705" max="8705" width="2.88671875" style="18" customWidth="1"/>
    <col min="8706" max="8706" width="3.5546875" style="18" customWidth="1"/>
    <col min="8707" max="8951" width="9.109375" style="18"/>
    <col min="8952" max="8952" width="8.6640625" style="18" customWidth="1"/>
    <col min="8953" max="8953" width="9.88671875" style="18" customWidth="1"/>
    <col min="8954" max="8954" width="14.44140625" style="18" customWidth="1"/>
    <col min="8955" max="8955" width="7.33203125" style="18" customWidth="1"/>
    <col min="8956" max="8956" width="5.5546875" style="18" customWidth="1"/>
    <col min="8957" max="8957" width="9" style="18" customWidth="1"/>
    <col min="8958" max="8959" width="9.88671875" style="18" customWidth="1"/>
    <col min="8960" max="8960" width="11.109375" style="18" customWidth="1"/>
    <col min="8961" max="8961" width="2.88671875" style="18" customWidth="1"/>
    <col min="8962" max="8962" width="3.5546875" style="18" customWidth="1"/>
    <col min="8963" max="9207" width="9.109375" style="18"/>
    <col min="9208" max="9208" width="8.6640625" style="18" customWidth="1"/>
    <col min="9209" max="9209" width="9.88671875" style="18" customWidth="1"/>
    <col min="9210" max="9210" width="14.44140625" style="18" customWidth="1"/>
    <col min="9211" max="9211" width="7.33203125" style="18" customWidth="1"/>
    <col min="9212" max="9212" width="5.5546875" style="18" customWidth="1"/>
    <col min="9213" max="9213" width="9" style="18" customWidth="1"/>
    <col min="9214" max="9215" width="9.88671875" style="18" customWidth="1"/>
    <col min="9216" max="9216" width="11.109375" style="18" customWidth="1"/>
    <col min="9217" max="9217" width="2.88671875" style="18" customWidth="1"/>
    <col min="9218" max="9218" width="3.5546875" style="18" customWidth="1"/>
    <col min="9219" max="9463" width="9.109375" style="18"/>
    <col min="9464" max="9464" width="8.6640625" style="18" customWidth="1"/>
    <col min="9465" max="9465" width="9.88671875" style="18" customWidth="1"/>
    <col min="9466" max="9466" width="14.44140625" style="18" customWidth="1"/>
    <col min="9467" max="9467" width="7.33203125" style="18" customWidth="1"/>
    <col min="9468" max="9468" width="5.5546875" style="18" customWidth="1"/>
    <col min="9469" max="9469" width="9" style="18" customWidth="1"/>
    <col min="9470" max="9471" width="9.88671875" style="18" customWidth="1"/>
    <col min="9472" max="9472" width="11.109375" style="18" customWidth="1"/>
    <col min="9473" max="9473" width="2.88671875" style="18" customWidth="1"/>
    <col min="9474" max="9474" width="3.5546875" style="18" customWidth="1"/>
    <col min="9475" max="9719" width="9.109375" style="18"/>
    <col min="9720" max="9720" width="8.6640625" style="18" customWidth="1"/>
    <col min="9721" max="9721" width="9.88671875" style="18" customWidth="1"/>
    <col min="9722" max="9722" width="14.44140625" style="18" customWidth="1"/>
    <col min="9723" max="9723" width="7.33203125" style="18" customWidth="1"/>
    <col min="9724" max="9724" width="5.5546875" style="18" customWidth="1"/>
    <col min="9725" max="9725" width="9" style="18" customWidth="1"/>
    <col min="9726" max="9727" width="9.88671875" style="18" customWidth="1"/>
    <col min="9728" max="9728" width="11.109375" style="18" customWidth="1"/>
    <col min="9729" max="9729" width="2.88671875" style="18" customWidth="1"/>
    <col min="9730" max="9730" width="3.5546875" style="18" customWidth="1"/>
    <col min="9731" max="9975" width="9.109375" style="18"/>
    <col min="9976" max="9976" width="8.6640625" style="18" customWidth="1"/>
    <col min="9977" max="9977" width="9.88671875" style="18" customWidth="1"/>
    <col min="9978" max="9978" width="14.44140625" style="18" customWidth="1"/>
    <col min="9979" max="9979" width="7.33203125" style="18" customWidth="1"/>
    <col min="9980" max="9980" width="5.5546875" style="18" customWidth="1"/>
    <col min="9981" max="9981" width="9" style="18" customWidth="1"/>
    <col min="9982" max="9983" width="9.88671875" style="18" customWidth="1"/>
    <col min="9984" max="9984" width="11.109375" style="18" customWidth="1"/>
    <col min="9985" max="9985" width="2.88671875" style="18" customWidth="1"/>
    <col min="9986" max="9986" width="3.5546875" style="18" customWidth="1"/>
    <col min="9987" max="10231" width="9.109375" style="18"/>
    <col min="10232" max="10232" width="8.6640625" style="18" customWidth="1"/>
    <col min="10233" max="10233" width="9.88671875" style="18" customWidth="1"/>
    <col min="10234" max="10234" width="14.44140625" style="18" customWidth="1"/>
    <col min="10235" max="10235" width="7.33203125" style="18" customWidth="1"/>
    <col min="10236" max="10236" width="5.5546875" style="18" customWidth="1"/>
    <col min="10237" max="10237" width="9" style="18" customWidth="1"/>
    <col min="10238" max="10239" width="9.88671875" style="18" customWidth="1"/>
    <col min="10240" max="10240" width="11.109375" style="18" customWidth="1"/>
    <col min="10241" max="10241" width="2.88671875" style="18" customWidth="1"/>
    <col min="10242" max="10242" width="3.5546875" style="18" customWidth="1"/>
    <col min="10243" max="10487" width="9.109375" style="18"/>
    <col min="10488" max="10488" width="8.6640625" style="18" customWidth="1"/>
    <col min="10489" max="10489" width="9.88671875" style="18" customWidth="1"/>
    <col min="10490" max="10490" width="14.44140625" style="18" customWidth="1"/>
    <col min="10491" max="10491" width="7.33203125" style="18" customWidth="1"/>
    <col min="10492" max="10492" width="5.5546875" style="18" customWidth="1"/>
    <col min="10493" max="10493" width="9" style="18" customWidth="1"/>
    <col min="10494" max="10495" width="9.88671875" style="18" customWidth="1"/>
    <col min="10496" max="10496" width="11.109375" style="18" customWidth="1"/>
    <col min="10497" max="10497" width="2.88671875" style="18" customWidth="1"/>
    <col min="10498" max="10498" width="3.5546875" style="18" customWidth="1"/>
    <col min="10499" max="10743" width="9.109375" style="18"/>
    <col min="10744" max="10744" width="8.6640625" style="18" customWidth="1"/>
    <col min="10745" max="10745" width="9.88671875" style="18" customWidth="1"/>
    <col min="10746" max="10746" width="14.44140625" style="18" customWidth="1"/>
    <col min="10747" max="10747" width="7.33203125" style="18" customWidth="1"/>
    <col min="10748" max="10748" width="5.5546875" style="18" customWidth="1"/>
    <col min="10749" max="10749" width="9" style="18" customWidth="1"/>
    <col min="10750" max="10751" width="9.88671875" style="18" customWidth="1"/>
    <col min="10752" max="10752" width="11.109375" style="18" customWidth="1"/>
    <col min="10753" max="10753" width="2.88671875" style="18" customWidth="1"/>
    <col min="10754" max="10754" width="3.5546875" style="18" customWidth="1"/>
    <col min="10755" max="10999" width="9.109375" style="18"/>
    <col min="11000" max="11000" width="8.6640625" style="18" customWidth="1"/>
    <col min="11001" max="11001" width="9.88671875" style="18" customWidth="1"/>
    <col min="11002" max="11002" width="14.44140625" style="18" customWidth="1"/>
    <col min="11003" max="11003" width="7.33203125" style="18" customWidth="1"/>
    <col min="11004" max="11004" width="5.5546875" style="18" customWidth="1"/>
    <col min="11005" max="11005" width="9" style="18" customWidth="1"/>
    <col min="11006" max="11007" width="9.88671875" style="18" customWidth="1"/>
    <col min="11008" max="11008" width="11.109375" style="18" customWidth="1"/>
    <col min="11009" max="11009" width="2.88671875" style="18" customWidth="1"/>
    <col min="11010" max="11010" width="3.5546875" style="18" customWidth="1"/>
    <col min="11011" max="11255" width="9.109375" style="18"/>
    <col min="11256" max="11256" width="8.6640625" style="18" customWidth="1"/>
    <col min="11257" max="11257" width="9.88671875" style="18" customWidth="1"/>
    <col min="11258" max="11258" width="14.44140625" style="18" customWidth="1"/>
    <col min="11259" max="11259" width="7.33203125" style="18" customWidth="1"/>
    <col min="11260" max="11260" width="5.5546875" style="18" customWidth="1"/>
    <col min="11261" max="11261" width="9" style="18" customWidth="1"/>
    <col min="11262" max="11263" width="9.88671875" style="18" customWidth="1"/>
    <col min="11264" max="11264" width="11.109375" style="18" customWidth="1"/>
    <col min="11265" max="11265" width="2.88671875" style="18" customWidth="1"/>
    <col min="11266" max="11266" width="3.5546875" style="18" customWidth="1"/>
    <col min="11267" max="11511" width="9.109375" style="18"/>
    <col min="11512" max="11512" width="8.6640625" style="18" customWidth="1"/>
    <col min="11513" max="11513" width="9.88671875" style="18" customWidth="1"/>
    <col min="11514" max="11514" width="14.44140625" style="18" customWidth="1"/>
    <col min="11515" max="11515" width="7.33203125" style="18" customWidth="1"/>
    <col min="11516" max="11516" width="5.5546875" style="18" customWidth="1"/>
    <col min="11517" max="11517" width="9" style="18" customWidth="1"/>
    <col min="11518" max="11519" width="9.88671875" style="18" customWidth="1"/>
    <col min="11520" max="11520" width="11.109375" style="18" customWidth="1"/>
    <col min="11521" max="11521" width="2.88671875" style="18" customWidth="1"/>
    <col min="11522" max="11522" width="3.5546875" style="18" customWidth="1"/>
    <col min="11523" max="11767" width="9.109375" style="18"/>
    <col min="11768" max="11768" width="8.6640625" style="18" customWidth="1"/>
    <col min="11769" max="11769" width="9.88671875" style="18" customWidth="1"/>
    <col min="11770" max="11770" width="14.44140625" style="18" customWidth="1"/>
    <col min="11771" max="11771" width="7.33203125" style="18" customWidth="1"/>
    <col min="11772" max="11772" width="5.5546875" style="18" customWidth="1"/>
    <col min="11773" max="11773" width="9" style="18" customWidth="1"/>
    <col min="11774" max="11775" width="9.88671875" style="18" customWidth="1"/>
    <col min="11776" max="11776" width="11.109375" style="18" customWidth="1"/>
    <col min="11777" max="11777" width="2.88671875" style="18" customWidth="1"/>
    <col min="11778" max="11778" width="3.5546875" style="18" customWidth="1"/>
    <col min="11779" max="12023" width="9.109375" style="18"/>
    <col min="12024" max="12024" width="8.6640625" style="18" customWidth="1"/>
    <col min="12025" max="12025" width="9.88671875" style="18" customWidth="1"/>
    <col min="12026" max="12026" width="14.44140625" style="18" customWidth="1"/>
    <col min="12027" max="12027" width="7.33203125" style="18" customWidth="1"/>
    <col min="12028" max="12028" width="5.5546875" style="18" customWidth="1"/>
    <col min="12029" max="12029" width="9" style="18" customWidth="1"/>
    <col min="12030" max="12031" width="9.88671875" style="18" customWidth="1"/>
    <col min="12032" max="12032" width="11.109375" style="18" customWidth="1"/>
    <col min="12033" max="12033" width="2.88671875" style="18" customWidth="1"/>
    <col min="12034" max="12034" width="3.5546875" style="18" customWidth="1"/>
    <col min="12035" max="12279" width="9.109375" style="18"/>
    <col min="12280" max="12280" width="8.6640625" style="18" customWidth="1"/>
    <col min="12281" max="12281" width="9.88671875" style="18" customWidth="1"/>
    <col min="12282" max="12282" width="14.44140625" style="18" customWidth="1"/>
    <col min="12283" max="12283" width="7.33203125" style="18" customWidth="1"/>
    <col min="12284" max="12284" width="5.5546875" style="18" customWidth="1"/>
    <col min="12285" max="12285" width="9" style="18" customWidth="1"/>
    <col min="12286" max="12287" width="9.88671875" style="18" customWidth="1"/>
    <col min="12288" max="12288" width="11.109375" style="18" customWidth="1"/>
    <col min="12289" max="12289" width="2.88671875" style="18" customWidth="1"/>
    <col min="12290" max="12290" width="3.5546875" style="18" customWidth="1"/>
    <col min="12291" max="12535" width="9.109375" style="18"/>
    <col min="12536" max="12536" width="8.6640625" style="18" customWidth="1"/>
    <col min="12537" max="12537" width="9.88671875" style="18" customWidth="1"/>
    <col min="12538" max="12538" width="14.44140625" style="18" customWidth="1"/>
    <col min="12539" max="12539" width="7.33203125" style="18" customWidth="1"/>
    <col min="12540" max="12540" width="5.5546875" style="18" customWidth="1"/>
    <col min="12541" max="12541" width="9" style="18" customWidth="1"/>
    <col min="12542" max="12543" width="9.88671875" style="18" customWidth="1"/>
    <col min="12544" max="12544" width="11.109375" style="18" customWidth="1"/>
    <col min="12545" max="12545" width="2.88671875" style="18" customWidth="1"/>
    <col min="12546" max="12546" width="3.5546875" style="18" customWidth="1"/>
    <col min="12547" max="12791" width="9.109375" style="18"/>
    <col min="12792" max="12792" width="8.6640625" style="18" customWidth="1"/>
    <col min="12793" max="12793" width="9.88671875" style="18" customWidth="1"/>
    <col min="12794" max="12794" width="14.44140625" style="18" customWidth="1"/>
    <col min="12795" max="12795" width="7.33203125" style="18" customWidth="1"/>
    <col min="12796" max="12796" width="5.5546875" style="18" customWidth="1"/>
    <col min="12797" max="12797" width="9" style="18" customWidth="1"/>
    <col min="12798" max="12799" width="9.88671875" style="18" customWidth="1"/>
    <col min="12800" max="12800" width="11.109375" style="18" customWidth="1"/>
    <col min="12801" max="12801" width="2.88671875" style="18" customWidth="1"/>
    <col min="12802" max="12802" width="3.5546875" style="18" customWidth="1"/>
    <col min="12803" max="13047" width="9.109375" style="18"/>
    <col min="13048" max="13048" width="8.6640625" style="18" customWidth="1"/>
    <col min="13049" max="13049" width="9.88671875" style="18" customWidth="1"/>
    <col min="13050" max="13050" width="14.44140625" style="18" customWidth="1"/>
    <col min="13051" max="13051" width="7.33203125" style="18" customWidth="1"/>
    <col min="13052" max="13052" width="5.5546875" style="18" customWidth="1"/>
    <col min="13053" max="13053" width="9" style="18" customWidth="1"/>
    <col min="13054" max="13055" width="9.88671875" style="18" customWidth="1"/>
    <col min="13056" max="13056" width="11.109375" style="18" customWidth="1"/>
    <col min="13057" max="13057" width="2.88671875" style="18" customWidth="1"/>
    <col min="13058" max="13058" width="3.5546875" style="18" customWidth="1"/>
    <col min="13059" max="13303" width="9.109375" style="18"/>
    <col min="13304" max="13304" width="8.6640625" style="18" customWidth="1"/>
    <col min="13305" max="13305" width="9.88671875" style="18" customWidth="1"/>
    <col min="13306" max="13306" width="14.44140625" style="18" customWidth="1"/>
    <col min="13307" max="13307" width="7.33203125" style="18" customWidth="1"/>
    <col min="13308" max="13308" width="5.5546875" style="18" customWidth="1"/>
    <col min="13309" max="13309" width="9" style="18" customWidth="1"/>
    <col min="13310" max="13311" width="9.88671875" style="18" customWidth="1"/>
    <col min="13312" max="13312" width="11.109375" style="18" customWidth="1"/>
    <col min="13313" max="13313" width="2.88671875" style="18" customWidth="1"/>
    <col min="13314" max="13314" width="3.5546875" style="18" customWidth="1"/>
    <col min="13315" max="13559" width="9.109375" style="18"/>
    <col min="13560" max="13560" width="8.6640625" style="18" customWidth="1"/>
    <col min="13561" max="13561" width="9.88671875" style="18" customWidth="1"/>
    <col min="13562" max="13562" width="14.44140625" style="18" customWidth="1"/>
    <col min="13563" max="13563" width="7.33203125" style="18" customWidth="1"/>
    <col min="13564" max="13564" width="5.5546875" style="18" customWidth="1"/>
    <col min="13565" max="13565" width="9" style="18" customWidth="1"/>
    <col min="13566" max="13567" width="9.88671875" style="18" customWidth="1"/>
    <col min="13568" max="13568" width="11.109375" style="18" customWidth="1"/>
    <col min="13569" max="13569" width="2.88671875" style="18" customWidth="1"/>
    <col min="13570" max="13570" width="3.5546875" style="18" customWidth="1"/>
    <col min="13571" max="13815" width="9.109375" style="18"/>
    <col min="13816" max="13816" width="8.6640625" style="18" customWidth="1"/>
    <col min="13817" max="13817" width="9.88671875" style="18" customWidth="1"/>
    <col min="13818" max="13818" width="14.44140625" style="18" customWidth="1"/>
    <col min="13819" max="13819" width="7.33203125" style="18" customWidth="1"/>
    <col min="13820" max="13820" width="5.5546875" style="18" customWidth="1"/>
    <col min="13821" max="13821" width="9" style="18" customWidth="1"/>
    <col min="13822" max="13823" width="9.88671875" style="18" customWidth="1"/>
    <col min="13824" max="13824" width="11.109375" style="18" customWidth="1"/>
    <col min="13825" max="13825" width="2.88671875" style="18" customWidth="1"/>
    <col min="13826" max="13826" width="3.5546875" style="18" customWidth="1"/>
    <col min="13827" max="14071" width="9.109375" style="18"/>
    <col min="14072" max="14072" width="8.6640625" style="18" customWidth="1"/>
    <col min="14073" max="14073" width="9.88671875" style="18" customWidth="1"/>
    <col min="14074" max="14074" width="14.44140625" style="18" customWidth="1"/>
    <col min="14075" max="14075" width="7.33203125" style="18" customWidth="1"/>
    <col min="14076" max="14076" width="5.5546875" style="18" customWidth="1"/>
    <col min="14077" max="14077" width="9" style="18" customWidth="1"/>
    <col min="14078" max="14079" width="9.88671875" style="18" customWidth="1"/>
    <col min="14080" max="14080" width="11.109375" style="18" customWidth="1"/>
    <col min="14081" max="14081" width="2.88671875" style="18" customWidth="1"/>
    <col min="14082" max="14082" width="3.5546875" style="18" customWidth="1"/>
    <col min="14083" max="14327" width="9.109375" style="18"/>
    <col min="14328" max="14328" width="8.6640625" style="18" customWidth="1"/>
    <col min="14329" max="14329" width="9.88671875" style="18" customWidth="1"/>
    <col min="14330" max="14330" width="14.44140625" style="18" customWidth="1"/>
    <col min="14331" max="14331" width="7.33203125" style="18" customWidth="1"/>
    <col min="14332" max="14332" width="5.5546875" style="18" customWidth="1"/>
    <col min="14333" max="14333" width="9" style="18" customWidth="1"/>
    <col min="14334" max="14335" width="9.88671875" style="18" customWidth="1"/>
    <col min="14336" max="14336" width="11.109375" style="18" customWidth="1"/>
    <col min="14337" max="14337" width="2.88671875" style="18" customWidth="1"/>
    <col min="14338" max="14338" width="3.5546875" style="18" customWidth="1"/>
    <col min="14339" max="14583" width="9.109375" style="18"/>
    <col min="14584" max="14584" width="8.6640625" style="18" customWidth="1"/>
    <col min="14585" max="14585" width="9.88671875" style="18" customWidth="1"/>
    <col min="14586" max="14586" width="14.44140625" style="18" customWidth="1"/>
    <col min="14587" max="14587" width="7.33203125" style="18" customWidth="1"/>
    <col min="14588" max="14588" width="5.5546875" style="18" customWidth="1"/>
    <col min="14589" max="14589" width="9" style="18" customWidth="1"/>
    <col min="14590" max="14591" width="9.88671875" style="18" customWidth="1"/>
    <col min="14592" max="14592" width="11.109375" style="18" customWidth="1"/>
    <col min="14593" max="14593" width="2.88671875" style="18" customWidth="1"/>
    <col min="14594" max="14594" width="3.5546875" style="18" customWidth="1"/>
    <col min="14595" max="14839" width="9.109375" style="18"/>
    <col min="14840" max="14840" width="8.6640625" style="18" customWidth="1"/>
    <col min="14841" max="14841" width="9.88671875" style="18" customWidth="1"/>
    <col min="14842" max="14842" width="14.44140625" style="18" customWidth="1"/>
    <col min="14843" max="14843" width="7.33203125" style="18" customWidth="1"/>
    <col min="14844" max="14844" width="5.5546875" style="18" customWidth="1"/>
    <col min="14845" max="14845" width="9" style="18" customWidth="1"/>
    <col min="14846" max="14847" width="9.88671875" style="18" customWidth="1"/>
    <col min="14848" max="14848" width="11.109375" style="18" customWidth="1"/>
    <col min="14849" max="14849" width="2.88671875" style="18" customWidth="1"/>
    <col min="14850" max="14850" width="3.5546875" style="18" customWidth="1"/>
    <col min="14851" max="15095" width="9.109375" style="18"/>
    <col min="15096" max="15096" width="8.6640625" style="18" customWidth="1"/>
    <col min="15097" max="15097" width="9.88671875" style="18" customWidth="1"/>
    <col min="15098" max="15098" width="14.44140625" style="18" customWidth="1"/>
    <col min="15099" max="15099" width="7.33203125" style="18" customWidth="1"/>
    <col min="15100" max="15100" width="5.5546875" style="18" customWidth="1"/>
    <col min="15101" max="15101" width="9" style="18" customWidth="1"/>
    <col min="15102" max="15103" width="9.88671875" style="18" customWidth="1"/>
    <col min="15104" max="15104" width="11.109375" style="18" customWidth="1"/>
    <col min="15105" max="15105" width="2.88671875" style="18" customWidth="1"/>
    <col min="15106" max="15106" width="3.5546875" style="18" customWidth="1"/>
    <col min="15107" max="15351" width="9.109375" style="18"/>
    <col min="15352" max="15352" width="8.6640625" style="18" customWidth="1"/>
    <col min="15353" max="15353" width="9.88671875" style="18" customWidth="1"/>
    <col min="15354" max="15354" width="14.44140625" style="18" customWidth="1"/>
    <col min="15355" max="15355" width="7.33203125" style="18" customWidth="1"/>
    <col min="15356" max="15356" width="5.5546875" style="18" customWidth="1"/>
    <col min="15357" max="15357" width="9" style="18" customWidth="1"/>
    <col min="15358" max="15359" width="9.88671875" style="18" customWidth="1"/>
    <col min="15360" max="15360" width="11.109375" style="18" customWidth="1"/>
    <col min="15361" max="15361" width="2.88671875" style="18" customWidth="1"/>
    <col min="15362" max="15362" width="3.5546875" style="18" customWidth="1"/>
    <col min="15363" max="15607" width="9.109375" style="18"/>
    <col min="15608" max="15608" width="8.6640625" style="18" customWidth="1"/>
    <col min="15609" max="15609" width="9.88671875" style="18" customWidth="1"/>
    <col min="15610" max="15610" width="14.44140625" style="18" customWidth="1"/>
    <col min="15611" max="15611" width="7.33203125" style="18" customWidth="1"/>
    <col min="15612" max="15612" width="5.5546875" style="18" customWidth="1"/>
    <col min="15613" max="15613" width="9" style="18" customWidth="1"/>
    <col min="15614" max="15615" width="9.88671875" style="18" customWidth="1"/>
    <col min="15616" max="15616" width="11.109375" style="18" customWidth="1"/>
    <col min="15617" max="15617" width="2.88671875" style="18" customWidth="1"/>
    <col min="15618" max="15618" width="3.5546875" style="18" customWidth="1"/>
    <col min="15619" max="15863" width="9.109375" style="18"/>
    <col min="15864" max="15864" width="8.6640625" style="18" customWidth="1"/>
    <col min="15865" max="15865" width="9.88671875" style="18" customWidth="1"/>
    <col min="15866" max="15866" width="14.44140625" style="18" customWidth="1"/>
    <col min="15867" max="15867" width="7.33203125" style="18" customWidth="1"/>
    <col min="15868" max="15868" width="5.5546875" style="18" customWidth="1"/>
    <col min="15869" max="15869" width="9" style="18" customWidth="1"/>
    <col min="15870" max="15871" width="9.88671875" style="18" customWidth="1"/>
    <col min="15872" max="15872" width="11.109375" style="18" customWidth="1"/>
    <col min="15873" max="15873" width="2.88671875" style="18" customWidth="1"/>
    <col min="15874" max="15874" width="3.5546875" style="18" customWidth="1"/>
    <col min="15875" max="16119" width="9.109375" style="18"/>
    <col min="16120" max="16120" width="8.6640625" style="18" customWidth="1"/>
    <col min="16121" max="16121" width="9.88671875" style="18" customWidth="1"/>
    <col min="16122" max="16122" width="14.44140625" style="18" customWidth="1"/>
    <col min="16123" max="16123" width="7.33203125" style="18" customWidth="1"/>
    <col min="16124" max="16124" width="5.5546875" style="18" customWidth="1"/>
    <col min="16125" max="16125" width="9" style="18" customWidth="1"/>
    <col min="16126" max="16127" width="9.88671875" style="18" customWidth="1"/>
    <col min="16128" max="16128" width="11.109375" style="18" customWidth="1"/>
    <col min="16129" max="16129" width="2.88671875" style="18" customWidth="1"/>
    <col min="16130" max="16130" width="3.5546875" style="18" customWidth="1"/>
    <col min="16131" max="16384" width="9.109375" style="18"/>
  </cols>
  <sheetData>
    <row r="1" spans="1:13" ht="46.5" customHeight="1" x14ac:dyDescent="0.3">
      <c r="A1" s="186" t="s">
        <v>285</v>
      </c>
      <c r="B1" s="186"/>
      <c r="C1" s="186"/>
      <c r="D1" s="186"/>
      <c r="E1" s="186"/>
      <c r="F1" s="186"/>
      <c r="G1" s="186"/>
      <c r="H1" s="186"/>
    </row>
    <row r="2" spans="1:13" ht="16.5" customHeight="1" x14ac:dyDescent="0.3">
      <c r="A2" s="182" t="s">
        <v>0</v>
      </c>
      <c r="B2" s="182"/>
      <c r="C2" s="182"/>
      <c r="D2" s="182"/>
      <c r="E2" s="182"/>
      <c r="F2" s="182"/>
      <c r="G2" s="182"/>
      <c r="H2" s="182"/>
    </row>
    <row r="3" spans="1:13" x14ac:dyDescent="0.3">
      <c r="A3" s="149" t="s">
        <v>1</v>
      </c>
      <c r="B3" s="149"/>
      <c r="C3" s="149"/>
      <c r="D3" s="149"/>
      <c r="E3" s="149" t="str">
        <f ca="1">TEXT(TODAY(),"DD/MM/YYYY")</f>
        <v>19/08/2025</v>
      </c>
      <c r="F3" s="149"/>
      <c r="G3" s="149"/>
      <c r="H3" s="149"/>
    </row>
    <row r="4" spans="1:13" ht="15" customHeight="1" x14ac:dyDescent="0.3">
      <c r="A4" s="149" t="s">
        <v>2</v>
      </c>
      <c r="B4" s="149"/>
      <c r="C4" s="149"/>
      <c r="D4" s="149"/>
      <c r="E4" s="149" t="s">
        <v>172</v>
      </c>
      <c r="F4" s="149"/>
      <c r="G4" s="149"/>
      <c r="H4" s="149"/>
    </row>
    <row r="5" spans="1:13" x14ac:dyDescent="0.3">
      <c r="A5" s="149" t="s">
        <v>3</v>
      </c>
      <c r="B5" s="149"/>
      <c r="C5" s="149"/>
      <c r="D5" s="149"/>
      <c r="E5" s="185">
        <v>45882</v>
      </c>
      <c r="F5" s="149"/>
      <c r="G5" s="149"/>
      <c r="H5" s="149"/>
    </row>
    <row r="6" spans="1:13" ht="16.5" customHeight="1" x14ac:dyDescent="0.3">
      <c r="A6" s="149" t="s">
        <v>4</v>
      </c>
      <c r="B6" s="149"/>
      <c r="C6" s="149"/>
      <c r="D6" s="149"/>
      <c r="E6" s="153" t="s">
        <v>173</v>
      </c>
      <c r="F6" s="149"/>
      <c r="G6" s="149"/>
      <c r="H6" s="149"/>
    </row>
    <row r="7" spans="1:13" ht="15" customHeight="1" x14ac:dyDescent="0.3">
      <c r="A7" s="149" t="s">
        <v>5</v>
      </c>
      <c r="B7" s="149"/>
      <c r="C7" s="149"/>
      <c r="D7" s="149"/>
      <c r="E7" s="149" t="str">
        <f>E6</f>
        <v xml:space="preserve">Mahavir Associates
</v>
      </c>
      <c r="F7" s="149"/>
      <c r="G7" s="149"/>
      <c r="H7" s="149"/>
    </row>
    <row r="8" spans="1:13" x14ac:dyDescent="0.3">
      <c r="A8" s="149" t="s">
        <v>6</v>
      </c>
      <c r="B8" s="149"/>
      <c r="C8" s="149"/>
      <c r="D8" s="149"/>
      <c r="E8" s="78" t="s">
        <v>174</v>
      </c>
      <c r="F8" s="78"/>
      <c r="G8" s="78"/>
      <c r="H8" s="78"/>
      <c r="I8" s="53" t="s">
        <v>231</v>
      </c>
      <c r="J8" s="53"/>
      <c r="K8" s="53"/>
    </row>
    <row r="9" spans="1:13" x14ac:dyDescent="0.3">
      <c r="A9" s="149" t="s">
        <v>170</v>
      </c>
      <c r="B9" s="149"/>
      <c r="C9" s="149"/>
      <c r="D9" s="149"/>
      <c r="E9" s="149">
        <v>9923160904</v>
      </c>
      <c r="F9" s="149"/>
      <c r="G9" s="149"/>
      <c r="H9" s="149"/>
    </row>
    <row r="10" spans="1:13" x14ac:dyDescent="0.3">
      <c r="A10" s="149" t="s">
        <v>171</v>
      </c>
      <c r="B10" s="149"/>
      <c r="C10" s="149"/>
      <c r="D10" s="149"/>
      <c r="E10" s="149" t="s">
        <v>30</v>
      </c>
      <c r="F10" s="149"/>
      <c r="G10" s="149"/>
      <c r="H10" s="149"/>
    </row>
    <row r="11" spans="1:13" ht="130.5" customHeight="1" x14ac:dyDescent="0.3">
      <c r="A11" s="149" t="s">
        <v>7</v>
      </c>
      <c r="B11" s="149"/>
      <c r="C11" s="149"/>
      <c r="D11" s="149"/>
      <c r="E11" s="153" t="s">
        <v>314</v>
      </c>
      <c r="F11" s="149"/>
      <c r="G11" s="149"/>
      <c r="H11" s="149"/>
      <c r="I11" s="60" t="s">
        <v>295</v>
      </c>
      <c r="J11" s="153" t="s">
        <v>296</v>
      </c>
      <c r="K11" s="149"/>
      <c r="L11" s="149"/>
      <c r="M11" s="149"/>
    </row>
    <row r="12" spans="1:13" x14ac:dyDescent="0.3">
      <c r="A12" s="149" t="s">
        <v>8</v>
      </c>
      <c r="B12" s="149"/>
      <c r="C12" s="149"/>
      <c r="D12" s="149"/>
      <c r="E12" s="153" t="s">
        <v>252</v>
      </c>
      <c r="F12" s="153"/>
      <c r="G12" s="153"/>
      <c r="H12" s="153"/>
    </row>
    <row r="13" spans="1:13" x14ac:dyDescent="0.3">
      <c r="A13" s="149" t="s">
        <v>9</v>
      </c>
      <c r="B13" s="149"/>
      <c r="C13" s="149"/>
      <c r="D13" s="149"/>
      <c r="E13" s="153" t="s">
        <v>185</v>
      </c>
      <c r="F13" s="149"/>
      <c r="G13" s="149"/>
      <c r="H13" s="149"/>
    </row>
    <row r="14" spans="1:13" ht="48.75" customHeight="1" x14ac:dyDescent="0.3">
      <c r="A14" s="153" t="s">
        <v>10</v>
      </c>
      <c r="B14" s="153"/>
      <c r="C14" s="15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Roop Rajat Park, Gut No.157+158/9+168/1+168/2+169/1+169/2+158/1/1, near Roop Rajat Park Sector 3, Chillar Road, Betegaon, Betegaon, Boisar East, Palghar, Palghar - 401501.</v>
      </c>
      <c r="D14" s="153"/>
      <c r="E14" s="153"/>
      <c r="F14" s="153"/>
      <c r="G14" s="153"/>
      <c r="H14" s="153"/>
    </row>
    <row r="15" spans="1:13" x14ac:dyDescent="0.3">
      <c r="A15" s="153" t="s">
        <v>176</v>
      </c>
      <c r="B15" s="153"/>
      <c r="C15" s="153" t="s">
        <v>177</v>
      </c>
      <c r="D15" s="153"/>
      <c r="E15" s="153"/>
      <c r="F15" s="153"/>
      <c r="G15" s="153"/>
      <c r="H15" s="153"/>
    </row>
    <row r="16" spans="1:13" ht="15.75" hidden="1" customHeight="1" x14ac:dyDescent="0.3">
      <c r="A16" s="153" t="s">
        <v>169</v>
      </c>
      <c r="B16" s="153"/>
      <c r="C16" s="153" t="s">
        <v>175</v>
      </c>
      <c r="D16" s="153"/>
      <c r="E16" s="153"/>
      <c r="F16" s="153"/>
      <c r="G16" s="153"/>
      <c r="H16" s="153"/>
    </row>
    <row r="17" spans="1:8" ht="15.75" customHeight="1" x14ac:dyDescent="0.3">
      <c r="A17" s="153" t="s">
        <v>11</v>
      </c>
      <c r="B17" s="153"/>
      <c r="C17" s="149" t="s">
        <v>255</v>
      </c>
      <c r="D17" s="149"/>
      <c r="E17" s="153" t="s">
        <v>77</v>
      </c>
      <c r="F17" s="153"/>
      <c r="G17" s="153" t="s">
        <v>175</v>
      </c>
      <c r="H17" s="153"/>
    </row>
    <row r="18" spans="1:8" x14ac:dyDescent="0.3">
      <c r="A18" s="149" t="s">
        <v>13</v>
      </c>
      <c r="B18" s="149"/>
      <c r="C18" s="153" t="s">
        <v>254</v>
      </c>
      <c r="D18" s="153"/>
      <c r="E18" s="153" t="s">
        <v>12</v>
      </c>
      <c r="F18" s="153"/>
      <c r="G18" s="184" t="s">
        <v>178</v>
      </c>
      <c r="H18" s="184"/>
    </row>
    <row r="19" spans="1:8" x14ac:dyDescent="0.3">
      <c r="A19" s="149" t="s">
        <v>78</v>
      </c>
      <c r="B19" s="149"/>
      <c r="C19" s="153" t="s">
        <v>178</v>
      </c>
      <c r="D19" s="153"/>
      <c r="E19" s="153" t="s">
        <v>14</v>
      </c>
      <c r="F19" s="153"/>
      <c r="G19" s="153">
        <v>401501</v>
      </c>
      <c r="H19" s="153"/>
    </row>
    <row r="20" spans="1:8" ht="32.25" customHeight="1" x14ac:dyDescent="0.3">
      <c r="A20" s="149" t="s">
        <v>128</v>
      </c>
      <c r="B20" s="149"/>
      <c r="C20" s="153" t="s">
        <v>179</v>
      </c>
      <c r="D20" s="153"/>
      <c r="E20" s="153" t="s">
        <v>15</v>
      </c>
      <c r="F20" s="153"/>
      <c r="G20" s="153" t="s">
        <v>180</v>
      </c>
      <c r="H20" s="153"/>
    </row>
    <row r="21" spans="1:8" ht="15" customHeight="1" x14ac:dyDescent="0.3">
      <c r="A21" s="150" t="s">
        <v>81</v>
      </c>
      <c r="B21" s="150"/>
      <c r="C21" s="150"/>
      <c r="D21" s="150"/>
      <c r="E21" s="149" t="s">
        <v>16</v>
      </c>
      <c r="F21" s="149"/>
      <c r="G21" s="149"/>
      <c r="H21" s="149"/>
    </row>
    <row r="22" spans="1:8" ht="18.75" customHeight="1" x14ac:dyDescent="0.3">
      <c r="A22" s="150"/>
      <c r="B22" s="150"/>
      <c r="C22" s="150"/>
      <c r="D22" s="150"/>
      <c r="E22" s="149"/>
      <c r="F22" s="149"/>
      <c r="G22" s="149"/>
      <c r="H22" s="149"/>
    </row>
    <row r="23" spans="1:8" ht="15" customHeight="1" x14ac:dyDescent="0.3">
      <c r="A23" s="150" t="s">
        <v>17</v>
      </c>
      <c r="B23" s="150"/>
      <c r="C23" s="150"/>
      <c r="D23" s="150"/>
      <c r="E23" s="153" t="s">
        <v>18</v>
      </c>
      <c r="F23" s="153"/>
      <c r="G23" s="153"/>
      <c r="H23" s="153"/>
    </row>
    <row r="24" spans="1:8" ht="15" customHeight="1" x14ac:dyDescent="0.3">
      <c r="A24" s="114" t="s">
        <v>19</v>
      </c>
      <c r="B24" s="114"/>
      <c r="C24" s="114"/>
      <c r="D24" s="114"/>
      <c r="E24" s="153" t="str">
        <f>IF(AND(G18="Mumbai"),"Upper Class","Middle Class")</f>
        <v>Middle Class</v>
      </c>
      <c r="F24" s="153"/>
      <c r="G24" s="153"/>
      <c r="H24" s="153"/>
    </row>
    <row r="25" spans="1:8" x14ac:dyDescent="0.3">
      <c r="A25" s="114" t="s">
        <v>20</v>
      </c>
      <c r="B25" s="114"/>
      <c r="C25" s="114"/>
      <c r="D25" s="114"/>
      <c r="E25" s="153" t="s">
        <v>21</v>
      </c>
      <c r="F25" s="153"/>
      <c r="G25" s="153"/>
      <c r="H25" s="153"/>
    </row>
    <row r="26" spans="1:8" ht="15.75" customHeight="1" x14ac:dyDescent="0.3">
      <c r="A26" s="114" t="s">
        <v>22</v>
      </c>
      <c r="B26" s="114"/>
      <c r="C26" s="114"/>
      <c r="D26" s="114"/>
      <c r="E26" s="153" t="str">
        <f>IF(AND(G18="Mumbai"),"Developed","Developing")</f>
        <v>Developing</v>
      </c>
      <c r="F26" s="153"/>
      <c r="G26" s="153"/>
      <c r="H26" s="153"/>
    </row>
    <row r="27" spans="1:8" x14ac:dyDescent="0.3">
      <c r="A27" s="114" t="s">
        <v>23</v>
      </c>
      <c r="B27" s="114"/>
      <c r="C27" s="114"/>
      <c r="D27" s="114"/>
      <c r="E27" s="153" t="s">
        <v>24</v>
      </c>
      <c r="F27" s="153"/>
      <c r="G27" s="153"/>
      <c r="H27" s="153"/>
    </row>
    <row r="28" spans="1:8" ht="15.75" customHeight="1" x14ac:dyDescent="0.3">
      <c r="A28" s="114" t="s">
        <v>86</v>
      </c>
      <c r="B28" s="114"/>
      <c r="C28" s="114"/>
      <c r="D28" s="114"/>
      <c r="E28" s="153" t="s">
        <v>87</v>
      </c>
      <c r="F28" s="153"/>
      <c r="G28" s="153"/>
      <c r="H28" s="153"/>
    </row>
    <row r="29" spans="1:8" ht="15" customHeight="1" x14ac:dyDescent="0.3">
      <c r="A29" s="114" t="s">
        <v>35</v>
      </c>
      <c r="B29" s="114"/>
      <c r="C29" s="114"/>
      <c r="D29" s="114"/>
      <c r="E29" s="153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53"/>
      <c r="G29" s="153"/>
      <c r="H29" s="153"/>
    </row>
    <row r="30" spans="1:8" ht="15.75" customHeight="1" x14ac:dyDescent="0.3">
      <c r="A30" s="114" t="s">
        <v>98</v>
      </c>
      <c r="B30" s="114"/>
      <c r="C30" s="114"/>
      <c r="D30" s="114"/>
      <c r="E30" s="153" t="s">
        <v>36</v>
      </c>
      <c r="F30" s="153"/>
      <c r="G30" s="153"/>
      <c r="H30" s="153"/>
    </row>
    <row r="31" spans="1:8" s="19" customFormat="1" x14ac:dyDescent="0.3">
      <c r="A31" s="183" t="s">
        <v>99</v>
      </c>
      <c r="B31" s="183"/>
      <c r="C31" s="182" t="s">
        <v>29</v>
      </c>
      <c r="D31" s="182"/>
      <c r="E31" s="182"/>
      <c r="F31" s="182" t="s">
        <v>31</v>
      </c>
      <c r="G31" s="182"/>
      <c r="H31" s="182"/>
    </row>
    <row r="32" spans="1:8" s="19" customFormat="1" x14ac:dyDescent="0.3">
      <c r="A32" s="159" t="s">
        <v>25</v>
      </c>
      <c r="B32" s="159" t="s">
        <v>30</v>
      </c>
      <c r="C32" s="160" t="s">
        <v>30</v>
      </c>
      <c r="D32" s="160"/>
      <c r="E32" s="160"/>
      <c r="F32" s="160" t="s">
        <v>181</v>
      </c>
      <c r="G32" s="160"/>
      <c r="H32" s="160"/>
    </row>
    <row r="33" spans="1:10" x14ac:dyDescent="0.3">
      <c r="A33" s="159" t="s">
        <v>26</v>
      </c>
      <c r="B33" s="159" t="s">
        <v>30</v>
      </c>
      <c r="C33" s="160" t="s">
        <v>30</v>
      </c>
      <c r="D33" s="160"/>
      <c r="E33" s="160"/>
      <c r="F33" s="160" t="s">
        <v>182</v>
      </c>
      <c r="G33" s="160"/>
      <c r="H33" s="160"/>
    </row>
    <row r="34" spans="1:10" s="19" customFormat="1" x14ac:dyDescent="0.3">
      <c r="A34" s="159" t="s">
        <v>28</v>
      </c>
      <c r="B34" s="159" t="s">
        <v>30</v>
      </c>
      <c r="C34" s="160" t="s">
        <v>30</v>
      </c>
      <c r="D34" s="160"/>
      <c r="E34" s="160"/>
      <c r="F34" s="160" t="s">
        <v>253</v>
      </c>
      <c r="G34" s="160"/>
      <c r="H34" s="160"/>
    </row>
    <row r="35" spans="1:10" x14ac:dyDescent="0.3">
      <c r="A35" s="159" t="s">
        <v>27</v>
      </c>
      <c r="B35" s="159" t="s">
        <v>30</v>
      </c>
      <c r="C35" s="160" t="s">
        <v>30</v>
      </c>
      <c r="D35" s="160"/>
      <c r="E35" s="160"/>
      <c r="F35" s="160" t="s">
        <v>183</v>
      </c>
      <c r="G35" s="160"/>
      <c r="H35" s="160"/>
    </row>
    <row r="36" spans="1:10" x14ac:dyDescent="0.3">
      <c r="A36" s="114" t="s">
        <v>32</v>
      </c>
      <c r="B36" s="114"/>
      <c r="C36" s="114"/>
      <c r="D36" s="114"/>
      <c r="E36" s="114"/>
      <c r="F36" s="114"/>
      <c r="G36" s="114"/>
      <c r="H36" s="114"/>
    </row>
    <row r="37" spans="1:10" ht="15.75" customHeight="1" x14ac:dyDescent="0.3">
      <c r="A37" s="131" t="s">
        <v>33</v>
      </c>
      <c r="B37" s="131"/>
      <c r="C37" s="164">
        <v>19.783564999999999</v>
      </c>
      <c r="D37" s="164"/>
      <c r="E37" s="131" t="s">
        <v>34</v>
      </c>
      <c r="F37" s="131"/>
      <c r="G37" s="165">
        <v>72.780412799999993</v>
      </c>
      <c r="H37" s="165"/>
    </row>
    <row r="38" spans="1:10" x14ac:dyDescent="0.3">
      <c r="A38" s="131" t="s">
        <v>168</v>
      </c>
      <c r="B38" s="131"/>
      <c r="C38" s="166" t="s">
        <v>184</v>
      </c>
      <c r="D38" s="153"/>
      <c r="E38" s="153"/>
      <c r="F38" s="153"/>
      <c r="G38" s="153"/>
      <c r="H38" s="153"/>
    </row>
    <row r="39" spans="1:10" x14ac:dyDescent="0.3">
      <c r="A39" s="162" t="s">
        <v>37</v>
      </c>
      <c r="B39" s="162"/>
      <c r="C39" s="162"/>
      <c r="D39" s="162"/>
      <c r="E39" s="162"/>
      <c r="F39" s="162"/>
      <c r="G39" s="162"/>
      <c r="H39" s="162"/>
    </row>
    <row r="40" spans="1:10" x14ac:dyDescent="0.3">
      <c r="A40" s="114" t="s">
        <v>38</v>
      </c>
      <c r="B40" s="114"/>
      <c r="C40" s="114"/>
      <c r="D40" s="114"/>
      <c r="E40" s="161">
        <v>136917.70000000001</v>
      </c>
      <c r="F40" s="161"/>
      <c r="G40" s="161"/>
      <c r="H40" s="161"/>
      <c r="I40" s="18">
        <v>136917.70000000001</v>
      </c>
      <c r="J40" s="18">
        <f>I41/I40</f>
        <v>1.0999999999999999</v>
      </c>
    </row>
    <row r="41" spans="1:10" x14ac:dyDescent="0.3">
      <c r="A41" s="114" t="s">
        <v>39</v>
      </c>
      <c r="B41" s="114"/>
      <c r="C41" s="114"/>
      <c r="D41" s="114"/>
      <c r="E41" s="197">
        <v>1.1000000000000001</v>
      </c>
      <c r="F41" s="197"/>
      <c r="G41" s="197"/>
      <c r="H41" s="197"/>
      <c r="I41" s="18">
        <v>150609.47</v>
      </c>
      <c r="J41" s="18">
        <f>I42/I40</f>
        <v>1.1945969732182178</v>
      </c>
    </row>
    <row r="42" spans="1:10" x14ac:dyDescent="0.3">
      <c r="A42" s="114" t="s">
        <v>40</v>
      </c>
      <c r="B42" s="114"/>
      <c r="C42" s="114"/>
      <c r="D42" s="114"/>
      <c r="E42" s="197">
        <f>E44/E40-E41</f>
        <v>6.1153525073818216E-3</v>
      </c>
      <c r="F42" s="197"/>
      <c r="G42" s="197"/>
      <c r="H42" s="197"/>
      <c r="I42" s="18">
        <v>163561.47</v>
      </c>
    </row>
    <row r="43" spans="1:10" x14ac:dyDescent="0.3">
      <c r="A43" s="114" t="s">
        <v>41</v>
      </c>
      <c r="B43" s="114"/>
      <c r="C43" s="114"/>
      <c r="D43" s="114"/>
      <c r="E43" s="197">
        <f>E41+E42</f>
        <v>1.1061153525073819</v>
      </c>
      <c r="F43" s="197"/>
      <c r="G43" s="197"/>
      <c r="H43" s="197"/>
    </row>
    <row r="44" spans="1:10" x14ac:dyDescent="0.3">
      <c r="A44" s="114" t="s">
        <v>97</v>
      </c>
      <c r="B44" s="114"/>
      <c r="C44" s="114"/>
      <c r="D44" s="114"/>
      <c r="E44" s="203">
        <v>151446.76999999999</v>
      </c>
      <c r="F44" s="203"/>
      <c r="G44" s="203"/>
      <c r="H44" s="203"/>
    </row>
    <row r="45" spans="1:10" x14ac:dyDescent="0.3">
      <c r="A45" s="149" t="s">
        <v>42</v>
      </c>
      <c r="B45" s="149"/>
      <c r="C45" s="149"/>
      <c r="D45" s="149"/>
      <c r="E45" s="149" t="s">
        <v>315</v>
      </c>
      <c r="F45" s="149"/>
      <c r="G45" s="149"/>
      <c r="H45" s="149"/>
    </row>
    <row r="46" spans="1:10" x14ac:dyDescent="0.3">
      <c r="A46" s="162" t="s">
        <v>43</v>
      </c>
      <c r="B46" s="162"/>
      <c r="C46" s="162"/>
      <c r="D46" s="162"/>
      <c r="E46" s="162"/>
      <c r="F46" s="162"/>
      <c r="G46" s="162"/>
      <c r="H46" s="162"/>
    </row>
    <row r="47" spans="1:10" ht="33.75" customHeight="1" x14ac:dyDescent="0.3">
      <c r="A47" s="117" t="s">
        <v>158</v>
      </c>
      <c r="B47" s="118"/>
      <c r="C47" s="119" t="s">
        <v>256</v>
      </c>
      <c r="D47" s="120"/>
      <c r="E47" s="120"/>
      <c r="F47" s="120"/>
      <c r="G47" s="120"/>
      <c r="H47" s="121"/>
    </row>
    <row r="48" spans="1:10" ht="30.75" customHeight="1" x14ac:dyDescent="0.3">
      <c r="A48" s="117" t="s">
        <v>44</v>
      </c>
      <c r="B48" s="118"/>
      <c r="C48" s="117" t="s">
        <v>297</v>
      </c>
      <c r="D48" s="156"/>
      <c r="E48" s="118"/>
      <c r="F48" s="55" t="s">
        <v>45</v>
      </c>
      <c r="G48" s="172">
        <v>44707</v>
      </c>
      <c r="H48" s="118"/>
    </row>
    <row r="49" spans="1:14" ht="30.75" customHeight="1" x14ac:dyDescent="0.3">
      <c r="A49" s="117" t="s">
        <v>46</v>
      </c>
      <c r="B49" s="118"/>
      <c r="C49" s="117" t="str">
        <f>C48</f>
        <v>Mahsul/Ka-1/Mej-1/B.S.P/S.R/C.R/ 439/21</v>
      </c>
      <c r="D49" s="156"/>
      <c r="E49" s="118"/>
      <c r="F49" s="55" t="s">
        <v>45</v>
      </c>
      <c r="G49" s="172">
        <v>44707</v>
      </c>
      <c r="H49" s="118"/>
    </row>
    <row r="50" spans="1:14" s="20" customFormat="1" x14ac:dyDescent="0.3">
      <c r="A50" s="169" t="s">
        <v>162</v>
      </c>
      <c r="B50" s="171"/>
      <c r="C50" s="175" t="s">
        <v>257</v>
      </c>
      <c r="D50" s="176"/>
      <c r="E50" s="177"/>
      <c r="F50" s="55" t="s">
        <v>45</v>
      </c>
      <c r="G50" s="172">
        <v>44707</v>
      </c>
      <c r="H50" s="118"/>
    </row>
    <row r="51" spans="1:14" s="20" customFormat="1" ht="114.75" customHeight="1" x14ac:dyDescent="0.3">
      <c r="A51" s="173"/>
      <c r="B51" s="174"/>
      <c r="C51" s="117" t="s">
        <v>316</v>
      </c>
      <c r="D51" s="156"/>
      <c r="E51" s="156"/>
      <c r="F51" s="156"/>
      <c r="G51" s="156"/>
      <c r="H51" s="118"/>
    </row>
    <row r="52" spans="1:14" x14ac:dyDescent="0.3">
      <c r="A52" s="199" t="s">
        <v>47</v>
      </c>
      <c r="B52" s="200"/>
      <c r="C52" s="199" t="s">
        <v>110</v>
      </c>
      <c r="D52" s="201"/>
      <c r="E52" s="200"/>
      <c r="F52" s="40" t="s">
        <v>45</v>
      </c>
      <c r="G52" s="154" t="s">
        <v>30</v>
      </c>
      <c r="H52" s="155"/>
    </row>
    <row r="53" spans="1:14" x14ac:dyDescent="0.3">
      <c r="A53" s="152" t="s">
        <v>49</v>
      </c>
      <c r="B53" s="152"/>
      <c r="C53" s="152"/>
      <c r="D53" s="152"/>
      <c r="E53" s="152"/>
      <c r="F53" s="152"/>
      <c r="G53" s="152"/>
      <c r="H53" s="152"/>
    </row>
    <row r="54" spans="1:14" x14ac:dyDescent="0.3">
      <c r="A54" s="150" t="s">
        <v>96</v>
      </c>
      <c r="B54" s="150"/>
      <c r="C54" s="150"/>
      <c r="D54" s="114">
        <f>E44</f>
        <v>151446.76999999999</v>
      </c>
      <c r="E54" s="114"/>
      <c r="F54" s="114"/>
      <c r="G54" s="114"/>
      <c r="H54" s="114"/>
    </row>
    <row r="55" spans="1:14" x14ac:dyDescent="0.3">
      <c r="A55" s="153" t="s">
        <v>50</v>
      </c>
      <c r="B55" s="149"/>
      <c r="C55" s="149"/>
      <c r="D55" s="149" t="s">
        <v>324</v>
      </c>
      <c r="E55" s="149"/>
      <c r="F55" s="149"/>
      <c r="G55" s="149"/>
      <c r="H55" s="149"/>
      <c r="I55" s="21"/>
    </row>
    <row r="56" spans="1:14" ht="113.25" customHeight="1" x14ac:dyDescent="0.3">
      <c r="A56" s="169" t="s">
        <v>51</v>
      </c>
      <c r="B56" s="170"/>
      <c r="C56" s="171"/>
      <c r="D56" s="167" t="s">
        <v>317</v>
      </c>
      <c r="E56" s="168"/>
      <c r="F56" s="168"/>
      <c r="G56" s="168"/>
      <c r="H56" s="168"/>
    </row>
    <row r="57" spans="1:14" ht="15.75" customHeight="1" x14ac:dyDescent="0.3">
      <c r="A57" s="153" t="s">
        <v>94</v>
      </c>
      <c r="B57" s="153"/>
      <c r="C57" s="153"/>
      <c r="D57" s="178" t="s">
        <v>318</v>
      </c>
      <c r="E57" s="168"/>
      <c r="F57" s="168"/>
      <c r="G57" s="168"/>
      <c r="H57" s="168"/>
    </row>
    <row r="58" spans="1:14" ht="15.75" customHeight="1" x14ac:dyDescent="0.3">
      <c r="A58" s="153"/>
      <c r="B58" s="153"/>
      <c r="C58" s="153"/>
      <c r="D58" s="151" t="s">
        <v>293</v>
      </c>
      <c r="E58" s="151"/>
      <c r="F58" s="151"/>
      <c r="G58" s="151"/>
      <c r="H58" s="151"/>
    </row>
    <row r="59" spans="1:14" ht="15.75" customHeight="1" x14ac:dyDescent="0.3">
      <c r="A59" s="153"/>
      <c r="B59" s="153"/>
      <c r="C59" s="153"/>
      <c r="D59" s="179" t="s">
        <v>306</v>
      </c>
      <c r="E59" s="151"/>
      <c r="F59" s="151"/>
      <c r="G59" s="151"/>
      <c r="H59" s="151"/>
    </row>
    <row r="60" spans="1:14" ht="15.75" customHeight="1" x14ac:dyDescent="0.3">
      <c r="A60" s="153"/>
      <c r="B60" s="153"/>
      <c r="C60" s="153"/>
      <c r="D60" s="179" t="s">
        <v>305</v>
      </c>
      <c r="E60" s="151"/>
      <c r="F60" s="151"/>
      <c r="G60" s="151"/>
      <c r="H60" s="151"/>
    </row>
    <row r="61" spans="1:14" ht="15.75" customHeight="1" x14ac:dyDescent="0.3">
      <c r="A61" s="153"/>
      <c r="B61" s="153"/>
      <c r="C61" s="153"/>
      <c r="D61" s="151" t="s">
        <v>280</v>
      </c>
      <c r="E61" s="151"/>
      <c r="F61" s="151"/>
      <c r="G61" s="151"/>
      <c r="H61" s="151"/>
    </row>
    <row r="62" spans="1:14" ht="15.75" customHeight="1" x14ac:dyDescent="0.3">
      <c r="A62" s="153"/>
      <c r="B62" s="153"/>
      <c r="C62" s="153"/>
      <c r="D62" s="151" t="s">
        <v>298</v>
      </c>
      <c r="E62" s="151"/>
      <c r="F62" s="151"/>
      <c r="G62" s="151"/>
      <c r="H62" s="151"/>
    </row>
    <row r="63" spans="1:14" ht="15.75" customHeight="1" x14ac:dyDescent="0.3">
      <c r="A63" s="153"/>
      <c r="B63" s="153"/>
      <c r="C63" s="153"/>
      <c r="D63" s="180" t="s">
        <v>258</v>
      </c>
      <c r="E63" s="181"/>
      <c r="F63" s="181"/>
      <c r="G63" s="181"/>
      <c r="H63" s="181"/>
    </row>
    <row r="64" spans="1:14" ht="15.75" customHeight="1" x14ac:dyDescent="0.3">
      <c r="A64" s="163" t="s">
        <v>48</v>
      </c>
      <c r="B64" s="163"/>
      <c r="C64" s="163"/>
      <c r="D64" s="157" t="s">
        <v>186</v>
      </c>
      <c r="E64" s="157"/>
      <c r="F64" s="157"/>
      <c r="G64" s="157"/>
      <c r="H64" s="157"/>
      <c r="J64" s="22"/>
      <c r="K64" s="21"/>
      <c r="N64" s="21"/>
    </row>
    <row r="65" spans="1:14" ht="15.75" customHeight="1" x14ac:dyDescent="0.3">
      <c r="A65" s="114" t="s">
        <v>92</v>
      </c>
      <c r="B65" s="114"/>
      <c r="C65" s="114"/>
      <c r="D65" s="158" t="str">
        <f>(IF(G52="NA","60 Years After Completion",IF(G52&lt;&gt;"NA",""&amp;60-ROUNDDOWN((E3-G52)/360,0)&amp;" Years"," ")))</f>
        <v>60 Years After Completion</v>
      </c>
      <c r="E65" s="158"/>
      <c r="F65" s="158"/>
      <c r="G65" s="158"/>
      <c r="H65" s="158"/>
      <c r="N65" s="21"/>
    </row>
    <row r="66" spans="1:14" ht="15.75" customHeight="1" x14ac:dyDescent="0.3">
      <c r="A66" s="114" t="s">
        <v>93</v>
      </c>
      <c r="B66" s="114"/>
      <c r="C66" s="114"/>
      <c r="D66" s="150" t="s">
        <v>24</v>
      </c>
      <c r="E66" s="150"/>
      <c r="F66" s="150"/>
      <c r="G66" s="150"/>
      <c r="H66" s="150"/>
      <c r="J66" s="23"/>
      <c r="K66" s="23"/>
    </row>
    <row r="67" spans="1:14" ht="15" hidden="1" customHeight="1" x14ac:dyDescent="0.3">
      <c r="A67" s="114" t="s">
        <v>79</v>
      </c>
      <c r="B67" s="114"/>
      <c r="C67" s="114"/>
      <c r="D67" s="153" t="s">
        <v>154</v>
      </c>
      <c r="E67" s="150"/>
      <c r="F67" s="150"/>
      <c r="G67" s="150"/>
      <c r="H67" s="150"/>
    </row>
    <row r="68" spans="1:14" x14ac:dyDescent="0.3">
      <c r="A68" s="150" t="s">
        <v>155</v>
      </c>
      <c r="B68" s="150"/>
      <c r="C68" s="150"/>
      <c r="D68" s="150" t="s">
        <v>30</v>
      </c>
      <c r="E68" s="150"/>
      <c r="F68" s="150"/>
      <c r="G68" s="150"/>
      <c r="H68" s="150"/>
      <c r="I68" s="24"/>
      <c r="J68" s="24"/>
      <c r="K68" s="24"/>
      <c r="L68" s="24"/>
      <c r="M68" s="24"/>
      <c r="N68" s="24"/>
    </row>
    <row r="69" spans="1:14" ht="15.75" customHeight="1" x14ac:dyDescent="0.3">
      <c r="A69" s="198" t="s">
        <v>91</v>
      </c>
      <c r="B69" s="198"/>
      <c r="C69" s="198"/>
      <c r="D69" s="167" t="str">
        <f ca="1">(IF(G75&gt;95%,"Nothing",IF(G75&gt;0%,"Cement, Aggregate, Steel, etc",IF(G75=0%,"Work not yet Started"))))</f>
        <v>Cement, Aggregate, Steel, etc</v>
      </c>
      <c r="E69" s="167"/>
      <c r="F69" s="167"/>
      <c r="G69" s="167"/>
      <c r="H69" s="167"/>
      <c r="J69" s="23"/>
    </row>
    <row r="70" spans="1:14" ht="33.75" customHeight="1" thickBot="1" x14ac:dyDescent="0.35">
      <c r="A70" s="202" t="s">
        <v>123</v>
      </c>
      <c r="B70" s="202"/>
      <c r="C70" s="202"/>
      <c r="D70" s="167" t="str">
        <f ca="1">(IF(D69="Nothing","Yes",IF(D69="Cement, Aggregate, Steel, etc","Under Construction",IF(D69="Work not yet Started","Work not yet Started"))))</f>
        <v>Under Construction</v>
      </c>
      <c r="E70" s="167"/>
      <c r="F70" s="167" t="str">
        <f ca="1">(IF(D69="Nothing","Yes",IF(D69="Cement, Aggregate, Steel, etc","Under Construction",IF(D69="Work not yet Started","Work not yet Started"))))</f>
        <v>Under Construction</v>
      </c>
      <c r="G70" s="167"/>
      <c r="H70" s="167"/>
    </row>
    <row r="71" spans="1:14" ht="15.75" customHeight="1" x14ac:dyDescent="0.3">
      <c r="A71" s="72" t="s">
        <v>146</v>
      </c>
      <c r="B71" s="73"/>
      <c r="C71" s="74" t="s">
        <v>279</v>
      </c>
      <c r="D71" s="75"/>
      <c r="E71" s="75"/>
      <c r="F71" s="75"/>
      <c r="G71" s="75"/>
      <c r="H71" s="76"/>
      <c r="I71" s="43" t="str">
        <f ca="1">IF(D84=100%,"All work Completed. Possession granted to the Building.",IF(D83=100%,"All work Completed, Waiting for OC",I72&amp;""&amp;I73&amp;""&amp;J72&amp;""&amp;J71&amp;" "&amp;J73))</f>
        <v>Excavation, Plinth, RCC Slab, Brickwork, Internal Plaster, External Plaster, Flooring Completed, Painting upto 5 Floor, Finishing upto 4 Floor Completed</v>
      </c>
      <c r="J71" s="44" t="str">
        <f ca="1">(IF(C77=(D72+F72+H72),"",IF(C77&gt;0,", RCC upto "&amp;C77&amp;" Slab","")))&amp;(IF(C78=H72,"",IF(C78&gt;0,", Brickwork upto "&amp;C78&amp;" Floor","")))&amp;(IF(C79=H72,"",IF(C79&gt;0,", Internal Plaster upto "&amp;C79&amp;" Floor","")))&amp;(IF(C80=H72,"",IF(C80&gt;0,", External Plaster upto "&amp;C80&amp;" Floor","")))&amp;(IF(C81=H72,"",IF(C81&gt;0,", Flooring upto "&amp;C81&amp;" Floor","")))&amp;(IF(C82=H72,"",IF(C82&gt;0,", Painting upto "&amp;C82&amp;" Floor","")))&amp;(IF(C83=H72,"",IF(C83&gt;0,", Finishing upto "&amp;C83&amp;" Floor","")))&amp;(IF(C84=H72,"",IF(C84&gt;0,", Possession upto "&amp;C84&amp;" Floor","")))</f>
        <v>, Painting upto 5 Floor, Finishing upto 4 Floor</v>
      </c>
    </row>
    <row r="72" spans="1:14" x14ac:dyDescent="0.3">
      <c r="A72" s="16" t="s">
        <v>148</v>
      </c>
      <c r="B72" s="54">
        <v>0</v>
      </c>
      <c r="C72" s="54" t="s">
        <v>76</v>
      </c>
      <c r="D72" s="54">
        <v>1</v>
      </c>
      <c r="E72" s="54" t="s">
        <v>75</v>
      </c>
      <c r="F72" s="54">
        <v>0</v>
      </c>
      <c r="G72" s="54" t="s">
        <v>85</v>
      </c>
      <c r="H72" s="17">
        <f ca="1">--TRIM(RIGHT(SUBSTITUTE(LEFT(C71,_xlfn.AGGREGATE(16,6,FIND({0,1,2,3,4,5,6,7,8,9},C71,ROW(INDIRECT("1:"&amp;LEN(C71)))),1))," ",REPT(" ",LEN(C71))),LEN(C71)))</f>
        <v>6</v>
      </c>
      <c r="I72" s="45" t="str">
        <f ca="1">IF(D75=100%,"Excavation","")&amp;IF(D76=100%,", Plinth","")&amp;IF(D77=100%,", RCC Slab","")&amp;IF(D78=100%,", Brickwork","")&amp;IF(D79=100%,", Internal Plaster","")&amp;IF(D80=100%,", External Plaster","")&amp;IF(D81=100%,", Flooring","")&amp;IF(D82=100%,", Painting","")&amp;IF(D83=100%,", Building common Amenities","")</f>
        <v>Excavation, Plinth, RCC Slab, Brickwork, Internal Plaster, External Plaster, Flooring</v>
      </c>
      <c r="J72" s="46" t="str">
        <f ca="1">(IF(C75=0,"Work not yet Started.",IF(D75=25%,"Piling work in process",IF(D75=50%,"Excavation work in process",IF(D75=100%,"","0")))))&amp;(IF(C76=0%,"",IF(C76=J77,", Footing work is process",IF(C76=J78,", Footing work Completed",IF(C76=J79,", 1st Basement Completed",IF(C76=J80,", 1st &amp; 2nd Basement Completed",IF(C76=J81,", 1st to 3rd Basement Completed",IF(C76=J82,", 1st to 4th Basement Completed",IF(C76=J83,", Plinth work is process",IF(C76=J84,"","0"))))))))))</f>
        <v/>
      </c>
    </row>
    <row r="73" spans="1:14" ht="32.25" customHeight="1" x14ac:dyDescent="0.3">
      <c r="A73" s="77" t="s">
        <v>95</v>
      </c>
      <c r="B73" s="78"/>
      <c r="C73" s="79" t="str">
        <f ca="1">I71</f>
        <v>Excavation, Plinth, RCC Slab, Brickwork, Internal Plaster, External Plaster, Flooring Completed, Painting upto 5 Floor, Finishing upto 4 Floor Completed</v>
      </c>
      <c r="D73" s="79"/>
      <c r="E73" s="79"/>
      <c r="F73" s="79"/>
      <c r="G73" s="79"/>
      <c r="H73" s="80"/>
      <c r="I73" s="45" t="str">
        <f ca="1">IF(I72&lt;&gt;""," Completed","")</f>
        <v xml:space="preserve"> Completed</v>
      </c>
      <c r="J73" s="46" t="str">
        <f ca="1">IF(J71&lt;&gt;"","Completed","")</f>
        <v>Completed</v>
      </c>
    </row>
    <row r="74" spans="1:14" ht="15.75" customHeight="1" x14ac:dyDescent="0.3">
      <c r="A74" s="81" t="s">
        <v>52</v>
      </c>
      <c r="B74" s="82"/>
      <c r="C74" s="56" t="s">
        <v>145</v>
      </c>
      <c r="D74" s="56" t="s">
        <v>88</v>
      </c>
      <c r="E74" s="82" t="s">
        <v>90</v>
      </c>
      <c r="F74" s="82"/>
      <c r="G74" s="82" t="s">
        <v>89</v>
      </c>
      <c r="H74" s="83"/>
      <c r="I74" s="14" t="s">
        <v>147</v>
      </c>
      <c r="J74" s="25">
        <f ca="1">H72*25%</f>
        <v>1.5</v>
      </c>
    </row>
    <row r="75" spans="1:14" x14ac:dyDescent="0.3">
      <c r="A75" s="81" t="s">
        <v>134</v>
      </c>
      <c r="B75" s="82"/>
      <c r="C75" s="56">
        <f ca="1">J76</f>
        <v>6</v>
      </c>
      <c r="D75" s="57">
        <f ca="1">((100/H72)*C75)/100</f>
        <v>1</v>
      </c>
      <c r="E75" s="84">
        <f ca="1">(((C76/H72*10)+(40/(D72+F72+H72)*C77)+(7.5/(H72)*C78)+(7.5/(H72)*C79)+(10/H72*C80)+(10/H72*C81)+(5/H72*C82)+(5/H72*C83)+(5/H72*C84))/100)</f>
        <v>0.92500000000000004</v>
      </c>
      <c r="F75" s="85"/>
      <c r="G75" s="84">
        <f ca="1">((((C75/H72)*20)+((C76/H72)*25)+(30/(H72+F72+D72)*C77)+(5/H72*C78)+(5/H72*C79)+(5/H72*C80)+(5/H72*C81)+(0/H72*C82)+(0/H72*C83)+(5/H72*C84))/100)</f>
        <v>0.95</v>
      </c>
      <c r="H75" s="90"/>
      <c r="I75" s="14" t="s">
        <v>105</v>
      </c>
      <c r="J75" s="26">
        <f ca="1">H72*50%</f>
        <v>3</v>
      </c>
    </row>
    <row r="76" spans="1:14" x14ac:dyDescent="0.3">
      <c r="A76" s="81" t="s">
        <v>53</v>
      </c>
      <c r="B76" s="82"/>
      <c r="C76" s="56">
        <f ca="1">J84</f>
        <v>6</v>
      </c>
      <c r="D76" s="57">
        <f ca="1">((100/H72)*C76)/100</f>
        <v>1</v>
      </c>
      <c r="E76" s="86"/>
      <c r="F76" s="87"/>
      <c r="G76" s="86"/>
      <c r="H76" s="91"/>
      <c r="I76" s="14" t="s">
        <v>106</v>
      </c>
      <c r="J76" s="26">
        <f ca="1">H72</f>
        <v>6</v>
      </c>
    </row>
    <row r="77" spans="1:14" ht="15.75" customHeight="1" x14ac:dyDescent="0.3">
      <c r="A77" s="81" t="s">
        <v>135</v>
      </c>
      <c r="B77" s="82"/>
      <c r="C77" s="56">
        <v>7</v>
      </c>
      <c r="D77" s="57">
        <f ca="1">((100/(D72+F72+H72))*C77)/100</f>
        <v>1</v>
      </c>
      <c r="E77" s="86"/>
      <c r="F77" s="87"/>
      <c r="G77" s="86"/>
      <c r="H77" s="91"/>
      <c r="I77" s="14" t="s">
        <v>107</v>
      </c>
      <c r="J77" s="27">
        <f ca="1">(IF(B72&gt;1,(H72/(B72+2)),H72/4))</f>
        <v>1.5</v>
      </c>
    </row>
    <row r="78" spans="1:14" ht="15.75" customHeight="1" x14ac:dyDescent="0.3">
      <c r="A78" s="81" t="s">
        <v>142</v>
      </c>
      <c r="B78" s="82" t="s">
        <v>136</v>
      </c>
      <c r="C78" s="56">
        <v>6</v>
      </c>
      <c r="D78" s="57">
        <f ca="1">((100/H72)*C78)/100</f>
        <v>1</v>
      </c>
      <c r="E78" s="86"/>
      <c r="F78" s="87"/>
      <c r="G78" s="86"/>
      <c r="H78" s="91"/>
      <c r="I78" s="14" t="s">
        <v>108</v>
      </c>
      <c r="J78" s="27">
        <f ca="1">(IF(B72&gt;1,(H72/(B72+2)+J77),H72/4+J77))</f>
        <v>3</v>
      </c>
    </row>
    <row r="79" spans="1:14" ht="15.75" customHeight="1" x14ac:dyDescent="0.3">
      <c r="A79" s="81" t="s">
        <v>143</v>
      </c>
      <c r="B79" s="82" t="s">
        <v>136</v>
      </c>
      <c r="C79" s="56">
        <v>6</v>
      </c>
      <c r="D79" s="57">
        <f ca="1">((100/H72)*C79)/100</f>
        <v>1</v>
      </c>
      <c r="E79" s="86"/>
      <c r="F79" s="87"/>
      <c r="G79" s="86"/>
      <c r="H79" s="91"/>
      <c r="I79" s="14" t="s">
        <v>152</v>
      </c>
      <c r="J79" s="27">
        <f>(IF(B72&gt;1,(H72/(B72+2)+J78),0))</f>
        <v>0</v>
      </c>
    </row>
    <row r="80" spans="1:14" ht="15" customHeight="1" x14ac:dyDescent="0.3">
      <c r="A80" s="81" t="s">
        <v>141</v>
      </c>
      <c r="B80" s="82" t="s">
        <v>138</v>
      </c>
      <c r="C80" s="56">
        <v>6</v>
      </c>
      <c r="D80" s="57">
        <f ca="1">((100/(H72))*C80)/100</f>
        <v>1</v>
      </c>
      <c r="E80" s="86"/>
      <c r="F80" s="87"/>
      <c r="G80" s="86"/>
      <c r="H80" s="91"/>
      <c r="I80" s="14" t="s">
        <v>149</v>
      </c>
      <c r="J80" s="27">
        <f>(IF(B72&gt;2,(H72/(B72+2)+J79),0))</f>
        <v>0</v>
      </c>
    </row>
    <row r="81" spans="1:10" ht="15.75" customHeight="1" x14ac:dyDescent="0.3">
      <c r="A81" s="81" t="s">
        <v>137</v>
      </c>
      <c r="B81" s="82" t="s">
        <v>137</v>
      </c>
      <c r="C81" s="56">
        <v>6</v>
      </c>
      <c r="D81" s="57">
        <f ca="1">((100/H72)*C81)/100</f>
        <v>1</v>
      </c>
      <c r="E81" s="86"/>
      <c r="F81" s="87"/>
      <c r="G81" s="86"/>
      <c r="H81" s="91"/>
      <c r="I81" s="14" t="s">
        <v>150</v>
      </c>
      <c r="J81" s="28">
        <f>(IF(B72&gt;3,(H72/(B72+2)+J80),0))</f>
        <v>0</v>
      </c>
    </row>
    <row r="82" spans="1:10" ht="15.75" customHeight="1" x14ac:dyDescent="0.3">
      <c r="A82" s="81" t="s">
        <v>144</v>
      </c>
      <c r="B82" s="82"/>
      <c r="C82" s="56">
        <v>5</v>
      </c>
      <c r="D82" s="57">
        <f ca="1">((100/H72)*C82)/100</f>
        <v>0.83333333333333348</v>
      </c>
      <c r="E82" s="86"/>
      <c r="F82" s="87"/>
      <c r="G82" s="86"/>
      <c r="H82" s="91"/>
      <c r="I82" s="14" t="s">
        <v>151</v>
      </c>
      <c r="J82" s="27">
        <f>(IF(B72&gt;4,(H72/(B72+2)+J81),0))</f>
        <v>0</v>
      </c>
    </row>
    <row r="83" spans="1:10" ht="15.75" customHeight="1" x14ac:dyDescent="0.3">
      <c r="A83" s="81" t="s">
        <v>139</v>
      </c>
      <c r="B83" s="82" t="s">
        <v>139</v>
      </c>
      <c r="C83" s="56">
        <v>4</v>
      </c>
      <c r="D83" s="57">
        <f ca="1">((100/(H72))*C83)/100</f>
        <v>0.66666666666666674</v>
      </c>
      <c r="E83" s="86"/>
      <c r="F83" s="87"/>
      <c r="G83" s="86"/>
      <c r="H83" s="91"/>
      <c r="I83" s="14" t="s">
        <v>153</v>
      </c>
      <c r="J83" s="27">
        <f ca="1">(IF(B72=1,(H72/(B72+3)+J78),IF(B72=0,(H72/4+J78),IF(B72&gt;1,0))))</f>
        <v>4.5</v>
      </c>
    </row>
    <row r="84" spans="1:10" ht="16.2" thickBot="1" x14ac:dyDescent="0.35">
      <c r="A84" s="93" t="s">
        <v>140</v>
      </c>
      <c r="B84" s="94"/>
      <c r="C84" s="58">
        <v>0</v>
      </c>
      <c r="D84" s="59">
        <f ca="1">((100/(H72))*C84)/100</f>
        <v>0</v>
      </c>
      <c r="E84" s="88"/>
      <c r="F84" s="89"/>
      <c r="G84" s="88"/>
      <c r="H84" s="92"/>
      <c r="I84" s="15" t="s">
        <v>109</v>
      </c>
      <c r="J84" s="29">
        <f ca="1">(IF(B72&gt;1.5,(H72/(B72+2)+J78+MAX(0,J79-J78)+MAX(0,J80-J79)+MAX(0,J81-J80)+MAX(0,J82-J81)+MAX(0,J83-J82)),IF(B72=1,(H72/(B72+3)+J83),IF(B72=0,H72/4+J83))))</f>
        <v>6</v>
      </c>
    </row>
    <row r="85" spans="1:10" ht="15.75" customHeight="1" x14ac:dyDescent="0.3">
      <c r="A85" s="72" t="s">
        <v>146</v>
      </c>
      <c r="B85" s="73"/>
      <c r="C85" s="74" t="s">
        <v>323</v>
      </c>
      <c r="D85" s="75"/>
      <c r="E85" s="75"/>
      <c r="F85" s="75"/>
      <c r="G85" s="75"/>
      <c r="H85" s="76"/>
      <c r="I85" s="43" t="str">
        <f ca="1">IF(D98=100%,"All work Completed. Possession granted to the Building.",IF(D97=100%,"All work Completed, Waiting for OC",I86&amp;""&amp;I87&amp;""&amp;J86&amp;""&amp;J85&amp;" "&amp;J87))</f>
        <v>Excavation, Plinth, RCC Slab, Brickwork, Internal Plaster, External Plaster Completed, Flooring upto 5 Floor, Painting upto 5 Floor Completed</v>
      </c>
      <c r="J85" s="44" t="str">
        <f ca="1">(IF(C91=(D86+F86+H86),"",IF(C91&gt;0,", RCC upto "&amp;C91&amp;" Slab","")))&amp;(IF(C92=H86,"",IF(C92&gt;0,", Brickwork upto "&amp;C92&amp;" Floor","")))&amp;(IF(C93=H86,"",IF(C93&gt;0,", Internal Plaster upto "&amp;C93&amp;" Floor","")))&amp;(IF(C94=H86,"",IF(C94&gt;0,", External Plaster upto "&amp;C94&amp;" Floor","")))&amp;(IF(C95=H86,"",IF(C95&gt;0,", Flooring upto "&amp;C95&amp;" Floor","")))&amp;(IF(C96=H86,"",IF(C96&gt;0,", Painting upto "&amp;C96&amp;" Floor","")))&amp;(IF(C97=H86,"",IF(C97&gt;0,", Finishing upto "&amp;C97&amp;" Floor","")))&amp;(IF(C98=H86,"",IF(C98&gt;0,", Possession upto "&amp;C98&amp;" Floor","")))</f>
        <v>, Flooring upto 5 Floor, Painting upto 5 Floor</v>
      </c>
    </row>
    <row r="86" spans="1:10" x14ac:dyDescent="0.3">
      <c r="A86" s="16" t="s">
        <v>148</v>
      </c>
      <c r="B86" s="54">
        <v>0</v>
      </c>
      <c r="C86" s="54" t="s">
        <v>76</v>
      </c>
      <c r="D86" s="54">
        <v>1</v>
      </c>
      <c r="E86" s="54" t="s">
        <v>75</v>
      </c>
      <c r="F86" s="54">
        <v>0</v>
      </c>
      <c r="G86" s="54" t="s">
        <v>85</v>
      </c>
      <c r="H86" s="17">
        <f ca="1">--TRIM(RIGHT(SUBSTITUTE(LEFT(C85,_xlfn.AGGREGATE(16,6,FIND({0,1,2,3,4,5,6,7,8,9},C85,ROW(INDIRECT("1:"&amp;LEN(C85)))),1))," ",REPT(" ",LEN(C85))),LEN(C85)))</f>
        <v>6</v>
      </c>
      <c r="I86" s="45" t="str">
        <f ca="1">IF(D89=100%,"Excavation","")&amp;IF(D90=100%,", Plinth","")&amp;IF(D91=100%,", RCC Slab","")&amp;IF(D92=100%,", Brickwork","")&amp;IF(D93=100%,", Internal Plaster","")&amp;IF(D94=100%,", External Plaster","")&amp;IF(D95=100%,", Flooring","")&amp;IF(D96=100%,", Painting","")&amp;IF(D97=100%,", Building common Amenities","")</f>
        <v>Excavation, Plinth, RCC Slab, Brickwork, Internal Plaster, External Plaster</v>
      </c>
      <c r="J86" s="46" t="str">
        <f ca="1">(IF(C89=0,"Work not yet Started.",IF(D89=25%,"Piling work in process",IF(D89=50%,"Excavation work in process",IF(D89=100%,"","0")))))&amp;(IF(C90=0%,"",IF(C90=J91,", Footing work is process",IF(C90=J92,", Footing work Completed",IF(C90=J93,", 1st Basement Completed",IF(C90=J94,", 1st &amp; 2nd Basement Completed",IF(C90=J95,", 1st to 3rd Basement Completed",IF(C90=J96,", 1st to 4th Basement Completed",IF(C90=J97,", Plinth work is process",IF(C90=J98,"","0"))))))))))</f>
        <v/>
      </c>
    </row>
    <row r="87" spans="1:10" ht="32.25" customHeight="1" x14ac:dyDescent="0.3">
      <c r="A87" s="77" t="s">
        <v>95</v>
      </c>
      <c r="B87" s="78"/>
      <c r="C87" s="79" t="str">
        <f ca="1">I85</f>
        <v>Excavation, Plinth, RCC Slab, Brickwork, Internal Plaster, External Plaster Completed, Flooring upto 5 Floor, Painting upto 5 Floor Completed</v>
      </c>
      <c r="D87" s="79"/>
      <c r="E87" s="79"/>
      <c r="F87" s="79"/>
      <c r="G87" s="79"/>
      <c r="H87" s="80"/>
      <c r="I87" s="45" t="str">
        <f ca="1">IF(I86&lt;&gt;""," Completed","")</f>
        <v xml:space="preserve"> Completed</v>
      </c>
      <c r="J87" s="46" t="str">
        <f ca="1">IF(J85&lt;&gt;"","Completed","")</f>
        <v>Completed</v>
      </c>
    </row>
    <row r="88" spans="1:10" ht="15.75" customHeight="1" x14ac:dyDescent="0.3">
      <c r="A88" s="81" t="s">
        <v>52</v>
      </c>
      <c r="B88" s="82"/>
      <c r="C88" s="56" t="s">
        <v>145</v>
      </c>
      <c r="D88" s="56" t="s">
        <v>88</v>
      </c>
      <c r="E88" s="82" t="s">
        <v>90</v>
      </c>
      <c r="F88" s="82"/>
      <c r="G88" s="82" t="s">
        <v>89</v>
      </c>
      <c r="H88" s="83"/>
      <c r="I88" s="14" t="s">
        <v>147</v>
      </c>
      <c r="J88" s="25">
        <f ca="1">H86*25%</f>
        <v>1.5</v>
      </c>
    </row>
    <row r="89" spans="1:10" x14ac:dyDescent="0.3">
      <c r="A89" s="81" t="s">
        <v>134</v>
      </c>
      <c r="B89" s="82"/>
      <c r="C89" s="56">
        <f ca="1">J90</f>
        <v>6</v>
      </c>
      <c r="D89" s="57">
        <f ca="1">((100/H86)*C89)/100</f>
        <v>1</v>
      </c>
      <c r="E89" s="84">
        <f ca="1">(((C90/H86*10)+(40/(D86+F86+H86)*C91)+(7.5/(H86)*C92)+(7.5/(H86)*C93)+(10/H86*C94)+(10/H86*C95)+(5/H86*C96)+(5/H86*C97)+(5/H86*C98))/100)</f>
        <v>0.875</v>
      </c>
      <c r="F89" s="85"/>
      <c r="G89" s="84">
        <f ca="1">((((C89/H86)*20)+((C90/H86)*25)+(30/(H86+F86+D86)*C91)+(5/H86*C92)+(5/H86*C93)+(5/H86*C94)+(5/H86*C95)+(0/H86*C96)+(0/H86*C97)+(5/H86*C98))/100)</f>
        <v>0.94166666666666676</v>
      </c>
      <c r="H89" s="90"/>
      <c r="I89" s="14" t="s">
        <v>105</v>
      </c>
      <c r="J89" s="26">
        <f ca="1">H86*50%</f>
        <v>3</v>
      </c>
    </row>
    <row r="90" spans="1:10" x14ac:dyDescent="0.3">
      <c r="A90" s="81" t="s">
        <v>53</v>
      </c>
      <c r="B90" s="82"/>
      <c r="C90" s="56">
        <f ca="1">J98</f>
        <v>6</v>
      </c>
      <c r="D90" s="57">
        <f ca="1">((100/H86)*C90)/100</f>
        <v>1</v>
      </c>
      <c r="E90" s="86"/>
      <c r="F90" s="87"/>
      <c r="G90" s="86"/>
      <c r="H90" s="91"/>
      <c r="I90" s="14" t="s">
        <v>106</v>
      </c>
      <c r="J90" s="26">
        <f ca="1">H86</f>
        <v>6</v>
      </c>
    </row>
    <row r="91" spans="1:10" ht="15.75" customHeight="1" x14ac:dyDescent="0.3">
      <c r="A91" s="81" t="s">
        <v>135</v>
      </c>
      <c r="B91" s="82"/>
      <c r="C91" s="56">
        <v>7</v>
      </c>
      <c r="D91" s="57">
        <f ca="1">((100/(D86+F86+H86))*C91)/100</f>
        <v>1</v>
      </c>
      <c r="E91" s="86"/>
      <c r="F91" s="87"/>
      <c r="G91" s="86"/>
      <c r="H91" s="91"/>
      <c r="I91" s="14" t="s">
        <v>107</v>
      </c>
      <c r="J91" s="27">
        <f ca="1">(IF(B86&gt;1,(H86/(B86+2)),H86/4))</f>
        <v>1.5</v>
      </c>
    </row>
    <row r="92" spans="1:10" ht="15.75" customHeight="1" x14ac:dyDescent="0.3">
      <c r="A92" s="81" t="s">
        <v>142</v>
      </c>
      <c r="B92" s="82" t="s">
        <v>136</v>
      </c>
      <c r="C92" s="56">
        <v>6</v>
      </c>
      <c r="D92" s="57">
        <f ca="1">((100/H86)*C92)/100</f>
        <v>1</v>
      </c>
      <c r="E92" s="86"/>
      <c r="F92" s="87"/>
      <c r="G92" s="86"/>
      <c r="H92" s="91"/>
      <c r="I92" s="14" t="s">
        <v>108</v>
      </c>
      <c r="J92" s="27">
        <f ca="1">(IF(B86&gt;1,(H86/(B86+2)+J91),H86/4+J91))</f>
        <v>3</v>
      </c>
    </row>
    <row r="93" spans="1:10" ht="15.75" customHeight="1" x14ac:dyDescent="0.3">
      <c r="A93" s="81" t="s">
        <v>143</v>
      </c>
      <c r="B93" s="82" t="s">
        <v>136</v>
      </c>
      <c r="C93" s="56">
        <v>6</v>
      </c>
      <c r="D93" s="57">
        <f ca="1">((100/H86)*C93)/100</f>
        <v>1</v>
      </c>
      <c r="E93" s="86"/>
      <c r="F93" s="87"/>
      <c r="G93" s="86"/>
      <c r="H93" s="91"/>
      <c r="I93" s="14" t="s">
        <v>152</v>
      </c>
      <c r="J93" s="27">
        <f>(IF(B86&gt;1,(H86/(B86+2)+J92),0))</f>
        <v>0</v>
      </c>
    </row>
    <row r="94" spans="1:10" ht="15" customHeight="1" x14ac:dyDescent="0.3">
      <c r="A94" s="81" t="s">
        <v>141</v>
      </c>
      <c r="B94" s="82" t="s">
        <v>138</v>
      </c>
      <c r="C94" s="56">
        <v>6</v>
      </c>
      <c r="D94" s="57">
        <f ca="1">((100/(H86))*C94)/100</f>
        <v>1</v>
      </c>
      <c r="E94" s="86"/>
      <c r="F94" s="87"/>
      <c r="G94" s="86"/>
      <c r="H94" s="91"/>
      <c r="I94" s="14" t="s">
        <v>149</v>
      </c>
      <c r="J94" s="27">
        <f>(IF(B86&gt;2,(H86/(B86+2)+J93),0))</f>
        <v>0</v>
      </c>
    </row>
    <row r="95" spans="1:10" ht="15.75" customHeight="1" x14ac:dyDescent="0.3">
      <c r="A95" s="81" t="s">
        <v>137</v>
      </c>
      <c r="B95" s="82" t="s">
        <v>137</v>
      </c>
      <c r="C95" s="56">
        <v>5</v>
      </c>
      <c r="D95" s="57">
        <f ca="1">((100/H86)*C95)/100</f>
        <v>0.83333333333333348</v>
      </c>
      <c r="E95" s="86"/>
      <c r="F95" s="87"/>
      <c r="G95" s="86"/>
      <c r="H95" s="91"/>
      <c r="I95" s="14" t="s">
        <v>150</v>
      </c>
      <c r="J95" s="28">
        <f>(IF(B86&gt;3,(H86/(B86+2)+J94),0))</f>
        <v>0</v>
      </c>
    </row>
    <row r="96" spans="1:10" ht="15.75" customHeight="1" x14ac:dyDescent="0.3">
      <c r="A96" s="81" t="s">
        <v>144</v>
      </c>
      <c r="B96" s="82"/>
      <c r="C96" s="56">
        <v>5</v>
      </c>
      <c r="D96" s="57">
        <f ca="1">((100/H86)*C96)/100</f>
        <v>0.83333333333333348</v>
      </c>
      <c r="E96" s="86"/>
      <c r="F96" s="87"/>
      <c r="G96" s="86"/>
      <c r="H96" s="91"/>
      <c r="I96" s="14" t="s">
        <v>151</v>
      </c>
      <c r="J96" s="27">
        <f>(IF(B86&gt;4,(H86/(B86+2)+J95),0))</f>
        <v>0</v>
      </c>
    </row>
    <row r="97" spans="1:10" ht="15.75" customHeight="1" x14ac:dyDescent="0.3">
      <c r="A97" s="81" t="s">
        <v>139</v>
      </c>
      <c r="B97" s="82" t="s">
        <v>139</v>
      </c>
      <c r="C97" s="56">
        <v>0</v>
      </c>
      <c r="D97" s="57">
        <f ca="1">((100/(H86))*C97)/100</f>
        <v>0</v>
      </c>
      <c r="E97" s="86"/>
      <c r="F97" s="87"/>
      <c r="G97" s="86"/>
      <c r="H97" s="91"/>
      <c r="I97" s="14" t="s">
        <v>153</v>
      </c>
      <c r="J97" s="27">
        <f ca="1">(IF(B86=1,(H86/(B86+3)+J92),IF(B86=0,(H86/4+J92),IF(B86&gt;1,0))))</f>
        <v>4.5</v>
      </c>
    </row>
    <row r="98" spans="1:10" ht="16.2" thickBot="1" x14ac:dyDescent="0.35">
      <c r="A98" s="93" t="s">
        <v>140</v>
      </c>
      <c r="B98" s="94"/>
      <c r="C98" s="58">
        <v>0</v>
      </c>
      <c r="D98" s="59">
        <f ca="1">((100/(H86))*C98)/100</f>
        <v>0</v>
      </c>
      <c r="E98" s="88"/>
      <c r="F98" s="89"/>
      <c r="G98" s="88"/>
      <c r="H98" s="92"/>
      <c r="I98" s="15" t="s">
        <v>109</v>
      </c>
      <c r="J98" s="29">
        <f ca="1">(IF(B86&gt;1.5,(H86/(B86+2)+J92+MAX(0,J93-J92)+MAX(0,J94-J93)+MAX(0,J95-J94)+MAX(0,J96-J95)+MAX(0,J97-J96)),IF(B86=1,(H86/(B86+3)+J97),IF(B86=0,H86/4+J97))))</f>
        <v>6</v>
      </c>
    </row>
    <row r="99" spans="1:10" ht="15.75" customHeight="1" x14ac:dyDescent="0.3">
      <c r="A99" s="72" t="s">
        <v>146</v>
      </c>
      <c r="B99" s="73"/>
      <c r="C99" s="74" t="s">
        <v>293</v>
      </c>
      <c r="D99" s="75"/>
      <c r="E99" s="75"/>
      <c r="F99" s="75"/>
      <c r="G99" s="75"/>
      <c r="H99" s="76"/>
      <c r="I99" s="43" t="str">
        <f ca="1">IF(D112=100%,"All work Completed. Possession granted to the Building.",IF(D111=100%,"All work Completed, Waiting for OC",I100&amp;""&amp;I101&amp;""&amp;J100&amp;""&amp;J99&amp;" "&amp;J101))</f>
        <v>Excavation, Plinth, RCC Slab, Brickwork, Internal Plaster, External Plaster Completed, Flooring upto 5 Floor, Painting upto 5 Floor Completed</v>
      </c>
      <c r="J99" s="44" t="str">
        <f ca="1">(IF(C105=(D100+F100+H100),"",IF(C105&gt;0,", RCC upto "&amp;C105&amp;" Slab","")))&amp;(IF(C106=H100,"",IF(C106&gt;0,", Brickwork upto "&amp;C106&amp;" Floor","")))&amp;(IF(C107=H100,"",IF(C107&gt;0,", Internal Plaster upto "&amp;C107&amp;" Floor","")))&amp;(IF(C108=H100,"",IF(C108&gt;0,", External Plaster upto "&amp;C108&amp;" Floor","")))&amp;(IF(C109=H100,"",IF(C109&gt;0,", Flooring upto "&amp;C109&amp;" Floor","")))&amp;(IF(C110=H100,"",IF(C110&gt;0,", Painting upto "&amp;C110&amp;" Floor","")))&amp;(IF(C111=H100,"",IF(C111&gt;0,", Finishing upto "&amp;C111&amp;" Floor","")))&amp;(IF(C112=H100,"",IF(C112&gt;0,", Possession upto "&amp;C112&amp;" Floor","")))</f>
        <v>, Flooring upto 5 Floor, Painting upto 5 Floor</v>
      </c>
    </row>
    <row r="100" spans="1:10" x14ac:dyDescent="0.3">
      <c r="A100" s="16" t="s">
        <v>148</v>
      </c>
      <c r="B100" s="54">
        <v>0</v>
      </c>
      <c r="C100" s="54" t="s">
        <v>76</v>
      </c>
      <c r="D100" s="54">
        <v>1</v>
      </c>
      <c r="E100" s="54" t="s">
        <v>75</v>
      </c>
      <c r="F100" s="54">
        <v>0</v>
      </c>
      <c r="G100" s="54" t="s">
        <v>85</v>
      </c>
      <c r="H100" s="17">
        <f ca="1">--TRIM(RIGHT(SUBSTITUTE(LEFT(C99,_xlfn.AGGREGATE(16,6,FIND({0,1,2,3,4,5,6,7,8,9},C99,ROW(INDIRECT("1:"&amp;LEN(C99)))),1))," ",REPT(" ",LEN(C99))),LEN(C99)))</f>
        <v>7</v>
      </c>
      <c r="I100" s="45" t="str">
        <f ca="1">IF(D103=100%,"Excavation","")&amp;IF(D104=100%,", Plinth","")&amp;IF(D105=100%,", RCC Slab","")&amp;IF(D106=100%,", Brickwork","")&amp;IF(D107=100%,", Internal Plaster","")&amp;IF(D108=100%,", External Plaster","")&amp;IF(D109=100%,", Flooring","")&amp;IF(D110=100%,", Painting","")&amp;IF(D111=100%,", Building common Amenities","")</f>
        <v>Excavation, Plinth, RCC Slab, Brickwork, Internal Plaster, External Plaster</v>
      </c>
      <c r="J100" s="46" t="str">
        <f ca="1">(IF(C103=0,"Work not yet Started.",IF(D103=25%,"Piling work in process",IF(D103=50%,"Excavation work in process",IF(D103=100%,"","0")))))&amp;(IF(C104=0%,"",IF(C104=J105,", Footing work is process",IF(C104=J106,", Footing work Completed",IF(C104=J107,", 1st Basement Completed",IF(C104=J108,", 1st &amp; 2nd Basement Completed",IF(C104=J109,", 1st to 3rd Basement Completed",IF(C104=J110,", 1st to 4th Basement Completed",IF(C104=J111,", Plinth work is process",IF(C104=J112,"","0"))))))))))</f>
        <v/>
      </c>
    </row>
    <row r="101" spans="1:10" ht="33.6" customHeight="1" x14ac:dyDescent="0.3">
      <c r="A101" s="77" t="s">
        <v>95</v>
      </c>
      <c r="B101" s="78"/>
      <c r="C101" s="79" t="str">
        <f ca="1">(IF($G$52="NA",I99,"All work Completed. OC Received."))</f>
        <v>Excavation, Plinth, RCC Slab, Brickwork, Internal Plaster, External Plaster Completed, Flooring upto 5 Floor, Painting upto 5 Floor Completed</v>
      </c>
      <c r="D101" s="79"/>
      <c r="E101" s="79"/>
      <c r="F101" s="79"/>
      <c r="G101" s="79"/>
      <c r="H101" s="80"/>
      <c r="I101" s="45" t="str">
        <f ca="1">IF(I100&lt;&gt;""," Completed","")</f>
        <v xml:space="preserve"> Completed</v>
      </c>
      <c r="J101" s="46" t="str">
        <f ca="1">IF(J99&lt;&gt;"","Completed","")</f>
        <v>Completed</v>
      </c>
    </row>
    <row r="102" spans="1:10" ht="15.75" customHeight="1" x14ac:dyDescent="0.3">
      <c r="A102" s="81" t="s">
        <v>52</v>
      </c>
      <c r="B102" s="82"/>
      <c r="C102" s="56" t="s">
        <v>145</v>
      </c>
      <c r="D102" s="56" t="s">
        <v>88</v>
      </c>
      <c r="E102" s="82" t="s">
        <v>90</v>
      </c>
      <c r="F102" s="82"/>
      <c r="G102" s="82" t="s">
        <v>89</v>
      </c>
      <c r="H102" s="83"/>
      <c r="I102" s="14" t="s">
        <v>147</v>
      </c>
      <c r="J102" s="25">
        <f ca="1">H100*25%</f>
        <v>1.75</v>
      </c>
    </row>
    <row r="103" spans="1:10" x14ac:dyDescent="0.3">
      <c r="A103" s="81" t="s">
        <v>134</v>
      </c>
      <c r="B103" s="82"/>
      <c r="C103" s="56">
        <f ca="1">J104</f>
        <v>7</v>
      </c>
      <c r="D103" s="57">
        <f ca="1">((100/H100)*C103)/100</f>
        <v>1</v>
      </c>
      <c r="E103" s="84">
        <f ca="1">(((C104/H100*10)+(40/(D100+F100+H100)*C105)+(7.5/(H100)*C106)+(7.5/(H100)*C107)+(10/H100*C108)+(10/H100*C109)+(5/H100*C110)+(5/H100*C111)+(5/H100*C112))/100)</f>
        <v>0.8571428571428571</v>
      </c>
      <c r="F103" s="85"/>
      <c r="G103" s="84">
        <f ca="1">((((C103/H100)*20)+((C104/H100)*25)+(30/(H100+F100+D100)*C105)+(5/H100*C106)+(5/H100*C107)+(5/H100*C108)+(5/H100*C109)+(0/H100*C110)+(0/H100*C111)+(5/H100*C112))/100)</f>
        <v>0.93571428571428572</v>
      </c>
      <c r="H103" s="90"/>
      <c r="I103" s="14" t="s">
        <v>105</v>
      </c>
      <c r="J103" s="26">
        <f ca="1">H100*50%</f>
        <v>3.5</v>
      </c>
    </row>
    <row r="104" spans="1:10" x14ac:dyDescent="0.3">
      <c r="A104" s="81" t="s">
        <v>53</v>
      </c>
      <c r="B104" s="82"/>
      <c r="C104" s="56">
        <f ca="1">J112</f>
        <v>7</v>
      </c>
      <c r="D104" s="57">
        <f ca="1">((100/H100)*C104)/100</f>
        <v>1</v>
      </c>
      <c r="E104" s="86"/>
      <c r="F104" s="87"/>
      <c r="G104" s="86"/>
      <c r="H104" s="91"/>
      <c r="I104" s="14" t="s">
        <v>106</v>
      </c>
      <c r="J104" s="26">
        <f ca="1">H100</f>
        <v>7</v>
      </c>
    </row>
    <row r="105" spans="1:10" ht="15.75" customHeight="1" x14ac:dyDescent="0.3">
      <c r="A105" s="81" t="s">
        <v>135</v>
      </c>
      <c r="B105" s="82"/>
      <c r="C105" s="56">
        <v>8</v>
      </c>
      <c r="D105" s="57">
        <f ca="1">((100/(D100+F100+H100))*C105)/100</f>
        <v>1</v>
      </c>
      <c r="E105" s="86"/>
      <c r="F105" s="87"/>
      <c r="G105" s="86"/>
      <c r="H105" s="91"/>
      <c r="I105" s="14" t="s">
        <v>107</v>
      </c>
      <c r="J105" s="27">
        <f ca="1">(IF(B100&gt;1,(H100/(B100+2)),H100/4))</f>
        <v>1.75</v>
      </c>
    </row>
    <row r="106" spans="1:10" ht="15.75" customHeight="1" x14ac:dyDescent="0.3">
      <c r="A106" s="81" t="s">
        <v>142</v>
      </c>
      <c r="B106" s="82" t="s">
        <v>136</v>
      </c>
      <c r="C106" s="56">
        <v>7</v>
      </c>
      <c r="D106" s="57">
        <f ca="1">((100/H100)*C106)/100</f>
        <v>1</v>
      </c>
      <c r="E106" s="86"/>
      <c r="F106" s="87"/>
      <c r="G106" s="86"/>
      <c r="H106" s="91"/>
      <c r="I106" s="14" t="s">
        <v>108</v>
      </c>
      <c r="J106" s="27">
        <f ca="1">(IF(B100&gt;1,(H100/(B100+2)+J105),H100/4+J105))</f>
        <v>3.5</v>
      </c>
    </row>
    <row r="107" spans="1:10" ht="15.75" customHeight="1" x14ac:dyDescent="0.3">
      <c r="A107" s="81" t="s">
        <v>143</v>
      </c>
      <c r="B107" s="82" t="s">
        <v>136</v>
      </c>
      <c r="C107" s="56">
        <v>7</v>
      </c>
      <c r="D107" s="57">
        <f ca="1">((100/H100)*C107)/100</f>
        <v>1</v>
      </c>
      <c r="E107" s="86"/>
      <c r="F107" s="87"/>
      <c r="G107" s="86"/>
      <c r="H107" s="91"/>
      <c r="I107" s="14" t="s">
        <v>152</v>
      </c>
      <c r="J107" s="27">
        <f>(IF(B100&gt;1,(H100/(B100+2)+J106),0))</f>
        <v>0</v>
      </c>
    </row>
    <row r="108" spans="1:10" ht="15" customHeight="1" x14ac:dyDescent="0.3">
      <c r="A108" s="81" t="s">
        <v>141</v>
      </c>
      <c r="B108" s="82" t="s">
        <v>138</v>
      </c>
      <c r="C108" s="56">
        <v>7</v>
      </c>
      <c r="D108" s="57">
        <f ca="1">((100/(H100))*C108)/100</f>
        <v>1</v>
      </c>
      <c r="E108" s="86"/>
      <c r="F108" s="87"/>
      <c r="G108" s="86"/>
      <c r="H108" s="91"/>
      <c r="I108" s="14" t="s">
        <v>149</v>
      </c>
      <c r="J108" s="27">
        <f>(IF(B100&gt;2,(H100/(B100+2)+J107),0))</f>
        <v>0</v>
      </c>
    </row>
    <row r="109" spans="1:10" ht="15.75" customHeight="1" x14ac:dyDescent="0.3">
      <c r="A109" s="81" t="s">
        <v>137</v>
      </c>
      <c r="B109" s="82" t="s">
        <v>137</v>
      </c>
      <c r="C109" s="56">
        <v>5</v>
      </c>
      <c r="D109" s="57">
        <f ca="1">((100/H100)*C109)/100</f>
        <v>0.7142857142857143</v>
      </c>
      <c r="E109" s="86"/>
      <c r="F109" s="87"/>
      <c r="G109" s="86"/>
      <c r="H109" s="91"/>
      <c r="I109" s="14" t="s">
        <v>150</v>
      </c>
      <c r="J109" s="28">
        <f>(IF(B100&gt;3,(H100/(B100+2)+J108),0))</f>
        <v>0</v>
      </c>
    </row>
    <row r="110" spans="1:10" ht="15.75" customHeight="1" x14ac:dyDescent="0.3">
      <c r="A110" s="81" t="s">
        <v>144</v>
      </c>
      <c r="B110" s="82"/>
      <c r="C110" s="56">
        <v>5</v>
      </c>
      <c r="D110" s="57">
        <f ca="1">((100/H100)*C110)/100</f>
        <v>0.7142857142857143</v>
      </c>
      <c r="E110" s="86"/>
      <c r="F110" s="87"/>
      <c r="G110" s="86"/>
      <c r="H110" s="91"/>
      <c r="I110" s="14" t="s">
        <v>151</v>
      </c>
      <c r="J110" s="27">
        <f>(IF(B100&gt;4,(H100/(B100+2)+J109),0))</f>
        <v>0</v>
      </c>
    </row>
    <row r="111" spans="1:10" ht="15.75" customHeight="1" x14ac:dyDescent="0.3">
      <c r="A111" s="81" t="s">
        <v>139</v>
      </c>
      <c r="B111" s="82" t="s">
        <v>139</v>
      </c>
      <c r="C111" s="56">
        <v>0</v>
      </c>
      <c r="D111" s="57">
        <f ca="1">((100/(H100))*C111)/100</f>
        <v>0</v>
      </c>
      <c r="E111" s="86"/>
      <c r="F111" s="87"/>
      <c r="G111" s="86"/>
      <c r="H111" s="91"/>
      <c r="I111" s="14" t="s">
        <v>153</v>
      </c>
      <c r="J111" s="27">
        <f ca="1">(IF(B100=1,(H100/(B100+3)+J106),IF(B100=0,(H100/4+J106),IF(B100&gt;1,0))))</f>
        <v>5.25</v>
      </c>
    </row>
    <row r="112" spans="1:10" ht="16.2" thickBot="1" x14ac:dyDescent="0.35">
      <c r="A112" s="93" t="s">
        <v>140</v>
      </c>
      <c r="B112" s="94"/>
      <c r="C112" s="58">
        <v>0</v>
      </c>
      <c r="D112" s="59">
        <f ca="1">((100/(H100))*C112)/100</f>
        <v>0</v>
      </c>
      <c r="E112" s="88"/>
      <c r="F112" s="89"/>
      <c r="G112" s="88"/>
      <c r="H112" s="92"/>
      <c r="I112" s="15" t="s">
        <v>109</v>
      </c>
      <c r="J112" s="29">
        <f ca="1">(IF(B100&gt;1.5,(H100/(B100+2)+J106+MAX(0,J107-J106)+MAX(0,J108-J107)+MAX(0,J109-J108)+MAX(0,J110-J109)+MAX(0,J111-J110)),IF(B100=1,(H100/(B100+3)+J111),IF(B100=0,H100/4+J111))))</f>
        <v>7</v>
      </c>
    </row>
    <row r="113" spans="1:10" ht="15.75" hidden="1" customHeight="1" x14ac:dyDescent="0.3">
      <c r="A113" s="72" t="s">
        <v>146</v>
      </c>
      <c r="B113" s="73"/>
      <c r="C113" s="74" t="s">
        <v>294</v>
      </c>
      <c r="D113" s="75"/>
      <c r="E113" s="75"/>
      <c r="F113" s="75"/>
      <c r="G113" s="75"/>
      <c r="H113" s="76"/>
      <c r="I113" s="43" t="str">
        <f ca="1">IF(D126=100%,"All work Completed. Possession granted to the Building.",IF(D125=100%,"All work Completed, Waiting for OC",I114&amp;""&amp;I115&amp;""&amp;J114&amp;""&amp;J113&amp;" "&amp;J115))</f>
        <v xml:space="preserve">Work not yet Started. </v>
      </c>
      <c r="J113" s="44" t="str">
        <f ca="1">(IF(C119=(D114+F114+H114),"",IF(C119&gt;0,", RCC upto "&amp;C119&amp;" Slab","")))&amp;(IF(C120=H114,"",IF(C120&gt;0,", Brickwork upto "&amp;C120&amp;" Floor","")))&amp;(IF(C121=H114,"",IF(C121&gt;0,", Internal Plaster upto "&amp;C121&amp;" Floor","")))&amp;(IF(C122=H114,"",IF(C122&gt;0,", External Plaster upto "&amp;C122&amp;" Floor","")))&amp;(IF(C123=H114,"",IF(C123&gt;0,", Flooring upto "&amp;C123&amp;" Floor","")))&amp;(IF(C124=H114,"",IF(C124&gt;0,", Painting upto "&amp;C124&amp;" Floor","")))&amp;(IF(C125=H114,"",IF(C125&gt;0,", Finishing upto "&amp;C125&amp;" Floor","")))&amp;(IF(C126=H114,"",IF(C126&gt;0,", Possession upto "&amp;C126&amp;" Floor","")))</f>
        <v/>
      </c>
    </row>
    <row r="114" spans="1:10" hidden="1" x14ac:dyDescent="0.3">
      <c r="A114" s="16" t="s">
        <v>148</v>
      </c>
      <c r="B114" s="54">
        <v>0</v>
      </c>
      <c r="C114" s="54" t="s">
        <v>76</v>
      </c>
      <c r="D114" s="54">
        <v>1</v>
      </c>
      <c r="E114" s="54" t="s">
        <v>75</v>
      </c>
      <c r="F114" s="54">
        <v>0</v>
      </c>
      <c r="G114" s="54" t="s">
        <v>85</v>
      </c>
      <c r="H114" s="17">
        <f ca="1">--TRIM(RIGHT(SUBSTITUTE(LEFT(C113,_xlfn.AGGREGATE(16,6,FIND({0,1,2,3,4,5,6,7,8,9},C113,ROW(INDIRECT("1:"&amp;LEN(C113)))),1))," ",REPT(" ",LEN(C113))),LEN(C113)))</f>
        <v>7</v>
      </c>
      <c r="I114" s="45" t="str">
        <f ca="1">IF(D117=100%,"Excavation","")&amp;IF(D118=100%,", Plinth","")&amp;IF(D119=100%,", RCC Slab","")&amp;IF(D120=100%,", Brickwork","")&amp;IF(D121=100%,", Internal Plaster","")&amp;IF(D122=100%,", External Plaster","")&amp;IF(D123=100%,", Flooring","")&amp;IF(D124=100%,", Painting","")&amp;IF(D125=100%,", Building common Amenities","")</f>
        <v/>
      </c>
      <c r="J114" s="46" t="str">
        <f>(IF(C117=0,"Work not yet Started.",IF(D117=25%,"Piling work in process",IF(D117=50%,"Excavation work in process",IF(D117=100%,"","0")))))&amp;(IF(C118=0%,"",IF(C118=J119,", Footing work is process",IF(C118=J120,", Footing work Completed",IF(C118=J121,", 1st Basement Completed",IF(C118=J122,", 1st &amp; 2nd Basement Completed",IF(C118=J123,", 1st to 3rd Basement Completed",IF(C118=J124,", 1st to 4th Basement Completed",IF(C118=J125,", Plinth work is process",IF(C118=J126,"","0"))))))))))</f>
        <v>Work not yet Started.</v>
      </c>
    </row>
    <row r="115" spans="1:10" hidden="1" x14ac:dyDescent="0.3">
      <c r="A115" s="77" t="s">
        <v>95</v>
      </c>
      <c r="B115" s="78"/>
      <c r="C115" s="79" t="str">
        <f ca="1">(IF($G$52="NA",I113,"All work Completed. OC Received."))</f>
        <v xml:space="preserve">Work not yet Started. </v>
      </c>
      <c r="D115" s="79"/>
      <c r="E115" s="79"/>
      <c r="F115" s="79"/>
      <c r="G115" s="79"/>
      <c r="H115" s="80"/>
      <c r="I115" s="45" t="str">
        <f ca="1">IF(I114&lt;&gt;""," Completed","")</f>
        <v/>
      </c>
      <c r="J115" s="46" t="str">
        <f ca="1">IF(J113&lt;&gt;"","Completed","")</f>
        <v/>
      </c>
    </row>
    <row r="116" spans="1:10" ht="15.75" hidden="1" customHeight="1" x14ac:dyDescent="0.3">
      <c r="A116" s="81" t="s">
        <v>52</v>
      </c>
      <c r="B116" s="82"/>
      <c r="C116" s="56" t="s">
        <v>145</v>
      </c>
      <c r="D116" s="56" t="s">
        <v>88</v>
      </c>
      <c r="E116" s="82" t="s">
        <v>90</v>
      </c>
      <c r="F116" s="82"/>
      <c r="G116" s="82" t="s">
        <v>89</v>
      </c>
      <c r="H116" s="83"/>
      <c r="I116" s="14" t="s">
        <v>147</v>
      </c>
      <c r="J116" s="25">
        <f ca="1">H114*25%</f>
        <v>1.75</v>
      </c>
    </row>
    <row r="117" spans="1:10" hidden="1" x14ac:dyDescent="0.3">
      <c r="A117" s="81" t="s">
        <v>134</v>
      </c>
      <c r="B117" s="82"/>
      <c r="C117" s="56">
        <v>0</v>
      </c>
      <c r="D117" s="57">
        <f ca="1">((100/H114)*C117)/100</f>
        <v>0</v>
      </c>
      <c r="E117" s="84">
        <f ca="1">(((C118/H114*10)+(40/(D114+F114+H114)*C119)+(7.5/(H114)*C120)+(7.5/(H114)*C121)+(10/H114*C122)+(10/H114*C123)+(5/H114*C124)+(5/H114*C125)+(5/H114*C126))/100)</f>
        <v>0</v>
      </c>
      <c r="F117" s="85"/>
      <c r="G117" s="84">
        <f ca="1">((((C117/H114)*20)+((C118/H114)*25)+(30/(H114+F114+D114)*C119)+(5/H114*C120)+(5/H114*C121)+(5/H114*C122)+(5/H114*C123)+(0/H114*C124)+(0/H114*C125)+(5/H114*C126))/100)</f>
        <v>0</v>
      </c>
      <c r="H117" s="90"/>
      <c r="I117" s="14" t="s">
        <v>105</v>
      </c>
      <c r="J117" s="26">
        <f ca="1">H114*50%</f>
        <v>3.5</v>
      </c>
    </row>
    <row r="118" spans="1:10" hidden="1" x14ac:dyDescent="0.3">
      <c r="A118" s="81" t="s">
        <v>53</v>
      </c>
      <c r="B118" s="82"/>
      <c r="C118" s="56">
        <v>0</v>
      </c>
      <c r="D118" s="57">
        <f ca="1">((100/H114)*C118)/100</f>
        <v>0</v>
      </c>
      <c r="E118" s="86"/>
      <c r="F118" s="87"/>
      <c r="G118" s="86"/>
      <c r="H118" s="91"/>
      <c r="I118" s="14" t="s">
        <v>106</v>
      </c>
      <c r="J118" s="26">
        <f ca="1">H114</f>
        <v>7</v>
      </c>
    </row>
    <row r="119" spans="1:10" ht="15.75" hidden="1" customHeight="1" x14ac:dyDescent="0.3">
      <c r="A119" s="81" t="s">
        <v>135</v>
      </c>
      <c r="B119" s="82"/>
      <c r="C119" s="56">
        <v>0</v>
      </c>
      <c r="D119" s="57">
        <f ca="1">((100/(D114+F114+H114))*C119)/100</f>
        <v>0</v>
      </c>
      <c r="E119" s="86"/>
      <c r="F119" s="87"/>
      <c r="G119" s="86"/>
      <c r="H119" s="91"/>
      <c r="I119" s="14" t="s">
        <v>107</v>
      </c>
      <c r="J119" s="27">
        <f ca="1">(IF(B114&gt;1,(H114/(B114+2)),H114/4))</f>
        <v>1.75</v>
      </c>
    </row>
    <row r="120" spans="1:10" ht="15.75" hidden="1" customHeight="1" x14ac:dyDescent="0.3">
      <c r="A120" s="81" t="s">
        <v>142</v>
      </c>
      <c r="B120" s="82" t="s">
        <v>136</v>
      </c>
      <c r="C120" s="56">
        <v>0</v>
      </c>
      <c r="D120" s="57">
        <f ca="1">((100/H114)*C120)/100</f>
        <v>0</v>
      </c>
      <c r="E120" s="86"/>
      <c r="F120" s="87"/>
      <c r="G120" s="86"/>
      <c r="H120" s="91"/>
      <c r="I120" s="14" t="s">
        <v>108</v>
      </c>
      <c r="J120" s="27">
        <f ca="1">(IF(B114&gt;1,(H114/(B114+2)+J119),H114/4+J119))</f>
        <v>3.5</v>
      </c>
    </row>
    <row r="121" spans="1:10" ht="15.75" hidden="1" customHeight="1" x14ac:dyDescent="0.3">
      <c r="A121" s="81" t="s">
        <v>143</v>
      </c>
      <c r="B121" s="82" t="s">
        <v>136</v>
      </c>
      <c r="C121" s="56">
        <v>0</v>
      </c>
      <c r="D121" s="57">
        <f ca="1">((100/H114)*C121)/100</f>
        <v>0</v>
      </c>
      <c r="E121" s="86"/>
      <c r="F121" s="87"/>
      <c r="G121" s="86"/>
      <c r="H121" s="91"/>
      <c r="I121" s="14" t="s">
        <v>152</v>
      </c>
      <c r="J121" s="27">
        <f>(IF(B114&gt;1,(H114/(B114+2)+J120),0))</f>
        <v>0</v>
      </c>
    </row>
    <row r="122" spans="1:10" ht="15" hidden="1" customHeight="1" x14ac:dyDescent="0.3">
      <c r="A122" s="81" t="s">
        <v>141</v>
      </c>
      <c r="B122" s="82" t="s">
        <v>138</v>
      </c>
      <c r="C122" s="56">
        <v>0</v>
      </c>
      <c r="D122" s="57">
        <f ca="1">((100/(H114))*C122)/100</f>
        <v>0</v>
      </c>
      <c r="E122" s="86"/>
      <c r="F122" s="87"/>
      <c r="G122" s="86"/>
      <c r="H122" s="91"/>
      <c r="I122" s="14" t="s">
        <v>149</v>
      </c>
      <c r="J122" s="27">
        <f>(IF(B114&gt;2,(H114/(B114+2)+J121),0))</f>
        <v>0</v>
      </c>
    </row>
    <row r="123" spans="1:10" ht="15.75" hidden="1" customHeight="1" x14ac:dyDescent="0.3">
      <c r="A123" s="81" t="s">
        <v>137</v>
      </c>
      <c r="B123" s="82" t="s">
        <v>137</v>
      </c>
      <c r="C123" s="56">
        <v>0</v>
      </c>
      <c r="D123" s="57">
        <f ca="1">((100/H114)*C123)/100</f>
        <v>0</v>
      </c>
      <c r="E123" s="86"/>
      <c r="F123" s="87"/>
      <c r="G123" s="86"/>
      <c r="H123" s="91"/>
      <c r="I123" s="14" t="s">
        <v>150</v>
      </c>
      <c r="J123" s="28">
        <f>(IF(B114&gt;3,(H114/(B114+2)+J122),0))</f>
        <v>0</v>
      </c>
    </row>
    <row r="124" spans="1:10" ht="15.75" hidden="1" customHeight="1" x14ac:dyDescent="0.3">
      <c r="A124" s="81" t="s">
        <v>144</v>
      </c>
      <c r="B124" s="82"/>
      <c r="C124" s="56">
        <v>0</v>
      </c>
      <c r="D124" s="57">
        <f ca="1">((100/H114)*C124)/100</f>
        <v>0</v>
      </c>
      <c r="E124" s="86"/>
      <c r="F124" s="87"/>
      <c r="G124" s="86"/>
      <c r="H124" s="91"/>
      <c r="I124" s="14" t="s">
        <v>151</v>
      </c>
      <c r="J124" s="27">
        <f>(IF(B114&gt;4,(H114/(B114+2)+J123),0))</f>
        <v>0</v>
      </c>
    </row>
    <row r="125" spans="1:10" ht="15.75" hidden="1" customHeight="1" x14ac:dyDescent="0.3">
      <c r="A125" s="81" t="s">
        <v>139</v>
      </c>
      <c r="B125" s="82" t="s">
        <v>139</v>
      </c>
      <c r="C125" s="56">
        <v>0</v>
      </c>
      <c r="D125" s="57">
        <f ca="1">((100/(H114))*C125)/100</f>
        <v>0</v>
      </c>
      <c r="E125" s="86"/>
      <c r="F125" s="87"/>
      <c r="G125" s="86"/>
      <c r="H125" s="91"/>
      <c r="I125" s="14" t="s">
        <v>153</v>
      </c>
      <c r="J125" s="27">
        <f ca="1">(IF(B114=1,(H114/(B114+3)+J120),IF(B114=0,(H114/4+J120),IF(B114&gt;1,0))))</f>
        <v>5.25</v>
      </c>
    </row>
    <row r="126" spans="1:10" ht="16.2" hidden="1" thickBot="1" x14ac:dyDescent="0.35">
      <c r="A126" s="93" t="s">
        <v>140</v>
      </c>
      <c r="B126" s="94"/>
      <c r="C126" s="58">
        <v>0</v>
      </c>
      <c r="D126" s="59">
        <f ca="1">((100/(H114))*C126)/100</f>
        <v>0</v>
      </c>
      <c r="E126" s="88"/>
      <c r="F126" s="89"/>
      <c r="G126" s="88"/>
      <c r="H126" s="92"/>
      <c r="I126" s="15" t="s">
        <v>109</v>
      </c>
      <c r="J126" s="29">
        <f ca="1">(IF(B114&gt;1.5,(H114/(B114+2)+J120+MAX(0,J121-J120)+MAX(0,J122-J121)+MAX(0,J123-J122)+MAX(0,J124-J123)+MAX(0,J125-J124)),IF(B114=1,(H114/(B114+3)+J125),IF(B114=0,H114/4+J125))))</f>
        <v>7</v>
      </c>
    </row>
    <row r="127" spans="1:10" x14ac:dyDescent="0.3">
      <c r="A127" s="72" t="s">
        <v>146</v>
      </c>
      <c r="B127" s="73"/>
      <c r="C127" s="74" t="s">
        <v>311</v>
      </c>
      <c r="D127" s="75"/>
      <c r="E127" s="75"/>
      <c r="F127" s="75"/>
      <c r="G127" s="75"/>
      <c r="H127" s="76"/>
      <c r="I127" s="43" t="str">
        <f ca="1">IF(D140=100%,"All work Completed. Possession granted to the Building.",IF(D139=100%,"All work Completed, Waiting for OC",I128&amp;""&amp;I129&amp;""&amp;J128&amp;""&amp;J127&amp;" "&amp;J129))</f>
        <v>All work Completed. Possession granted to the Building.</v>
      </c>
      <c r="J127" s="44" t="str">
        <f ca="1">(IF(C133=(D128+F128+H128),"",IF(C133&gt;0,", RCC upto "&amp;C133&amp;" Slab","")))&amp;(IF(C134=H128,"",IF(C134&gt;0,", Brickwork upto "&amp;C134&amp;" Floor","")))&amp;(IF(C135=H128,"",IF(C135&gt;0,", Internal Plaster upto "&amp;C135&amp;" Floor","")))&amp;(IF(C136=H128,"",IF(C136&gt;0,", External Plaster upto "&amp;C136&amp;" Floor","")))&amp;(IF(C137=H128,"",IF(C137&gt;0,", Flooring upto "&amp;C137&amp;" Floor","")))&amp;(IF(C138=H128,"",IF(C138&gt;0,", Painting upto "&amp;C138&amp;" Floor","")))&amp;(IF(C139=H128,"",IF(C139&gt;0,", Finishing upto "&amp;C139&amp;" Floor","")))&amp;(IF(C140=H128,"",IF(C140&gt;0,", Possession upto "&amp;C140&amp;" Floor","")))</f>
        <v/>
      </c>
    </row>
    <row r="128" spans="1:10" x14ac:dyDescent="0.3">
      <c r="A128" s="16" t="s">
        <v>148</v>
      </c>
      <c r="B128" s="54">
        <v>0</v>
      </c>
      <c r="C128" s="54" t="s">
        <v>76</v>
      </c>
      <c r="D128" s="54">
        <v>1</v>
      </c>
      <c r="E128" s="54" t="s">
        <v>75</v>
      </c>
      <c r="F128" s="54">
        <v>0</v>
      </c>
      <c r="G128" s="54" t="s">
        <v>85</v>
      </c>
      <c r="H128" s="17">
        <f ca="1">--TRIM(RIGHT(SUBSTITUTE(LEFT(C127,_xlfn.AGGREGATE(16,6,FIND({0,1,2,3,4,5,6,7,8,9},C127,ROW(INDIRECT("1:"&amp;LEN(C127)))),1))," ",REPT(" ",LEN(C127))),LEN(C127)))</f>
        <v>7</v>
      </c>
      <c r="I128" s="45" t="str">
        <f ca="1">IF(D131=100%,"Excavation","")&amp;IF(D132=100%,", Plinth","")&amp;IF(D133=100%,", RCC Slab","")&amp;IF(D134=100%,", Brickwork","")&amp;IF(D135=100%,", Internal Plaster","")&amp;IF(D136=100%,", External Plaster","")&amp;IF(D137=100%,", Flooring","")&amp;IF(D138=100%,", Painting","")&amp;IF(D139=100%,", Building common Amenities","")</f>
        <v>Excavation, Plinth, RCC Slab, Brickwork, Internal Plaster, External Plaster, Flooring, Painting, Building common Amenities</v>
      </c>
      <c r="J128" s="46" t="str">
        <f ca="1">(IF(C131=0,"Work not yet Started.",IF(D131=25%,"Piling work in process",IF(D131=50%,"Excavation work in process",IF(D131=100%,"","0")))))&amp;(IF(C132=0%,"",IF(C132=J133,", Footing work is process",IF(C132=J134,", Footing work Completed",IF(C132=J135,", 1st Basement Completed",IF(C132=J136,", 1st &amp; 2nd Basement Completed",IF(C132=J137,", 1st to 3rd Basement Completed",IF(C132=J138,", 1st to 4th Basement Completed",IF(C132=J139,", Plinth work is process",IF(C132=J140,"","0"))))))))))</f>
        <v/>
      </c>
    </row>
    <row r="129" spans="1:10" x14ac:dyDescent="0.3">
      <c r="A129" s="77" t="s">
        <v>95</v>
      </c>
      <c r="B129" s="78"/>
      <c r="C129" s="79" t="str">
        <f ca="1">(IF($G$52="NA",I127,"All work Completed. OC Received."))</f>
        <v>All work Completed. Possession granted to the Building.</v>
      </c>
      <c r="D129" s="79"/>
      <c r="E129" s="79"/>
      <c r="F129" s="79"/>
      <c r="G129" s="79"/>
      <c r="H129" s="80"/>
      <c r="I129" s="45" t="str">
        <f ca="1">IF(I128&lt;&gt;""," Completed","")</f>
        <v xml:space="preserve"> Completed</v>
      </c>
      <c r="J129" s="46" t="str">
        <f ca="1">IF(J127&lt;&gt;"","Completed","")</f>
        <v/>
      </c>
    </row>
    <row r="130" spans="1:10" ht="15.75" customHeight="1" x14ac:dyDescent="0.3">
      <c r="A130" s="81" t="s">
        <v>52</v>
      </c>
      <c r="B130" s="82"/>
      <c r="C130" s="56" t="s">
        <v>145</v>
      </c>
      <c r="D130" s="56" t="s">
        <v>88</v>
      </c>
      <c r="E130" s="82" t="s">
        <v>90</v>
      </c>
      <c r="F130" s="82"/>
      <c r="G130" s="82" t="s">
        <v>89</v>
      </c>
      <c r="H130" s="83"/>
      <c r="I130" s="14" t="s">
        <v>147</v>
      </c>
      <c r="J130" s="25">
        <f ca="1">H128*25%</f>
        <v>1.75</v>
      </c>
    </row>
    <row r="131" spans="1:10" x14ac:dyDescent="0.3">
      <c r="A131" s="81" t="s">
        <v>134</v>
      </c>
      <c r="B131" s="82"/>
      <c r="C131" s="56">
        <f ca="1">J132</f>
        <v>7</v>
      </c>
      <c r="D131" s="57">
        <f ca="1">((100/H128)*C131)/100</f>
        <v>1</v>
      </c>
      <c r="E131" s="84">
        <f ca="1">(((C132/H128*10)+(40/(D128+F128+H128)*C133)+(7.5/(H128)*C134)+(7.5/(H128)*C135)+(10/H128*C136)+(10/H128*C137)+(5/H128*C138)+(5/H128*C139)+(5/H128*C140))/100)</f>
        <v>1</v>
      </c>
      <c r="F131" s="85"/>
      <c r="G131" s="84">
        <f ca="1">((((C131/H128)*20)+((C132/H128)*25)+(30/(H128+F128+D128)*C133)+(5/H128*C134)+(5/H128*C135)+(5/H128*C136)+(5/H128*C137)+(0/H128*C138)+(0/H128*C139)+(5/H128*C140))/100)</f>
        <v>1</v>
      </c>
      <c r="H131" s="90"/>
      <c r="I131" s="14" t="s">
        <v>105</v>
      </c>
      <c r="J131" s="26">
        <f ca="1">H128*50%</f>
        <v>3.5</v>
      </c>
    </row>
    <row r="132" spans="1:10" x14ac:dyDescent="0.3">
      <c r="A132" s="81" t="s">
        <v>53</v>
      </c>
      <c r="B132" s="82"/>
      <c r="C132" s="56">
        <f ca="1">J140</f>
        <v>7</v>
      </c>
      <c r="D132" s="57">
        <f ca="1">((100/H128)*C132)/100</f>
        <v>1</v>
      </c>
      <c r="E132" s="86"/>
      <c r="F132" s="87"/>
      <c r="G132" s="86"/>
      <c r="H132" s="91"/>
      <c r="I132" s="14" t="s">
        <v>106</v>
      </c>
      <c r="J132" s="26">
        <f ca="1">H128</f>
        <v>7</v>
      </c>
    </row>
    <row r="133" spans="1:10" ht="15.75" customHeight="1" x14ac:dyDescent="0.3">
      <c r="A133" s="81" t="s">
        <v>135</v>
      </c>
      <c r="B133" s="82"/>
      <c r="C133" s="56">
        <v>8</v>
      </c>
      <c r="D133" s="57">
        <f ca="1">((100/(D128+F128+H128))*C133)/100</f>
        <v>1</v>
      </c>
      <c r="E133" s="86"/>
      <c r="F133" s="87"/>
      <c r="G133" s="86"/>
      <c r="H133" s="91"/>
      <c r="I133" s="14" t="s">
        <v>107</v>
      </c>
      <c r="J133" s="27">
        <f ca="1">(IF(B128&gt;1,(H128/(B128+2)),H128/4))</f>
        <v>1.75</v>
      </c>
    </row>
    <row r="134" spans="1:10" ht="15.75" customHeight="1" x14ac:dyDescent="0.3">
      <c r="A134" s="81" t="s">
        <v>142</v>
      </c>
      <c r="B134" s="82" t="s">
        <v>136</v>
      </c>
      <c r="C134" s="56">
        <v>7</v>
      </c>
      <c r="D134" s="57">
        <f ca="1">((100/H128)*C134)/100</f>
        <v>1</v>
      </c>
      <c r="E134" s="86"/>
      <c r="F134" s="87"/>
      <c r="G134" s="86"/>
      <c r="H134" s="91"/>
      <c r="I134" s="14" t="s">
        <v>108</v>
      </c>
      <c r="J134" s="27">
        <f ca="1">(IF(B128&gt;1,(H128/(B128+2)+J133),H128/4+J133))</f>
        <v>3.5</v>
      </c>
    </row>
    <row r="135" spans="1:10" ht="15.75" customHeight="1" x14ac:dyDescent="0.3">
      <c r="A135" s="81" t="s">
        <v>143</v>
      </c>
      <c r="B135" s="82" t="s">
        <v>136</v>
      </c>
      <c r="C135" s="56">
        <v>7</v>
      </c>
      <c r="D135" s="57">
        <f ca="1">((100/H128)*C135)/100</f>
        <v>1</v>
      </c>
      <c r="E135" s="86"/>
      <c r="F135" s="87"/>
      <c r="G135" s="86"/>
      <c r="H135" s="91"/>
      <c r="I135" s="14" t="s">
        <v>152</v>
      </c>
      <c r="J135" s="27">
        <f>(IF(B128&gt;1,(H128/(B128+2)+J134),0))</f>
        <v>0</v>
      </c>
    </row>
    <row r="136" spans="1:10" ht="15" customHeight="1" x14ac:dyDescent="0.3">
      <c r="A136" s="81" t="s">
        <v>141</v>
      </c>
      <c r="B136" s="82" t="s">
        <v>138</v>
      </c>
      <c r="C136" s="56">
        <v>7</v>
      </c>
      <c r="D136" s="57">
        <f ca="1">((100/(H128))*C136)/100</f>
        <v>1</v>
      </c>
      <c r="E136" s="86"/>
      <c r="F136" s="87"/>
      <c r="G136" s="86"/>
      <c r="H136" s="91"/>
      <c r="I136" s="14" t="s">
        <v>149</v>
      </c>
      <c r="J136" s="27">
        <f>(IF(B128&gt;2,(H128/(B128+2)+J135),0))</f>
        <v>0</v>
      </c>
    </row>
    <row r="137" spans="1:10" ht="15.75" customHeight="1" x14ac:dyDescent="0.3">
      <c r="A137" s="81" t="s">
        <v>137</v>
      </c>
      <c r="B137" s="82" t="s">
        <v>137</v>
      </c>
      <c r="C137" s="56">
        <v>7</v>
      </c>
      <c r="D137" s="57">
        <f ca="1">((100/H128)*C137)/100</f>
        <v>1</v>
      </c>
      <c r="E137" s="86"/>
      <c r="F137" s="87"/>
      <c r="G137" s="86"/>
      <c r="H137" s="91"/>
      <c r="I137" s="14" t="s">
        <v>150</v>
      </c>
      <c r="J137" s="28">
        <f>(IF(B128&gt;3,(H128/(B128+2)+J136),0))</f>
        <v>0</v>
      </c>
    </row>
    <row r="138" spans="1:10" ht="15.75" customHeight="1" x14ac:dyDescent="0.3">
      <c r="A138" s="81" t="s">
        <v>144</v>
      </c>
      <c r="B138" s="82"/>
      <c r="C138" s="56">
        <v>7</v>
      </c>
      <c r="D138" s="57">
        <f ca="1">((100/H128)*C138)/100</f>
        <v>1</v>
      </c>
      <c r="E138" s="86"/>
      <c r="F138" s="87"/>
      <c r="G138" s="86"/>
      <c r="H138" s="91"/>
      <c r="I138" s="14" t="s">
        <v>151</v>
      </c>
      <c r="J138" s="27">
        <f>(IF(B128&gt;4,(H128/(B128+2)+J137),0))</f>
        <v>0</v>
      </c>
    </row>
    <row r="139" spans="1:10" ht="15.75" customHeight="1" x14ac:dyDescent="0.3">
      <c r="A139" s="81" t="s">
        <v>139</v>
      </c>
      <c r="B139" s="82" t="s">
        <v>139</v>
      </c>
      <c r="C139" s="56">
        <v>7</v>
      </c>
      <c r="D139" s="57">
        <f ca="1">((100/(H128))*C139)/100</f>
        <v>1</v>
      </c>
      <c r="E139" s="86"/>
      <c r="F139" s="87"/>
      <c r="G139" s="86"/>
      <c r="H139" s="91"/>
      <c r="I139" s="14" t="s">
        <v>153</v>
      </c>
      <c r="J139" s="27">
        <f ca="1">(IF(B128=1,(H128/(B128+3)+J134),IF(B128=0,(H128/4+J134),IF(B128&gt;1,0))))</f>
        <v>5.25</v>
      </c>
    </row>
    <row r="140" spans="1:10" ht="16.2" thickBot="1" x14ac:dyDescent="0.35">
      <c r="A140" s="93" t="s">
        <v>140</v>
      </c>
      <c r="B140" s="94"/>
      <c r="C140" s="58">
        <v>7</v>
      </c>
      <c r="D140" s="59">
        <f ca="1">((100/(H128))*C140)/100</f>
        <v>1</v>
      </c>
      <c r="E140" s="88"/>
      <c r="F140" s="89"/>
      <c r="G140" s="88"/>
      <c r="H140" s="92"/>
      <c r="I140" s="15" t="s">
        <v>109</v>
      </c>
      <c r="J140" s="29">
        <f ca="1">(IF(B128&gt;1.5,(H128/(B128+2)+J134+MAX(0,J135-J134)+MAX(0,J136-J135)+MAX(0,J137-J136)+MAX(0,J138-J137)+MAX(0,J139-J138)),IF(B128=1,(H128/(B128+3)+J139),IF(B128=0,H128/4+J139))))</f>
        <v>7</v>
      </c>
    </row>
    <row r="141" spans="1:10" ht="33" customHeight="1" x14ac:dyDescent="0.3">
      <c r="A141" s="72" t="s">
        <v>146</v>
      </c>
      <c r="B141" s="73"/>
      <c r="C141" s="74" t="s">
        <v>305</v>
      </c>
      <c r="D141" s="75"/>
      <c r="E141" s="75"/>
      <c r="F141" s="75"/>
      <c r="G141" s="75"/>
      <c r="H141" s="76"/>
      <c r="I141" s="43" t="str">
        <f ca="1">IF(D154=100%,"All work Completed. Possession granted to the Building.",IF(D153=100%,"All work Completed, Waiting for OC",I142&amp;""&amp;I143&amp;""&amp;J142&amp;""&amp;J141&amp;" "&amp;J143))</f>
        <v>All work Completed. Possession granted to the Building.</v>
      </c>
      <c r="J141" s="44" t="str">
        <f ca="1">(IF(C147=(D142+F142+H142),"",IF(C147&gt;0,", RCC upto "&amp;C147&amp;" Slab","")))&amp;(IF(C148=H142,"",IF(C148&gt;0,", Brickwork upto "&amp;C148&amp;" Floor","")))&amp;(IF(C149=H142,"",IF(C149&gt;0,", Internal Plaster upto "&amp;C149&amp;" Floor","")))&amp;(IF(C150=H142,"",IF(C150&gt;0,", External Plaster upto "&amp;C150&amp;" Floor","")))&amp;(IF(C151=H142,"",IF(C151&gt;0,", Flooring upto "&amp;C151&amp;" Floor","")))&amp;(IF(C152=H142,"",IF(C152&gt;0,", Painting upto "&amp;C152&amp;" Floor","")))&amp;(IF(C153=H142,"",IF(C153&gt;0,", Finishing upto "&amp;C153&amp;" Floor","")))&amp;(IF(C154=H142,"",IF(C154&gt;0,", Possession upto "&amp;C154&amp;" Floor","")))</f>
        <v/>
      </c>
    </row>
    <row r="142" spans="1:10" x14ac:dyDescent="0.3">
      <c r="A142" s="16" t="s">
        <v>148</v>
      </c>
      <c r="B142" s="54">
        <v>0</v>
      </c>
      <c r="C142" s="54" t="s">
        <v>76</v>
      </c>
      <c r="D142" s="54">
        <v>1</v>
      </c>
      <c r="E142" s="54" t="s">
        <v>75</v>
      </c>
      <c r="F142" s="54">
        <v>0</v>
      </c>
      <c r="G142" s="54" t="s">
        <v>85</v>
      </c>
      <c r="H142" s="17">
        <f ca="1">--TRIM(RIGHT(SUBSTITUTE(LEFT(C141,_xlfn.AGGREGATE(16,6,FIND({0,1,2,3,4,5,6,7,8,9},C141,ROW(INDIRECT("1:"&amp;LEN(C141)))),1))," ",REPT(" ",LEN(C141))),LEN(C141)))</f>
        <v>7</v>
      </c>
      <c r="I142" s="45" t="str">
        <f ca="1">IF(D145=100%,"Excavation","")&amp;IF(D146=100%,", Plinth","")&amp;IF(D147=100%,", RCC Slab","")&amp;IF(D148=100%,", Brickwork","")&amp;IF(D149=100%,", Internal Plaster","")&amp;IF(D150=100%,", External Plaster","")&amp;IF(D151=100%,", Flooring","")&amp;IF(D152=100%,", Painting","")&amp;IF(D153=100%,", Building common Amenities","")</f>
        <v>Excavation, Plinth, RCC Slab, Brickwork, Internal Plaster, External Plaster, Flooring, Painting, Building common Amenities</v>
      </c>
      <c r="J142" s="46" t="str">
        <f ca="1">(IF(C145=0,"Work not yet Started.",IF(D145=25%,"Piling work in process",IF(D145=50%,"Excavation work in process",IF(D145=100%,"","0")))))&amp;(IF(C146=0%,"",IF(C146=J147,", Footing work is process",IF(C146=J148,", Footing work Completed",IF(C146=J149,", 1st Basement Completed",IF(C146=J150,", 1st &amp; 2nd Basement Completed",IF(C146=J151,", 1st to 3rd Basement Completed",IF(C146=J152,", 1st to 4th Basement Completed",IF(C146=J153,", Plinth work is process",IF(C146=J154,"","0"))))))))))</f>
        <v/>
      </c>
    </row>
    <row r="143" spans="1:10" x14ac:dyDescent="0.3">
      <c r="A143" s="77" t="s">
        <v>95</v>
      </c>
      <c r="B143" s="78"/>
      <c r="C143" s="79" t="str">
        <f ca="1">(IF($G$52="NA",I141,"All work Completed. OC Received."))</f>
        <v>All work Completed. Possession granted to the Building.</v>
      </c>
      <c r="D143" s="79"/>
      <c r="E143" s="79"/>
      <c r="F143" s="79"/>
      <c r="G143" s="79"/>
      <c r="H143" s="80"/>
      <c r="I143" s="45" t="str">
        <f ca="1">IF(I142&lt;&gt;""," Completed","")</f>
        <v xml:space="preserve"> Completed</v>
      </c>
      <c r="J143" s="46" t="str">
        <f ca="1">IF(J141&lt;&gt;"","Completed","")</f>
        <v/>
      </c>
    </row>
    <row r="144" spans="1:10" ht="15.75" customHeight="1" x14ac:dyDescent="0.3">
      <c r="A144" s="81" t="s">
        <v>52</v>
      </c>
      <c r="B144" s="82"/>
      <c r="C144" s="56" t="s">
        <v>145</v>
      </c>
      <c r="D144" s="56" t="s">
        <v>88</v>
      </c>
      <c r="E144" s="82" t="s">
        <v>90</v>
      </c>
      <c r="F144" s="82"/>
      <c r="G144" s="82" t="s">
        <v>89</v>
      </c>
      <c r="H144" s="83"/>
      <c r="I144" s="14" t="s">
        <v>147</v>
      </c>
      <c r="J144" s="25">
        <f ca="1">H142*25%</f>
        <v>1.75</v>
      </c>
    </row>
    <row r="145" spans="1:10" x14ac:dyDescent="0.3">
      <c r="A145" s="81" t="s">
        <v>134</v>
      </c>
      <c r="B145" s="82"/>
      <c r="C145" s="56">
        <f ca="1">J146</f>
        <v>7</v>
      </c>
      <c r="D145" s="57">
        <f ca="1">((100/H142)*C145)/100</f>
        <v>1</v>
      </c>
      <c r="E145" s="84">
        <f ca="1">(((C146/H142*10)+(40/(D142+F142+H142)*C147)+(7.5/(H142)*C148)+(7.5/(H142)*C149)+(10/H142*C150)+(10/H142*C151)+(5/H142*C152)+(5/H142*C153)+(5/H142*C154))/100)</f>
        <v>1</v>
      </c>
      <c r="F145" s="85"/>
      <c r="G145" s="84">
        <f ca="1">((((C145/H142)*20)+((C146/H142)*25)+(30/(H142+F142+D142)*C147)+(5/H142*C148)+(5/H142*C149)+(5/H142*C150)+(5/H142*C151)+(0/H142*C152)+(0/H142*C153)+(5/H142*C154))/100)</f>
        <v>1</v>
      </c>
      <c r="H145" s="90"/>
      <c r="I145" s="14" t="s">
        <v>105</v>
      </c>
      <c r="J145" s="26">
        <f ca="1">H142*50%</f>
        <v>3.5</v>
      </c>
    </row>
    <row r="146" spans="1:10" x14ac:dyDescent="0.3">
      <c r="A146" s="81" t="s">
        <v>53</v>
      </c>
      <c r="B146" s="82"/>
      <c r="C146" s="56">
        <f ca="1">J154</f>
        <v>7</v>
      </c>
      <c r="D146" s="57">
        <f ca="1">((100/H142)*C146)/100</f>
        <v>1</v>
      </c>
      <c r="E146" s="86"/>
      <c r="F146" s="87"/>
      <c r="G146" s="86"/>
      <c r="H146" s="91"/>
      <c r="I146" s="14" t="s">
        <v>106</v>
      </c>
      <c r="J146" s="26">
        <f ca="1">H142</f>
        <v>7</v>
      </c>
    </row>
    <row r="147" spans="1:10" ht="15.75" customHeight="1" x14ac:dyDescent="0.3">
      <c r="A147" s="81" t="s">
        <v>135</v>
      </c>
      <c r="B147" s="82"/>
      <c r="C147" s="56">
        <v>8</v>
      </c>
      <c r="D147" s="57">
        <f ca="1">((100/(D142+F142+H142))*C147)/100</f>
        <v>1</v>
      </c>
      <c r="E147" s="86"/>
      <c r="F147" s="87"/>
      <c r="G147" s="86"/>
      <c r="H147" s="91"/>
      <c r="I147" s="14" t="s">
        <v>107</v>
      </c>
      <c r="J147" s="27">
        <f ca="1">(IF(B142&gt;1,(H142/(B142+2)),H142/4))</f>
        <v>1.75</v>
      </c>
    </row>
    <row r="148" spans="1:10" ht="15.75" customHeight="1" x14ac:dyDescent="0.3">
      <c r="A148" s="81" t="s">
        <v>142</v>
      </c>
      <c r="B148" s="82" t="s">
        <v>136</v>
      </c>
      <c r="C148" s="56">
        <v>7</v>
      </c>
      <c r="D148" s="57">
        <f ca="1">((100/H142)*C148)/100</f>
        <v>1</v>
      </c>
      <c r="E148" s="86"/>
      <c r="F148" s="87"/>
      <c r="G148" s="86"/>
      <c r="H148" s="91"/>
      <c r="I148" s="14" t="s">
        <v>108</v>
      </c>
      <c r="J148" s="27">
        <f ca="1">(IF(B142&gt;1,(H142/(B142+2)+J147),H142/4+J147))</f>
        <v>3.5</v>
      </c>
    </row>
    <row r="149" spans="1:10" ht="15.75" customHeight="1" x14ac:dyDescent="0.3">
      <c r="A149" s="81" t="s">
        <v>143</v>
      </c>
      <c r="B149" s="82" t="s">
        <v>136</v>
      </c>
      <c r="C149" s="56">
        <v>7</v>
      </c>
      <c r="D149" s="57">
        <f ca="1">((100/H142)*C149)/100</f>
        <v>1</v>
      </c>
      <c r="E149" s="86"/>
      <c r="F149" s="87"/>
      <c r="G149" s="86"/>
      <c r="H149" s="91"/>
      <c r="I149" s="14" t="s">
        <v>152</v>
      </c>
      <c r="J149" s="27">
        <f>(IF(B142&gt;1,(H142/(B142+2)+J148),0))</f>
        <v>0</v>
      </c>
    </row>
    <row r="150" spans="1:10" ht="15" customHeight="1" x14ac:dyDescent="0.3">
      <c r="A150" s="81" t="s">
        <v>141</v>
      </c>
      <c r="B150" s="82" t="s">
        <v>138</v>
      </c>
      <c r="C150" s="56">
        <v>7</v>
      </c>
      <c r="D150" s="57">
        <f ca="1">((100/(H142))*C150)/100</f>
        <v>1</v>
      </c>
      <c r="E150" s="86"/>
      <c r="F150" s="87"/>
      <c r="G150" s="86"/>
      <c r="H150" s="91"/>
      <c r="I150" s="14" t="s">
        <v>149</v>
      </c>
      <c r="J150" s="27">
        <f>(IF(B142&gt;2,(H142/(B142+2)+J149),0))</f>
        <v>0</v>
      </c>
    </row>
    <row r="151" spans="1:10" ht="15.75" customHeight="1" x14ac:dyDescent="0.3">
      <c r="A151" s="81" t="s">
        <v>137</v>
      </c>
      <c r="B151" s="82" t="s">
        <v>137</v>
      </c>
      <c r="C151" s="56">
        <v>7</v>
      </c>
      <c r="D151" s="57">
        <f ca="1">((100/H142)*C151)/100</f>
        <v>1</v>
      </c>
      <c r="E151" s="86"/>
      <c r="F151" s="87"/>
      <c r="G151" s="86"/>
      <c r="H151" s="91"/>
      <c r="I151" s="14" t="s">
        <v>150</v>
      </c>
      <c r="J151" s="28">
        <f>(IF(B142&gt;3,(H142/(B142+2)+J150),0))</f>
        <v>0</v>
      </c>
    </row>
    <row r="152" spans="1:10" ht="15.75" customHeight="1" x14ac:dyDescent="0.3">
      <c r="A152" s="81" t="s">
        <v>144</v>
      </c>
      <c r="B152" s="82"/>
      <c r="C152" s="56">
        <v>7</v>
      </c>
      <c r="D152" s="57">
        <f ca="1">((100/H142)*C152)/100</f>
        <v>1</v>
      </c>
      <c r="E152" s="86"/>
      <c r="F152" s="87"/>
      <c r="G152" s="86"/>
      <c r="H152" s="91"/>
      <c r="I152" s="14" t="s">
        <v>151</v>
      </c>
      <c r="J152" s="27">
        <f>(IF(B142&gt;4,(H142/(B142+2)+J151),0))</f>
        <v>0</v>
      </c>
    </row>
    <row r="153" spans="1:10" ht="15.75" customHeight="1" x14ac:dyDescent="0.3">
      <c r="A153" s="81" t="s">
        <v>139</v>
      </c>
      <c r="B153" s="82" t="s">
        <v>139</v>
      </c>
      <c r="C153" s="56">
        <v>7</v>
      </c>
      <c r="D153" s="57">
        <f ca="1">((100/(H142))*C153)/100</f>
        <v>1</v>
      </c>
      <c r="E153" s="86"/>
      <c r="F153" s="87"/>
      <c r="G153" s="86"/>
      <c r="H153" s="91"/>
      <c r="I153" s="14" t="s">
        <v>153</v>
      </c>
      <c r="J153" s="27">
        <f ca="1">(IF(B142=1,(H142/(B142+3)+J148),IF(B142=0,(H142/4+J148),IF(B142&gt;1,0))))</f>
        <v>5.25</v>
      </c>
    </row>
    <row r="154" spans="1:10" ht="16.2" thickBot="1" x14ac:dyDescent="0.35">
      <c r="A154" s="93" t="s">
        <v>140</v>
      </c>
      <c r="B154" s="94"/>
      <c r="C154" s="58">
        <v>7</v>
      </c>
      <c r="D154" s="59">
        <f ca="1">((100/(H142))*C154)/100</f>
        <v>1</v>
      </c>
      <c r="E154" s="88"/>
      <c r="F154" s="89"/>
      <c r="G154" s="88"/>
      <c r="H154" s="92"/>
      <c r="I154" s="15" t="s">
        <v>109</v>
      </c>
      <c r="J154" s="29">
        <f ca="1">(IF(B142&gt;1.5,(H142/(B142+2)+J148+MAX(0,J149-J148)+MAX(0,J150-J149)+MAX(0,J151-J150)+MAX(0,J152-J151)+MAX(0,J153-J152)),IF(B142=1,(H142/(B142+3)+J153),IF(B142=0,H142/4+J153))))</f>
        <v>7</v>
      </c>
    </row>
    <row r="155" spans="1:10" ht="15.75" customHeight="1" x14ac:dyDescent="0.3">
      <c r="A155" s="72" t="s">
        <v>146</v>
      </c>
      <c r="B155" s="73"/>
      <c r="C155" s="74" t="str">
        <f>D62</f>
        <v>Sector 3 (Building No. 8 - Wing A &amp; B) = Gr + 1st to 7th Floor</v>
      </c>
      <c r="D155" s="75"/>
      <c r="E155" s="75"/>
      <c r="F155" s="75"/>
      <c r="G155" s="75"/>
      <c r="H155" s="76"/>
      <c r="I155" s="43" t="str">
        <f ca="1">IF(D168=100%,"All work Completed. Possession granted to the Building.",IF(D167=100%,"All work Completed, Waiting for OC",I156&amp;""&amp;I157&amp;""&amp;J156&amp;""&amp;J155&amp;" "&amp;J157))</f>
        <v>All work Completed. Possession granted to the Building.</v>
      </c>
      <c r="J155" s="44" t="str">
        <f ca="1">(IF(C161=(D156+F156+H156),"",IF(C161&gt;0,", RCC upto "&amp;C161&amp;" Slab","")))&amp;(IF(C162=H156,"",IF(C162&gt;0,", Brickwork upto "&amp;C162&amp;" Floor","")))&amp;(IF(C163=H156,"",IF(C163&gt;0,", Internal Plaster upto "&amp;C163&amp;" Floor","")))&amp;(IF(C164=H156,"",IF(C164&gt;0,", External Plaster upto "&amp;C164&amp;" Floor","")))&amp;(IF(C165=H156,"",IF(C165&gt;0,", Flooring upto "&amp;C165&amp;" Floor","")))&amp;(IF(C166=H156,"",IF(C166&gt;0,", Painting upto "&amp;C166&amp;" Floor","")))&amp;(IF(C167=H156,"",IF(C167&gt;0,", Finishing upto "&amp;C167&amp;" Floor","")))&amp;(IF(C168=H156,"",IF(C168&gt;0,", Possession upto "&amp;C168&amp;" Floor","")))</f>
        <v/>
      </c>
    </row>
    <row r="156" spans="1:10" x14ac:dyDescent="0.3">
      <c r="A156" s="16" t="s">
        <v>148</v>
      </c>
      <c r="B156" s="54">
        <v>0</v>
      </c>
      <c r="C156" s="54" t="s">
        <v>76</v>
      </c>
      <c r="D156" s="54">
        <v>1</v>
      </c>
      <c r="E156" s="54" t="s">
        <v>75</v>
      </c>
      <c r="F156" s="54">
        <v>0</v>
      </c>
      <c r="G156" s="54" t="s">
        <v>85</v>
      </c>
      <c r="H156" s="17">
        <f ca="1">--TRIM(RIGHT(SUBSTITUTE(LEFT(C155,_xlfn.AGGREGATE(16,6,FIND({0,1,2,3,4,5,6,7,8,9},C155,ROW(INDIRECT("1:"&amp;LEN(C155)))),1))," ",REPT(" ",LEN(C155))),LEN(C155)))</f>
        <v>7</v>
      </c>
      <c r="I156" s="45" t="str">
        <f ca="1">IF(D159=100%,"Excavation","")&amp;IF(D160=100%,", Plinth","")&amp;IF(D161=100%,", RCC Slab","")&amp;IF(D162=100%,", Brickwork","")&amp;IF(D163=100%,", Internal Plaster","")&amp;IF(D164=100%,", External Plaster","")&amp;IF(D165=100%,", Flooring","")&amp;IF(D166=100%,", Painting","")&amp;IF(D167=100%,", Building common Amenities","")</f>
        <v>Excavation, Plinth, RCC Slab, Brickwork, Internal Plaster, External Plaster, Flooring, Painting, Building common Amenities</v>
      </c>
      <c r="J156" s="46" t="str">
        <f ca="1">(IF(C159=0,"Work not yet Started.",IF(D159=25%,"Piling work in process",IF(D159=50%,"Excavation work in process",IF(D159=100%,"","0")))))&amp;(IF(C160=0%,"",IF(C160=J161,", Footing work is process",IF(C160=J162,", Footing work Completed",IF(C160=J163,", 1st Basement Completed",IF(C160=J164,", 1st &amp; 2nd Basement Completed",IF(C160=J165,", 1st to 3rd Basement Completed",IF(C160=J166,", 1st to 4th Basement Completed",IF(C160=J167,", Plinth work is process",IF(C160=J168,"","0"))))))))))</f>
        <v/>
      </c>
    </row>
    <row r="157" spans="1:10" x14ac:dyDescent="0.3">
      <c r="A157" s="77" t="s">
        <v>95</v>
      </c>
      <c r="B157" s="78"/>
      <c r="C157" s="79" t="str">
        <f ca="1">(IF($G$52="NA",I155,"All work Completed. OC Received."))</f>
        <v>All work Completed. Possession granted to the Building.</v>
      </c>
      <c r="D157" s="79"/>
      <c r="E157" s="79"/>
      <c r="F157" s="79"/>
      <c r="G157" s="79"/>
      <c r="H157" s="80"/>
      <c r="I157" s="45" t="str">
        <f ca="1">IF(I156&lt;&gt;""," Completed","")</f>
        <v xml:space="preserve"> Completed</v>
      </c>
      <c r="J157" s="46" t="str">
        <f ca="1">IF(J155&lt;&gt;"","Completed","")</f>
        <v/>
      </c>
    </row>
    <row r="158" spans="1:10" ht="15.75" customHeight="1" x14ac:dyDescent="0.3">
      <c r="A158" s="81" t="s">
        <v>52</v>
      </c>
      <c r="B158" s="82"/>
      <c r="C158" s="56" t="s">
        <v>145</v>
      </c>
      <c r="D158" s="56" t="s">
        <v>88</v>
      </c>
      <c r="E158" s="82" t="s">
        <v>90</v>
      </c>
      <c r="F158" s="82"/>
      <c r="G158" s="82" t="s">
        <v>89</v>
      </c>
      <c r="H158" s="83"/>
      <c r="I158" s="14" t="s">
        <v>147</v>
      </c>
      <c r="J158" s="25">
        <f ca="1">H156*25%</f>
        <v>1.75</v>
      </c>
    </row>
    <row r="159" spans="1:10" x14ac:dyDescent="0.3">
      <c r="A159" s="81" t="s">
        <v>134</v>
      </c>
      <c r="B159" s="82"/>
      <c r="C159" s="56">
        <f ca="1">J160</f>
        <v>7</v>
      </c>
      <c r="D159" s="57">
        <f ca="1">((100/H156)*C159)/100</f>
        <v>1</v>
      </c>
      <c r="E159" s="84">
        <f ca="1">(((C160/H156*10)+(40/(D156+F156+H156)*C161)+(7.5/(H156)*C162)+(7.5/(H156)*C163)+(10/H156*C164)+(10/H156*C165)+(5/H156*C166)+(5/H156*C167)+(5/H156*C168))/100)</f>
        <v>1</v>
      </c>
      <c r="F159" s="85"/>
      <c r="G159" s="84">
        <f ca="1">((((C159/H156)*20)+((C160/H156)*25)+(30/(H156+F156+D156)*C161)+(5/H156*C162)+(5/H156*C163)+(5/H156*C164)+(5/H156*C165)+(0/H156*C166)+(0/H156*C167)+(5/H156*C168))/100)</f>
        <v>1</v>
      </c>
      <c r="H159" s="90"/>
      <c r="I159" s="14" t="s">
        <v>105</v>
      </c>
      <c r="J159" s="26">
        <f ca="1">H156*50%</f>
        <v>3.5</v>
      </c>
    </row>
    <row r="160" spans="1:10" x14ac:dyDescent="0.3">
      <c r="A160" s="81" t="s">
        <v>53</v>
      </c>
      <c r="B160" s="82"/>
      <c r="C160" s="56">
        <f ca="1">J168</f>
        <v>7</v>
      </c>
      <c r="D160" s="57">
        <f ca="1">((100/H156)*C160)/100</f>
        <v>1</v>
      </c>
      <c r="E160" s="86"/>
      <c r="F160" s="87"/>
      <c r="G160" s="86"/>
      <c r="H160" s="91"/>
      <c r="I160" s="14" t="s">
        <v>106</v>
      </c>
      <c r="J160" s="26">
        <f ca="1">H156</f>
        <v>7</v>
      </c>
    </row>
    <row r="161" spans="1:10" ht="15.75" customHeight="1" x14ac:dyDescent="0.3">
      <c r="A161" s="81" t="s">
        <v>135</v>
      </c>
      <c r="B161" s="82"/>
      <c r="C161" s="56">
        <v>8</v>
      </c>
      <c r="D161" s="57">
        <f ca="1">((100/(D156+F156+H156))*C161)/100</f>
        <v>1</v>
      </c>
      <c r="E161" s="86"/>
      <c r="F161" s="87"/>
      <c r="G161" s="86"/>
      <c r="H161" s="91"/>
      <c r="I161" s="14" t="s">
        <v>107</v>
      </c>
      <c r="J161" s="27">
        <f ca="1">(IF(B156&gt;1,(H156/(B156+2)),H156/4))</f>
        <v>1.75</v>
      </c>
    </row>
    <row r="162" spans="1:10" ht="15.75" customHeight="1" x14ac:dyDescent="0.3">
      <c r="A162" s="81" t="s">
        <v>142</v>
      </c>
      <c r="B162" s="82" t="s">
        <v>136</v>
      </c>
      <c r="C162" s="56">
        <v>7</v>
      </c>
      <c r="D162" s="57">
        <f ca="1">((100/H156)*C162)/100</f>
        <v>1</v>
      </c>
      <c r="E162" s="86"/>
      <c r="F162" s="87"/>
      <c r="G162" s="86"/>
      <c r="H162" s="91"/>
      <c r="I162" s="14" t="s">
        <v>108</v>
      </c>
      <c r="J162" s="27">
        <f ca="1">(IF(B156&gt;1,(H156/(B156+2)+J161),H156/4+J161))</f>
        <v>3.5</v>
      </c>
    </row>
    <row r="163" spans="1:10" ht="15.75" customHeight="1" x14ac:dyDescent="0.3">
      <c r="A163" s="81" t="s">
        <v>143</v>
      </c>
      <c r="B163" s="82" t="s">
        <v>136</v>
      </c>
      <c r="C163" s="56">
        <v>7</v>
      </c>
      <c r="D163" s="57">
        <f ca="1">((100/H156)*C163)/100</f>
        <v>1</v>
      </c>
      <c r="E163" s="86"/>
      <c r="F163" s="87"/>
      <c r="G163" s="86"/>
      <c r="H163" s="91"/>
      <c r="I163" s="14" t="s">
        <v>152</v>
      </c>
      <c r="J163" s="27">
        <f>(IF(B156&gt;1,(H156/(B156+2)+J162),0))</f>
        <v>0</v>
      </c>
    </row>
    <row r="164" spans="1:10" ht="15" customHeight="1" x14ac:dyDescent="0.3">
      <c r="A164" s="81" t="s">
        <v>141</v>
      </c>
      <c r="B164" s="82" t="s">
        <v>138</v>
      </c>
      <c r="C164" s="56">
        <v>7</v>
      </c>
      <c r="D164" s="57">
        <f ca="1">((100/(H156))*C164)/100</f>
        <v>1</v>
      </c>
      <c r="E164" s="86"/>
      <c r="F164" s="87"/>
      <c r="G164" s="86"/>
      <c r="H164" s="91"/>
      <c r="I164" s="14" t="s">
        <v>149</v>
      </c>
      <c r="J164" s="27">
        <f>(IF(B156&gt;2,(H156/(B156+2)+J163),0))</f>
        <v>0</v>
      </c>
    </row>
    <row r="165" spans="1:10" ht="15.75" customHeight="1" x14ac:dyDescent="0.3">
      <c r="A165" s="81" t="s">
        <v>137</v>
      </c>
      <c r="B165" s="82" t="s">
        <v>137</v>
      </c>
      <c r="C165" s="56">
        <v>7</v>
      </c>
      <c r="D165" s="57">
        <f ca="1">((100/H156)*C165)/100</f>
        <v>1</v>
      </c>
      <c r="E165" s="86"/>
      <c r="F165" s="87"/>
      <c r="G165" s="86"/>
      <c r="H165" s="91"/>
      <c r="I165" s="14" t="s">
        <v>150</v>
      </c>
      <c r="J165" s="28">
        <f>(IF(B156&gt;3,(H156/(B156+2)+J164),0))</f>
        <v>0</v>
      </c>
    </row>
    <row r="166" spans="1:10" ht="15.75" customHeight="1" x14ac:dyDescent="0.3">
      <c r="A166" s="81" t="s">
        <v>144</v>
      </c>
      <c r="B166" s="82"/>
      <c r="C166" s="56">
        <v>7</v>
      </c>
      <c r="D166" s="57">
        <f ca="1">((100/H156)*C166)/100</f>
        <v>1</v>
      </c>
      <c r="E166" s="86"/>
      <c r="F166" s="87"/>
      <c r="G166" s="86"/>
      <c r="H166" s="91"/>
      <c r="I166" s="14" t="s">
        <v>151</v>
      </c>
      <c r="J166" s="27">
        <f>(IF(B156&gt;4,(H156/(B156+2)+J165),0))</f>
        <v>0</v>
      </c>
    </row>
    <row r="167" spans="1:10" ht="15.75" customHeight="1" x14ac:dyDescent="0.3">
      <c r="A167" s="81" t="s">
        <v>139</v>
      </c>
      <c r="B167" s="82" t="s">
        <v>139</v>
      </c>
      <c r="C167" s="56">
        <v>7</v>
      </c>
      <c r="D167" s="57">
        <f ca="1">((100/(H156))*C167)/100</f>
        <v>1</v>
      </c>
      <c r="E167" s="86"/>
      <c r="F167" s="87"/>
      <c r="G167" s="86"/>
      <c r="H167" s="91"/>
      <c r="I167" s="14" t="s">
        <v>153</v>
      </c>
      <c r="J167" s="27">
        <f ca="1">(IF(B156=1,(H156/(B156+3)+J162),IF(B156=0,(H156/4+J162),IF(B156&gt;1,0))))</f>
        <v>5.25</v>
      </c>
    </row>
    <row r="168" spans="1:10" ht="16.2" thickBot="1" x14ac:dyDescent="0.35">
      <c r="A168" s="93" t="s">
        <v>140</v>
      </c>
      <c r="B168" s="94"/>
      <c r="C168" s="58">
        <v>7</v>
      </c>
      <c r="D168" s="59">
        <f ca="1">((100/(H156))*C168)/100</f>
        <v>1</v>
      </c>
      <c r="E168" s="88"/>
      <c r="F168" s="89"/>
      <c r="G168" s="88"/>
      <c r="H168" s="92"/>
      <c r="I168" s="15" t="s">
        <v>109</v>
      </c>
      <c r="J168" s="29">
        <f ca="1">(IF(B156&gt;1.5,(H156/(B156+2)+J162+MAX(0,J163-J162)+MAX(0,J164-J163)+MAX(0,J165-J164)+MAX(0,J166-J165)+MAX(0,J167-J166)),IF(B156=1,(H156/(B156+3)+J167),IF(B156=0,H156/4+J167))))</f>
        <v>7</v>
      </c>
    </row>
    <row r="169" spans="1:10" ht="15.75" customHeight="1" x14ac:dyDescent="0.3">
      <c r="A169" s="72" t="s">
        <v>146</v>
      </c>
      <c r="B169" s="73"/>
      <c r="C169" s="74" t="s">
        <v>308</v>
      </c>
      <c r="D169" s="75"/>
      <c r="E169" s="75"/>
      <c r="F169" s="75"/>
      <c r="G169" s="75"/>
      <c r="H169" s="76"/>
      <c r="I169" s="43" t="str">
        <f ca="1">IF(D182=100%,"All work Completed. Possession granted to the Building.",IF(D181=100%,"All work Completed, Waiting for OC",I170&amp;""&amp;I171&amp;""&amp;J170&amp;""&amp;J169&amp;" "&amp;J171))</f>
        <v>All work Completed. Possession granted to the Building.</v>
      </c>
      <c r="J169" s="44" t="str">
        <f ca="1">(IF(C175=(D170+F170+H170),"",IF(C175&gt;0,", RCC upto "&amp;C175&amp;" Slab","")))&amp;(IF(C176=H170,"",IF(C176&gt;0,", Brickwork upto "&amp;C176&amp;" Floor","")))&amp;(IF(C177=H170,"",IF(C177&gt;0,", Internal Plaster upto "&amp;C177&amp;" Floor","")))&amp;(IF(C178=H170,"",IF(C178&gt;0,", External Plaster upto "&amp;C178&amp;" Floor","")))&amp;(IF(C179=H170,"",IF(C179&gt;0,", Flooring upto "&amp;C179&amp;" Floor","")))&amp;(IF(C180=H170,"",IF(C180&gt;0,", Painting upto "&amp;C180&amp;" Floor","")))&amp;(IF(C181=H170,"",IF(C181&gt;0,", Finishing upto "&amp;C181&amp;" Floor","")))&amp;(IF(C182=H170,"",IF(C182&gt;0,", Possession upto "&amp;C182&amp;" Floor","")))</f>
        <v/>
      </c>
    </row>
    <row r="170" spans="1:10" x14ac:dyDescent="0.3">
      <c r="A170" s="16" t="s">
        <v>148</v>
      </c>
      <c r="B170" s="54">
        <v>0</v>
      </c>
      <c r="C170" s="54" t="s">
        <v>76</v>
      </c>
      <c r="D170" s="54">
        <v>1</v>
      </c>
      <c r="E170" s="54" t="s">
        <v>75</v>
      </c>
      <c r="F170" s="54">
        <v>0</v>
      </c>
      <c r="G170" s="54" t="s">
        <v>85</v>
      </c>
      <c r="H170" s="17">
        <f ca="1">--TRIM(RIGHT(SUBSTITUTE(LEFT(C169,_xlfn.AGGREGATE(16,6,FIND({0,1,2,3,4,5,6,7,8,9},C169,ROW(INDIRECT("1:"&amp;LEN(C169)))),1))," ",REPT(" ",LEN(C169))),LEN(C169)))</f>
        <v>1</v>
      </c>
      <c r="I170" s="45" t="str">
        <f ca="1">IF(D173=100%,"Excavation","")&amp;IF(D174=100%,", Plinth","")&amp;IF(D175=100%,", RCC Slab","")&amp;IF(D176=100%,", Brickwork","")&amp;IF(D177=100%,", Internal Plaster","")&amp;IF(D178=100%,", External Plaster","")&amp;IF(D179=100%,", Flooring","")&amp;IF(D180=100%,", Painting","")&amp;IF(D181=100%,", Building common Amenities","")</f>
        <v>Excavation, Plinth, RCC Slab, Brickwork, Internal Plaster, External Plaster, Flooring, Painting, Building common Amenities</v>
      </c>
      <c r="J170" s="46" t="str">
        <f ca="1">(IF(C173=0,"Work not yet Started.",IF(D173=25%,"Piling work in process",IF(D173=50%,"Excavation work in process",IF(D173=100%,"","0")))))&amp;(IF(C174=0%,"",IF(C174=J175,", Footing work is process",IF(C174=J176,", Footing work Completed",IF(C174=J177,", 1st Basement Completed",IF(C174=J178,", 1st &amp; 2nd Basement Completed",IF(C174=J179,", 1st to 3rd Basement Completed",IF(C174=J180,", 1st to 4th Basement Completed",IF(C174=J181,", Plinth work is process",IF(C174=J182,"","0"))))))))))</f>
        <v/>
      </c>
    </row>
    <row r="171" spans="1:10" x14ac:dyDescent="0.3">
      <c r="A171" s="77" t="s">
        <v>95</v>
      </c>
      <c r="B171" s="78"/>
      <c r="C171" s="79" t="str">
        <f ca="1">(IF($G$52="NA",I169,"All work Completed. OC Received."))</f>
        <v>All work Completed. Possession granted to the Building.</v>
      </c>
      <c r="D171" s="79"/>
      <c r="E171" s="79"/>
      <c r="F171" s="79"/>
      <c r="G171" s="79"/>
      <c r="H171" s="80"/>
      <c r="I171" s="45" t="str">
        <f ca="1">IF(I170&lt;&gt;""," Completed","")</f>
        <v xml:space="preserve"> Completed</v>
      </c>
      <c r="J171" s="46" t="str">
        <f ca="1">IF(J169&lt;&gt;"","Completed","")</f>
        <v/>
      </c>
    </row>
    <row r="172" spans="1:10" ht="15.75" customHeight="1" x14ac:dyDescent="0.3">
      <c r="A172" s="81" t="s">
        <v>52</v>
      </c>
      <c r="B172" s="82"/>
      <c r="C172" s="56" t="s">
        <v>145</v>
      </c>
      <c r="D172" s="56" t="s">
        <v>88</v>
      </c>
      <c r="E172" s="82" t="s">
        <v>90</v>
      </c>
      <c r="F172" s="82"/>
      <c r="G172" s="82" t="s">
        <v>89</v>
      </c>
      <c r="H172" s="83"/>
      <c r="I172" s="14" t="s">
        <v>147</v>
      </c>
      <c r="J172" s="25">
        <f ca="1">H170*25%</f>
        <v>0.25</v>
      </c>
    </row>
    <row r="173" spans="1:10" x14ac:dyDescent="0.3">
      <c r="A173" s="81" t="s">
        <v>134</v>
      </c>
      <c r="B173" s="82"/>
      <c r="C173" s="56">
        <f ca="1">J174</f>
        <v>1</v>
      </c>
      <c r="D173" s="57">
        <f ca="1">((100/H170)*C173)/100</f>
        <v>1</v>
      </c>
      <c r="E173" s="84">
        <f ca="1">(((C174/H170*10)+(40/(D170+F170+H170)*C175)+(7.5/(H170)*C176)+(7.5/(H170)*C177)+(10/H170*C178)+(10/H170*C179)+(5/H170*C180)+(5/H170*C181)+(5/H170*C182))/100)</f>
        <v>1</v>
      </c>
      <c r="F173" s="85"/>
      <c r="G173" s="84">
        <f ca="1">((((C173/H170)*20)+((C174/H170)*25)+(30/(H170+F170+D170)*C175)+(5/H170*C176)+(5/H170*C177)+(5/H170*C178)+(5/H170*C179)+(0/H170*C180)+(0/H170*C181)+(5/H170*C182))/100)</f>
        <v>1</v>
      </c>
      <c r="H173" s="90"/>
      <c r="I173" s="14" t="s">
        <v>105</v>
      </c>
      <c r="J173" s="26">
        <f ca="1">H170*50%</f>
        <v>0.5</v>
      </c>
    </row>
    <row r="174" spans="1:10" x14ac:dyDescent="0.3">
      <c r="A174" s="81" t="s">
        <v>53</v>
      </c>
      <c r="B174" s="82"/>
      <c r="C174" s="56">
        <f ca="1">J182</f>
        <v>1</v>
      </c>
      <c r="D174" s="57">
        <f ca="1">((100/H170)*C174)/100</f>
        <v>1</v>
      </c>
      <c r="E174" s="86"/>
      <c r="F174" s="87"/>
      <c r="G174" s="86"/>
      <c r="H174" s="91"/>
      <c r="I174" s="14" t="s">
        <v>106</v>
      </c>
      <c r="J174" s="26">
        <f ca="1">H170</f>
        <v>1</v>
      </c>
    </row>
    <row r="175" spans="1:10" ht="15.75" customHeight="1" x14ac:dyDescent="0.3">
      <c r="A175" s="81" t="s">
        <v>135</v>
      </c>
      <c r="B175" s="82"/>
      <c r="C175" s="56">
        <v>2</v>
      </c>
      <c r="D175" s="57">
        <f ca="1">((100/(D170+F170+H170))*C175)/100</f>
        <v>1</v>
      </c>
      <c r="E175" s="86"/>
      <c r="F175" s="87"/>
      <c r="G175" s="86"/>
      <c r="H175" s="91"/>
      <c r="I175" s="14" t="s">
        <v>107</v>
      </c>
      <c r="J175" s="27">
        <f ca="1">(IF(B170&gt;1,(H170/(B170+2)),H170/4))</f>
        <v>0.25</v>
      </c>
    </row>
    <row r="176" spans="1:10" ht="15.75" customHeight="1" x14ac:dyDescent="0.3">
      <c r="A176" s="81" t="s">
        <v>142</v>
      </c>
      <c r="B176" s="82" t="s">
        <v>136</v>
      </c>
      <c r="C176" s="56">
        <v>1</v>
      </c>
      <c r="D176" s="57">
        <f ca="1">((100/H170)*C176)/100</f>
        <v>1</v>
      </c>
      <c r="E176" s="86"/>
      <c r="F176" s="87"/>
      <c r="G176" s="86"/>
      <c r="H176" s="91"/>
      <c r="I176" s="14" t="s">
        <v>108</v>
      </c>
      <c r="J176" s="27">
        <f ca="1">(IF(B170&gt;1,(H170/(B170+2)+J175),H170/4+J175))</f>
        <v>0.5</v>
      </c>
    </row>
    <row r="177" spans="1:10" ht="15.75" customHeight="1" x14ac:dyDescent="0.3">
      <c r="A177" s="81" t="s">
        <v>143</v>
      </c>
      <c r="B177" s="82" t="s">
        <v>136</v>
      </c>
      <c r="C177" s="56">
        <v>1</v>
      </c>
      <c r="D177" s="57">
        <f ca="1">((100/H170)*C177)/100</f>
        <v>1</v>
      </c>
      <c r="E177" s="86"/>
      <c r="F177" s="87"/>
      <c r="G177" s="86"/>
      <c r="H177" s="91"/>
      <c r="I177" s="14" t="s">
        <v>152</v>
      </c>
      <c r="J177" s="27">
        <f>(IF(B170&gt;1,(H170/(B170+2)+J176),0))</f>
        <v>0</v>
      </c>
    </row>
    <row r="178" spans="1:10" ht="15" customHeight="1" x14ac:dyDescent="0.3">
      <c r="A178" s="81" t="s">
        <v>141</v>
      </c>
      <c r="B178" s="82" t="s">
        <v>138</v>
      </c>
      <c r="C178" s="56">
        <v>1</v>
      </c>
      <c r="D178" s="57">
        <f ca="1">((100/(H170))*C178)/100</f>
        <v>1</v>
      </c>
      <c r="E178" s="86"/>
      <c r="F178" s="87"/>
      <c r="G178" s="86"/>
      <c r="H178" s="91"/>
      <c r="I178" s="14" t="s">
        <v>149</v>
      </c>
      <c r="J178" s="27">
        <f>(IF(B170&gt;2,(H170/(B170+2)+J177),0))</f>
        <v>0</v>
      </c>
    </row>
    <row r="179" spans="1:10" ht="15.75" customHeight="1" x14ac:dyDescent="0.3">
      <c r="A179" s="81" t="s">
        <v>137</v>
      </c>
      <c r="B179" s="82" t="s">
        <v>137</v>
      </c>
      <c r="C179" s="56">
        <v>1</v>
      </c>
      <c r="D179" s="57">
        <f ca="1">((100/H170)*C179)/100</f>
        <v>1</v>
      </c>
      <c r="E179" s="86"/>
      <c r="F179" s="87"/>
      <c r="G179" s="86"/>
      <c r="H179" s="91"/>
      <c r="I179" s="14" t="s">
        <v>150</v>
      </c>
      <c r="J179" s="28">
        <f>(IF(B170&gt;3,(H170/(B170+2)+J178),0))</f>
        <v>0</v>
      </c>
    </row>
    <row r="180" spans="1:10" ht="15.75" customHeight="1" x14ac:dyDescent="0.3">
      <c r="A180" s="81" t="s">
        <v>144</v>
      </c>
      <c r="B180" s="82"/>
      <c r="C180" s="56">
        <v>1</v>
      </c>
      <c r="D180" s="57">
        <f ca="1">((100/H170)*C180)/100</f>
        <v>1</v>
      </c>
      <c r="E180" s="86"/>
      <c r="F180" s="87"/>
      <c r="G180" s="86"/>
      <c r="H180" s="91"/>
      <c r="I180" s="14" t="s">
        <v>151</v>
      </c>
      <c r="J180" s="27">
        <f>(IF(B170&gt;4,(H170/(B170+2)+J179),0))</f>
        <v>0</v>
      </c>
    </row>
    <row r="181" spans="1:10" ht="15.75" customHeight="1" x14ac:dyDescent="0.3">
      <c r="A181" s="81" t="s">
        <v>139</v>
      </c>
      <c r="B181" s="82" t="s">
        <v>139</v>
      </c>
      <c r="C181" s="56">
        <v>1</v>
      </c>
      <c r="D181" s="57">
        <f ca="1">((100/(H170))*C181)/100</f>
        <v>1</v>
      </c>
      <c r="E181" s="86"/>
      <c r="F181" s="87"/>
      <c r="G181" s="86"/>
      <c r="H181" s="91"/>
      <c r="I181" s="14" t="s">
        <v>153</v>
      </c>
      <c r="J181" s="27">
        <f ca="1">(IF(B170=1,(H170/(B170+3)+J176),IF(B170=0,(H170/4+J176),IF(B170&gt;1,0))))</f>
        <v>0.75</v>
      </c>
    </row>
    <row r="182" spans="1:10" ht="16.2" thickBot="1" x14ac:dyDescent="0.35">
      <c r="A182" s="93" t="s">
        <v>140</v>
      </c>
      <c r="B182" s="94"/>
      <c r="C182" s="58">
        <v>1</v>
      </c>
      <c r="D182" s="59">
        <f ca="1">((100/(H170))*C182)/100</f>
        <v>1</v>
      </c>
      <c r="E182" s="88"/>
      <c r="F182" s="89"/>
      <c r="G182" s="88"/>
      <c r="H182" s="92"/>
      <c r="I182" s="15" t="s">
        <v>109</v>
      </c>
      <c r="J182" s="29">
        <f ca="1">(IF(B170&gt;1.5,(H170/(B170+2)+J176+MAX(0,J177-J176)+MAX(0,J178-J177)+MAX(0,J179-J178)+MAX(0,J180-J179)+MAX(0,J181-J180)),IF(B170=1,(H170/(B170+3)+J181),IF(B170=0,H170/4+J181))))</f>
        <v>1</v>
      </c>
    </row>
    <row r="183" spans="1:10" ht="15.75" customHeight="1" x14ac:dyDescent="0.3">
      <c r="A183" s="72" t="s">
        <v>146</v>
      </c>
      <c r="B183" s="73"/>
      <c r="C183" s="74" t="s">
        <v>307</v>
      </c>
      <c r="D183" s="75"/>
      <c r="E183" s="75"/>
      <c r="F183" s="75"/>
      <c r="G183" s="75"/>
      <c r="H183" s="76"/>
      <c r="I183" s="43" t="str">
        <f ca="1">IF(D197=100%,"All work Completed. Possession granted to the Building.",IF(D196=100%,"All work Completed, Waiting for OC",I184&amp;""&amp;I185&amp;""&amp;J184&amp;""&amp;J183&amp;" "&amp;J185))</f>
        <v>All work Completed. Possession granted to the Building.</v>
      </c>
      <c r="J183" s="44" t="str">
        <f ca="1">(IF(C190=(D184+F184+H184),"",IF(C190&gt;0,", RCC upto "&amp;C190&amp;" Slab","")))&amp;(IF(C191=H184,"",IF(C191&gt;0,", Brickwork upto "&amp;C191&amp;" Floor","")))&amp;(IF(C192=H184,"",IF(C192&gt;0,", Internal Plaster upto "&amp;C192&amp;" Floor","")))&amp;(IF(C193=H184,"",IF(C193&gt;0,", External Plaster upto "&amp;C193&amp;" Floor","")))&amp;(IF(C194=H184,"",IF(C194&gt;0,", Flooring upto "&amp;C194&amp;" Floor","")))&amp;(IF(C195=H184,"",IF(C195&gt;0,", Painting upto "&amp;C195&amp;" Floor","")))&amp;(IF(C196=H184,"",IF(C196&gt;0,", Finishing upto "&amp;C196&amp;" Floor","")))&amp;(IF(C197=H184,"",IF(C197&gt;0,", Possession upto "&amp;C197&amp;" Floor","")))</f>
        <v/>
      </c>
    </row>
    <row r="184" spans="1:10" x14ac:dyDescent="0.3">
      <c r="A184" s="16" t="s">
        <v>148</v>
      </c>
      <c r="B184" s="54">
        <v>0</v>
      </c>
      <c r="C184" s="54" t="s">
        <v>76</v>
      </c>
      <c r="D184" s="54">
        <v>1</v>
      </c>
      <c r="E184" s="54" t="s">
        <v>75</v>
      </c>
      <c r="F184" s="54">
        <v>0</v>
      </c>
      <c r="G184" s="54" t="s">
        <v>85</v>
      </c>
      <c r="H184" s="17">
        <f ca="1">--TRIM(RIGHT(SUBSTITUTE(LEFT(C183,_xlfn.AGGREGATE(16,6,FIND({0,1,2,3,4,5,6,7,8,9},C183,ROW(INDIRECT("1:"&amp;LEN(C183)))),1))," ",REPT(" ",LEN(C183))),LEN(C183)))</f>
        <v>1</v>
      </c>
      <c r="I184" s="45" t="str">
        <f ca="1">IF(D188=100%,"Excavation","")&amp;IF(D189=100%,", Plinth","")&amp;IF(D190=100%,", RCC Slab","")&amp;IF(D191=100%,", Brickwork","")&amp;IF(D192=100%,", Internal Plaster","")&amp;IF(D193=100%,", External Plaster","")&amp;IF(D194=100%,", Flooring","")&amp;IF(D195=100%,", Painting","")&amp;IF(D196=100%,", Building common Amenities","")</f>
        <v>Excavation, Plinth, RCC Slab, Brickwork, Internal Plaster, External Plaster, Flooring, Painting, Building common Amenities</v>
      </c>
      <c r="J184" s="46" t="str">
        <f ca="1">(IF(C188=0,"Work not yet Started.",IF(D188=25%,"Piling work in process",IF(D188=50%,"Excavation work in process",IF(D188=100%,"","0")))))&amp;(IF(C189=0%,"",IF(C189=J190,", Footing work is process",IF(C189=J191,", Footing work Completed",IF(C189=J192,", 1st Basement Completed",IF(C189=J193,", 1st &amp; 2nd Basement Completed",IF(C189=J194,", 1st to 3rd Basement Completed",IF(C189=J195,", 1st to 4th Basement Completed",IF(C189=J196,", Plinth work is process",IF(C189=J197,"","0"))))))))))</f>
        <v/>
      </c>
    </row>
    <row r="185" spans="1:10" x14ac:dyDescent="0.3">
      <c r="A185" s="77" t="s">
        <v>95</v>
      </c>
      <c r="B185" s="78"/>
      <c r="C185" s="79" t="str">
        <f ca="1">(IF($G$52="NA",I183,"All work Completed. OC Received."))</f>
        <v>All work Completed. Possession granted to the Building.</v>
      </c>
      <c r="D185" s="79"/>
      <c r="E185" s="79"/>
      <c r="F185" s="79"/>
      <c r="G185" s="79"/>
      <c r="H185" s="80"/>
      <c r="I185" s="45" t="str">
        <f ca="1">IF(I184&lt;&gt;""," Completed","")</f>
        <v xml:space="preserve"> Completed</v>
      </c>
      <c r="J185" s="46" t="str">
        <f ca="1">IF(J183&lt;&gt;"","Completed","")</f>
        <v/>
      </c>
    </row>
    <row r="186" spans="1:10" ht="16.2" thickBot="1" x14ac:dyDescent="0.35">
      <c r="A186" s="187" t="s">
        <v>90</v>
      </c>
      <c r="B186" s="146"/>
      <c r="C186" s="144">
        <v>1</v>
      </c>
      <c r="D186" s="145"/>
      <c r="E186" s="146" t="s">
        <v>89</v>
      </c>
      <c r="F186" s="147"/>
      <c r="G186" s="144">
        <v>1</v>
      </c>
      <c r="H186" s="148"/>
      <c r="I186" s="61"/>
      <c r="J186" s="62"/>
    </row>
    <row r="187" spans="1:10" ht="15.75" hidden="1" customHeight="1" x14ac:dyDescent="0.3">
      <c r="A187" s="207" t="s">
        <v>52</v>
      </c>
      <c r="B187" s="208"/>
      <c r="C187" s="63" t="s">
        <v>145</v>
      </c>
      <c r="D187" s="63" t="s">
        <v>88</v>
      </c>
      <c r="E187" s="208" t="s">
        <v>90</v>
      </c>
      <c r="F187" s="208"/>
      <c r="G187" s="208" t="s">
        <v>89</v>
      </c>
      <c r="H187" s="209"/>
      <c r="I187" s="14" t="s">
        <v>147</v>
      </c>
      <c r="J187" s="25">
        <f ca="1">H184*25%</f>
        <v>0.25</v>
      </c>
    </row>
    <row r="188" spans="1:10" hidden="1" x14ac:dyDescent="0.3">
      <c r="A188" s="81" t="s">
        <v>134</v>
      </c>
      <c r="B188" s="82"/>
      <c r="C188" s="56">
        <f ca="1">J189</f>
        <v>1</v>
      </c>
      <c r="D188" s="57">
        <f ca="1">((100/H184)*C188)/100</f>
        <v>1</v>
      </c>
      <c r="E188" s="84">
        <f ca="1">(((C189/H184*10)+(40/(D184+F184+H184)*C190)+(7.5/(H184)*C191)+(7.5/(H184)*C192)+(10/H184*C193)+(10/H184*C194)+(5/H184*C195)+(5/H184*C196)+(5/H184*C197))/100)</f>
        <v>1</v>
      </c>
      <c r="F188" s="85"/>
      <c r="G188" s="84">
        <f ca="1">((((C188/H184)*20)+((C189/H184)*25)+(30/(H184+F184+D184)*C190)+(5/H184*C191)+(5/H184*C192)+(5/H184*C193)+(5/H184*C194)+(0/H184*C195)+(0/H184*C196)+(5/H184*C197))/100)</f>
        <v>1</v>
      </c>
      <c r="H188" s="90"/>
      <c r="I188" s="14" t="s">
        <v>105</v>
      </c>
      <c r="J188" s="26">
        <f ca="1">H184*50%</f>
        <v>0.5</v>
      </c>
    </row>
    <row r="189" spans="1:10" hidden="1" x14ac:dyDescent="0.3">
      <c r="A189" s="81" t="s">
        <v>53</v>
      </c>
      <c r="B189" s="82"/>
      <c r="C189" s="56">
        <f ca="1">J197</f>
        <v>1</v>
      </c>
      <c r="D189" s="57">
        <f ca="1">((100/H184)*C189)/100</f>
        <v>1</v>
      </c>
      <c r="E189" s="86"/>
      <c r="F189" s="87"/>
      <c r="G189" s="86"/>
      <c r="H189" s="91"/>
      <c r="I189" s="14" t="s">
        <v>106</v>
      </c>
      <c r="J189" s="26">
        <f ca="1">H184</f>
        <v>1</v>
      </c>
    </row>
    <row r="190" spans="1:10" ht="15.75" hidden="1" customHeight="1" x14ac:dyDescent="0.3">
      <c r="A190" s="81" t="s">
        <v>135</v>
      </c>
      <c r="B190" s="82"/>
      <c r="C190" s="56">
        <v>2</v>
      </c>
      <c r="D190" s="57">
        <f ca="1">((100/(D184+F184+H184))*C190)/100</f>
        <v>1</v>
      </c>
      <c r="E190" s="86"/>
      <c r="F190" s="87"/>
      <c r="G190" s="86"/>
      <c r="H190" s="91"/>
      <c r="I190" s="14" t="s">
        <v>107</v>
      </c>
      <c r="J190" s="27">
        <f ca="1">(IF(B184&gt;1,(H184/(B184+2)),H184/4))</f>
        <v>0.25</v>
      </c>
    </row>
    <row r="191" spans="1:10" ht="15.75" hidden="1" customHeight="1" x14ac:dyDescent="0.3">
      <c r="A191" s="81" t="s">
        <v>142</v>
      </c>
      <c r="B191" s="82" t="s">
        <v>136</v>
      </c>
      <c r="C191" s="56">
        <v>1</v>
      </c>
      <c r="D191" s="57">
        <f ca="1">((100/H184)*C191)/100</f>
        <v>1</v>
      </c>
      <c r="E191" s="86"/>
      <c r="F191" s="87"/>
      <c r="G191" s="86"/>
      <c r="H191" s="91"/>
      <c r="I191" s="14" t="s">
        <v>108</v>
      </c>
      <c r="J191" s="27">
        <f ca="1">(IF(B184&gt;1,(H184/(B184+2)+J190),H184/4+J190))</f>
        <v>0.5</v>
      </c>
    </row>
    <row r="192" spans="1:10" ht="15.75" hidden="1" customHeight="1" x14ac:dyDescent="0.3">
      <c r="A192" s="81" t="s">
        <v>143</v>
      </c>
      <c r="B192" s="82" t="s">
        <v>136</v>
      </c>
      <c r="C192" s="56">
        <v>1</v>
      </c>
      <c r="D192" s="57">
        <f ca="1">((100/H184)*C192)/100</f>
        <v>1</v>
      </c>
      <c r="E192" s="86"/>
      <c r="F192" s="87"/>
      <c r="G192" s="86"/>
      <c r="H192" s="91"/>
      <c r="I192" s="14" t="s">
        <v>152</v>
      </c>
      <c r="J192" s="27">
        <f>(IF(B184&gt;1,(H184/(B184+2)+J191),0))</f>
        <v>0</v>
      </c>
    </row>
    <row r="193" spans="1:10" ht="15" hidden="1" customHeight="1" x14ac:dyDescent="0.3">
      <c r="A193" s="81" t="s">
        <v>141</v>
      </c>
      <c r="B193" s="82" t="s">
        <v>138</v>
      </c>
      <c r="C193" s="56">
        <v>1</v>
      </c>
      <c r="D193" s="57">
        <f ca="1">((100/(H184))*C193)/100</f>
        <v>1</v>
      </c>
      <c r="E193" s="86"/>
      <c r="F193" s="87"/>
      <c r="G193" s="86"/>
      <c r="H193" s="91"/>
      <c r="I193" s="14" t="s">
        <v>149</v>
      </c>
      <c r="J193" s="27">
        <f>(IF(B184&gt;2,(H184/(B184+2)+J192),0))</f>
        <v>0</v>
      </c>
    </row>
    <row r="194" spans="1:10" ht="15.75" hidden="1" customHeight="1" x14ac:dyDescent="0.3">
      <c r="A194" s="81" t="s">
        <v>137</v>
      </c>
      <c r="B194" s="82" t="s">
        <v>137</v>
      </c>
      <c r="C194" s="56">
        <v>1</v>
      </c>
      <c r="D194" s="57">
        <f ca="1">((100/H184)*C194)/100</f>
        <v>1</v>
      </c>
      <c r="E194" s="86"/>
      <c r="F194" s="87"/>
      <c r="G194" s="86"/>
      <c r="H194" s="91"/>
      <c r="I194" s="14" t="s">
        <v>150</v>
      </c>
      <c r="J194" s="28">
        <f>(IF(B184&gt;3,(H184/(B184+2)+J193),0))</f>
        <v>0</v>
      </c>
    </row>
    <row r="195" spans="1:10" ht="15.75" hidden="1" customHeight="1" x14ac:dyDescent="0.3">
      <c r="A195" s="81" t="s">
        <v>144</v>
      </c>
      <c r="B195" s="82"/>
      <c r="C195" s="56">
        <v>1</v>
      </c>
      <c r="D195" s="57">
        <f ca="1">((100/H184)*C195)/100</f>
        <v>1</v>
      </c>
      <c r="E195" s="86"/>
      <c r="F195" s="87"/>
      <c r="G195" s="86"/>
      <c r="H195" s="91"/>
      <c r="I195" s="14" t="s">
        <v>151</v>
      </c>
      <c r="J195" s="27">
        <f>(IF(B184&gt;4,(H184/(B184+2)+J194),0))</f>
        <v>0</v>
      </c>
    </row>
    <row r="196" spans="1:10" ht="15.75" hidden="1" customHeight="1" x14ac:dyDescent="0.3">
      <c r="A196" s="81" t="s">
        <v>139</v>
      </c>
      <c r="B196" s="82" t="s">
        <v>139</v>
      </c>
      <c r="C196" s="56">
        <v>1</v>
      </c>
      <c r="D196" s="57">
        <f ca="1">((100/(H184))*C196)/100</f>
        <v>1</v>
      </c>
      <c r="E196" s="86"/>
      <c r="F196" s="87"/>
      <c r="G196" s="86"/>
      <c r="H196" s="91"/>
      <c r="I196" s="14" t="s">
        <v>153</v>
      </c>
      <c r="J196" s="27">
        <f ca="1">(IF(B184=1,(H184/(B184+3)+J191),IF(B184=0,(H184/4+J191),IF(B184&gt;1,0))))</f>
        <v>0.75</v>
      </c>
    </row>
    <row r="197" spans="1:10" ht="16.2" hidden="1" thickBot="1" x14ac:dyDescent="0.35">
      <c r="A197" s="93" t="s">
        <v>140</v>
      </c>
      <c r="B197" s="94"/>
      <c r="C197" s="58">
        <v>1</v>
      </c>
      <c r="D197" s="59">
        <f ca="1">((100/(H184))*C197)/100</f>
        <v>1</v>
      </c>
      <c r="E197" s="88"/>
      <c r="F197" s="89"/>
      <c r="G197" s="88"/>
      <c r="H197" s="92"/>
      <c r="I197" s="15" t="s">
        <v>109</v>
      </c>
      <c r="J197" s="29">
        <f ca="1">(IF(B184&gt;1.5,(H184/(B184+2)+J191+MAX(0,J192-J191)+MAX(0,J193-J192)+MAX(0,J194-J193)+MAX(0,J195-J194)+MAX(0,J196-J195)),IF(B184=1,(H184/(B184+3)+J196),IF(B184=0,H184/4+J196))))</f>
        <v>1</v>
      </c>
    </row>
    <row r="198" spans="1:10" x14ac:dyDescent="0.3">
      <c r="A198" s="116" t="s">
        <v>163</v>
      </c>
      <c r="B198" s="116"/>
      <c r="C198" s="116"/>
      <c r="D198" s="116"/>
      <c r="E198" s="116"/>
      <c r="F198" s="143" t="s">
        <v>166</v>
      </c>
      <c r="G198" s="143"/>
      <c r="H198" s="143"/>
    </row>
    <row r="199" spans="1:10" x14ac:dyDescent="0.3">
      <c r="A199" s="114" t="s">
        <v>165</v>
      </c>
      <c r="B199" s="114"/>
      <c r="C199" s="114"/>
      <c r="D199" s="114"/>
      <c r="E199" s="114"/>
      <c r="F199" s="115">
        <v>3600</v>
      </c>
      <c r="G199" s="115"/>
      <c r="H199" s="115"/>
    </row>
    <row r="200" spans="1:10" x14ac:dyDescent="0.3">
      <c r="A200" s="114" t="s">
        <v>270</v>
      </c>
      <c r="B200" s="114"/>
      <c r="C200" s="114"/>
      <c r="D200" s="114"/>
      <c r="E200" s="114"/>
      <c r="F200" s="115">
        <v>6500</v>
      </c>
      <c r="G200" s="115"/>
      <c r="H200" s="115"/>
    </row>
    <row r="201" spans="1:10" x14ac:dyDescent="0.3">
      <c r="A201" s="114" t="s">
        <v>278</v>
      </c>
      <c r="B201" s="114"/>
      <c r="C201" s="114"/>
      <c r="D201" s="114"/>
      <c r="E201" s="114"/>
      <c r="F201" s="115">
        <v>5700</v>
      </c>
      <c r="G201" s="115"/>
      <c r="H201" s="115"/>
    </row>
    <row r="202" spans="1:10" x14ac:dyDescent="0.3">
      <c r="A202" s="114" t="s">
        <v>271</v>
      </c>
      <c r="B202" s="114"/>
      <c r="C202" s="114"/>
      <c r="D202" s="114"/>
      <c r="E202" s="114"/>
      <c r="F202" s="115">
        <v>3400</v>
      </c>
      <c r="G202" s="115"/>
      <c r="H202" s="115"/>
    </row>
    <row r="203" spans="1:10" s="30" customFormat="1" hidden="1" x14ac:dyDescent="0.25">
      <c r="A203" s="114" t="s">
        <v>164</v>
      </c>
      <c r="B203" s="114"/>
      <c r="C203" s="114"/>
      <c r="D203" s="114"/>
      <c r="E203" s="114"/>
      <c r="F203" s="115"/>
      <c r="G203" s="115"/>
      <c r="H203" s="115"/>
    </row>
    <row r="204" spans="1:10" s="30" customFormat="1" hidden="1" x14ac:dyDescent="0.25">
      <c r="A204" s="114" t="s">
        <v>100</v>
      </c>
      <c r="B204" s="114"/>
      <c r="C204" s="114"/>
      <c r="D204" s="114"/>
      <c r="E204" s="114"/>
      <c r="F204" s="115"/>
      <c r="G204" s="115"/>
      <c r="H204" s="115"/>
    </row>
    <row r="205" spans="1:10" s="30" customFormat="1" hidden="1" x14ac:dyDescent="0.25">
      <c r="A205" s="114" t="s">
        <v>101</v>
      </c>
      <c r="B205" s="114"/>
      <c r="C205" s="114"/>
      <c r="D205" s="114"/>
      <c r="E205" s="114"/>
      <c r="F205" s="115"/>
      <c r="G205" s="115"/>
      <c r="H205" s="115"/>
    </row>
    <row r="206" spans="1:10" s="30" customFormat="1" hidden="1" x14ac:dyDescent="0.25">
      <c r="A206" s="114" t="s">
        <v>167</v>
      </c>
      <c r="B206" s="114"/>
      <c r="C206" s="114"/>
      <c r="D206" s="114"/>
      <c r="E206" s="114"/>
      <c r="F206" s="115"/>
      <c r="G206" s="115"/>
      <c r="H206" s="115"/>
    </row>
    <row r="207" spans="1:10" s="30" customFormat="1" hidden="1" x14ac:dyDescent="0.25">
      <c r="A207" s="114" t="s">
        <v>102</v>
      </c>
      <c r="B207" s="114"/>
      <c r="C207" s="114"/>
      <c r="D207" s="114"/>
      <c r="E207" s="114"/>
      <c r="F207" s="115"/>
      <c r="G207" s="115"/>
      <c r="H207" s="115"/>
    </row>
    <row r="208" spans="1:10" s="30" customFormat="1" x14ac:dyDescent="0.25">
      <c r="A208" s="114" t="s">
        <v>272</v>
      </c>
      <c r="B208" s="114"/>
      <c r="C208" s="114"/>
      <c r="D208" s="114"/>
      <c r="E208" s="114"/>
      <c r="F208" s="115">
        <v>200000</v>
      </c>
      <c r="G208" s="115"/>
      <c r="H208" s="115"/>
    </row>
    <row r="209" spans="1:8" s="30" customFormat="1" hidden="1" x14ac:dyDescent="0.25">
      <c r="A209" s="114" t="s">
        <v>103</v>
      </c>
      <c r="B209" s="114"/>
      <c r="C209" s="114"/>
      <c r="D209" s="114"/>
      <c r="E209" s="114"/>
      <c r="F209" s="115"/>
      <c r="G209" s="115"/>
      <c r="H209" s="115"/>
    </row>
    <row r="210" spans="1:8" s="30" customFormat="1" x14ac:dyDescent="0.25">
      <c r="A210" s="114" t="s">
        <v>104</v>
      </c>
      <c r="B210" s="114"/>
      <c r="C210" s="114"/>
      <c r="D210" s="114"/>
      <c r="E210" s="114"/>
      <c r="F210" s="115">
        <v>50000</v>
      </c>
      <c r="G210" s="115"/>
      <c r="H210" s="115"/>
    </row>
    <row r="211" spans="1:8" x14ac:dyDescent="0.3">
      <c r="A211" s="114" t="s">
        <v>54</v>
      </c>
      <c r="B211" s="114"/>
      <c r="C211" s="114"/>
      <c r="D211" s="114"/>
      <c r="E211" s="114"/>
      <c r="F211" s="115">
        <v>100000</v>
      </c>
      <c r="G211" s="115"/>
      <c r="H211" s="115"/>
    </row>
    <row r="212" spans="1:8" s="31" customFormat="1" x14ac:dyDescent="0.3">
      <c r="A212" s="162" t="s">
        <v>55</v>
      </c>
      <c r="B212" s="162"/>
      <c r="C212" s="162"/>
      <c r="D212" s="162"/>
      <c r="E212" s="162"/>
      <c r="F212" s="115">
        <f>F199*0.8</f>
        <v>2880</v>
      </c>
      <c r="G212" s="115"/>
      <c r="H212" s="115"/>
    </row>
    <row r="213" spans="1:8" s="32" customFormat="1" ht="15.75" customHeight="1" x14ac:dyDescent="0.3">
      <c r="A213" s="132" t="s">
        <v>80</v>
      </c>
      <c r="B213" s="132"/>
      <c r="C213" s="132"/>
      <c r="D213" s="132"/>
      <c r="E213" s="132"/>
      <c r="F213" s="132"/>
      <c r="G213" s="132"/>
      <c r="H213" s="132"/>
    </row>
    <row r="214" spans="1:8" s="32" customFormat="1" ht="15.75" customHeight="1" x14ac:dyDescent="0.3">
      <c r="A214" s="130" t="s">
        <v>56</v>
      </c>
      <c r="B214" s="130"/>
      <c r="C214" s="125" t="s">
        <v>83</v>
      </c>
      <c r="D214" s="125"/>
      <c r="E214" s="129" t="s">
        <v>57</v>
      </c>
      <c r="F214" s="129"/>
      <c r="G214" s="130" t="s">
        <v>58</v>
      </c>
      <c r="H214" s="130"/>
    </row>
    <row r="215" spans="1:8" s="32" customFormat="1" ht="30" customHeight="1" x14ac:dyDescent="0.3">
      <c r="A215" s="69" t="s">
        <v>322</v>
      </c>
      <c r="B215" s="69"/>
      <c r="C215" s="70">
        <f>COUNT(D245:D269)+COUNT(D271:D295)*2</f>
        <v>75</v>
      </c>
      <c r="D215" s="70"/>
      <c r="E215" s="71">
        <f>SUM(D245:D269)+SUM(D271:D295)*2</f>
        <v>27143.363519999999</v>
      </c>
      <c r="F215" s="71"/>
      <c r="G215" s="71">
        <f>SUM(F245:F269)+SUM(F271:F295)*2</f>
        <v>40715.045279999991</v>
      </c>
      <c r="H215" s="71"/>
    </row>
    <row r="216" spans="1:8" s="32" customFormat="1" ht="32.25" customHeight="1" x14ac:dyDescent="0.3">
      <c r="A216" s="69" t="s">
        <v>223</v>
      </c>
      <c r="B216" s="69"/>
      <c r="C216" s="70">
        <f>COUNT(D299:D300)</f>
        <v>2</v>
      </c>
      <c r="D216" s="70"/>
      <c r="E216" s="71">
        <f>SUM(D299:D300)</f>
        <v>667.58327999999995</v>
      </c>
      <c r="F216" s="71"/>
      <c r="G216" s="71">
        <f>SUM(F299:F300)</f>
        <v>1138.4544599999999</v>
      </c>
      <c r="H216" s="71"/>
    </row>
    <row r="217" spans="1:8" s="32" customFormat="1" ht="32.25" customHeight="1" x14ac:dyDescent="0.3">
      <c r="A217" s="69" t="s">
        <v>268</v>
      </c>
      <c r="B217" s="69"/>
      <c r="C217" s="70">
        <f>COUNT(D304:D315)</f>
        <v>12</v>
      </c>
      <c r="D217" s="70"/>
      <c r="E217" s="71">
        <f>SUM(D304:D315)</f>
        <v>2674.6387199999995</v>
      </c>
      <c r="F217" s="71"/>
      <c r="G217" s="71">
        <f>SUM(F304:F315)</f>
        <v>4738.52808</v>
      </c>
      <c r="H217" s="71"/>
    </row>
    <row r="218" spans="1:8" s="32" customFormat="1" ht="32.25" customHeight="1" x14ac:dyDescent="0.3">
      <c r="A218" s="69" t="s">
        <v>302</v>
      </c>
      <c r="B218" s="69"/>
      <c r="C218" s="70">
        <f>COUNT(D319:D330)</f>
        <v>12</v>
      </c>
      <c r="D218" s="70"/>
      <c r="E218" s="71">
        <f>SUM(D319:D330)</f>
        <v>2674.6387199999995</v>
      </c>
      <c r="F218" s="71"/>
      <c r="G218" s="71">
        <f>SUM(F319:F330)</f>
        <v>4011.9580799999999</v>
      </c>
      <c r="H218" s="71"/>
    </row>
    <row r="219" spans="1:8" s="32" customFormat="1" x14ac:dyDescent="0.3">
      <c r="A219" s="132" t="s">
        <v>157</v>
      </c>
      <c r="B219" s="132"/>
      <c r="C219" s="124">
        <f>SUM(C215:C218)</f>
        <v>101</v>
      </c>
      <c r="D219" s="125"/>
      <c r="E219" s="133">
        <f>SUM(E215:E218)</f>
        <v>33160.224239999996</v>
      </c>
      <c r="F219" s="134"/>
      <c r="G219" s="132">
        <f>SUM(G215:G218)</f>
        <v>50603.985899999985</v>
      </c>
      <c r="H219" s="132"/>
    </row>
    <row r="220" spans="1:8" s="32" customFormat="1" x14ac:dyDescent="0.3">
      <c r="A220" s="132" t="s">
        <v>74</v>
      </c>
      <c r="B220" s="132"/>
      <c r="C220" s="132"/>
      <c r="D220" s="132"/>
      <c r="E220" s="132"/>
      <c r="F220" s="132"/>
      <c r="G220" s="132"/>
      <c r="H220" s="132"/>
    </row>
    <row r="221" spans="1:8" s="32" customFormat="1" ht="15.75" customHeight="1" x14ac:dyDescent="0.3">
      <c r="A221" s="130" t="s">
        <v>56</v>
      </c>
      <c r="B221" s="130"/>
      <c r="C221" s="125" t="s">
        <v>83</v>
      </c>
      <c r="D221" s="125"/>
      <c r="E221" s="129" t="s">
        <v>57</v>
      </c>
      <c r="F221" s="129"/>
      <c r="G221" s="130" t="s">
        <v>58</v>
      </c>
      <c r="H221" s="130"/>
    </row>
    <row r="222" spans="1:8" s="32" customFormat="1" ht="31.5" customHeight="1" x14ac:dyDescent="0.3">
      <c r="A222" s="69" t="s">
        <v>267</v>
      </c>
      <c r="B222" s="69"/>
      <c r="C222" s="70">
        <f>COUNT(D338:D339)*2+COUNT(D341:D344)+COUNT(D346:D349)*3</f>
        <v>20</v>
      </c>
      <c r="D222" s="70"/>
      <c r="E222" s="71">
        <f>SUM(D338:D339)*2+SUM(D341:D344)+SUM(D346:D349)*3</f>
        <v>15638.69268</v>
      </c>
      <c r="F222" s="71"/>
      <c r="G222" s="71">
        <f>SUM(F338:F339)*2+SUM(F341:F344)+SUM(F346:F349)*3</f>
        <v>23156.044235999998</v>
      </c>
      <c r="H222" s="71"/>
    </row>
    <row r="223" spans="1:8" s="32" customFormat="1" ht="31.5" customHeight="1" x14ac:dyDescent="0.3">
      <c r="A223" s="69" t="s">
        <v>320</v>
      </c>
      <c r="B223" s="69"/>
      <c r="C223" s="70">
        <f>COUNT(D352)*2+COUNT(D354:D357)+COUNT(D359:D362)*3</f>
        <v>18</v>
      </c>
      <c r="D223" s="70"/>
      <c r="E223" s="70">
        <f>SUM(D352)*2+SUM(D354:D357)+SUM(D359:D362)*3</f>
        <v>13996.536840000001</v>
      </c>
      <c r="F223" s="70"/>
      <c r="G223" s="70">
        <f>SUM(F352)*2+SUM(F354:F357)+SUM(F359:F362)*3</f>
        <v>21065.492447999997</v>
      </c>
      <c r="H223" s="70"/>
    </row>
    <row r="224" spans="1:8" s="32" customFormat="1" ht="31.5" customHeight="1" x14ac:dyDescent="0.3">
      <c r="A224" s="69" t="s">
        <v>321</v>
      </c>
      <c r="B224" s="69"/>
      <c r="C224" s="70">
        <f>COUNT(D365:D366)*2+COUNT(D368:D371)+COUNT(D373:D376)*3</f>
        <v>20</v>
      </c>
      <c r="D224" s="70"/>
      <c r="E224" s="71">
        <f>SUM(D365:D366)*2+SUM(D368:D371)+SUM(D373:D376)*3</f>
        <v>15638.36976</v>
      </c>
      <c r="F224" s="71"/>
      <c r="G224" s="71">
        <f>SUM(F365:F366)*2+SUM(F368:F371)+SUM(F373:F376)*3</f>
        <v>23155.576001999998</v>
      </c>
      <c r="H224" s="71"/>
    </row>
    <row r="225" spans="1:11" s="32" customFormat="1" ht="31.5" customHeight="1" x14ac:dyDescent="0.3">
      <c r="A225" s="69" t="s">
        <v>289</v>
      </c>
      <c r="B225" s="69"/>
      <c r="C225" s="106">
        <f>COUNT(D382:D383)*7</f>
        <v>14</v>
      </c>
      <c r="D225" s="107"/>
      <c r="E225" s="71">
        <f>SUM(D382:D383)*7</f>
        <v>16276.674959999998</v>
      </c>
      <c r="F225" s="71"/>
      <c r="G225" s="71">
        <f>SUM(F382:F383)*7</f>
        <v>23601.178691999994</v>
      </c>
      <c r="H225" s="71"/>
    </row>
    <row r="226" spans="1:11" s="32" customFormat="1" ht="31.5" customHeight="1" x14ac:dyDescent="0.3">
      <c r="A226" s="69" t="s">
        <v>290</v>
      </c>
      <c r="B226" s="69"/>
      <c r="C226" s="106">
        <f>COUNT(D387:D388)*7</f>
        <v>14</v>
      </c>
      <c r="D226" s="107"/>
      <c r="E226" s="71">
        <f>SUM(D387:D388)*7</f>
        <v>16276.674959999998</v>
      </c>
      <c r="F226" s="71"/>
      <c r="G226" s="71">
        <f>SUM(F387:F388)*7</f>
        <v>23601.178691999994</v>
      </c>
      <c r="H226" s="71"/>
    </row>
    <row r="227" spans="1:11" s="32" customFormat="1" ht="31.5" customHeight="1" x14ac:dyDescent="0.3">
      <c r="A227" s="69" t="s">
        <v>292</v>
      </c>
      <c r="B227" s="69"/>
      <c r="C227" s="106">
        <f>COUNT(D392:D393)*7</f>
        <v>14</v>
      </c>
      <c r="D227" s="107"/>
      <c r="E227" s="71">
        <f>SUM(D392:D393)*7</f>
        <v>16276.674959999998</v>
      </c>
      <c r="F227" s="71"/>
      <c r="G227" s="71">
        <f>SUM(F392:F393)*7</f>
        <v>23601.178691999994</v>
      </c>
      <c r="H227" s="71"/>
    </row>
    <row r="228" spans="1:11" s="32" customFormat="1" ht="31.5" customHeight="1" x14ac:dyDescent="0.3">
      <c r="A228" s="69" t="s">
        <v>228</v>
      </c>
      <c r="B228" s="69"/>
      <c r="C228" s="70">
        <f>COUNT(D398:D401)*7</f>
        <v>28</v>
      </c>
      <c r="D228" s="70"/>
      <c r="E228" s="71">
        <f>SUM(D398:D401)*7</f>
        <v>29572.583039999998</v>
      </c>
      <c r="F228" s="71"/>
      <c r="G228" s="71">
        <f>SUM(F398:F401)*7</f>
        <v>42880.245407999995</v>
      </c>
      <c r="H228" s="71"/>
    </row>
    <row r="229" spans="1:11" s="32" customFormat="1" ht="30.75" customHeight="1" x14ac:dyDescent="0.3">
      <c r="A229" s="69" t="s">
        <v>229</v>
      </c>
      <c r="B229" s="69"/>
      <c r="C229" s="70">
        <f>COUNT(D424:D425)*7</f>
        <v>14</v>
      </c>
      <c r="D229" s="70"/>
      <c r="E229" s="71">
        <f>SUM(D424:D425)*7</f>
        <v>9979.0891199999987</v>
      </c>
      <c r="F229" s="71"/>
      <c r="G229" s="71">
        <f>SUM(F424:F425)*7</f>
        <v>14469.679223999998</v>
      </c>
      <c r="H229" s="71"/>
      <c r="J229" s="32" t="s">
        <v>273</v>
      </c>
    </row>
    <row r="230" spans="1:11" s="32" customFormat="1" ht="30.75" customHeight="1" x14ac:dyDescent="0.3">
      <c r="A230" s="69" t="s">
        <v>223</v>
      </c>
      <c r="B230" s="69"/>
      <c r="C230" s="70">
        <f>COUNT(D483:D484)+COUNT(D486:D487)*6</f>
        <v>14</v>
      </c>
      <c r="D230" s="70"/>
      <c r="E230" s="71">
        <f>SUM(D483:D484)+SUM(D486:D487)*6</f>
        <v>9987.5926799999979</v>
      </c>
      <c r="F230" s="71"/>
      <c r="G230" s="71">
        <f>SUM(F483:F484)+SUM(F486:F487)*6</f>
        <v>14538.789485999998</v>
      </c>
      <c r="H230" s="71"/>
      <c r="J230" s="32" t="s">
        <v>274</v>
      </c>
      <c r="K230" s="32" t="s">
        <v>277</v>
      </c>
    </row>
    <row r="231" spans="1:11" s="32" customFormat="1" ht="30.75" customHeight="1" x14ac:dyDescent="0.3">
      <c r="A231" s="69" t="s">
        <v>226</v>
      </c>
      <c r="B231" s="69"/>
      <c r="C231" s="70">
        <f>COUNT(D492:D495)+COUNT(D497:D500)*6</f>
        <v>28</v>
      </c>
      <c r="D231" s="70"/>
      <c r="E231" s="71">
        <f>SUM(D492:D495)+SUM(D497:D500)*6</f>
        <v>19316.213279999996</v>
      </c>
      <c r="F231" s="71"/>
      <c r="G231" s="71">
        <f>SUM(F492:F495)+SUM(F497:F500)*6</f>
        <v>28158.989975999997</v>
      </c>
      <c r="H231" s="71"/>
      <c r="I231" s="32" t="s">
        <v>275</v>
      </c>
      <c r="J231" s="32">
        <v>3600</v>
      </c>
      <c r="K231" s="32">
        <v>3600</v>
      </c>
    </row>
    <row r="232" spans="1:11" s="32" customFormat="1" ht="30.75" customHeight="1" x14ac:dyDescent="0.3">
      <c r="A232" s="69" t="s">
        <v>230</v>
      </c>
      <c r="B232" s="69"/>
      <c r="C232" s="70">
        <f>COUNT(D505:D508)+COUNT(D510:D513)*6</f>
        <v>28</v>
      </c>
      <c r="D232" s="70"/>
      <c r="E232" s="71">
        <f>SUM(D505:D508)+SUM(D510:D513)*6</f>
        <v>19315.998</v>
      </c>
      <c r="F232" s="71"/>
      <c r="G232" s="71">
        <f>SUM(F505:F508)+SUM(F510:F513)*6</f>
        <v>28158.677819999997</v>
      </c>
      <c r="H232" s="71"/>
      <c r="I232" s="32" t="s">
        <v>276</v>
      </c>
      <c r="J232" s="32">
        <v>4400</v>
      </c>
      <c r="K232" s="32">
        <v>3400</v>
      </c>
    </row>
    <row r="233" spans="1:11" s="32" customFormat="1" ht="30.75" customHeight="1" x14ac:dyDescent="0.3">
      <c r="A233" s="69" t="s">
        <v>303</v>
      </c>
      <c r="B233" s="69"/>
      <c r="C233" s="70">
        <f>COUNT(D518:D521)+COUNT(D523:D526)*6</f>
        <v>28</v>
      </c>
      <c r="D233" s="70"/>
      <c r="E233" s="71">
        <f>SUM(D518:D521)+SUM(D523:D526)*6</f>
        <v>19316.213279999996</v>
      </c>
      <c r="F233" s="71"/>
      <c r="G233" s="71">
        <f>SUM(F518:F521)+SUM(F523:F526)*6</f>
        <v>28158.989975999997</v>
      </c>
      <c r="H233" s="71"/>
      <c r="I233" s="32" t="s">
        <v>275</v>
      </c>
      <c r="J233" s="32">
        <v>3600</v>
      </c>
      <c r="K233" s="32">
        <v>3600</v>
      </c>
    </row>
    <row r="234" spans="1:11" s="32" customFormat="1" ht="30.75" customHeight="1" x14ac:dyDescent="0.3">
      <c r="A234" s="69" t="s">
        <v>304</v>
      </c>
      <c r="B234" s="69"/>
      <c r="C234" s="70">
        <f>COUNT(D531:D534)+COUNT(D536:D539)*6</f>
        <v>28</v>
      </c>
      <c r="D234" s="70"/>
      <c r="E234" s="71">
        <f>SUM(D531:D534)+SUM(D536:D539)*6</f>
        <v>19315.998</v>
      </c>
      <c r="F234" s="71"/>
      <c r="G234" s="71">
        <f>SUM(F531:F534)+SUM(F536:F539)*6</f>
        <v>28158.677819999997</v>
      </c>
      <c r="H234" s="71"/>
      <c r="I234" s="32" t="s">
        <v>276</v>
      </c>
      <c r="J234" s="32">
        <v>4400</v>
      </c>
      <c r="K234" s="32">
        <v>3400</v>
      </c>
    </row>
    <row r="235" spans="1:11" s="32" customFormat="1" ht="30.75" customHeight="1" x14ac:dyDescent="0.3">
      <c r="A235" s="69" t="s">
        <v>269</v>
      </c>
      <c r="B235" s="69"/>
      <c r="C235" s="70">
        <f>COUNT(D543:D553)</f>
        <v>11</v>
      </c>
      <c r="D235" s="70"/>
      <c r="E235" s="71">
        <f>SUM(D543:D553)</f>
        <v>15554.733479999999</v>
      </c>
      <c r="F235" s="71"/>
      <c r="G235" s="71">
        <f>SUM(F543:F553)</f>
        <v>22554.363545999997</v>
      </c>
      <c r="H235" s="71"/>
    </row>
    <row r="236" spans="1:11" s="32" customFormat="1" x14ac:dyDescent="0.3">
      <c r="A236" s="132" t="s">
        <v>157</v>
      </c>
      <c r="B236" s="132"/>
      <c r="C236" s="124">
        <f>SUM(C222:D235)</f>
        <v>279</v>
      </c>
      <c r="D236" s="125"/>
      <c r="E236" s="124">
        <f t="shared" ref="E236" si="0">SUM(E222:F235)</f>
        <v>236462.04503999997</v>
      </c>
      <c r="F236" s="125"/>
      <c r="G236" s="124">
        <f t="shared" ref="G236" si="1">SUM(G222:H235)</f>
        <v>345259.06201799988</v>
      </c>
      <c r="H236" s="125"/>
    </row>
    <row r="237" spans="1:11" s="31" customFormat="1" x14ac:dyDescent="0.3">
      <c r="A237" s="131" t="s">
        <v>59</v>
      </c>
      <c r="B237" s="131"/>
      <c r="C237" s="131"/>
      <c r="D237" s="131"/>
      <c r="E237" s="131"/>
      <c r="F237" s="131"/>
      <c r="G237" s="131"/>
      <c r="H237" s="131"/>
    </row>
    <row r="238" spans="1:11" x14ac:dyDescent="0.3">
      <c r="A238" s="131" t="s">
        <v>60</v>
      </c>
      <c r="B238" s="131"/>
      <c r="C238" s="131"/>
      <c r="D238" s="131"/>
      <c r="E238" s="131"/>
      <c r="F238" s="131"/>
      <c r="G238" s="131"/>
      <c r="H238" s="131"/>
    </row>
    <row r="239" spans="1:11" ht="47.25" customHeight="1" x14ac:dyDescent="0.3">
      <c r="A239" s="122" t="s">
        <v>125</v>
      </c>
      <c r="B239" s="122" t="s">
        <v>124</v>
      </c>
      <c r="C239" s="122" t="s">
        <v>61</v>
      </c>
      <c r="D239" s="122" t="s">
        <v>62</v>
      </c>
      <c r="E239" s="139" t="s">
        <v>260</v>
      </c>
      <c r="F239" s="39" t="s">
        <v>156</v>
      </c>
      <c r="G239" s="136" t="s">
        <v>64</v>
      </c>
      <c r="H239" s="141"/>
    </row>
    <row r="240" spans="1:11" s="42" customFormat="1" x14ac:dyDescent="0.3">
      <c r="A240" s="123"/>
      <c r="B240" s="123"/>
      <c r="C240" s="123"/>
      <c r="D240" s="123"/>
      <c r="E240" s="140"/>
      <c r="F240" s="13">
        <v>0.5</v>
      </c>
      <c r="G240" s="137"/>
      <c r="H240" s="142"/>
    </row>
    <row r="241" spans="1:14" s="42" customFormat="1" x14ac:dyDescent="0.3">
      <c r="A241" s="95" t="s">
        <v>200</v>
      </c>
      <c r="B241" s="96"/>
      <c r="C241" s="96"/>
      <c r="D241" s="96"/>
      <c r="E241" s="96"/>
      <c r="F241" s="96"/>
      <c r="G241" s="96"/>
      <c r="H241" s="97"/>
      <c r="J241" s="33"/>
    </row>
    <row r="242" spans="1:14" s="42" customFormat="1" x14ac:dyDescent="0.3">
      <c r="A242" s="95" t="s">
        <v>201</v>
      </c>
      <c r="B242" s="96"/>
      <c r="C242" s="96"/>
      <c r="D242" s="96"/>
      <c r="E242" s="96"/>
      <c r="F242" s="96"/>
      <c r="G242" s="96"/>
      <c r="H242" s="97"/>
      <c r="J242" s="33"/>
    </row>
    <row r="243" spans="1:14" s="42" customFormat="1" hidden="1" x14ac:dyDescent="0.3">
      <c r="A243" s="95" t="s">
        <v>266</v>
      </c>
      <c r="B243" s="96"/>
      <c r="C243" s="96"/>
      <c r="D243" s="96"/>
      <c r="E243" s="96"/>
      <c r="F243" s="96"/>
      <c r="G243" s="96"/>
      <c r="H243" s="97"/>
      <c r="J243" s="33"/>
    </row>
    <row r="244" spans="1:14" s="42" customFormat="1" x14ac:dyDescent="0.3">
      <c r="A244" s="95" t="s">
        <v>202</v>
      </c>
      <c r="B244" s="96"/>
      <c r="C244" s="96"/>
      <c r="D244" s="96"/>
      <c r="E244" s="96"/>
      <c r="F244" s="96"/>
      <c r="G244" s="96"/>
      <c r="H244" s="97"/>
      <c r="J244" s="33"/>
    </row>
    <row r="245" spans="1:14" s="42" customFormat="1" ht="15.75" customHeight="1" x14ac:dyDescent="0.3">
      <c r="A245" s="98">
        <v>1</v>
      </c>
      <c r="B245" s="99"/>
      <c r="C245" s="38" t="s">
        <v>187</v>
      </c>
      <c r="D245" s="47">
        <f>(35.6)*10.764</f>
        <v>383.19839999999999</v>
      </c>
      <c r="E245" s="38">
        <v>0</v>
      </c>
      <c r="F245" s="38">
        <f>(D245+E245)*(($F$240)+1)</f>
        <v>574.79759999999999</v>
      </c>
      <c r="G245" s="100" t="str">
        <f>A244</f>
        <v>Ground Floor For Commercial &amp; Parking</v>
      </c>
      <c r="H245" s="101"/>
      <c r="I245" s="33">
        <f>3.35*10.44</f>
        <v>34.973999999999997</v>
      </c>
      <c r="J245" s="47">
        <v>10.763999999999999</v>
      </c>
      <c r="K245" s="38">
        <f>(1.83*3.35)*10.764</f>
        <v>65.988702000000004</v>
      </c>
      <c r="L245" s="108"/>
      <c r="M245" s="108"/>
      <c r="N245" s="33"/>
    </row>
    <row r="246" spans="1:14" s="42" customFormat="1" ht="15.75" customHeight="1" x14ac:dyDescent="0.3">
      <c r="A246" s="98">
        <f t="shared" ref="A246:A269" si="2">A245+1</f>
        <v>2</v>
      </c>
      <c r="B246" s="99"/>
      <c r="C246" s="38" t="s">
        <v>187</v>
      </c>
      <c r="D246" s="47">
        <f>(35.6)*10.764</f>
        <v>383.19839999999999</v>
      </c>
      <c r="E246" s="38">
        <v>0</v>
      </c>
      <c r="F246" s="38">
        <f t="shared" ref="F246:F248" si="3">(D246+E246)*(($F$240)+1)</f>
        <v>574.79759999999999</v>
      </c>
      <c r="G246" s="102"/>
      <c r="H246" s="103"/>
      <c r="I246" s="33"/>
      <c r="K246" s="38">
        <f>(3.35*1.83)*10.764</f>
        <v>65.988702000000004</v>
      </c>
      <c r="L246" s="108"/>
      <c r="M246" s="108"/>
      <c r="N246" s="33"/>
    </row>
    <row r="247" spans="1:14" s="42" customFormat="1" ht="15.75" customHeight="1" x14ac:dyDescent="0.3">
      <c r="A247" s="98">
        <f t="shared" si="2"/>
        <v>3</v>
      </c>
      <c r="B247" s="99"/>
      <c r="C247" s="38" t="s">
        <v>187</v>
      </c>
      <c r="D247" s="47">
        <f>(39.39)*10.764</f>
        <v>423.99395999999996</v>
      </c>
      <c r="E247" s="38">
        <v>0</v>
      </c>
      <c r="F247" s="38">
        <f t="shared" si="3"/>
        <v>635.99093999999991</v>
      </c>
      <c r="G247" s="102"/>
      <c r="H247" s="103"/>
      <c r="I247" s="33"/>
      <c r="K247" s="38">
        <f>(3.71*1.83)*10.764</f>
        <v>73.080025199999994</v>
      </c>
      <c r="L247" s="108"/>
      <c r="M247" s="108"/>
      <c r="N247" s="33"/>
    </row>
    <row r="248" spans="1:14" s="42" customFormat="1" ht="15.75" customHeight="1" x14ac:dyDescent="0.3">
      <c r="A248" s="98">
        <f t="shared" si="2"/>
        <v>4</v>
      </c>
      <c r="B248" s="99"/>
      <c r="C248" s="38" t="s">
        <v>187</v>
      </c>
      <c r="D248" s="47">
        <f>(39.39)*10.764</f>
        <v>423.99395999999996</v>
      </c>
      <c r="E248" s="38">
        <v>0</v>
      </c>
      <c r="F248" s="38">
        <f t="shared" si="3"/>
        <v>635.99093999999991</v>
      </c>
      <c r="G248" s="102"/>
      <c r="H248" s="103"/>
      <c r="I248" s="33"/>
      <c r="K248" s="38">
        <f>(3.71*1.83)*10.764</f>
        <v>73.080025199999994</v>
      </c>
      <c r="L248" s="108"/>
      <c r="M248" s="108"/>
      <c r="N248" s="33"/>
    </row>
    <row r="249" spans="1:14" s="42" customFormat="1" ht="15.75" customHeight="1" x14ac:dyDescent="0.3">
      <c r="A249" s="98">
        <f t="shared" si="2"/>
        <v>5</v>
      </c>
      <c r="B249" s="99"/>
      <c r="C249" s="38" t="s">
        <v>187</v>
      </c>
      <c r="D249" s="47">
        <f>(35.6)*10.764</f>
        <v>383.19839999999999</v>
      </c>
      <c r="E249" s="38">
        <v>0</v>
      </c>
      <c r="F249" s="38">
        <f t="shared" ref="F249:F254" si="4">(D249+E249)*(($F$240)+1)</f>
        <v>574.79759999999999</v>
      </c>
      <c r="G249" s="102"/>
      <c r="H249" s="103"/>
      <c r="I249" s="33"/>
      <c r="K249" s="38">
        <f>(3.35*1.83)*10.764</f>
        <v>65.988702000000004</v>
      </c>
      <c r="L249" s="108"/>
      <c r="M249" s="108"/>
      <c r="N249" s="33"/>
    </row>
    <row r="250" spans="1:14" s="42" customFormat="1" ht="15.75" customHeight="1" x14ac:dyDescent="0.3">
      <c r="A250" s="98">
        <f t="shared" si="2"/>
        <v>6</v>
      </c>
      <c r="B250" s="99"/>
      <c r="C250" s="38" t="s">
        <v>187</v>
      </c>
      <c r="D250" s="47">
        <f>(35.6)*10.764</f>
        <v>383.19839999999999</v>
      </c>
      <c r="E250" s="38">
        <v>0</v>
      </c>
      <c r="F250" s="38">
        <f t="shared" si="4"/>
        <v>574.79759999999999</v>
      </c>
      <c r="G250" s="102"/>
      <c r="H250" s="103"/>
      <c r="I250" s="33"/>
      <c r="K250" s="38">
        <f>(3.35*1.83)*10.764</f>
        <v>65.988702000000004</v>
      </c>
      <c r="L250" s="108"/>
      <c r="M250" s="108"/>
      <c r="N250" s="33"/>
    </row>
    <row r="251" spans="1:14" s="42" customFormat="1" ht="15.75" customHeight="1" x14ac:dyDescent="0.3">
      <c r="A251" s="98">
        <f t="shared" si="2"/>
        <v>7</v>
      </c>
      <c r="B251" s="99"/>
      <c r="C251" s="38" t="s">
        <v>187</v>
      </c>
      <c r="D251" s="47">
        <f>(39.39)*10.764</f>
        <v>423.99395999999996</v>
      </c>
      <c r="E251" s="38">
        <v>0</v>
      </c>
      <c r="F251" s="38">
        <f t="shared" si="4"/>
        <v>635.99093999999991</v>
      </c>
      <c r="G251" s="102"/>
      <c r="H251" s="103"/>
      <c r="I251" s="33"/>
      <c r="K251" s="38">
        <f>(3.71*1.83)*10.764</f>
        <v>73.080025199999994</v>
      </c>
      <c r="L251" s="108"/>
      <c r="M251" s="108"/>
      <c r="N251" s="33"/>
    </row>
    <row r="252" spans="1:14" s="42" customFormat="1" ht="15.75" customHeight="1" x14ac:dyDescent="0.3">
      <c r="A252" s="98">
        <f t="shared" si="2"/>
        <v>8</v>
      </c>
      <c r="B252" s="99"/>
      <c r="C252" s="38" t="s">
        <v>187</v>
      </c>
      <c r="D252" s="47">
        <f>(35.6)*10.764</f>
        <v>383.19839999999999</v>
      </c>
      <c r="E252" s="38">
        <v>0</v>
      </c>
      <c r="F252" s="38">
        <f t="shared" si="4"/>
        <v>574.79759999999999</v>
      </c>
      <c r="G252" s="102"/>
      <c r="H252" s="103"/>
      <c r="I252" s="33"/>
      <c r="K252" s="38">
        <f>(3.35*1.83)*10.764</f>
        <v>65.988702000000004</v>
      </c>
      <c r="L252" s="108"/>
      <c r="M252" s="108"/>
      <c r="N252" s="33"/>
    </row>
    <row r="253" spans="1:14" s="42" customFormat="1" ht="15.75" customHeight="1" x14ac:dyDescent="0.3">
      <c r="A253" s="98">
        <f t="shared" si="2"/>
        <v>9</v>
      </c>
      <c r="B253" s="99"/>
      <c r="C253" s="38" t="s">
        <v>187</v>
      </c>
      <c r="D253" s="47">
        <f>(35.6)*10.764</f>
        <v>383.19839999999999</v>
      </c>
      <c r="E253" s="38">
        <v>0</v>
      </c>
      <c r="F253" s="38">
        <f t="shared" si="4"/>
        <v>574.79759999999999</v>
      </c>
      <c r="G253" s="102"/>
      <c r="H253" s="103"/>
      <c r="I253" s="33"/>
      <c r="K253" s="38">
        <f t="shared" ref="K253:K256" si="5">(3.35*1.83)*10.764</f>
        <v>65.988702000000004</v>
      </c>
      <c r="L253" s="108"/>
      <c r="M253" s="108"/>
      <c r="N253" s="33"/>
    </row>
    <row r="254" spans="1:14" s="42" customFormat="1" ht="15.75" customHeight="1" x14ac:dyDescent="0.3">
      <c r="A254" s="98">
        <f t="shared" si="2"/>
        <v>10</v>
      </c>
      <c r="B254" s="99"/>
      <c r="C254" s="38" t="s">
        <v>187</v>
      </c>
      <c r="D254" s="47">
        <f>(35.6)*10.764</f>
        <v>383.19839999999999</v>
      </c>
      <c r="E254" s="38">
        <v>0</v>
      </c>
      <c r="F254" s="38">
        <f t="shared" si="4"/>
        <v>574.79759999999999</v>
      </c>
      <c r="G254" s="102"/>
      <c r="H254" s="103"/>
      <c r="I254" s="33"/>
      <c r="K254" s="38">
        <f t="shared" si="5"/>
        <v>65.988702000000004</v>
      </c>
      <c r="L254" s="108"/>
      <c r="M254" s="108"/>
      <c r="N254" s="33"/>
    </row>
    <row r="255" spans="1:14" s="42" customFormat="1" ht="15.75" customHeight="1" x14ac:dyDescent="0.3">
      <c r="A255" s="98">
        <f t="shared" si="2"/>
        <v>11</v>
      </c>
      <c r="B255" s="99"/>
      <c r="C255" s="38" t="s">
        <v>187</v>
      </c>
      <c r="D255" s="47">
        <f>(39.39)*10.764</f>
        <v>423.99395999999996</v>
      </c>
      <c r="E255" s="38">
        <v>0</v>
      </c>
      <c r="F255" s="38">
        <f t="shared" ref="F255:F266" si="6">(D255+E255)*(($F$240)+1)</f>
        <v>635.99093999999991</v>
      </c>
      <c r="G255" s="102"/>
      <c r="H255" s="103"/>
      <c r="I255" s="33"/>
      <c r="K255" s="38">
        <f>(3.71*1.83)*10.764</f>
        <v>73.080025199999994</v>
      </c>
      <c r="L255" s="108"/>
      <c r="M255" s="108"/>
      <c r="N255" s="33"/>
    </row>
    <row r="256" spans="1:14" s="42" customFormat="1" ht="15.75" customHeight="1" x14ac:dyDescent="0.3">
      <c r="A256" s="98">
        <f t="shared" si="2"/>
        <v>12</v>
      </c>
      <c r="B256" s="99"/>
      <c r="C256" s="38" t="s">
        <v>187</v>
      </c>
      <c r="D256" s="47">
        <f>(39.39)*10.764</f>
        <v>423.99395999999996</v>
      </c>
      <c r="E256" s="38">
        <v>0</v>
      </c>
      <c r="F256" s="38">
        <f t="shared" si="6"/>
        <v>635.99093999999991</v>
      </c>
      <c r="G256" s="102"/>
      <c r="H256" s="103"/>
      <c r="I256" s="33"/>
      <c r="K256" s="38">
        <f t="shared" si="5"/>
        <v>65.988702000000004</v>
      </c>
      <c r="L256" s="108"/>
      <c r="M256" s="108"/>
      <c r="N256" s="33"/>
    </row>
    <row r="257" spans="1:16" s="42" customFormat="1" ht="15.75" customHeight="1" x14ac:dyDescent="0.3">
      <c r="A257" s="98">
        <f t="shared" si="2"/>
        <v>13</v>
      </c>
      <c r="B257" s="99"/>
      <c r="C257" s="38" t="s">
        <v>187</v>
      </c>
      <c r="D257" s="47">
        <f>(73.53)*10.764</f>
        <v>791.47691999999995</v>
      </c>
      <c r="E257" s="38">
        <v>0</v>
      </c>
      <c r="F257" s="38">
        <f t="shared" si="6"/>
        <v>1187.2153799999999</v>
      </c>
      <c r="G257" s="102"/>
      <c r="H257" s="103"/>
      <c r="I257" s="33"/>
      <c r="K257" s="38">
        <f>(1.83*6.68+1.83*10.44)*10.764</f>
        <v>337.23181439999996</v>
      </c>
      <c r="L257" s="108"/>
      <c r="M257" s="108"/>
      <c r="N257" s="33"/>
    </row>
    <row r="258" spans="1:16" s="42" customFormat="1" ht="15.75" customHeight="1" x14ac:dyDescent="0.3">
      <c r="A258" s="98">
        <f t="shared" si="2"/>
        <v>14</v>
      </c>
      <c r="B258" s="99"/>
      <c r="C258" s="38" t="s">
        <v>187</v>
      </c>
      <c r="D258" s="47">
        <f>(34.95)*10.764</f>
        <v>376.20179999999999</v>
      </c>
      <c r="E258" s="38">
        <v>0</v>
      </c>
      <c r="F258" s="38">
        <f t="shared" si="6"/>
        <v>564.30269999999996</v>
      </c>
      <c r="G258" s="102"/>
      <c r="H258" s="103"/>
      <c r="I258" s="33"/>
      <c r="K258" s="38">
        <f>(1.83*4.9)*10.764</f>
        <v>96.520787999999996</v>
      </c>
      <c r="L258" s="108"/>
      <c r="M258" s="108"/>
      <c r="N258" s="33"/>
    </row>
    <row r="259" spans="1:16" s="42" customFormat="1" ht="15.75" customHeight="1" x14ac:dyDescent="0.3">
      <c r="A259" s="98">
        <f t="shared" si="2"/>
        <v>15</v>
      </c>
      <c r="B259" s="99"/>
      <c r="C259" s="38" t="s">
        <v>187</v>
      </c>
      <c r="D259" s="47">
        <f>(41.29)*10.764</f>
        <v>444.44555999999994</v>
      </c>
      <c r="E259" s="38">
        <v>0</v>
      </c>
      <c r="F259" s="38">
        <f t="shared" si="6"/>
        <v>666.66833999999994</v>
      </c>
      <c r="G259" s="102"/>
      <c r="H259" s="103"/>
      <c r="I259" s="33"/>
      <c r="K259" s="38">
        <f>(1.83*3.89)*10.764</f>
        <v>76.625686799999997</v>
      </c>
      <c r="L259" s="108"/>
      <c r="M259" s="108"/>
      <c r="N259" s="33"/>
    </row>
    <row r="260" spans="1:16" s="42" customFormat="1" ht="15.75" customHeight="1" x14ac:dyDescent="0.3">
      <c r="A260" s="98">
        <f t="shared" si="2"/>
        <v>16</v>
      </c>
      <c r="B260" s="99"/>
      <c r="C260" s="38" t="s">
        <v>187</v>
      </c>
      <c r="D260" s="47">
        <f>(33.7)*10.764</f>
        <v>362.74680000000001</v>
      </c>
      <c r="E260" s="38">
        <v>0</v>
      </c>
      <c r="F260" s="38">
        <f t="shared" si="6"/>
        <v>544.12020000000007</v>
      </c>
      <c r="G260" s="102"/>
      <c r="H260" s="103"/>
      <c r="I260" s="33"/>
      <c r="K260" s="38">
        <f>(3.17*1.83)*10.764</f>
        <v>62.443040399999994</v>
      </c>
      <c r="L260" s="108"/>
      <c r="M260" s="108"/>
      <c r="N260" s="33"/>
    </row>
    <row r="261" spans="1:16" s="42" customFormat="1" ht="15.75" customHeight="1" x14ac:dyDescent="0.3">
      <c r="A261" s="98">
        <f t="shared" si="2"/>
        <v>17</v>
      </c>
      <c r="B261" s="99"/>
      <c r="C261" s="38" t="s">
        <v>187</v>
      </c>
      <c r="D261" s="47">
        <f>(41.02)*10.764</f>
        <v>441.53928000000002</v>
      </c>
      <c r="E261" s="38">
        <v>0</v>
      </c>
      <c r="F261" s="38">
        <f t="shared" si="6"/>
        <v>662.30892000000006</v>
      </c>
      <c r="G261" s="102"/>
      <c r="H261" s="103"/>
      <c r="I261" s="33"/>
      <c r="K261" s="38">
        <f>(3.89*1.83)*10.764</f>
        <v>76.625686799999997</v>
      </c>
      <c r="L261" s="108"/>
      <c r="M261" s="108"/>
      <c r="N261" s="33"/>
    </row>
    <row r="262" spans="1:16" s="42" customFormat="1" ht="15.75" customHeight="1" x14ac:dyDescent="0.3">
      <c r="A262" s="98">
        <f t="shared" si="2"/>
        <v>18</v>
      </c>
      <c r="B262" s="99"/>
      <c r="C262" s="38" t="s">
        <v>187</v>
      </c>
      <c r="D262" s="47">
        <f>(39.68)*10.764</f>
        <v>427.11551999999995</v>
      </c>
      <c r="E262" s="38">
        <v>0</v>
      </c>
      <c r="F262" s="38">
        <f t="shared" si="6"/>
        <v>640.67327999999998</v>
      </c>
      <c r="G262" s="102"/>
      <c r="H262" s="103"/>
      <c r="I262" s="33"/>
      <c r="K262" s="38">
        <f>(3.73*1.83)*10.764</f>
        <v>73.473987600000001</v>
      </c>
      <c r="L262" s="108"/>
      <c r="M262" s="108"/>
      <c r="N262" s="33"/>
    </row>
    <row r="263" spans="1:16" s="42" customFormat="1" ht="15.75" customHeight="1" x14ac:dyDescent="0.3">
      <c r="A263" s="98">
        <f t="shared" si="2"/>
        <v>19</v>
      </c>
      <c r="B263" s="99"/>
      <c r="C263" s="38" t="s">
        <v>187</v>
      </c>
      <c r="D263" s="47">
        <f>(41.02)*10.764</f>
        <v>441.53928000000002</v>
      </c>
      <c r="E263" s="38">
        <v>0</v>
      </c>
      <c r="F263" s="38">
        <f t="shared" si="6"/>
        <v>662.30892000000006</v>
      </c>
      <c r="G263" s="102"/>
      <c r="H263" s="103"/>
      <c r="I263" s="33"/>
      <c r="K263" s="38">
        <f>(3.86*1.83)*10.764</f>
        <v>76.034743199999994</v>
      </c>
      <c r="L263" s="108"/>
      <c r="M263" s="108"/>
      <c r="N263" s="33"/>
    </row>
    <row r="264" spans="1:16" s="42" customFormat="1" ht="15.75" customHeight="1" x14ac:dyDescent="0.3">
      <c r="A264" s="98">
        <f t="shared" si="2"/>
        <v>20</v>
      </c>
      <c r="B264" s="99"/>
      <c r="C264" s="38" t="s">
        <v>187</v>
      </c>
      <c r="D264" s="47">
        <f>(35.6)*10.764</f>
        <v>383.19839999999999</v>
      </c>
      <c r="E264" s="38">
        <v>0</v>
      </c>
      <c r="F264" s="38">
        <f t="shared" si="6"/>
        <v>574.79759999999999</v>
      </c>
      <c r="G264" s="102"/>
      <c r="H264" s="103"/>
      <c r="I264" s="33"/>
      <c r="K264" s="38">
        <f>(3.35*1.83)*10.764</f>
        <v>65.988702000000004</v>
      </c>
      <c r="L264" s="108"/>
      <c r="M264" s="108"/>
      <c r="N264" s="33"/>
    </row>
    <row r="265" spans="1:16" s="42" customFormat="1" ht="15.75" customHeight="1" x14ac:dyDescent="0.3">
      <c r="A265" s="98">
        <f t="shared" si="2"/>
        <v>21</v>
      </c>
      <c r="B265" s="99"/>
      <c r="C265" s="38" t="s">
        <v>187</v>
      </c>
      <c r="D265" s="47">
        <f>(35.6)*10.764</f>
        <v>383.19839999999999</v>
      </c>
      <c r="E265" s="38">
        <v>0</v>
      </c>
      <c r="F265" s="38">
        <f t="shared" si="6"/>
        <v>574.79759999999999</v>
      </c>
      <c r="G265" s="102"/>
      <c r="H265" s="103"/>
      <c r="I265" s="33"/>
      <c r="K265" s="38">
        <f>(3.35*1.83)*10.764</f>
        <v>65.988702000000004</v>
      </c>
      <c r="L265" s="108"/>
      <c r="M265" s="108"/>
      <c r="N265" s="33"/>
    </row>
    <row r="266" spans="1:16" s="42" customFormat="1" ht="15.75" customHeight="1" x14ac:dyDescent="0.3">
      <c r="A266" s="98">
        <f t="shared" si="2"/>
        <v>22</v>
      </c>
      <c r="B266" s="99"/>
      <c r="C266" s="38" t="s">
        <v>187</v>
      </c>
      <c r="D266" s="47">
        <f>(39.39)*10.764</f>
        <v>423.99395999999996</v>
      </c>
      <c r="E266" s="38">
        <v>0</v>
      </c>
      <c r="F266" s="38">
        <f t="shared" si="6"/>
        <v>635.99093999999991</v>
      </c>
      <c r="G266" s="102"/>
      <c r="H266" s="103"/>
      <c r="I266" s="33"/>
      <c r="K266" s="38">
        <f>(3.71*1.83)*10.764</f>
        <v>73.080025199999994</v>
      </c>
      <c r="L266" s="108"/>
      <c r="M266" s="108"/>
      <c r="N266" s="33"/>
    </row>
    <row r="267" spans="1:16" s="42" customFormat="1" ht="15.75" customHeight="1" x14ac:dyDescent="0.3">
      <c r="A267" s="98">
        <f t="shared" si="2"/>
        <v>23</v>
      </c>
      <c r="B267" s="99"/>
      <c r="C267" s="38" t="s">
        <v>187</v>
      </c>
      <c r="D267" s="47">
        <f>(39.39)*10.764</f>
        <v>423.99395999999996</v>
      </c>
      <c r="E267" s="38">
        <v>0</v>
      </c>
      <c r="F267" s="38">
        <f t="shared" ref="F267:F269" si="7">(D267+E267)*(($F$240)+1)</f>
        <v>635.99093999999991</v>
      </c>
      <c r="G267" s="102"/>
      <c r="H267" s="103"/>
      <c r="I267" s="33"/>
      <c r="K267" s="38">
        <f>(3.71*1.83)*10.764</f>
        <v>73.080025199999994</v>
      </c>
      <c r="L267" s="108"/>
      <c r="M267" s="108"/>
      <c r="N267" s="33"/>
    </row>
    <row r="268" spans="1:16" s="42" customFormat="1" ht="15.75" customHeight="1" x14ac:dyDescent="0.3">
      <c r="A268" s="98">
        <f t="shared" si="2"/>
        <v>24</v>
      </c>
      <c r="B268" s="99"/>
      <c r="C268" s="38" t="s">
        <v>187</v>
      </c>
      <c r="D268" s="47">
        <f>(35.6)*10.764</f>
        <v>383.19839999999999</v>
      </c>
      <c r="E268" s="38">
        <v>0</v>
      </c>
      <c r="F268" s="38">
        <f t="shared" si="7"/>
        <v>574.79759999999999</v>
      </c>
      <c r="G268" s="102"/>
      <c r="H268" s="103"/>
      <c r="I268" s="33"/>
      <c r="K268" s="38">
        <f>(3.35*1.83)*10.764</f>
        <v>65.988702000000004</v>
      </c>
      <c r="L268" s="108"/>
      <c r="M268" s="108"/>
      <c r="N268" s="33"/>
    </row>
    <row r="269" spans="1:16" s="42" customFormat="1" ht="15.75" customHeight="1" x14ac:dyDescent="0.3">
      <c r="A269" s="98">
        <f t="shared" si="2"/>
        <v>25</v>
      </c>
      <c r="B269" s="99"/>
      <c r="C269" s="38" t="s">
        <v>187</v>
      </c>
      <c r="D269" s="47">
        <f>(35.6)*10.764</f>
        <v>383.19839999999999</v>
      </c>
      <c r="E269" s="38">
        <v>0</v>
      </c>
      <c r="F269" s="38">
        <f t="shared" si="7"/>
        <v>574.79759999999999</v>
      </c>
      <c r="G269" s="104"/>
      <c r="H269" s="105"/>
      <c r="I269" s="33"/>
      <c r="K269" s="38">
        <f>(3.35*1.83)*10.764</f>
        <v>65.988702000000004</v>
      </c>
      <c r="L269" s="108"/>
      <c r="M269" s="108"/>
      <c r="N269" s="33"/>
    </row>
    <row r="270" spans="1:16" s="42" customFormat="1" x14ac:dyDescent="0.3">
      <c r="A270" s="95" t="s">
        <v>188</v>
      </c>
      <c r="B270" s="96"/>
      <c r="C270" s="96"/>
      <c r="D270" s="96"/>
      <c r="E270" s="96"/>
      <c r="F270" s="96"/>
      <c r="G270" s="96"/>
      <c r="H270" s="97"/>
      <c r="J270" s="33"/>
    </row>
    <row r="271" spans="1:16" s="42" customFormat="1" ht="15.75" customHeight="1" x14ac:dyDescent="0.3">
      <c r="A271" s="98">
        <v>1</v>
      </c>
      <c r="B271" s="99"/>
      <c r="C271" s="38" t="s">
        <v>187</v>
      </c>
      <c r="D271" s="47">
        <f>(29.13)*10.764</f>
        <v>313.55531999999999</v>
      </c>
      <c r="E271" s="38">
        <v>0</v>
      </c>
      <c r="F271" s="38">
        <f>(D271+E271)*(($F$240)+1)</f>
        <v>470.33298000000002</v>
      </c>
      <c r="G271" s="100" t="str">
        <f>A270</f>
        <v>1st &amp; 2nd Podium Floor For Commercial</v>
      </c>
      <c r="H271" s="101"/>
      <c r="I271" s="33"/>
      <c r="J271" s="47">
        <v>10.763999999999999</v>
      </c>
      <c r="L271" s="108"/>
      <c r="M271" s="108"/>
      <c r="N271" s="33">
        <v>101</v>
      </c>
      <c r="O271" s="42">
        <v>201</v>
      </c>
      <c r="P271" s="42" t="str">
        <f>N271&amp;""&amp;" &amp; "&amp;""&amp;O271</f>
        <v>101 &amp; 201</v>
      </c>
    </row>
    <row r="272" spans="1:16" s="42" customFormat="1" ht="15.75" customHeight="1" x14ac:dyDescent="0.3">
      <c r="A272" s="98">
        <v>2</v>
      </c>
      <c r="B272" s="99"/>
      <c r="C272" s="38" t="s">
        <v>187</v>
      </c>
      <c r="D272" s="47">
        <f>(29.13)*10.764</f>
        <v>313.55531999999999</v>
      </c>
      <c r="E272" s="38">
        <v>0</v>
      </c>
      <c r="F272" s="38">
        <f t="shared" ref="F272:F295" si="8">(D272+E272)*(($F$240)+1)</f>
        <v>470.33298000000002</v>
      </c>
      <c r="G272" s="102"/>
      <c r="H272" s="103"/>
      <c r="I272" s="33"/>
      <c r="L272" s="108"/>
      <c r="M272" s="108"/>
      <c r="N272" s="42">
        <v>102</v>
      </c>
      <c r="O272" s="42">
        <v>202</v>
      </c>
      <c r="P272" s="42" t="str">
        <f t="shared" ref="P272:P295" si="9">N272&amp;""&amp;" &amp; "&amp;""&amp;O272</f>
        <v>102 &amp; 202</v>
      </c>
    </row>
    <row r="273" spans="1:16" s="42" customFormat="1" ht="15.75" customHeight="1" x14ac:dyDescent="0.3">
      <c r="A273" s="98">
        <v>3</v>
      </c>
      <c r="B273" s="99"/>
      <c r="C273" s="38" t="s">
        <v>187</v>
      </c>
      <c r="D273" s="47">
        <f>(32.23)*10.764</f>
        <v>346.92371999999995</v>
      </c>
      <c r="E273" s="38">
        <v>0</v>
      </c>
      <c r="F273" s="38">
        <f t="shared" si="8"/>
        <v>520.38557999999989</v>
      </c>
      <c r="G273" s="102"/>
      <c r="H273" s="103"/>
      <c r="I273" s="33"/>
      <c r="L273" s="108"/>
      <c r="M273" s="108"/>
      <c r="N273" s="33">
        <v>103</v>
      </c>
      <c r="O273" s="42">
        <v>203</v>
      </c>
      <c r="P273" s="42" t="str">
        <f t="shared" si="9"/>
        <v>103 &amp; 203</v>
      </c>
    </row>
    <row r="274" spans="1:16" s="42" customFormat="1" ht="15.75" customHeight="1" x14ac:dyDescent="0.3">
      <c r="A274" s="98">
        <v>4</v>
      </c>
      <c r="B274" s="99"/>
      <c r="C274" s="38" t="s">
        <v>187</v>
      </c>
      <c r="D274" s="47">
        <f>(32.23)*10.764</f>
        <v>346.92371999999995</v>
      </c>
      <c r="E274" s="38">
        <v>0</v>
      </c>
      <c r="F274" s="38">
        <f t="shared" si="8"/>
        <v>520.38557999999989</v>
      </c>
      <c r="G274" s="102"/>
      <c r="H274" s="103"/>
      <c r="I274" s="33"/>
      <c r="L274" s="108"/>
      <c r="M274" s="108"/>
      <c r="N274" s="42">
        <v>104</v>
      </c>
      <c r="O274" s="42">
        <v>204</v>
      </c>
      <c r="P274" s="42" t="str">
        <f t="shared" si="9"/>
        <v>104 &amp; 204</v>
      </c>
    </row>
    <row r="275" spans="1:16" s="42" customFormat="1" ht="15.75" customHeight="1" x14ac:dyDescent="0.3">
      <c r="A275" s="98">
        <v>5</v>
      </c>
      <c r="B275" s="99"/>
      <c r="C275" s="38" t="s">
        <v>187</v>
      </c>
      <c r="D275" s="47">
        <f>(29.13)*10.764</f>
        <v>313.55531999999999</v>
      </c>
      <c r="E275" s="38">
        <v>0</v>
      </c>
      <c r="F275" s="38">
        <f t="shared" si="8"/>
        <v>470.33298000000002</v>
      </c>
      <c r="G275" s="102"/>
      <c r="H275" s="103"/>
      <c r="I275" s="33"/>
      <c r="L275" s="108"/>
      <c r="M275" s="108"/>
      <c r="N275" s="33">
        <v>105</v>
      </c>
      <c r="O275" s="42">
        <v>205</v>
      </c>
      <c r="P275" s="42" t="str">
        <f t="shared" si="9"/>
        <v>105 &amp; 205</v>
      </c>
    </row>
    <row r="276" spans="1:16" s="42" customFormat="1" ht="15.75" customHeight="1" x14ac:dyDescent="0.3">
      <c r="A276" s="98">
        <v>6</v>
      </c>
      <c r="B276" s="99"/>
      <c r="C276" s="38" t="s">
        <v>187</v>
      </c>
      <c r="D276" s="47">
        <f>(29.13)*10.764</f>
        <v>313.55531999999999</v>
      </c>
      <c r="E276" s="38">
        <v>0</v>
      </c>
      <c r="F276" s="38">
        <f t="shared" si="8"/>
        <v>470.33298000000002</v>
      </c>
      <c r="G276" s="102"/>
      <c r="H276" s="103"/>
      <c r="I276" s="33"/>
      <c r="L276" s="108"/>
      <c r="M276" s="108"/>
      <c r="N276" s="42">
        <v>106</v>
      </c>
      <c r="O276" s="42">
        <v>206</v>
      </c>
      <c r="P276" s="42" t="str">
        <f t="shared" si="9"/>
        <v>106 &amp; 206</v>
      </c>
    </row>
    <row r="277" spans="1:16" s="42" customFormat="1" ht="15.75" customHeight="1" x14ac:dyDescent="0.3">
      <c r="A277" s="98">
        <v>7</v>
      </c>
      <c r="B277" s="99"/>
      <c r="C277" s="38" t="s">
        <v>187</v>
      </c>
      <c r="D277" s="47">
        <f>(32.23)*10.764</f>
        <v>346.92371999999995</v>
      </c>
      <c r="E277" s="38">
        <v>0</v>
      </c>
      <c r="F277" s="38">
        <f t="shared" si="8"/>
        <v>520.38557999999989</v>
      </c>
      <c r="G277" s="102"/>
      <c r="H277" s="103"/>
      <c r="I277" s="33"/>
      <c r="L277" s="108"/>
      <c r="M277" s="108"/>
      <c r="N277" s="33">
        <v>107</v>
      </c>
      <c r="O277" s="42">
        <v>207</v>
      </c>
      <c r="P277" s="42" t="str">
        <f t="shared" si="9"/>
        <v>107 &amp; 207</v>
      </c>
    </row>
    <row r="278" spans="1:16" s="42" customFormat="1" ht="15.75" customHeight="1" x14ac:dyDescent="0.3">
      <c r="A278" s="98">
        <v>8</v>
      </c>
      <c r="B278" s="99"/>
      <c r="C278" s="38" t="s">
        <v>187</v>
      </c>
      <c r="D278" s="47">
        <f>(29.13)*10.764</f>
        <v>313.55531999999999</v>
      </c>
      <c r="E278" s="38">
        <v>0</v>
      </c>
      <c r="F278" s="38">
        <f t="shared" si="8"/>
        <v>470.33298000000002</v>
      </c>
      <c r="G278" s="102"/>
      <c r="H278" s="103"/>
      <c r="I278" s="33"/>
      <c r="L278" s="108"/>
      <c r="M278" s="108"/>
      <c r="N278" s="42">
        <v>108</v>
      </c>
      <c r="O278" s="42">
        <v>208</v>
      </c>
      <c r="P278" s="42" t="str">
        <f t="shared" si="9"/>
        <v>108 &amp; 208</v>
      </c>
    </row>
    <row r="279" spans="1:16" s="42" customFormat="1" ht="15.75" customHeight="1" x14ac:dyDescent="0.3">
      <c r="A279" s="98">
        <v>9</v>
      </c>
      <c r="B279" s="99"/>
      <c r="C279" s="38" t="s">
        <v>187</v>
      </c>
      <c r="D279" s="47">
        <f>(29.13)*10.764</f>
        <v>313.55531999999999</v>
      </c>
      <c r="E279" s="38">
        <v>0</v>
      </c>
      <c r="F279" s="38">
        <f t="shared" si="8"/>
        <v>470.33298000000002</v>
      </c>
      <c r="G279" s="102"/>
      <c r="H279" s="103"/>
      <c r="I279" s="33"/>
      <c r="L279" s="108"/>
      <c r="M279" s="108"/>
      <c r="N279" s="33">
        <v>109</v>
      </c>
      <c r="O279" s="42">
        <v>209</v>
      </c>
      <c r="P279" s="42" t="str">
        <f t="shared" si="9"/>
        <v>109 &amp; 209</v>
      </c>
    </row>
    <row r="280" spans="1:16" s="42" customFormat="1" ht="15.75" customHeight="1" x14ac:dyDescent="0.3">
      <c r="A280" s="98">
        <v>10</v>
      </c>
      <c r="B280" s="99"/>
      <c r="C280" s="38" t="s">
        <v>187</v>
      </c>
      <c r="D280" s="47">
        <f>(29.13)*10.764</f>
        <v>313.55531999999999</v>
      </c>
      <c r="E280" s="38">
        <v>0</v>
      </c>
      <c r="F280" s="38">
        <f t="shared" si="8"/>
        <v>470.33298000000002</v>
      </c>
      <c r="G280" s="102"/>
      <c r="H280" s="103"/>
      <c r="I280" s="33"/>
      <c r="L280" s="108"/>
      <c r="M280" s="108"/>
      <c r="N280" s="42">
        <v>110</v>
      </c>
      <c r="O280" s="42">
        <v>210</v>
      </c>
      <c r="P280" s="42" t="str">
        <f t="shared" si="9"/>
        <v>110 &amp; 210</v>
      </c>
    </row>
    <row r="281" spans="1:16" s="42" customFormat="1" ht="15.75" customHeight="1" x14ac:dyDescent="0.3">
      <c r="A281" s="98">
        <v>11</v>
      </c>
      <c r="B281" s="99"/>
      <c r="C281" s="38" t="s">
        <v>187</v>
      </c>
      <c r="D281" s="47">
        <f>(32.23)*10.764</f>
        <v>346.92371999999995</v>
      </c>
      <c r="E281" s="38">
        <v>0</v>
      </c>
      <c r="F281" s="38">
        <f t="shared" si="8"/>
        <v>520.38557999999989</v>
      </c>
      <c r="G281" s="102"/>
      <c r="H281" s="103"/>
      <c r="I281" s="33"/>
      <c r="L281" s="108"/>
      <c r="M281" s="108"/>
      <c r="N281" s="33">
        <v>111</v>
      </c>
      <c r="O281" s="42">
        <v>211</v>
      </c>
      <c r="P281" s="42" t="str">
        <f t="shared" si="9"/>
        <v>111 &amp; 211</v>
      </c>
    </row>
    <row r="282" spans="1:16" s="42" customFormat="1" ht="15.75" customHeight="1" x14ac:dyDescent="0.3">
      <c r="A282" s="98">
        <v>12</v>
      </c>
      <c r="B282" s="99"/>
      <c r="C282" s="38" t="s">
        <v>187</v>
      </c>
      <c r="D282" s="47">
        <f>(32.23)*10.764</f>
        <v>346.92371999999995</v>
      </c>
      <c r="E282" s="38">
        <v>0</v>
      </c>
      <c r="F282" s="38">
        <f t="shared" si="8"/>
        <v>520.38557999999989</v>
      </c>
      <c r="G282" s="102"/>
      <c r="H282" s="103"/>
      <c r="I282" s="33"/>
      <c r="L282" s="108"/>
      <c r="M282" s="108"/>
      <c r="N282" s="42">
        <v>112</v>
      </c>
      <c r="O282" s="42">
        <v>212</v>
      </c>
      <c r="P282" s="42" t="str">
        <f t="shared" si="9"/>
        <v>112 &amp; 212</v>
      </c>
    </row>
    <row r="283" spans="1:16" s="42" customFormat="1" ht="15.75" customHeight="1" x14ac:dyDescent="0.3">
      <c r="A283" s="98">
        <v>13</v>
      </c>
      <c r="B283" s="99"/>
      <c r="C283" s="38" t="s">
        <v>187</v>
      </c>
      <c r="D283" s="47">
        <f>(42.1)*10.764</f>
        <v>453.1644</v>
      </c>
      <c r="E283" s="38">
        <v>0</v>
      </c>
      <c r="F283" s="38">
        <f t="shared" si="8"/>
        <v>679.74659999999994</v>
      </c>
      <c r="G283" s="102"/>
      <c r="H283" s="103"/>
      <c r="I283" s="33"/>
      <c r="L283" s="108"/>
      <c r="M283" s="108"/>
      <c r="N283" s="33">
        <v>113</v>
      </c>
      <c r="O283" s="42">
        <v>213</v>
      </c>
      <c r="P283" s="42" t="str">
        <f t="shared" si="9"/>
        <v>113 &amp; 213</v>
      </c>
    </row>
    <row r="284" spans="1:16" s="42" customFormat="1" ht="15.75" customHeight="1" x14ac:dyDescent="0.3">
      <c r="A284" s="98">
        <v>14</v>
      </c>
      <c r="B284" s="99"/>
      <c r="C284" s="38" t="s">
        <v>187</v>
      </c>
      <c r="D284" s="47">
        <f>(25.49)*10.764</f>
        <v>274.37435999999997</v>
      </c>
      <c r="E284" s="38">
        <v>0</v>
      </c>
      <c r="F284" s="38">
        <f t="shared" si="8"/>
        <v>411.56153999999992</v>
      </c>
      <c r="G284" s="102"/>
      <c r="H284" s="103"/>
      <c r="I284" s="33"/>
      <c r="L284" s="108"/>
      <c r="M284" s="108"/>
      <c r="N284" s="42">
        <v>114</v>
      </c>
      <c r="O284" s="42">
        <v>214</v>
      </c>
      <c r="P284" s="42" t="str">
        <f t="shared" si="9"/>
        <v>114 &amp; 214</v>
      </c>
    </row>
    <row r="285" spans="1:16" s="42" customFormat="1" ht="15.75" customHeight="1" x14ac:dyDescent="0.3">
      <c r="A285" s="98">
        <v>15</v>
      </c>
      <c r="B285" s="99"/>
      <c r="C285" s="38" t="s">
        <v>187</v>
      </c>
      <c r="D285" s="47">
        <f>(33.78)*10.764</f>
        <v>363.60791999999998</v>
      </c>
      <c r="E285" s="38">
        <v>0</v>
      </c>
      <c r="F285" s="38">
        <f t="shared" si="8"/>
        <v>545.41188</v>
      </c>
      <c r="G285" s="102"/>
      <c r="H285" s="103"/>
      <c r="I285" s="33"/>
      <c r="L285" s="108"/>
      <c r="M285" s="108"/>
      <c r="N285" s="33">
        <v>115</v>
      </c>
      <c r="O285" s="42">
        <v>215</v>
      </c>
      <c r="P285" s="42" t="str">
        <f t="shared" si="9"/>
        <v>115 &amp; 215</v>
      </c>
    </row>
    <row r="286" spans="1:16" s="42" customFormat="1" ht="15.75" customHeight="1" x14ac:dyDescent="0.3">
      <c r="A286" s="98">
        <v>16</v>
      </c>
      <c r="B286" s="99"/>
      <c r="C286" s="38" t="s">
        <v>187</v>
      </c>
      <c r="D286" s="47">
        <f>(27.57)*10.764</f>
        <v>296.76347999999996</v>
      </c>
      <c r="E286" s="38">
        <v>0</v>
      </c>
      <c r="F286" s="38">
        <f t="shared" si="8"/>
        <v>445.14521999999994</v>
      </c>
      <c r="G286" s="102"/>
      <c r="H286" s="103"/>
      <c r="I286" s="33"/>
      <c r="L286" s="108"/>
      <c r="M286" s="108"/>
      <c r="N286" s="42">
        <v>116</v>
      </c>
      <c r="O286" s="42">
        <v>216</v>
      </c>
      <c r="P286" s="42" t="str">
        <f t="shared" si="9"/>
        <v>116 &amp; 216</v>
      </c>
    </row>
    <row r="287" spans="1:16" s="42" customFormat="1" ht="15.75" customHeight="1" x14ac:dyDescent="0.3">
      <c r="A287" s="98">
        <v>17</v>
      </c>
      <c r="B287" s="99"/>
      <c r="C287" s="38" t="s">
        <v>187</v>
      </c>
      <c r="D287" s="47">
        <f>(33.56)*10.764</f>
        <v>361.23984000000002</v>
      </c>
      <c r="E287" s="38">
        <v>0</v>
      </c>
      <c r="F287" s="38">
        <f t="shared" si="8"/>
        <v>541.85976000000005</v>
      </c>
      <c r="G287" s="102"/>
      <c r="H287" s="103"/>
      <c r="I287" s="33"/>
      <c r="L287" s="108"/>
      <c r="M287" s="108"/>
      <c r="N287" s="33">
        <v>117</v>
      </c>
      <c r="O287" s="42">
        <v>217</v>
      </c>
      <c r="P287" s="42" t="str">
        <f t="shared" si="9"/>
        <v>117 &amp; 217</v>
      </c>
    </row>
    <row r="288" spans="1:16" s="42" customFormat="1" ht="15.75" customHeight="1" x14ac:dyDescent="0.3">
      <c r="A288" s="98">
        <v>18</v>
      </c>
      <c r="B288" s="99"/>
      <c r="C288" s="38" t="s">
        <v>187</v>
      </c>
      <c r="D288" s="47">
        <f>(32.47)*10.764</f>
        <v>349.50707999999997</v>
      </c>
      <c r="E288" s="38">
        <v>0</v>
      </c>
      <c r="F288" s="38">
        <f t="shared" si="8"/>
        <v>524.26062000000002</v>
      </c>
      <c r="G288" s="102"/>
      <c r="H288" s="103"/>
      <c r="I288" s="33"/>
      <c r="L288" s="108"/>
      <c r="M288" s="108"/>
      <c r="N288" s="42">
        <v>118</v>
      </c>
      <c r="O288" s="42">
        <v>218</v>
      </c>
      <c r="P288" s="42" t="str">
        <f t="shared" si="9"/>
        <v>118 &amp; 218</v>
      </c>
    </row>
    <row r="289" spans="1:16" s="42" customFormat="1" ht="15.75" customHeight="1" x14ac:dyDescent="0.3">
      <c r="A289" s="98">
        <v>19</v>
      </c>
      <c r="B289" s="99"/>
      <c r="C289" s="38" t="s">
        <v>187</v>
      </c>
      <c r="D289" s="47">
        <f>(33.57)*10.764</f>
        <v>361.34747999999996</v>
      </c>
      <c r="E289" s="38">
        <v>0</v>
      </c>
      <c r="F289" s="38">
        <f t="shared" si="8"/>
        <v>542.02121999999997</v>
      </c>
      <c r="G289" s="102"/>
      <c r="H289" s="103"/>
      <c r="I289" s="33"/>
      <c r="L289" s="108"/>
      <c r="M289" s="108"/>
      <c r="N289" s="33">
        <v>119</v>
      </c>
      <c r="O289" s="42">
        <v>219</v>
      </c>
      <c r="P289" s="42" t="str">
        <f t="shared" si="9"/>
        <v>119 &amp; 219</v>
      </c>
    </row>
    <row r="290" spans="1:16" s="42" customFormat="1" ht="15.75" customHeight="1" x14ac:dyDescent="0.3">
      <c r="A290" s="98">
        <v>20</v>
      </c>
      <c r="B290" s="99"/>
      <c r="C290" s="38" t="s">
        <v>187</v>
      </c>
      <c r="D290" s="47">
        <f>(29.13)*10.764</f>
        <v>313.55531999999999</v>
      </c>
      <c r="E290" s="38">
        <v>0</v>
      </c>
      <c r="F290" s="38">
        <f t="shared" si="8"/>
        <v>470.33298000000002</v>
      </c>
      <c r="G290" s="102"/>
      <c r="H290" s="103"/>
      <c r="I290" s="33"/>
      <c r="L290" s="108"/>
      <c r="M290" s="108"/>
      <c r="N290" s="42">
        <v>120</v>
      </c>
      <c r="O290" s="42">
        <v>220</v>
      </c>
      <c r="P290" s="42" t="str">
        <f t="shared" si="9"/>
        <v>120 &amp; 220</v>
      </c>
    </row>
    <row r="291" spans="1:16" s="42" customFormat="1" ht="15.75" customHeight="1" x14ac:dyDescent="0.3">
      <c r="A291" s="98">
        <v>21</v>
      </c>
      <c r="B291" s="99"/>
      <c r="C291" s="38" t="s">
        <v>187</v>
      </c>
      <c r="D291" s="47">
        <f>(29.13)*10.764</f>
        <v>313.55531999999999</v>
      </c>
      <c r="E291" s="38">
        <v>0</v>
      </c>
      <c r="F291" s="38">
        <f t="shared" si="8"/>
        <v>470.33298000000002</v>
      </c>
      <c r="G291" s="102"/>
      <c r="H291" s="103"/>
      <c r="I291" s="33"/>
      <c r="L291" s="108"/>
      <c r="M291" s="108"/>
      <c r="N291" s="33">
        <v>121</v>
      </c>
      <c r="O291" s="42">
        <v>221</v>
      </c>
      <c r="P291" s="42" t="str">
        <f t="shared" si="9"/>
        <v>121 &amp; 221</v>
      </c>
    </row>
    <row r="292" spans="1:16" s="42" customFormat="1" ht="15.75" customHeight="1" x14ac:dyDescent="0.3">
      <c r="A292" s="98">
        <v>22</v>
      </c>
      <c r="B292" s="99"/>
      <c r="C292" s="38" t="s">
        <v>187</v>
      </c>
      <c r="D292" s="47">
        <f>(32.23)*10.764</f>
        <v>346.92371999999995</v>
      </c>
      <c r="E292" s="38">
        <v>0</v>
      </c>
      <c r="F292" s="38">
        <f t="shared" si="8"/>
        <v>520.38557999999989</v>
      </c>
      <c r="G292" s="102"/>
      <c r="H292" s="103"/>
      <c r="I292" s="33"/>
      <c r="L292" s="108"/>
      <c r="M292" s="108"/>
      <c r="N292" s="42">
        <v>122</v>
      </c>
      <c r="O292" s="42">
        <v>222</v>
      </c>
      <c r="P292" s="42" t="str">
        <f t="shared" si="9"/>
        <v>122 &amp; 222</v>
      </c>
    </row>
    <row r="293" spans="1:16" s="42" customFormat="1" ht="15.75" customHeight="1" x14ac:dyDescent="0.3">
      <c r="A293" s="98">
        <v>23</v>
      </c>
      <c r="B293" s="99"/>
      <c r="C293" s="38" t="s">
        <v>187</v>
      </c>
      <c r="D293" s="47">
        <f>(32.23)*10.764</f>
        <v>346.92371999999995</v>
      </c>
      <c r="E293" s="38">
        <v>0</v>
      </c>
      <c r="F293" s="38">
        <f t="shared" si="8"/>
        <v>520.38557999999989</v>
      </c>
      <c r="G293" s="102"/>
      <c r="H293" s="103"/>
      <c r="I293" s="33"/>
      <c r="L293" s="108"/>
      <c r="M293" s="108"/>
      <c r="N293" s="33">
        <v>123</v>
      </c>
      <c r="O293" s="42">
        <v>223</v>
      </c>
      <c r="P293" s="42" t="str">
        <f t="shared" si="9"/>
        <v>123 &amp; 223</v>
      </c>
    </row>
    <row r="294" spans="1:16" s="42" customFormat="1" ht="15.75" customHeight="1" x14ac:dyDescent="0.3">
      <c r="A294" s="98">
        <v>24</v>
      </c>
      <c r="B294" s="99"/>
      <c r="C294" s="38" t="s">
        <v>187</v>
      </c>
      <c r="D294" s="47">
        <f>(29.13)*10.764</f>
        <v>313.55531999999999</v>
      </c>
      <c r="E294" s="38">
        <v>0</v>
      </c>
      <c r="F294" s="38">
        <f t="shared" si="8"/>
        <v>470.33298000000002</v>
      </c>
      <c r="G294" s="102"/>
      <c r="H294" s="103"/>
      <c r="I294" s="33"/>
      <c r="L294" s="108"/>
      <c r="M294" s="108"/>
      <c r="N294" s="42">
        <v>124</v>
      </c>
      <c r="O294" s="42">
        <v>224</v>
      </c>
      <c r="P294" s="42" t="str">
        <f t="shared" si="9"/>
        <v>124 &amp; 224</v>
      </c>
    </row>
    <row r="295" spans="1:16" s="42" customFormat="1" ht="15.75" customHeight="1" x14ac:dyDescent="0.3">
      <c r="A295" s="98">
        <v>25</v>
      </c>
      <c r="B295" s="99"/>
      <c r="C295" s="38" t="s">
        <v>187</v>
      </c>
      <c r="D295" s="47">
        <f>(29.13)*10.764</f>
        <v>313.55531999999999</v>
      </c>
      <c r="E295" s="38">
        <v>0</v>
      </c>
      <c r="F295" s="38">
        <f t="shared" si="8"/>
        <v>470.33298000000002</v>
      </c>
      <c r="G295" s="104"/>
      <c r="H295" s="105"/>
      <c r="I295" s="33"/>
      <c r="L295" s="108"/>
      <c r="M295" s="108"/>
      <c r="N295" s="33">
        <v>125</v>
      </c>
      <c r="O295" s="42">
        <v>225</v>
      </c>
      <c r="P295" s="42" t="str">
        <f t="shared" si="9"/>
        <v>125 &amp; 225</v>
      </c>
    </row>
    <row r="296" spans="1:16" s="42" customFormat="1" x14ac:dyDescent="0.3">
      <c r="A296" s="95" t="s">
        <v>197</v>
      </c>
      <c r="B296" s="96"/>
      <c r="C296" s="96"/>
      <c r="D296" s="96"/>
      <c r="E296" s="96"/>
      <c r="F296" s="96"/>
      <c r="G296" s="96"/>
      <c r="H296" s="97"/>
      <c r="J296" s="33"/>
    </row>
    <row r="297" spans="1:16" s="42" customFormat="1" x14ac:dyDescent="0.3">
      <c r="A297" s="95" t="s">
        <v>199</v>
      </c>
      <c r="B297" s="96"/>
      <c r="C297" s="96"/>
      <c r="D297" s="96"/>
      <c r="E297" s="96"/>
      <c r="F297" s="96"/>
      <c r="G297" s="96"/>
      <c r="H297" s="97"/>
    </row>
    <row r="298" spans="1:16" s="42" customFormat="1" x14ac:dyDescent="0.3">
      <c r="A298" s="95" t="s">
        <v>202</v>
      </c>
      <c r="B298" s="96"/>
      <c r="C298" s="96"/>
      <c r="D298" s="96"/>
      <c r="E298" s="96"/>
      <c r="F298" s="96"/>
      <c r="G298" s="96"/>
      <c r="H298" s="97"/>
    </row>
    <row r="299" spans="1:16" s="42" customFormat="1" ht="15.75" customHeight="1" x14ac:dyDescent="0.3">
      <c r="A299" s="98">
        <v>1</v>
      </c>
      <c r="B299" s="99"/>
      <c r="C299" s="38" t="s">
        <v>187</v>
      </c>
      <c r="D299" s="47">
        <f>(35.29)*10.764</f>
        <v>379.86155999999994</v>
      </c>
      <c r="E299" s="38">
        <f>(1*4.83)*10.764</f>
        <v>51.990119999999997</v>
      </c>
      <c r="F299" s="38">
        <f>(D299+E299)*(($F$240)+1)</f>
        <v>647.77751999999987</v>
      </c>
      <c r="G299" s="100" t="str">
        <f>A298</f>
        <v>Ground Floor For Commercial &amp; Parking</v>
      </c>
      <c r="H299" s="101"/>
      <c r="I299" s="33"/>
      <c r="L299" s="108"/>
      <c r="M299" s="108"/>
      <c r="N299" s="33"/>
    </row>
    <row r="300" spans="1:16" s="42" customFormat="1" ht="15.75" customHeight="1" x14ac:dyDescent="0.3">
      <c r="A300" s="98">
        <f t="shared" ref="A300" si="10">A299+1</f>
        <v>2</v>
      </c>
      <c r="B300" s="99"/>
      <c r="C300" s="38" t="s">
        <v>187</v>
      </c>
      <c r="D300" s="47">
        <f>(26.73)*10.764</f>
        <v>287.72172</v>
      </c>
      <c r="E300" s="38">
        <f>(3.66*1)*10.764</f>
        <v>39.396239999999999</v>
      </c>
      <c r="F300" s="38">
        <f t="shared" ref="F300" si="11">(D300+E300)*(($F$240)+1)</f>
        <v>490.67693999999995</v>
      </c>
      <c r="G300" s="104"/>
      <c r="H300" s="105"/>
      <c r="I300" s="33"/>
      <c r="L300" s="108"/>
      <c r="M300" s="108"/>
      <c r="N300" s="33"/>
    </row>
    <row r="301" spans="1:16" s="42" customFormat="1" x14ac:dyDescent="0.3">
      <c r="A301" s="95" t="s">
        <v>197</v>
      </c>
      <c r="B301" s="96"/>
      <c r="C301" s="96"/>
      <c r="D301" s="96"/>
      <c r="E301" s="96"/>
      <c r="F301" s="96"/>
      <c r="G301" s="96"/>
      <c r="H301" s="97"/>
      <c r="J301" s="33"/>
    </row>
    <row r="302" spans="1:16" s="42" customFormat="1" x14ac:dyDescent="0.3">
      <c r="A302" s="95" t="s">
        <v>299</v>
      </c>
      <c r="B302" s="96"/>
      <c r="C302" s="96"/>
      <c r="D302" s="96"/>
      <c r="E302" s="96"/>
      <c r="F302" s="96"/>
      <c r="G302" s="96"/>
      <c r="H302" s="97"/>
    </row>
    <row r="303" spans="1:16" s="42" customFormat="1" x14ac:dyDescent="0.3">
      <c r="A303" s="95" t="s">
        <v>202</v>
      </c>
      <c r="B303" s="96"/>
      <c r="C303" s="96"/>
      <c r="D303" s="96"/>
      <c r="E303" s="96"/>
      <c r="F303" s="96"/>
      <c r="G303" s="96"/>
      <c r="H303" s="97"/>
    </row>
    <row r="304" spans="1:16" s="42" customFormat="1" ht="15.75" customHeight="1" x14ac:dyDescent="0.3">
      <c r="A304" s="98">
        <v>1</v>
      </c>
      <c r="B304" s="99"/>
      <c r="C304" s="38" t="s">
        <v>187</v>
      </c>
      <c r="D304" s="47">
        <f>(18.83)*10.764</f>
        <v>202.68611999999996</v>
      </c>
      <c r="E304" s="38">
        <f>(1.2*3.15)*10.764</f>
        <v>40.687919999999998</v>
      </c>
      <c r="F304" s="38">
        <f>(D304+E304)*(($F$240)+1)</f>
        <v>365.06105999999994</v>
      </c>
      <c r="G304" s="100" t="str">
        <f>A303</f>
        <v>Ground Floor For Commercial &amp; Parking</v>
      </c>
      <c r="H304" s="101"/>
      <c r="I304" s="33"/>
      <c r="L304" s="108"/>
      <c r="M304" s="108"/>
      <c r="N304" s="33"/>
    </row>
    <row r="305" spans="1:14" s="42" customFormat="1" ht="15.75" customHeight="1" x14ac:dyDescent="0.3">
      <c r="A305" s="98">
        <f t="shared" ref="A305:A330" si="12">A304+1</f>
        <v>2</v>
      </c>
      <c r="B305" s="99"/>
      <c r="C305" s="38" t="s">
        <v>187</v>
      </c>
      <c r="D305" s="47">
        <f>(25.07)*10.764</f>
        <v>269.85347999999999</v>
      </c>
      <c r="E305" s="38">
        <f>(3*1.2)*10.764</f>
        <v>38.750399999999992</v>
      </c>
      <c r="F305" s="38">
        <f t="shared" ref="F305:F315" si="13">(D305+E305)*(($F$240)+1)</f>
        <v>462.90582000000001</v>
      </c>
      <c r="G305" s="102"/>
      <c r="H305" s="103"/>
      <c r="I305" s="33"/>
      <c r="L305" s="108"/>
      <c r="M305" s="108"/>
      <c r="N305" s="33"/>
    </row>
    <row r="306" spans="1:14" s="42" customFormat="1" ht="15.75" customHeight="1" x14ac:dyDescent="0.3">
      <c r="A306" s="98">
        <f t="shared" si="12"/>
        <v>3</v>
      </c>
      <c r="B306" s="99"/>
      <c r="C306" s="38" t="s">
        <v>187</v>
      </c>
      <c r="D306" s="47">
        <f>(18.22)*10.764</f>
        <v>196.12007999999997</v>
      </c>
      <c r="E306" s="38">
        <f>(3.15*1.2)*10.764</f>
        <v>40.687919999999998</v>
      </c>
      <c r="F306" s="38">
        <f t="shared" si="13"/>
        <v>355.21199999999993</v>
      </c>
      <c r="G306" s="102"/>
      <c r="H306" s="103"/>
      <c r="I306" s="33"/>
      <c r="L306" s="108"/>
      <c r="M306" s="108"/>
      <c r="N306" s="33"/>
    </row>
    <row r="307" spans="1:14" s="42" customFormat="1" ht="15.75" customHeight="1" x14ac:dyDescent="0.3">
      <c r="A307" s="98">
        <f t="shared" si="12"/>
        <v>4</v>
      </c>
      <c r="B307" s="99"/>
      <c r="C307" s="38" t="s">
        <v>187</v>
      </c>
      <c r="D307" s="47">
        <f>(18.22)*10.764</f>
        <v>196.12007999999997</v>
      </c>
      <c r="E307" s="38">
        <f>(3.15*1.2)*10.764</f>
        <v>40.687919999999998</v>
      </c>
      <c r="F307" s="38">
        <f t="shared" si="13"/>
        <v>355.21199999999993</v>
      </c>
      <c r="G307" s="102"/>
      <c r="H307" s="103"/>
      <c r="I307" s="33"/>
      <c r="L307" s="108"/>
      <c r="M307" s="108"/>
      <c r="N307" s="33"/>
    </row>
    <row r="308" spans="1:14" s="42" customFormat="1" ht="15.75" customHeight="1" x14ac:dyDescent="0.3">
      <c r="A308" s="98">
        <f t="shared" si="12"/>
        <v>5</v>
      </c>
      <c r="B308" s="99"/>
      <c r="C308" s="38" t="s">
        <v>187</v>
      </c>
      <c r="D308" s="47">
        <f>(25.07)*10.764</f>
        <v>269.85347999999999</v>
      </c>
      <c r="E308" s="38">
        <f t="shared" ref="E308:E315" si="14">(3.15*1.2)*10.764</f>
        <v>40.687919999999998</v>
      </c>
      <c r="F308" s="38">
        <f t="shared" si="13"/>
        <v>465.81209999999999</v>
      </c>
      <c r="G308" s="102"/>
      <c r="H308" s="103"/>
      <c r="I308" s="33"/>
      <c r="L308" s="108"/>
      <c r="M308" s="108"/>
      <c r="N308" s="33"/>
    </row>
    <row r="309" spans="1:14" s="42" customFormat="1" ht="15.75" customHeight="1" x14ac:dyDescent="0.3">
      <c r="A309" s="98">
        <f t="shared" si="12"/>
        <v>6</v>
      </c>
      <c r="B309" s="99"/>
      <c r="C309" s="38" t="s">
        <v>187</v>
      </c>
      <c r="D309" s="47">
        <f>(18.83)*10.764</f>
        <v>202.68611999999996</v>
      </c>
      <c r="E309" s="38">
        <f t="shared" si="14"/>
        <v>40.687919999999998</v>
      </c>
      <c r="F309" s="38">
        <f t="shared" si="13"/>
        <v>365.06105999999994</v>
      </c>
      <c r="G309" s="102"/>
      <c r="H309" s="103"/>
      <c r="I309" s="33"/>
      <c r="L309" s="108"/>
      <c r="M309" s="108"/>
      <c r="N309" s="33"/>
    </row>
    <row r="310" spans="1:14" s="42" customFormat="1" ht="15.75" customHeight="1" x14ac:dyDescent="0.3">
      <c r="A310" s="98">
        <f t="shared" si="12"/>
        <v>7</v>
      </c>
      <c r="B310" s="99"/>
      <c r="C310" s="38" t="s">
        <v>187</v>
      </c>
      <c r="D310" s="47">
        <f>(18.83)*10.764</f>
        <v>202.68611999999996</v>
      </c>
      <c r="E310" s="38">
        <f t="shared" si="14"/>
        <v>40.687919999999998</v>
      </c>
      <c r="F310" s="38">
        <f t="shared" si="13"/>
        <v>365.06105999999994</v>
      </c>
      <c r="G310" s="102"/>
      <c r="H310" s="103"/>
      <c r="I310" s="33"/>
      <c r="L310" s="108"/>
      <c r="M310" s="108"/>
      <c r="N310" s="33"/>
    </row>
    <row r="311" spans="1:14" s="42" customFormat="1" ht="15.75" customHeight="1" x14ac:dyDescent="0.3">
      <c r="A311" s="98">
        <f t="shared" si="12"/>
        <v>8</v>
      </c>
      <c r="B311" s="99"/>
      <c r="C311" s="38" t="s">
        <v>187</v>
      </c>
      <c r="D311" s="47">
        <f>(25.07)*10.764</f>
        <v>269.85347999999999</v>
      </c>
      <c r="E311" s="38">
        <f t="shared" si="14"/>
        <v>40.687919999999998</v>
      </c>
      <c r="F311" s="38">
        <f t="shared" si="13"/>
        <v>465.81209999999999</v>
      </c>
      <c r="G311" s="102"/>
      <c r="H311" s="103"/>
      <c r="I311" s="33"/>
      <c r="L311" s="108"/>
      <c r="M311" s="108"/>
      <c r="N311" s="33"/>
    </row>
    <row r="312" spans="1:14" s="42" customFormat="1" ht="15.75" customHeight="1" x14ac:dyDescent="0.3">
      <c r="A312" s="98">
        <f t="shared" si="12"/>
        <v>9</v>
      </c>
      <c r="B312" s="99"/>
      <c r="C312" s="38" t="s">
        <v>187</v>
      </c>
      <c r="D312" s="47">
        <f>(18.22)*10.764</f>
        <v>196.12007999999997</v>
      </c>
      <c r="E312" s="38">
        <f t="shared" si="14"/>
        <v>40.687919999999998</v>
      </c>
      <c r="F312" s="38">
        <f t="shared" si="13"/>
        <v>355.21199999999993</v>
      </c>
      <c r="G312" s="102"/>
      <c r="H312" s="103"/>
      <c r="I312" s="33"/>
      <c r="L312" s="108"/>
      <c r="M312" s="108"/>
      <c r="N312" s="33"/>
    </row>
    <row r="313" spans="1:14" s="42" customFormat="1" ht="15.75" customHeight="1" x14ac:dyDescent="0.3">
      <c r="A313" s="98">
        <f t="shared" si="12"/>
        <v>10</v>
      </c>
      <c r="B313" s="99"/>
      <c r="C313" s="38" t="s">
        <v>187</v>
      </c>
      <c r="D313" s="47">
        <f>(18.22)*10.764</f>
        <v>196.12007999999997</v>
      </c>
      <c r="E313" s="38">
        <f t="shared" si="14"/>
        <v>40.687919999999998</v>
      </c>
      <c r="F313" s="38">
        <f t="shared" si="13"/>
        <v>355.21199999999993</v>
      </c>
      <c r="G313" s="102"/>
      <c r="H313" s="103"/>
      <c r="I313" s="33"/>
      <c r="L313" s="108"/>
      <c r="M313" s="108"/>
      <c r="N313" s="33"/>
    </row>
    <row r="314" spans="1:14" s="42" customFormat="1" ht="15.75" customHeight="1" x14ac:dyDescent="0.3">
      <c r="A314" s="98">
        <f t="shared" si="12"/>
        <v>11</v>
      </c>
      <c r="B314" s="99"/>
      <c r="C314" s="38" t="s">
        <v>187</v>
      </c>
      <c r="D314" s="47">
        <f>(25.07)*10.764</f>
        <v>269.85347999999999</v>
      </c>
      <c r="E314" s="38">
        <f>(3*1.2)*10.764</f>
        <v>38.750399999999992</v>
      </c>
      <c r="F314" s="38">
        <f t="shared" si="13"/>
        <v>462.90582000000001</v>
      </c>
      <c r="G314" s="102"/>
      <c r="H314" s="103"/>
      <c r="I314" s="33"/>
      <c r="L314" s="108"/>
      <c r="M314" s="108"/>
      <c r="N314" s="33"/>
    </row>
    <row r="315" spans="1:14" s="42" customFormat="1" ht="15.75" customHeight="1" x14ac:dyDescent="0.3">
      <c r="A315" s="98">
        <f t="shared" si="12"/>
        <v>12</v>
      </c>
      <c r="B315" s="99"/>
      <c r="C315" s="38" t="s">
        <v>187</v>
      </c>
      <c r="D315" s="47">
        <f>(18.83)*10.764</f>
        <v>202.68611999999996</v>
      </c>
      <c r="E315" s="38">
        <f t="shared" si="14"/>
        <v>40.687919999999998</v>
      </c>
      <c r="F315" s="38">
        <f t="shared" si="13"/>
        <v>365.06105999999994</v>
      </c>
      <c r="G315" s="102"/>
      <c r="H315" s="103"/>
      <c r="I315" s="33"/>
      <c r="L315" s="108"/>
      <c r="M315" s="108"/>
      <c r="N315" s="33"/>
    </row>
    <row r="316" spans="1:14" s="42" customFormat="1" x14ac:dyDescent="0.3">
      <c r="A316" s="95" t="s">
        <v>197</v>
      </c>
      <c r="B316" s="96"/>
      <c r="C316" s="96"/>
      <c r="D316" s="96"/>
      <c r="E316" s="96"/>
      <c r="F316" s="96"/>
      <c r="G316" s="96"/>
      <c r="H316" s="97"/>
      <c r="J316" s="33"/>
    </row>
    <row r="317" spans="1:14" s="42" customFormat="1" x14ac:dyDescent="0.3">
      <c r="A317" s="95" t="s">
        <v>300</v>
      </c>
      <c r="B317" s="96"/>
      <c r="C317" s="96"/>
      <c r="D317" s="96"/>
      <c r="E317" s="96"/>
      <c r="F317" s="96"/>
      <c r="G317" s="96"/>
      <c r="H317" s="97"/>
    </row>
    <row r="318" spans="1:14" s="42" customFormat="1" x14ac:dyDescent="0.3">
      <c r="A318" s="95" t="s">
        <v>202</v>
      </c>
      <c r="B318" s="96"/>
      <c r="C318" s="96"/>
      <c r="D318" s="96"/>
      <c r="E318" s="96"/>
      <c r="F318" s="96"/>
      <c r="G318" s="96"/>
      <c r="H318" s="97"/>
    </row>
    <row r="319" spans="1:14" s="42" customFormat="1" ht="15.75" customHeight="1" x14ac:dyDescent="0.3">
      <c r="A319" s="98">
        <f>A315+1</f>
        <v>13</v>
      </c>
      <c r="B319" s="99"/>
      <c r="C319" s="38" t="s">
        <v>187</v>
      </c>
      <c r="D319" s="47">
        <f>(18.83)*10.764</f>
        <v>202.68611999999996</v>
      </c>
      <c r="E319" s="38">
        <v>0</v>
      </c>
      <c r="F319" s="38">
        <f>(D319+E319)*(($F$240)+1)</f>
        <v>304.02917999999994</v>
      </c>
      <c r="G319" s="100" t="str">
        <f>A318</f>
        <v>Ground Floor For Commercial &amp; Parking</v>
      </c>
      <c r="H319" s="101"/>
      <c r="I319" s="33"/>
      <c r="L319" s="108"/>
      <c r="M319" s="108"/>
      <c r="N319" s="33"/>
    </row>
    <row r="320" spans="1:14" s="42" customFormat="1" ht="15.75" customHeight="1" x14ac:dyDescent="0.3">
      <c r="A320" s="98">
        <f t="shared" si="12"/>
        <v>14</v>
      </c>
      <c r="B320" s="99"/>
      <c r="C320" s="38" t="s">
        <v>187</v>
      </c>
      <c r="D320" s="47">
        <f>(25.07)*10.764</f>
        <v>269.85347999999999</v>
      </c>
      <c r="E320" s="38">
        <v>0</v>
      </c>
      <c r="F320" s="38">
        <f t="shared" ref="F320:F330" si="15">(D320+E320)*(($F$240)+1)</f>
        <v>404.78021999999999</v>
      </c>
      <c r="G320" s="102"/>
      <c r="H320" s="103"/>
      <c r="I320" s="33"/>
      <c r="L320" s="108"/>
      <c r="M320" s="108"/>
      <c r="N320" s="33"/>
    </row>
    <row r="321" spans="1:14" s="42" customFormat="1" ht="15.75" customHeight="1" x14ac:dyDescent="0.3">
      <c r="A321" s="98">
        <f t="shared" si="12"/>
        <v>15</v>
      </c>
      <c r="B321" s="99"/>
      <c r="C321" s="38" t="s">
        <v>187</v>
      </c>
      <c r="D321" s="47">
        <f>(18.22)*10.764</f>
        <v>196.12007999999997</v>
      </c>
      <c r="E321" s="38">
        <v>0</v>
      </c>
      <c r="F321" s="38">
        <f t="shared" si="15"/>
        <v>294.18011999999999</v>
      </c>
      <c r="G321" s="102"/>
      <c r="H321" s="103"/>
      <c r="I321" s="33"/>
      <c r="L321" s="108"/>
      <c r="M321" s="108"/>
      <c r="N321" s="33"/>
    </row>
    <row r="322" spans="1:14" s="42" customFormat="1" ht="15.75" customHeight="1" x14ac:dyDescent="0.3">
      <c r="A322" s="98">
        <f t="shared" si="12"/>
        <v>16</v>
      </c>
      <c r="B322" s="99"/>
      <c r="C322" s="38" t="s">
        <v>187</v>
      </c>
      <c r="D322" s="47">
        <f>(18.22)*10.764</f>
        <v>196.12007999999997</v>
      </c>
      <c r="E322" s="38">
        <v>0</v>
      </c>
      <c r="F322" s="38">
        <f t="shared" si="15"/>
        <v>294.18011999999999</v>
      </c>
      <c r="G322" s="102"/>
      <c r="H322" s="103"/>
      <c r="I322" s="33"/>
      <c r="L322" s="108"/>
      <c r="M322" s="108"/>
      <c r="N322" s="33"/>
    </row>
    <row r="323" spans="1:14" s="42" customFormat="1" ht="15.75" customHeight="1" x14ac:dyDescent="0.3">
      <c r="A323" s="98">
        <f t="shared" si="12"/>
        <v>17</v>
      </c>
      <c r="B323" s="99"/>
      <c r="C323" s="38" t="s">
        <v>187</v>
      </c>
      <c r="D323" s="47">
        <f>(25.07)*10.764</f>
        <v>269.85347999999999</v>
      </c>
      <c r="E323" s="38">
        <v>0</v>
      </c>
      <c r="F323" s="38">
        <f t="shared" si="15"/>
        <v>404.78021999999999</v>
      </c>
      <c r="G323" s="102"/>
      <c r="H323" s="103"/>
      <c r="I323" s="33"/>
      <c r="L323" s="108"/>
      <c r="M323" s="108"/>
      <c r="N323" s="33"/>
    </row>
    <row r="324" spans="1:14" s="42" customFormat="1" ht="15.75" customHeight="1" x14ac:dyDescent="0.3">
      <c r="A324" s="98">
        <f t="shared" si="12"/>
        <v>18</v>
      </c>
      <c r="B324" s="99"/>
      <c r="C324" s="38" t="s">
        <v>187</v>
      </c>
      <c r="D324" s="47">
        <f>(18.83)*10.764</f>
        <v>202.68611999999996</v>
      </c>
      <c r="E324" s="38">
        <v>0</v>
      </c>
      <c r="F324" s="38">
        <f t="shared" si="15"/>
        <v>304.02917999999994</v>
      </c>
      <c r="G324" s="102"/>
      <c r="H324" s="103"/>
      <c r="I324" s="33"/>
      <c r="L324" s="108"/>
      <c r="M324" s="108"/>
      <c r="N324" s="33"/>
    </row>
    <row r="325" spans="1:14" s="42" customFormat="1" ht="15.75" customHeight="1" x14ac:dyDescent="0.3">
      <c r="A325" s="98">
        <f t="shared" si="12"/>
        <v>19</v>
      </c>
      <c r="B325" s="99"/>
      <c r="C325" s="38" t="s">
        <v>187</v>
      </c>
      <c r="D325" s="47">
        <f>(18.83)*10.764</f>
        <v>202.68611999999996</v>
      </c>
      <c r="E325" s="38">
        <v>0</v>
      </c>
      <c r="F325" s="38">
        <f t="shared" si="15"/>
        <v>304.02917999999994</v>
      </c>
      <c r="G325" s="102"/>
      <c r="H325" s="103"/>
      <c r="I325" s="33"/>
      <c r="L325" s="108"/>
      <c r="M325" s="108"/>
      <c r="N325" s="33"/>
    </row>
    <row r="326" spans="1:14" s="42" customFormat="1" ht="15.75" customHeight="1" x14ac:dyDescent="0.3">
      <c r="A326" s="98">
        <f t="shared" si="12"/>
        <v>20</v>
      </c>
      <c r="B326" s="99"/>
      <c r="C326" s="38" t="s">
        <v>187</v>
      </c>
      <c r="D326" s="47">
        <f>(25.07)*10.764</f>
        <v>269.85347999999999</v>
      </c>
      <c r="E326" s="38">
        <v>0</v>
      </c>
      <c r="F326" s="38">
        <f t="shared" si="15"/>
        <v>404.78021999999999</v>
      </c>
      <c r="G326" s="102"/>
      <c r="H326" s="103"/>
      <c r="I326" s="33"/>
      <c r="L326" s="108"/>
      <c r="M326" s="108"/>
      <c r="N326" s="33"/>
    </row>
    <row r="327" spans="1:14" s="42" customFormat="1" ht="15.75" customHeight="1" x14ac:dyDescent="0.3">
      <c r="A327" s="98">
        <f t="shared" si="12"/>
        <v>21</v>
      </c>
      <c r="B327" s="99"/>
      <c r="C327" s="38" t="s">
        <v>187</v>
      </c>
      <c r="D327" s="47">
        <f>(18.22)*10.764</f>
        <v>196.12007999999997</v>
      </c>
      <c r="E327" s="38">
        <v>0</v>
      </c>
      <c r="F327" s="38">
        <f t="shared" si="15"/>
        <v>294.18011999999999</v>
      </c>
      <c r="G327" s="102"/>
      <c r="H327" s="103"/>
      <c r="I327" s="33"/>
      <c r="L327" s="108"/>
      <c r="M327" s="108"/>
      <c r="N327" s="33"/>
    </row>
    <row r="328" spans="1:14" s="42" customFormat="1" ht="15.75" customHeight="1" x14ac:dyDescent="0.3">
      <c r="A328" s="98">
        <f t="shared" si="12"/>
        <v>22</v>
      </c>
      <c r="B328" s="99"/>
      <c r="C328" s="38" t="s">
        <v>187</v>
      </c>
      <c r="D328" s="47">
        <f>(18.22)*10.764</f>
        <v>196.12007999999997</v>
      </c>
      <c r="E328" s="38">
        <v>0</v>
      </c>
      <c r="F328" s="38">
        <f t="shared" si="15"/>
        <v>294.18011999999999</v>
      </c>
      <c r="G328" s="102"/>
      <c r="H328" s="103"/>
      <c r="I328" s="33"/>
      <c r="L328" s="108"/>
      <c r="M328" s="108"/>
      <c r="N328" s="33"/>
    </row>
    <row r="329" spans="1:14" s="42" customFormat="1" ht="15.75" customHeight="1" x14ac:dyDescent="0.3">
      <c r="A329" s="98">
        <f t="shared" si="12"/>
        <v>23</v>
      </c>
      <c r="B329" s="99"/>
      <c r="C329" s="38" t="s">
        <v>187</v>
      </c>
      <c r="D329" s="47">
        <f>(25.07)*10.764</f>
        <v>269.85347999999999</v>
      </c>
      <c r="E329" s="38">
        <v>0</v>
      </c>
      <c r="F329" s="38">
        <f t="shared" si="15"/>
        <v>404.78021999999999</v>
      </c>
      <c r="G329" s="102"/>
      <c r="H329" s="103"/>
      <c r="I329" s="33"/>
      <c r="L329" s="108"/>
      <c r="M329" s="108"/>
      <c r="N329" s="33"/>
    </row>
    <row r="330" spans="1:14" s="42" customFormat="1" ht="15.75" customHeight="1" x14ac:dyDescent="0.3">
      <c r="A330" s="98">
        <f t="shared" si="12"/>
        <v>24</v>
      </c>
      <c r="B330" s="99"/>
      <c r="C330" s="38" t="s">
        <v>187</v>
      </c>
      <c r="D330" s="47">
        <f>(18.83)*10.764</f>
        <v>202.68611999999996</v>
      </c>
      <c r="E330" s="38">
        <v>0</v>
      </c>
      <c r="F330" s="38">
        <f t="shared" si="15"/>
        <v>304.02917999999994</v>
      </c>
      <c r="G330" s="102"/>
      <c r="H330" s="103"/>
      <c r="I330" s="33"/>
      <c r="L330" s="108"/>
      <c r="M330" s="108"/>
      <c r="N330" s="33"/>
    </row>
    <row r="331" spans="1:14" s="42" customFormat="1" x14ac:dyDescent="0.3">
      <c r="A331" s="98"/>
      <c r="B331" s="138"/>
      <c r="C331" s="138"/>
      <c r="D331" s="138"/>
      <c r="E331" s="138"/>
      <c r="F331" s="138"/>
      <c r="G331" s="138"/>
      <c r="H331" s="99"/>
      <c r="I331" s="33"/>
      <c r="N331" s="33"/>
    </row>
    <row r="332" spans="1:14" ht="47.25" customHeight="1" x14ac:dyDescent="0.3">
      <c r="A332" s="136" t="s">
        <v>126</v>
      </c>
      <c r="B332" s="136" t="s">
        <v>127</v>
      </c>
      <c r="C332" s="122" t="s">
        <v>61</v>
      </c>
      <c r="D332" s="122" t="s">
        <v>62</v>
      </c>
      <c r="E332" s="139" t="s">
        <v>63</v>
      </c>
      <c r="F332" s="39" t="s">
        <v>156</v>
      </c>
      <c r="G332" s="136" t="s">
        <v>64</v>
      </c>
      <c r="H332" s="141"/>
      <c r="I332" s="33"/>
      <c r="J332" s="42"/>
    </row>
    <row r="333" spans="1:14" s="42" customFormat="1" x14ac:dyDescent="0.3">
      <c r="A333" s="137"/>
      <c r="B333" s="137"/>
      <c r="C333" s="123"/>
      <c r="D333" s="123"/>
      <c r="E333" s="140"/>
      <c r="F333" s="13">
        <v>0.45</v>
      </c>
      <c r="G333" s="137"/>
      <c r="H333" s="142"/>
      <c r="I333" s="33"/>
    </row>
    <row r="334" spans="1:14" s="42" customFormat="1" x14ac:dyDescent="0.3">
      <c r="A334" s="194" t="s">
        <v>200</v>
      </c>
      <c r="B334" s="195"/>
      <c r="C334" s="195"/>
      <c r="D334" s="195"/>
      <c r="E334" s="195"/>
      <c r="F334" s="195"/>
      <c r="G334" s="195"/>
      <c r="H334" s="196"/>
      <c r="J334" s="33"/>
    </row>
    <row r="335" spans="1:14" s="42" customFormat="1" x14ac:dyDescent="0.3">
      <c r="A335" s="95" t="s">
        <v>201</v>
      </c>
      <c r="B335" s="96"/>
      <c r="C335" s="96"/>
      <c r="D335" s="96"/>
      <c r="E335" s="96"/>
      <c r="F335" s="96"/>
      <c r="G335" s="96"/>
      <c r="H335" s="97"/>
      <c r="J335" s="33"/>
    </row>
    <row r="336" spans="1:14" s="42" customFormat="1" x14ac:dyDescent="0.3">
      <c r="A336" s="95" t="s">
        <v>189</v>
      </c>
      <c r="B336" s="96"/>
      <c r="C336" s="96"/>
      <c r="D336" s="96"/>
      <c r="E336" s="96"/>
      <c r="F336" s="96"/>
      <c r="G336" s="96"/>
      <c r="H336" s="97"/>
      <c r="J336" s="33"/>
    </row>
    <row r="337" spans="1:14" s="42" customFormat="1" x14ac:dyDescent="0.3">
      <c r="A337" s="95" t="s">
        <v>194</v>
      </c>
      <c r="B337" s="96"/>
      <c r="C337" s="96"/>
      <c r="D337" s="96"/>
      <c r="E337" s="96"/>
      <c r="F337" s="96"/>
      <c r="G337" s="96"/>
      <c r="H337" s="97"/>
      <c r="J337" s="33"/>
    </row>
    <row r="338" spans="1:14" s="42" customFormat="1" ht="15.75" customHeight="1" x14ac:dyDescent="0.3">
      <c r="A338" s="98">
        <v>1</v>
      </c>
      <c r="B338" s="99"/>
      <c r="C338" s="38" t="s">
        <v>190</v>
      </c>
      <c r="D338" s="47">
        <f>(64.13+9.17)*10.764</f>
        <v>789.00119999999993</v>
      </c>
      <c r="E338" s="38">
        <v>0</v>
      </c>
      <c r="F338" s="38">
        <f>D338*(($F$333)+1)+(IF(E338&lt;101,E338,IF(E338&lt;201,E338/2,IF(E338&lt;=301,E338/3,E338/4))))</f>
        <v>1144.0517399999999</v>
      </c>
      <c r="G338" s="100" t="str">
        <f>A337</f>
        <v>1st &amp; 2nd Floor For Residential</v>
      </c>
      <c r="H338" s="101"/>
      <c r="I338" s="38">
        <f>1.07*1.8+3.66*4.27+3.35*1.57+1.32*1.47+2.29*2.31+3.35*3.05+3.35*4.06+2.59*1.3+1.83*1.3+1.83*1.47+1.1*0.9</f>
        <v>63.288599999999995</v>
      </c>
      <c r="J338" s="42">
        <f>(3.66*1.68)</f>
        <v>6.1487999999999996</v>
      </c>
      <c r="K338" s="33">
        <f>I338+J338</f>
        <v>69.437399999999997</v>
      </c>
      <c r="L338" s="108">
        <f>10.764*K338</f>
        <v>747.4241735999999</v>
      </c>
      <c r="M338" s="108"/>
      <c r="N338" s="33"/>
    </row>
    <row r="339" spans="1:14" s="42" customFormat="1" ht="15.75" customHeight="1" x14ac:dyDescent="0.3">
      <c r="A339" s="98">
        <v>2</v>
      </c>
      <c r="B339" s="99"/>
      <c r="C339" s="38" t="s">
        <v>190</v>
      </c>
      <c r="D339" s="47">
        <f>(64.13+9.17)*10.764</f>
        <v>789.00119999999993</v>
      </c>
      <c r="E339" s="38">
        <v>0</v>
      </c>
      <c r="F339" s="38">
        <f>D339*(($F$333)+1)+(IF(E339&lt;101,E339,IF(E339&lt;201,E339/2,IF(E339&lt;=301,E339/3,E339/4))))</f>
        <v>1144.0517399999999</v>
      </c>
      <c r="G339" s="104"/>
      <c r="H339" s="105"/>
      <c r="I339" s="33">
        <f>3.66*1.68</f>
        <v>6.1487999999999996</v>
      </c>
      <c r="L339" s="108"/>
      <c r="M339" s="108"/>
      <c r="N339" s="33"/>
    </row>
    <row r="340" spans="1:14" s="42" customFormat="1" x14ac:dyDescent="0.3">
      <c r="A340" s="95" t="s">
        <v>195</v>
      </c>
      <c r="B340" s="96"/>
      <c r="C340" s="96"/>
      <c r="D340" s="96"/>
      <c r="E340" s="96"/>
      <c r="F340" s="96"/>
      <c r="G340" s="96"/>
      <c r="H340" s="97"/>
      <c r="J340" s="33"/>
    </row>
    <row r="341" spans="1:14" s="42" customFormat="1" ht="15.75" customHeight="1" x14ac:dyDescent="0.3">
      <c r="A341" s="98">
        <v>1</v>
      </c>
      <c r="B341" s="99"/>
      <c r="C341" s="38" t="s">
        <v>190</v>
      </c>
      <c r="D341" s="47">
        <f>(64.13+9.17)*10.764</f>
        <v>789.00119999999993</v>
      </c>
      <c r="E341" s="47">
        <v>0</v>
      </c>
      <c r="F341" s="38">
        <f>D341*(($F$333)+1)+(IF(E341&lt;101,E341,IF(E341&lt;201,E341/2,IF(E341&lt;=301,E341/3,E341/4))))</f>
        <v>1144.0517399999999</v>
      </c>
      <c r="G341" s="100" t="str">
        <f>A340</f>
        <v>3rd Floor</v>
      </c>
      <c r="H341" s="101"/>
      <c r="L341" s="108"/>
      <c r="M341" s="108"/>
      <c r="N341" s="33"/>
    </row>
    <row r="342" spans="1:14" s="42" customFormat="1" ht="15.75" customHeight="1" x14ac:dyDescent="0.3">
      <c r="A342" s="98">
        <v>2</v>
      </c>
      <c r="B342" s="99"/>
      <c r="C342" s="38" t="s">
        <v>190</v>
      </c>
      <c r="D342" s="47">
        <f>(64.13+9.17)*10.764</f>
        <v>789.00119999999993</v>
      </c>
      <c r="E342" s="47">
        <v>0</v>
      </c>
      <c r="F342" s="38">
        <f>D342*(($F$333)+1)+(IF(E342&lt;101,E342,IF(E342&lt;201,E342/2,IF(E342&lt;=301,E342/3,E342/4))))</f>
        <v>1144.0517399999999</v>
      </c>
      <c r="G342" s="102"/>
      <c r="H342" s="103"/>
      <c r="L342" s="108"/>
      <c r="M342" s="108"/>
      <c r="N342" s="33"/>
    </row>
    <row r="343" spans="1:14" s="42" customFormat="1" ht="15.75" customHeight="1" x14ac:dyDescent="0.3">
      <c r="A343" s="98">
        <v>3</v>
      </c>
      <c r="B343" s="99"/>
      <c r="C343" s="38" t="s">
        <v>190</v>
      </c>
      <c r="D343" s="47">
        <f>(67.73)*10.764</f>
        <v>729.04571999999996</v>
      </c>
      <c r="E343" s="47">
        <f>(129.06)*10.764</f>
        <v>1389.2018399999999</v>
      </c>
      <c r="F343" s="38">
        <f>D343*(($F$333)+1)+(IF(E343&lt;101,E343,IF(E343&lt;201,E343/2,IF(E343&lt;=301,E343/3,E343/4))))</f>
        <v>1404.4167539999999</v>
      </c>
      <c r="G343" s="102"/>
      <c r="H343" s="103"/>
      <c r="I343" s="33">
        <f>64.13-1.83*1.47</f>
        <v>61.439899999999994</v>
      </c>
      <c r="J343" s="48">
        <f>4*1.57+I343</f>
        <v>67.719899999999996</v>
      </c>
      <c r="K343" s="42">
        <f>4.5*1.57+3.51*1.17+4.7*10.7+3.66*4.5+7.1*3.2</f>
        <v>100.65170000000001</v>
      </c>
      <c r="L343" s="108"/>
      <c r="M343" s="108"/>
      <c r="N343" s="33"/>
    </row>
    <row r="344" spans="1:14" s="42" customFormat="1" ht="15.75" customHeight="1" x14ac:dyDescent="0.3">
      <c r="A344" s="98">
        <v>4</v>
      </c>
      <c r="B344" s="99"/>
      <c r="C344" s="38" t="s">
        <v>190</v>
      </c>
      <c r="D344" s="47">
        <f>(65.74)*10.764</f>
        <v>707.62535999999989</v>
      </c>
      <c r="E344" s="47">
        <f>(49.29)*10.764</f>
        <v>530.55755999999997</v>
      </c>
      <c r="F344" s="38">
        <f>D344*(($F$333)+1)+(IF(E344&lt;101,E344,IF(E344&lt;201,E344/2,IF(E344&lt;=301,E344/3,E344/4))))</f>
        <v>1158.696162</v>
      </c>
      <c r="G344" s="104"/>
      <c r="H344" s="105"/>
      <c r="I344" s="33">
        <f t="shared" ref="I344" si="16">64.13-1.83*1.47</f>
        <v>61.439899999999994</v>
      </c>
      <c r="J344" s="33">
        <f>4.7*1.57+I344</f>
        <v>68.818899999999999</v>
      </c>
      <c r="L344" s="108"/>
      <c r="M344" s="108"/>
      <c r="N344" s="33"/>
    </row>
    <row r="345" spans="1:14" s="42" customFormat="1" x14ac:dyDescent="0.3">
      <c r="A345" s="95" t="s">
        <v>196</v>
      </c>
      <c r="B345" s="96"/>
      <c r="C345" s="96"/>
      <c r="D345" s="96"/>
      <c r="E345" s="96"/>
      <c r="F345" s="96"/>
      <c r="G345" s="96"/>
      <c r="H345" s="97"/>
      <c r="J345" s="33"/>
    </row>
    <row r="346" spans="1:14" s="42" customFormat="1" ht="15.75" customHeight="1" x14ac:dyDescent="0.3">
      <c r="A346" s="98">
        <v>1</v>
      </c>
      <c r="B346" s="99"/>
      <c r="C346" s="38" t="s">
        <v>190</v>
      </c>
      <c r="D346" s="47">
        <f>(64.13+9.17)*10.764</f>
        <v>789.00119999999993</v>
      </c>
      <c r="E346" s="38">
        <v>0</v>
      </c>
      <c r="F346" s="38">
        <f>D346*(($F$333)+1)+(IF(E346&lt;101,E346,IF(E346&lt;201,E346/2,IF(E346&lt;=301,E346/3,E346/4))))</f>
        <v>1144.0517399999999</v>
      </c>
      <c r="G346" s="100" t="str">
        <f>A345</f>
        <v>4th to 6th Floor</v>
      </c>
      <c r="H346" s="101"/>
      <c r="L346" s="108"/>
      <c r="M346" s="108"/>
      <c r="N346" s="33"/>
    </row>
    <row r="347" spans="1:14" s="42" customFormat="1" ht="15.75" customHeight="1" x14ac:dyDescent="0.3">
      <c r="A347" s="98">
        <v>2</v>
      </c>
      <c r="B347" s="99"/>
      <c r="C347" s="38" t="s">
        <v>190</v>
      </c>
      <c r="D347" s="47">
        <f>(64.13+9.17)*10.764</f>
        <v>789.00119999999993</v>
      </c>
      <c r="E347" s="38">
        <v>0</v>
      </c>
      <c r="F347" s="38">
        <f>D347*(($F$333)+1)+(IF(E347&lt;101,E347,IF(E347&lt;201,E347/2,IF(E347&lt;=301,E347/3,E347/4))))</f>
        <v>1144.0517399999999</v>
      </c>
      <c r="G347" s="102"/>
      <c r="H347" s="103"/>
      <c r="L347" s="108"/>
      <c r="M347" s="108"/>
      <c r="N347" s="33"/>
    </row>
    <row r="348" spans="1:14" s="42" customFormat="1" ht="15.75" customHeight="1" x14ac:dyDescent="0.3">
      <c r="A348" s="98">
        <v>3</v>
      </c>
      <c r="B348" s="99"/>
      <c r="C348" s="38" t="s">
        <v>190</v>
      </c>
      <c r="D348" s="47">
        <f>(64.13+9.17)*10.764</f>
        <v>789.00119999999993</v>
      </c>
      <c r="E348" s="38">
        <v>0</v>
      </c>
      <c r="F348" s="38">
        <f>D348*(($F$333)+1)+(IF(E348&lt;101,E348,IF(E348&lt;201,E348/2,IF(E348&lt;=301,E348/3,E348/4))))</f>
        <v>1144.0517399999999</v>
      </c>
      <c r="G348" s="102"/>
      <c r="H348" s="103"/>
      <c r="L348" s="108"/>
      <c r="M348" s="108"/>
      <c r="N348" s="33"/>
    </row>
    <row r="349" spans="1:14" s="42" customFormat="1" ht="15.75" customHeight="1" x14ac:dyDescent="0.3">
      <c r="A349" s="98">
        <v>4</v>
      </c>
      <c r="B349" s="99"/>
      <c r="C349" s="38" t="s">
        <v>190</v>
      </c>
      <c r="D349" s="47">
        <f>(64.13+9.17)*10.764</f>
        <v>789.00119999999993</v>
      </c>
      <c r="E349" s="38">
        <v>0</v>
      </c>
      <c r="F349" s="38">
        <f>D349*(($F$333)+1)+(IF(E349&lt;101,E349,IF(E349&lt;201,E349/2,IF(E349&lt;=301,E349/3,E349/4))))</f>
        <v>1144.0517399999999</v>
      </c>
      <c r="G349" s="104"/>
      <c r="H349" s="105"/>
      <c r="L349" s="108"/>
      <c r="M349" s="108"/>
      <c r="N349" s="33"/>
    </row>
    <row r="350" spans="1:14" s="42" customFormat="1" ht="15.75" customHeight="1" x14ac:dyDescent="0.3">
      <c r="A350" s="111" t="s">
        <v>191</v>
      </c>
      <c r="B350" s="112"/>
      <c r="C350" s="112"/>
      <c r="D350" s="112"/>
      <c r="E350" s="112"/>
      <c r="F350" s="112"/>
      <c r="G350" s="112"/>
      <c r="H350" s="113"/>
      <c r="I350" s="33"/>
      <c r="J350" s="33"/>
    </row>
    <row r="351" spans="1:14" s="42" customFormat="1" ht="15.75" customHeight="1" x14ac:dyDescent="0.3">
      <c r="A351" s="95" t="s">
        <v>194</v>
      </c>
      <c r="B351" s="96"/>
      <c r="C351" s="96"/>
      <c r="D351" s="96"/>
      <c r="E351" s="96"/>
      <c r="F351" s="96"/>
      <c r="G351" s="96"/>
      <c r="H351" s="97"/>
      <c r="J351" s="33"/>
    </row>
    <row r="352" spans="1:14" s="42" customFormat="1" ht="15.75" customHeight="1" x14ac:dyDescent="0.3">
      <c r="A352" s="98">
        <v>1</v>
      </c>
      <c r="B352" s="99"/>
      <c r="C352" s="38" t="s">
        <v>190</v>
      </c>
      <c r="D352" s="47">
        <f>(64.13+9.17)*10.764</f>
        <v>789.00119999999993</v>
      </c>
      <c r="E352" s="38">
        <v>0</v>
      </c>
      <c r="F352" s="38">
        <f>D352*(($F$333)+1)+(IF(E352&lt;101,E352,IF(E352&lt;201,E352/2,IF(E352&lt;=301,E352/3,E352/4))))</f>
        <v>1144.0517399999999</v>
      </c>
      <c r="G352" s="100" t="str">
        <f>A351</f>
        <v>1st &amp; 2nd Floor For Residential</v>
      </c>
      <c r="H352" s="101"/>
      <c r="I352" s="38">
        <f>1.07*1.8+3.66*4.27+3.35*1.57+1.32*1.47+2.29*2.31+3.35*3.05+3.35*4.06+2.59*1.3+1.83*1.3+1.83*1.47+1.1*0.9</f>
        <v>63.288599999999995</v>
      </c>
      <c r="J352" s="33"/>
      <c r="L352" s="108"/>
      <c r="M352" s="108"/>
      <c r="N352" s="33"/>
    </row>
    <row r="353" spans="1:14" s="42" customFormat="1" ht="15.75" customHeight="1" x14ac:dyDescent="0.3">
      <c r="A353" s="95" t="s">
        <v>195</v>
      </c>
      <c r="B353" s="96"/>
      <c r="C353" s="96"/>
      <c r="D353" s="96"/>
      <c r="E353" s="96"/>
      <c r="F353" s="96"/>
      <c r="G353" s="96"/>
      <c r="H353" s="97"/>
      <c r="J353" s="33"/>
    </row>
    <row r="354" spans="1:14" s="42" customFormat="1" ht="15.75" customHeight="1" x14ac:dyDescent="0.3">
      <c r="A354" s="98">
        <v>1</v>
      </c>
      <c r="B354" s="99"/>
      <c r="C354" s="38" t="s">
        <v>190</v>
      </c>
      <c r="D354" s="47">
        <f>(64.13+9.17)*10.764</f>
        <v>789.00119999999993</v>
      </c>
      <c r="E354" s="47">
        <v>0</v>
      </c>
      <c r="F354" s="38">
        <f>D354*(($F$333)+1)+(IF(E354&lt;101,E354,IF(E354&lt;201,E354/2,IF(E354&lt;=301,E354/3,E354/4))))</f>
        <v>1144.0517399999999</v>
      </c>
      <c r="G354" s="100" t="str">
        <f>A353</f>
        <v>3rd Floor</v>
      </c>
      <c r="H354" s="101"/>
      <c r="L354" s="108"/>
      <c r="M354" s="108"/>
      <c r="N354" s="33"/>
    </row>
    <row r="355" spans="1:14" s="42" customFormat="1" ht="15.75" customHeight="1" x14ac:dyDescent="0.3">
      <c r="A355" s="98">
        <v>2</v>
      </c>
      <c r="B355" s="99"/>
      <c r="C355" s="38" t="s">
        <v>190</v>
      </c>
      <c r="D355" s="47">
        <f>(67.11)*10.764</f>
        <v>722.37203999999997</v>
      </c>
      <c r="E355" s="47">
        <f>(114.25)*10.764</f>
        <v>1229.787</v>
      </c>
      <c r="F355" s="38">
        <f>D355*(($F$333)+1)+(IF(E355&lt;101,E355,IF(E355&lt;201,E355/2,IF(E355&lt;=301,E355/3,E355/4))))</f>
        <v>1354.8862079999999</v>
      </c>
      <c r="G355" s="102"/>
      <c r="H355" s="103"/>
      <c r="L355" s="108"/>
      <c r="M355" s="108"/>
      <c r="N355" s="33"/>
    </row>
    <row r="356" spans="1:14" s="42" customFormat="1" ht="15.75" customHeight="1" x14ac:dyDescent="0.3">
      <c r="A356" s="98">
        <v>3</v>
      </c>
      <c r="B356" s="99"/>
      <c r="C356" s="38" t="s">
        <v>190</v>
      </c>
      <c r="D356" s="47">
        <f>(65.97)*10.764</f>
        <v>710.10107999999991</v>
      </c>
      <c r="E356" s="47">
        <f>(69.34)*10.764</f>
        <v>746.37576000000001</v>
      </c>
      <c r="F356" s="38">
        <f>D356*(($F$333)+1)+(IF(E356&lt;101,E356,IF(E356&lt;201,E356/2,IF(E356&lt;=301,E356/3,E356/4))))</f>
        <v>1216.2405059999999</v>
      </c>
      <c r="G356" s="102"/>
      <c r="H356" s="103"/>
      <c r="I356" s="33"/>
      <c r="J356" s="48"/>
      <c r="L356" s="108"/>
      <c r="M356" s="108"/>
      <c r="N356" s="33"/>
    </row>
    <row r="357" spans="1:14" s="42" customFormat="1" ht="15.75" customHeight="1" x14ac:dyDescent="0.3">
      <c r="A357" s="98">
        <v>4</v>
      </c>
      <c r="B357" s="99"/>
      <c r="C357" s="38" t="s">
        <v>190</v>
      </c>
      <c r="D357" s="47">
        <f>(67.73)*10.764</f>
        <v>729.04571999999996</v>
      </c>
      <c r="E357" s="47">
        <f>(102.74)*10.764</f>
        <v>1105.8933599999998</v>
      </c>
      <c r="F357" s="38">
        <f>D357*(($F$333)+1)+(IF(E357&lt;101,E357,IF(E357&lt;201,E357/2,IF(E357&lt;=301,E357/3,E357/4))))</f>
        <v>1333.5896339999999</v>
      </c>
      <c r="G357" s="104"/>
      <c r="H357" s="105"/>
      <c r="I357" s="33"/>
      <c r="J357" s="33"/>
      <c r="L357" s="108"/>
      <c r="M357" s="108"/>
      <c r="N357" s="33"/>
    </row>
    <row r="358" spans="1:14" s="42" customFormat="1" ht="15.75" customHeight="1" x14ac:dyDescent="0.3">
      <c r="A358" s="95" t="s">
        <v>196</v>
      </c>
      <c r="B358" s="96"/>
      <c r="C358" s="96"/>
      <c r="D358" s="96"/>
      <c r="E358" s="96"/>
      <c r="F358" s="96"/>
      <c r="G358" s="96"/>
      <c r="H358" s="97"/>
      <c r="J358" s="33"/>
    </row>
    <row r="359" spans="1:14" s="42" customFormat="1" ht="15.75" customHeight="1" x14ac:dyDescent="0.3">
      <c r="A359" s="98">
        <v>1</v>
      </c>
      <c r="B359" s="99"/>
      <c r="C359" s="38" t="s">
        <v>190</v>
      </c>
      <c r="D359" s="47">
        <f>(64.13+9.17)*10.764</f>
        <v>789.00119999999993</v>
      </c>
      <c r="E359" s="38">
        <v>0</v>
      </c>
      <c r="F359" s="38">
        <f>D359*(($F$333)+1)+(IF(E359&lt;101,E359,IF(E359&lt;201,E359/2,IF(E359&lt;=301,E359/3,E359/4))))</f>
        <v>1144.0517399999999</v>
      </c>
      <c r="G359" s="100" t="str">
        <f>A358</f>
        <v>4th to 6th Floor</v>
      </c>
      <c r="H359" s="101"/>
      <c r="L359" s="108"/>
      <c r="M359" s="108"/>
      <c r="N359" s="33"/>
    </row>
    <row r="360" spans="1:14" s="42" customFormat="1" ht="15.75" customHeight="1" x14ac:dyDescent="0.3">
      <c r="A360" s="98">
        <v>2</v>
      </c>
      <c r="B360" s="99"/>
      <c r="C360" s="38" t="s">
        <v>190</v>
      </c>
      <c r="D360" s="47">
        <f>(64.13+9.17)*10.764</f>
        <v>789.00119999999993</v>
      </c>
      <c r="E360" s="38">
        <v>0</v>
      </c>
      <c r="F360" s="38">
        <f>D360*(($F$333)+1)+(IF(E360&lt;101,E360,IF(E360&lt;201,E360/2,IF(E360&lt;=301,E360/3,E360/4))))</f>
        <v>1144.0517399999999</v>
      </c>
      <c r="G360" s="102"/>
      <c r="H360" s="103"/>
      <c r="L360" s="108"/>
      <c r="M360" s="108"/>
      <c r="N360" s="33"/>
    </row>
    <row r="361" spans="1:14" s="42" customFormat="1" ht="15.75" customHeight="1" x14ac:dyDescent="0.3">
      <c r="A361" s="98">
        <v>3</v>
      </c>
      <c r="B361" s="99"/>
      <c r="C361" s="38" t="s">
        <v>190</v>
      </c>
      <c r="D361" s="47">
        <f>(64.13+9.17)*10.764</f>
        <v>789.00119999999993</v>
      </c>
      <c r="E361" s="38">
        <v>0</v>
      </c>
      <c r="F361" s="38">
        <f>D361*(($F$333)+1)+(IF(E361&lt;101,E361,IF(E361&lt;201,E361/2,IF(E361&lt;=301,E361/3,E361/4))))</f>
        <v>1144.0517399999999</v>
      </c>
      <c r="G361" s="102"/>
      <c r="H361" s="103"/>
      <c r="I361" s="33"/>
      <c r="J361" s="48"/>
      <c r="L361" s="108"/>
      <c r="M361" s="108"/>
      <c r="N361" s="33"/>
    </row>
    <row r="362" spans="1:14" s="42" customFormat="1" ht="15.75" customHeight="1" x14ac:dyDescent="0.3">
      <c r="A362" s="98">
        <v>4</v>
      </c>
      <c r="B362" s="99"/>
      <c r="C362" s="38" t="s">
        <v>190</v>
      </c>
      <c r="D362" s="47">
        <f>(64.13+9.17)*10.764</f>
        <v>789.00119999999993</v>
      </c>
      <c r="E362" s="38">
        <v>0</v>
      </c>
      <c r="F362" s="38">
        <f>D362*(($F$333)+1)+(IF(E362&lt;101,E362,IF(E362&lt;201,E362/2,IF(E362&lt;=301,E362/3,E362/4))))</f>
        <v>1144.0517399999999</v>
      </c>
      <c r="G362" s="104"/>
      <c r="H362" s="105"/>
      <c r="I362" s="33"/>
      <c r="J362" s="33"/>
      <c r="L362" s="108"/>
      <c r="M362" s="108"/>
      <c r="N362" s="33"/>
    </row>
    <row r="363" spans="1:14" s="42" customFormat="1" ht="15.75" customHeight="1" x14ac:dyDescent="0.3">
      <c r="A363" s="111" t="s">
        <v>192</v>
      </c>
      <c r="B363" s="112"/>
      <c r="C363" s="112"/>
      <c r="D363" s="112"/>
      <c r="E363" s="112"/>
      <c r="F363" s="112"/>
      <c r="G363" s="112"/>
      <c r="H363" s="113"/>
      <c r="J363" s="33"/>
    </row>
    <row r="364" spans="1:14" s="42" customFormat="1" ht="15.75" customHeight="1" x14ac:dyDescent="0.3">
      <c r="A364" s="95" t="s">
        <v>193</v>
      </c>
      <c r="B364" s="96"/>
      <c r="C364" s="96"/>
      <c r="D364" s="96"/>
      <c r="E364" s="96"/>
      <c r="F364" s="96"/>
      <c r="G364" s="96"/>
      <c r="H364" s="97"/>
      <c r="J364" s="33"/>
    </row>
    <row r="365" spans="1:14" s="42" customFormat="1" ht="15.75" customHeight="1" x14ac:dyDescent="0.3">
      <c r="A365" s="98">
        <v>1</v>
      </c>
      <c r="B365" s="99"/>
      <c r="C365" s="38" t="s">
        <v>190</v>
      </c>
      <c r="D365" s="47">
        <f>(64.13+9.17)*10.764</f>
        <v>789.00119999999993</v>
      </c>
      <c r="E365" s="38">
        <v>0</v>
      </c>
      <c r="F365" s="38">
        <f>D365*(($F$333)+1)+(IF(E365&lt;101,E365,IF(E365&lt;201,E365/2,IF(E365&lt;=301,E365/3,E365/4))))</f>
        <v>1144.0517399999999</v>
      </c>
      <c r="G365" s="100" t="str">
        <f>A364</f>
        <v>1st &amp; 2nd  Floor For Residential</v>
      </c>
      <c r="H365" s="101"/>
      <c r="I365" s="38">
        <f>1.07*1.8+3.66*4.27+3.35*1.57+1.32*1.47+2.29*2.31+3.35*3.05+3.35*4.06+2.59*1.3+1.83*1.3+1.83*1.47+1.1*0.9</f>
        <v>63.288599999999995</v>
      </c>
      <c r="L365" s="108"/>
      <c r="M365" s="108"/>
      <c r="N365" s="33"/>
    </row>
    <row r="366" spans="1:14" s="42" customFormat="1" ht="15.75" customHeight="1" x14ac:dyDescent="0.3">
      <c r="A366" s="98">
        <f t="shared" ref="A366" si="17">A365+1</f>
        <v>2</v>
      </c>
      <c r="B366" s="99"/>
      <c r="C366" s="38" t="s">
        <v>190</v>
      </c>
      <c r="D366" s="47">
        <f>(64.13+9.17)*10.764</f>
        <v>789.00119999999993</v>
      </c>
      <c r="E366" s="38">
        <v>0</v>
      </c>
      <c r="F366" s="38">
        <f>D366*(($F$333)+1)+(IF(E366&lt;101,E366,IF(E366&lt;201,E366/2,IF(E366&lt;=301,E366/3,E366/4))))</f>
        <v>1144.0517399999999</v>
      </c>
      <c r="G366" s="104"/>
      <c r="H366" s="105"/>
      <c r="I366" s="33"/>
      <c r="L366" s="108"/>
      <c r="M366" s="108"/>
      <c r="N366" s="33"/>
    </row>
    <row r="367" spans="1:14" s="42" customFormat="1" ht="15.75" customHeight="1" x14ac:dyDescent="0.3">
      <c r="A367" s="95" t="s">
        <v>195</v>
      </c>
      <c r="B367" s="96"/>
      <c r="C367" s="96"/>
      <c r="D367" s="96"/>
      <c r="E367" s="96"/>
      <c r="F367" s="96"/>
      <c r="G367" s="96"/>
      <c r="H367" s="97"/>
      <c r="J367" s="33"/>
    </row>
    <row r="368" spans="1:14" s="42" customFormat="1" ht="15.75" customHeight="1" x14ac:dyDescent="0.3">
      <c r="A368" s="98">
        <v>1</v>
      </c>
      <c r="B368" s="99"/>
      <c r="C368" s="38" t="s">
        <v>190</v>
      </c>
      <c r="D368" s="47">
        <f>(65.71)*10.764</f>
        <v>707.30243999999993</v>
      </c>
      <c r="E368" s="47">
        <f>(49.29)*10.764</f>
        <v>530.55755999999997</v>
      </c>
      <c r="F368" s="38">
        <f>D368*(($F$333)+1)+(IF(E368&lt;101,E368,IF(E368&lt;201,E368/2,IF(E368&lt;=301,E368/3,E368/4))))</f>
        <v>1158.227928</v>
      </c>
      <c r="G368" s="100" t="str">
        <f>A367</f>
        <v>3rd Floor</v>
      </c>
      <c r="H368" s="101"/>
      <c r="L368" s="108"/>
      <c r="M368" s="108"/>
      <c r="N368" s="33"/>
    </row>
    <row r="369" spans="1:14" s="42" customFormat="1" ht="15.75" customHeight="1" x14ac:dyDescent="0.3">
      <c r="A369" s="98">
        <v>2</v>
      </c>
      <c r="B369" s="99"/>
      <c r="C369" s="38" t="s">
        <v>190</v>
      </c>
      <c r="D369" s="47">
        <f>(67.73)*10.764</f>
        <v>729.04571999999996</v>
      </c>
      <c r="E369" s="47">
        <f>(129.06)*10.764</f>
        <v>1389.2018399999999</v>
      </c>
      <c r="F369" s="38">
        <f>D369*(($F$333)+1)+(IF(E369&lt;101,E369,IF(E369&lt;201,E369/2,IF(E369&lt;=301,E369/3,E369/4))))</f>
        <v>1404.4167539999999</v>
      </c>
      <c r="G369" s="102"/>
      <c r="H369" s="103"/>
      <c r="L369" s="108"/>
      <c r="M369" s="108"/>
      <c r="N369" s="33"/>
    </row>
    <row r="370" spans="1:14" s="42" customFormat="1" ht="15.75" customHeight="1" x14ac:dyDescent="0.3">
      <c r="A370" s="98">
        <v>3</v>
      </c>
      <c r="B370" s="99"/>
      <c r="C370" s="38" t="s">
        <v>190</v>
      </c>
      <c r="D370" s="47">
        <f>(64.13+9.17)*10.764</f>
        <v>789.00119999999993</v>
      </c>
      <c r="E370" s="47">
        <v>0</v>
      </c>
      <c r="F370" s="38">
        <f>D370*(($F$333)+1)+(IF(E370&lt;101,E370,IF(E370&lt;201,E370/2,IF(E370&lt;=301,E370/3,E370/4))))</f>
        <v>1144.0517399999999</v>
      </c>
      <c r="G370" s="102"/>
      <c r="H370" s="103"/>
      <c r="I370" s="33"/>
      <c r="J370" s="48"/>
      <c r="L370" s="108"/>
      <c r="M370" s="108"/>
      <c r="N370" s="33"/>
    </row>
    <row r="371" spans="1:14" s="42" customFormat="1" ht="15.75" customHeight="1" x14ac:dyDescent="0.3">
      <c r="A371" s="98">
        <v>4</v>
      </c>
      <c r="B371" s="99"/>
      <c r="C371" s="38" t="s">
        <v>190</v>
      </c>
      <c r="D371" s="47">
        <f>(64.13+9.17)*10.764</f>
        <v>789.00119999999993</v>
      </c>
      <c r="E371" s="47">
        <v>0</v>
      </c>
      <c r="F371" s="38">
        <f>D371*(($F$333)+1)+(IF(E371&lt;101,E371,IF(E371&lt;201,E371/2,IF(E371&lt;=301,E371/3,E371/4))))</f>
        <v>1144.0517399999999</v>
      </c>
      <c r="G371" s="104"/>
      <c r="H371" s="105"/>
      <c r="I371" s="33"/>
      <c r="J371" s="33"/>
      <c r="L371" s="108"/>
      <c r="M371" s="108"/>
      <c r="N371" s="33"/>
    </row>
    <row r="372" spans="1:14" s="42" customFormat="1" ht="15.75" customHeight="1" x14ac:dyDescent="0.3">
      <c r="A372" s="95" t="s">
        <v>196</v>
      </c>
      <c r="B372" s="96"/>
      <c r="C372" s="96"/>
      <c r="D372" s="96"/>
      <c r="E372" s="96"/>
      <c r="F372" s="96"/>
      <c r="G372" s="96"/>
      <c r="H372" s="97"/>
      <c r="J372" s="33"/>
    </row>
    <row r="373" spans="1:14" s="42" customFormat="1" ht="15.75" customHeight="1" x14ac:dyDescent="0.3">
      <c r="A373" s="98">
        <v>1</v>
      </c>
      <c r="B373" s="99"/>
      <c r="C373" s="38" t="s">
        <v>190</v>
      </c>
      <c r="D373" s="47">
        <f>(64.13+9.17)*10.764</f>
        <v>789.00119999999993</v>
      </c>
      <c r="E373" s="38">
        <v>0</v>
      </c>
      <c r="F373" s="38">
        <f>D373*(($F$333)+1)+(IF(E373&lt;101,E373,IF(E373&lt;201,E373/2,IF(E373&lt;=301,E373/3,E373/4))))</f>
        <v>1144.0517399999999</v>
      </c>
      <c r="G373" s="100" t="str">
        <f>A372</f>
        <v>4th to 6th Floor</v>
      </c>
      <c r="H373" s="101"/>
      <c r="L373" s="108"/>
      <c r="M373" s="108"/>
      <c r="N373" s="33"/>
    </row>
    <row r="374" spans="1:14" s="42" customFormat="1" ht="15.75" customHeight="1" x14ac:dyDescent="0.3">
      <c r="A374" s="98">
        <v>2</v>
      </c>
      <c r="B374" s="99"/>
      <c r="C374" s="38" t="s">
        <v>190</v>
      </c>
      <c r="D374" s="47">
        <f>(64.13+9.17)*10.764</f>
        <v>789.00119999999993</v>
      </c>
      <c r="E374" s="38">
        <v>0</v>
      </c>
      <c r="F374" s="38">
        <f>D374*(($F$333)+1)+(IF(E374&lt;101,E374,IF(E374&lt;201,E374/2,IF(E374&lt;=301,E374/3,E374/4))))</f>
        <v>1144.0517399999999</v>
      </c>
      <c r="G374" s="102"/>
      <c r="H374" s="103"/>
      <c r="L374" s="108"/>
      <c r="M374" s="108"/>
      <c r="N374" s="33"/>
    </row>
    <row r="375" spans="1:14" s="42" customFormat="1" ht="15.75" customHeight="1" x14ac:dyDescent="0.3">
      <c r="A375" s="98">
        <v>3</v>
      </c>
      <c r="B375" s="99"/>
      <c r="C375" s="38" t="s">
        <v>190</v>
      </c>
      <c r="D375" s="47">
        <f>(64.13+9.17)*10.764</f>
        <v>789.00119999999993</v>
      </c>
      <c r="E375" s="38">
        <v>0</v>
      </c>
      <c r="F375" s="38">
        <f>D375*(($F$333)+1)+(IF(E375&lt;101,E375,IF(E375&lt;201,E375/2,IF(E375&lt;=301,E375/3,E375/4))))</f>
        <v>1144.0517399999999</v>
      </c>
      <c r="G375" s="102"/>
      <c r="H375" s="103"/>
      <c r="I375" s="33"/>
      <c r="J375" s="48"/>
      <c r="L375" s="108"/>
      <c r="M375" s="108"/>
      <c r="N375" s="33"/>
    </row>
    <row r="376" spans="1:14" s="42" customFormat="1" ht="15.75" customHeight="1" x14ac:dyDescent="0.3">
      <c r="A376" s="98">
        <v>4</v>
      </c>
      <c r="B376" s="99"/>
      <c r="C376" s="38" t="s">
        <v>190</v>
      </c>
      <c r="D376" s="47">
        <f>(64.13+9.17)*10.764</f>
        <v>789.00119999999993</v>
      </c>
      <c r="E376" s="38">
        <v>0</v>
      </c>
      <c r="F376" s="38">
        <f>D376*(($F$333)+1)+(IF(E376&lt;101,E376,IF(E376&lt;201,E376/2,IF(E376&lt;=301,E376/3,E376/4))))</f>
        <v>1144.0517399999999</v>
      </c>
      <c r="G376" s="104"/>
      <c r="H376" s="105"/>
      <c r="I376" s="33"/>
      <c r="J376" s="33"/>
      <c r="L376" s="108"/>
      <c r="M376" s="108"/>
      <c r="N376" s="33"/>
    </row>
    <row r="377" spans="1:14" s="42" customFormat="1" x14ac:dyDescent="0.3">
      <c r="A377" s="95" t="s">
        <v>200</v>
      </c>
      <c r="B377" s="96"/>
      <c r="C377" s="96"/>
      <c r="D377" s="96"/>
      <c r="E377" s="96"/>
      <c r="F377" s="96"/>
      <c r="G377" s="96"/>
      <c r="H377" s="97"/>
      <c r="I377" s="51"/>
      <c r="J377" s="52"/>
    </row>
    <row r="378" spans="1:14" s="42" customFormat="1" x14ac:dyDescent="0.3">
      <c r="A378" s="95" t="s">
        <v>286</v>
      </c>
      <c r="B378" s="96"/>
      <c r="C378" s="96"/>
      <c r="D378" s="96"/>
      <c r="E378" s="96"/>
      <c r="F378" s="96"/>
      <c r="G378" s="96"/>
      <c r="H378" s="97"/>
      <c r="I378" s="109" t="s">
        <v>288</v>
      </c>
      <c r="J378" s="110"/>
      <c r="K378" s="110"/>
      <c r="L378" s="110"/>
      <c r="M378" s="110"/>
    </row>
    <row r="379" spans="1:14" s="42" customFormat="1" x14ac:dyDescent="0.3">
      <c r="A379" s="95" t="s">
        <v>189</v>
      </c>
      <c r="B379" s="96"/>
      <c r="C379" s="96"/>
      <c r="D379" s="96"/>
      <c r="E379" s="96"/>
      <c r="F379" s="96"/>
      <c r="G379" s="96"/>
      <c r="H379" s="97"/>
      <c r="J379" s="33"/>
    </row>
    <row r="380" spans="1:14" s="42" customFormat="1" x14ac:dyDescent="0.3">
      <c r="A380" s="95" t="s">
        <v>287</v>
      </c>
      <c r="B380" s="96"/>
      <c r="C380" s="96"/>
      <c r="D380" s="96"/>
      <c r="E380" s="96"/>
      <c r="F380" s="96"/>
      <c r="G380" s="96"/>
      <c r="H380" s="97"/>
      <c r="J380" s="33"/>
    </row>
    <row r="381" spans="1:14" s="42" customFormat="1" x14ac:dyDescent="0.3">
      <c r="A381" s="95" t="s">
        <v>210</v>
      </c>
      <c r="B381" s="96"/>
      <c r="C381" s="96"/>
      <c r="D381" s="96"/>
      <c r="E381" s="96"/>
      <c r="F381" s="96"/>
      <c r="G381" s="96"/>
      <c r="H381" s="97"/>
      <c r="J381" s="33"/>
    </row>
    <row r="382" spans="1:14" s="42" customFormat="1" ht="15.75" customHeight="1" x14ac:dyDescent="0.3">
      <c r="A382" s="98" t="s">
        <v>261</v>
      </c>
      <c r="B382" s="99"/>
      <c r="C382" s="38" t="s">
        <v>211</v>
      </c>
      <c r="D382" s="47">
        <f>(101.57+6.44)*10.764</f>
        <v>1162.6196399999999</v>
      </c>
      <c r="E382" s="38">
        <v>0</v>
      </c>
      <c r="F382" s="38">
        <f>D382*(($F$333)+1)+(IF(E382&lt;101,E382,IF(E382&lt;201,E382/2,IF(E382&lt;=301,E382/3,E382/4))))</f>
        <v>1685.7984779999997</v>
      </c>
      <c r="G382" s="100" t="str">
        <f>A381</f>
        <v>1st to 7th Floor For Residential</v>
      </c>
      <c r="H382" s="101"/>
      <c r="I382" s="38">
        <f>(5.59*3.96+5.28*2.24+3.35*2.74+3.96*3.35*3+1.52*2.35+1.52*2.36+1.52*2.44+0.9*1.52+0.9*1.52+0.9*0.4)*10.764</f>
        <v>1043.0811143999997</v>
      </c>
      <c r="J382" s="42">
        <f>101.57*10.764</f>
        <v>1093.2994799999999</v>
      </c>
      <c r="K382" s="33"/>
      <c r="L382" s="108"/>
      <c r="M382" s="108"/>
      <c r="N382" s="33"/>
    </row>
    <row r="383" spans="1:14" s="42" customFormat="1" ht="15.75" customHeight="1" x14ac:dyDescent="0.3">
      <c r="A383" s="98" t="s">
        <v>262</v>
      </c>
      <c r="B383" s="99"/>
      <c r="C383" s="38" t="s">
        <v>211</v>
      </c>
      <c r="D383" s="47">
        <f>(101.57+6.44)*10.764</f>
        <v>1162.6196399999999</v>
      </c>
      <c r="E383" s="38">
        <v>0</v>
      </c>
      <c r="F383" s="38">
        <f>D383*(($F$333)+1)+(IF(E383&lt;101,E383,IF(E383&lt;201,E383/2,IF(E383&lt;=301,E383/3,E383/4))))</f>
        <v>1685.7984779999997</v>
      </c>
      <c r="G383" s="104"/>
      <c r="H383" s="105"/>
      <c r="I383" s="33"/>
      <c r="L383" s="108"/>
      <c r="M383" s="108"/>
      <c r="N383" s="33"/>
    </row>
    <row r="384" spans="1:14" s="42" customFormat="1" x14ac:dyDescent="0.3">
      <c r="A384" s="95" t="s">
        <v>191</v>
      </c>
      <c r="B384" s="96"/>
      <c r="C384" s="96"/>
      <c r="D384" s="96"/>
      <c r="E384" s="96"/>
      <c r="F384" s="96"/>
      <c r="G384" s="96"/>
      <c r="H384" s="97"/>
      <c r="J384" s="33"/>
    </row>
    <row r="385" spans="1:14" s="42" customFormat="1" x14ac:dyDescent="0.3">
      <c r="A385" s="95" t="s">
        <v>287</v>
      </c>
      <c r="B385" s="96"/>
      <c r="C385" s="96"/>
      <c r="D385" s="96"/>
      <c r="E385" s="96"/>
      <c r="F385" s="96"/>
      <c r="G385" s="96"/>
      <c r="H385" s="97"/>
      <c r="J385" s="33"/>
    </row>
    <row r="386" spans="1:14" s="42" customFormat="1" x14ac:dyDescent="0.3">
      <c r="A386" s="95" t="s">
        <v>210</v>
      </c>
      <c r="B386" s="96"/>
      <c r="C386" s="96"/>
      <c r="D386" s="96"/>
      <c r="E386" s="96"/>
      <c r="F386" s="96"/>
      <c r="G386" s="96"/>
      <c r="H386" s="97"/>
      <c r="J386" s="33"/>
    </row>
    <row r="387" spans="1:14" s="42" customFormat="1" ht="15.75" customHeight="1" x14ac:dyDescent="0.3">
      <c r="A387" s="98" t="s">
        <v>261</v>
      </c>
      <c r="B387" s="99"/>
      <c r="C387" s="38" t="s">
        <v>211</v>
      </c>
      <c r="D387" s="47">
        <f>(101.57+6.44)*10.764</f>
        <v>1162.6196399999999</v>
      </c>
      <c r="E387" s="38">
        <v>0</v>
      </c>
      <c r="F387" s="38">
        <f>D387*(($F$333)+1)+(IF(E387&lt;101,E387,IF(E387&lt;201,E387/2,IF(E387&lt;=301,E387/3,E387/4))))</f>
        <v>1685.7984779999997</v>
      </c>
      <c r="G387" s="100" t="str">
        <f>A386</f>
        <v>1st to 7th Floor For Residential</v>
      </c>
      <c r="H387" s="101"/>
      <c r="I387" s="38">
        <f>(5.59*3.96+5.28*2.24+3.35*2.74+3.96*3.35*3+1.52*2.35+1.52*2.36+1.52*2.44+0.9*1.52+0.9*1.52+0.9*0.4)*10.764</f>
        <v>1043.0811143999997</v>
      </c>
      <c r="J387" s="42">
        <f>101.57*10.764</f>
        <v>1093.2994799999999</v>
      </c>
      <c r="K387" s="33"/>
      <c r="L387" s="108"/>
      <c r="M387" s="108"/>
      <c r="N387" s="33"/>
    </row>
    <row r="388" spans="1:14" s="42" customFormat="1" ht="15.75" customHeight="1" x14ac:dyDescent="0.3">
      <c r="A388" s="98" t="s">
        <v>262</v>
      </c>
      <c r="B388" s="99"/>
      <c r="C388" s="38" t="s">
        <v>211</v>
      </c>
      <c r="D388" s="47">
        <f>(101.57+6.44)*10.764</f>
        <v>1162.6196399999999</v>
      </c>
      <c r="E388" s="38">
        <v>0</v>
      </c>
      <c r="F388" s="38">
        <f>D388*(($F$333)+1)+(IF(E388&lt;101,E388,IF(E388&lt;201,E388/2,IF(E388&lt;=301,E388/3,E388/4))))</f>
        <v>1685.7984779999997</v>
      </c>
      <c r="G388" s="104"/>
      <c r="H388" s="105"/>
      <c r="I388" s="33"/>
      <c r="L388" s="108"/>
      <c r="M388" s="108"/>
      <c r="N388" s="33"/>
    </row>
    <row r="389" spans="1:14" s="42" customFormat="1" x14ac:dyDescent="0.3">
      <c r="A389" s="95" t="s">
        <v>192</v>
      </c>
      <c r="B389" s="96"/>
      <c r="C389" s="96"/>
      <c r="D389" s="96"/>
      <c r="E389" s="96"/>
      <c r="F389" s="96"/>
      <c r="G389" s="96"/>
      <c r="H389" s="97"/>
      <c r="J389" s="33"/>
    </row>
    <row r="390" spans="1:14" s="42" customFormat="1" x14ac:dyDescent="0.3">
      <c r="A390" s="95" t="s">
        <v>287</v>
      </c>
      <c r="B390" s="96"/>
      <c r="C390" s="96"/>
      <c r="D390" s="96"/>
      <c r="E390" s="96"/>
      <c r="F390" s="96"/>
      <c r="G390" s="96"/>
      <c r="H390" s="97"/>
      <c r="J390" s="33"/>
    </row>
    <row r="391" spans="1:14" s="42" customFormat="1" x14ac:dyDescent="0.3">
      <c r="A391" s="95" t="s">
        <v>210</v>
      </c>
      <c r="B391" s="96"/>
      <c r="C391" s="96"/>
      <c r="D391" s="96"/>
      <c r="E391" s="96"/>
      <c r="F391" s="96"/>
      <c r="G391" s="96"/>
      <c r="H391" s="97"/>
      <c r="J391" s="33"/>
    </row>
    <row r="392" spans="1:14" s="42" customFormat="1" ht="15.75" customHeight="1" x14ac:dyDescent="0.3">
      <c r="A392" s="98" t="s">
        <v>261</v>
      </c>
      <c r="B392" s="99"/>
      <c r="C392" s="38" t="s">
        <v>211</v>
      </c>
      <c r="D392" s="47">
        <f>(101.57+6.44)*10.764</f>
        <v>1162.6196399999999</v>
      </c>
      <c r="E392" s="38">
        <v>0</v>
      </c>
      <c r="F392" s="38">
        <f>D392*(($F$333)+1)+(IF(E392&lt;101,E392,IF(E392&lt;201,E392/2,IF(E392&lt;=301,E392/3,E392/4))))</f>
        <v>1685.7984779999997</v>
      </c>
      <c r="G392" s="100" t="str">
        <f>A391</f>
        <v>1st to 7th Floor For Residential</v>
      </c>
      <c r="H392" s="101"/>
      <c r="I392" s="38">
        <f>(5.59*3.96+5.28*2.24+3.35*2.74+3.96*3.35*3+1.52*2.35+1.52*2.36+1.52*2.44+0.9*1.52+0.9*1.52+0.9*0.4)*10.764</f>
        <v>1043.0811143999997</v>
      </c>
      <c r="J392" s="42">
        <f>101.57*10.764</f>
        <v>1093.2994799999999</v>
      </c>
      <c r="K392" s="33"/>
      <c r="L392" s="108"/>
      <c r="M392" s="108"/>
      <c r="N392" s="33"/>
    </row>
    <row r="393" spans="1:14" s="42" customFormat="1" ht="15.75" customHeight="1" x14ac:dyDescent="0.3">
      <c r="A393" s="98" t="s">
        <v>262</v>
      </c>
      <c r="B393" s="99"/>
      <c r="C393" s="38" t="s">
        <v>211</v>
      </c>
      <c r="D393" s="47">
        <f>(101.57+6.44)*10.764</f>
        <v>1162.6196399999999</v>
      </c>
      <c r="E393" s="38">
        <v>0</v>
      </c>
      <c r="F393" s="38">
        <f>D393*(($F$333)+1)+(IF(E393&lt;101,E393,IF(E393&lt;201,E393/2,IF(E393&lt;=301,E393/3,E393/4))))</f>
        <v>1685.7984779999997</v>
      </c>
      <c r="G393" s="104"/>
      <c r="H393" s="105"/>
      <c r="I393" s="33"/>
      <c r="L393" s="108"/>
      <c r="M393" s="108"/>
      <c r="N393" s="33"/>
    </row>
    <row r="394" spans="1:14" s="42" customFormat="1" x14ac:dyDescent="0.3">
      <c r="A394" s="95" t="s">
        <v>200</v>
      </c>
      <c r="B394" s="96"/>
      <c r="C394" s="96"/>
      <c r="D394" s="96"/>
      <c r="E394" s="96"/>
      <c r="F394" s="96"/>
      <c r="G394" s="96"/>
      <c r="H394" s="97"/>
      <c r="I394" s="51"/>
      <c r="J394" s="52"/>
    </row>
    <row r="395" spans="1:14" s="42" customFormat="1" x14ac:dyDescent="0.3">
      <c r="A395" s="95" t="s">
        <v>236</v>
      </c>
      <c r="B395" s="96"/>
      <c r="C395" s="96"/>
      <c r="D395" s="96"/>
      <c r="E395" s="96"/>
      <c r="F395" s="96"/>
      <c r="G395" s="96"/>
      <c r="H395" s="97"/>
      <c r="J395" s="33"/>
    </row>
    <row r="396" spans="1:14" s="42" customFormat="1" x14ac:dyDescent="0.3">
      <c r="A396" s="95" t="s">
        <v>198</v>
      </c>
      <c r="B396" s="96"/>
      <c r="C396" s="96"/>
      <c r="D396" s="96"/>
      <c r="E396" s="96"/>
      <c r="F396" s="96"/>
      <c r="G396" s="96"/>
      <c r="H396" s="97"/>
      <c r="J396" s="33"/>
    </row>
    <row r="397" spans="1:14" s="42" customFormat="1" x14ac:dyDescent="0.3">
      <c r="A397" s="95" t="s">
        <v>210</v>
      </c>
      <c r="B397" s="96"/>
      <c r="C397" s="96"/>
      <c r="D397" s="96"/>
      <c r="E397" s="96"/>
      <c r="F397" s="96"/>
      <c r="G397" s="96"/>
      <c r="H397" s="97"/>
      <c r="J397" s="33"/>
    </row>
    <row r="398" spans="1:14" s="42" customFormat="1" ht="15.75" customHeight="1" x14ac:dyDescent="0.3">
      <c r="A398" s="98" t="s">
        <v>261</v>
      </c>
      <c r="B398" s="99"/>
      <c r="C398" s="38" t="s">
        <v>211</v>
      </c>
      <c r="D398" s="47">
        <f>(89.88+8.24)*10.764</f>
        <v>1056.1636799999999</v>
      </c>
      <c r="E398" s="38">
        <v>0</v>
      </c>
      <c r="F398" s="38">
        <f>D398*(($F$333)+1)+(IF(E398&lt;101,E398,IF(E398&lt;201,E398/2,IF(E398&lt;=301,E398/3,E398/4))))</f>
        <v>1531.4373359999997</v>
      </c>
      <c r="G398" s="100" t="str">
        <f>A397</f>
        <v>1st to 7th Floor For Residential</v>
      </c>
      <c r="H398" s="101"/>
      <c r="I398" s="33">
        <f>4.88*4.11+3.3*3.05+3.2*3.96+3.2*3.96+3.2*3.96+1.42*1.83+2.29*1.37+1.37*2.95+2.29*1.37+1.37*2.4+1.37*1.2+1.37*0.9</f>
        <v>87.217500000000001</v>
      </c>
      <c r="J398" s="42">
        <f>1.17*4.11</f>
        <v>4.8087</v>
      </c>
      <c r="L398" s="108"/>
      <c r="M398" s="108"/>
      <c r="N398" s="33"/>
    </row>
    <row r="399" spans="1:14" s="42" customFormat="1" ht="15.75" customHeight="1" x14ac:dyDescent="0.3">
      <c r="A399" s="98" t="s">
        <v>262</v>
      </c>
      <c r="B399" s="99"/>
      <c r="C399" s="38" t="s">
        <v>211</v>
      </c>
      <c r="D399" s="47">
        <f t="shared" ref="D399:D401" si="18">(89.88+8.24)*10.764</f>
        <v>1056.1636799999999</v>
      </c>
      <c r="E399" s="38">
        <v>0</v>
      </c>
      <c r="F399" s="38">
        <f>D399*(($F$333)+1)+(IF(E399&lt;101,E399,IF(E399&lt;201,E399/2,IF(E399&lt;=301,E399/3,E399/4))))</f>
        <v>1531.4373359999997</v>
      </c>
      <c r="G399" s="102"/>
      <c r="H399" s="103"/>
      <c r="I399" s="42">
        <f>5500000/F399</f>
        <v>3591.3973563982645</v>
      </c>
      <c r="L399" s="108"/>
      <c r="M399" s="108"/>
      <c r="N399" s="33"/>
    </row>
    <row r="400" spans="1:14" s="42" customFormat="1" ht="15.75" customHeight="1" x14ac:dyDescent="0.3">
      <c r="A400" s="98" t="s">
        <v>263</v>
      </c>
      <c r="B400" s="99"/>
      <c r="C400" s="38" t="s">
        <v>211</v>
      </c>
      <c r="D400" s="47">
        <f t="shared" si="18"/>
        <v>1056.1636799999999</v>
      </c>
      <c r="E400" s="38">
        <v>0</v>
      </c>
      <c r="F400" s="38">
        <f>D400*(($F$333)+1)+(IF(E400&lt;101,E400,IF(E400&lt;201,E400/2,IF(E400&lt;=301,E400/3,E400/4))))</f>
        <v>1531.4373359999997</v>
      </c>
      <c r="G400" s="102"/>
      <c r="H400" s="103"/>
      <c r="L400" s="108"/>
      <c r="M400" s="108"/>
      <c r="N400" s="33"/>
    </row>
    <row r="401" spans="1:14" s="42" customFormat="1" ht="15.75" customHeight="1" x14ac:dyDescent="0.3">
      <c r="A401" s="98" t="s">
        <v>264</v>
      </c>
      <c r="B401" s="99"/>
      <c r="C401" s="38" t="s">
        <v>211</v>
      </c>
      <c r="D401" s="47">
        <f t="shared" si="18"/>
        <v>1056.1636799999999</v>
      </c>
      <c r="E401" s="38">
        <v>0</v>
      </c>
      <c r="F401" s="38">
        <f>D401*(($F$333)+1)+(IF(E401&lt;101,E401,IF(E401&lt;201,E401/2,IF(E401&lt;=301,E401/3,E401/4))))</f>
        <v>1531.4373359999997</v>
      </c>
      <c r="G401" s="104"/>
      <c r="H401" s="105"/>
      <c r="I401" s="51" t="s">
        <v>237</v>
      </c>
      <c r="J401" s="52" t="s">
        <v>227</v>
      </c>
      <c r="K401" s="33"/>
      <c r="L401" s="108"/>
      <c r="M401" s="108"/>
      <c r="N401" s="33"/>
    </row>
    <row r="402" spans="1:14" s="42" customFormat="1" hidden="1" x14ac:dyDescent="0.3">
      <c r="A402" s="95" t="s">
        <v>200</v>
      </c>
      <c r="B402" s="96"/>
      <c r="C402" s="96"/>
      <c r="D402" s="96"/>
      <c r="E402" s="96"/>
      <c r="F402" s="96"/>
      <c r="G402" s="96"/>
      <c r="H402" s="97"/>
      <c r="I402" s="33"/>
      <c r="J402" s="33"/>
      <c r="K402" s="33"/>
    </row>
    <row r="403" spans="1:14" s="42" customFormat="1" hidden="1" x14ac:dyDescent="0.3">
      <c r="A403" s="95" t="s">
        <v>234</v>
      </c>
      <c r="B403" s="96"/>
      <c r="C403" s="96"/>
      <c r="D403" s="96"/>
      <c r="E403" s="96"/>
      <c r="F403" s="96"/>
      <c r="G403" s="96"/>
      <c r="H403" s="97"/>
      <c r="I403" s="33"/>
      <c r="J403" s="33"/>
      <c r="K403" s="33"/>
    </row>
    <row r="404" spans="1:14" s="42" customFormat="1" hidden="1" x14ac:dyDescent="0.3">
      <c r="A404" s="95" t="s">
        <v>189</v>
      </c>
      <c r="B404" s="96"/>
      <c r="C404" s="96"/>
      <c r="D404" s="96"/>
      <c r="E404" s="96"/>
      <c r="F404" s="96"/>
      <c r="G404" s="96"/>
      <c r="H404" s="97"/>
      <c r="J404" s="33"/>
    </row>
    <row r="405" spans="1:14" s="42" customFormat="1" hidden="1" x14ac:dyDescent="0.3">
      <c r="A405" s="95" t="s">
        <v>198</v>
      </c>
      <c r="B405" s="96"/>
      <c r="C405" s="96"/>
      <c r="D405" s="96"/>
      <c r="E405" s="96"/>
      <c r="F405" s="96"/>
      <c r="G405" s="96"/>
      <c r="H405" s="97"/>
      <c r="J405" s="33"/>
    </row>
    <row r="406" spans="1:14" s="42" customFormat="1" hidden="1" x14ac:dyDescent="0.3">
      <c r="A406" s="95" t="s">
        <v>210</v>
      </c>
      <c r="B406" s="96"/>
      <c r="C406" s="96"/>
      <c r="D406" s="96"/>
      <c r="E406" s="96"/>
      <c r="F406" s="96"/>
      <c r="G406" s="96"/>
      <c r="H406" s="97"/>
      <c r="J406" s="33"/>
    </row>
    <row r="407" spans="1:14" s="42" customFormat="1" ht="15.75" hidden="1" customHeight="1" x14ac:dyDescent="0.3">
      <c r="A407" s="98">
        <v>1</v>
      </c>
      <c r="B407" s="99"/>
      <c r="C407" s="38" t="s">
        <v>211</v>
      </c>
      <c r="D407" s="47">
        <f>(89.88+8.24)*10.764</f>
        <v>1056.1636799999999</v>
      </c>
      <c r="E407" s="38">
        <v>0</v>
      </c>
      <c r="F407" s="38">
        <f>D407*(($F$333)+1)+(IF(E407&lt;101,E407,IF(E407&lt;201,E407/2,IF(E407&lt;=301,E407/3,E407/4))))</f>
        <v>1531.4373359999997</v>
      </c>
      <c r="G407" s="100" t="str">
        <f>A406</f>
        <v>1st to 7th Floor For Residential</v>
      </c>
      <c r="H407" s="101"/>
      <c r="I407" s="33">
        <f>4.88*4.11+3.3*3.05+3.2*3.96+3.2*3.96+3.2*3.96+1.42*1.83+2.29*1.37+1.37*2.95+2.29*1.37+1.37*2.4+1.37*1.2+1.37*0.9</f>
        <v>87.217500000000001</v>
      </c>
      <c r="J407" s="42">
        <f>1.17*4.11</f>
        <v>4.8087</v>
      </c>
      <c r="L407" s="108"/>
      <c r="M407" s="108"/>
      <c r="N407" s="33"/>
    </row>
    <row r="408" spans="1:14" s="42" customFormat="1" ht="15.75" hidden="1" customHeight="1" x14ac:dyDescent="0.3">
      <c r="A408" s="98">
        <f t="shared" ref="A408:A410" si="19">A407+1</f>
        <v>2</v>
      </c>
      <c r="B408" s="99"/>
      <c r="C408" s="38" t="s">
        <v>211</v>
      </c>
      <c r="D408" s="47">
        <f t="shared" ref="D408:D410" si="20">(89.88+8.24)*10.764</f>
        <v>1056.1636799999999</v>
      </c>
      <c r="E408" s="38">
        <v>0</v>
      </c>
      <c r="F408" s="38">
        <f>D408*(($F$333)+1)+(IF(E408&lt;101,E408,IF(E408&lt;201,E408/2,IF(E408&lt;=301,E408/3,E408/4))))</f>
        <v>1531.4373359999997</v>
      </c>
      <c r="G408" s="102"/>
      <c r="H408" s="103"/>
      <c r="L408" s="108"/>
      <c r="M408" s="108"/>
      <c r="N408" s="33"/>
    </row>
    <row r="409" spans="1:14" s="42" customFormat="1" ht="15.75" hidden="1" customHeight="1" x14ac:dyDescent="0.3">
      <c r="A409" s="98">
        <v>1</v>
      </c>
      <c r="B409" s="99"/>
      <c r="C409" s="38" t="s">
        <v>211</v>
      </c>
      <c r="D409" s="47">
        <f t="shared" si="20"/>
        <v>1056.1636799999999</v>
      </c>
      <c r="E409" s="38">
        <v>0</v>
      </c>
      <c r="F409" s="38">
        <f>D409*(($F$333)+1)+(IF(E409&lt;101,E409,IF(E409&lt;201,E409/2,IF(E409&lt;=301,E409/3,E409/4))))</f>
        <v>1531.4373359999997</v>
      </c>
      <c r="G409" s="102"/>
      <c r="H409" s="103"/>
      <c r="L409" s="108"/>
      <c r="M409" s="108"/>
      <c r="N409" s="33"/>
    </row>
    <row r="410" spans="1:14" s="42" customFormat="1" ht="15.75" hidden="1" customHeight="1" x14ac:dyDescent="0.3">
      <c r="A410" s="98">
        <f t="shared" si="19"/>
        <v>2</v>
      </c>
      <c r="B410" s="99"/>
      <c r="C410" s="38" t="s">
        <v>211</v>
      </c>
      <c r="D410" s="47">
        <f t="shared" si="20"/>
        <v>1056.1636799999999</v>
      </c>
      <c r="E410" s="38">
        <v>0</v>
      </c>
      <c r="F410" s="38">
        <f>D410*(($F$333)+1)+(IF(E410&lt;101,E410,IF(E410&lt;201,E410/2,IF(E410&lt;=301,E410/3,E410/4))))</f>
        <v>1531.4373359999997</v>
      </c>
      <c r="G410" s="104"/>
      <c r="H410" s="105"/>
      <c r="I410" s="33"/>
      <c r="L410" s="108"/>
      <c r="M410" s="108"/>
      <c r="N410" s="33"/>
    </row>
    <row r="411" spans="1:14" s="42" customFormat="1" hidden="1" x14ac:dyDescent="0.3">
      <c r="A411" s="95" t="s">
        <v>200</v>
      </c>
      <c r="B411" s="96"/>
      <c r="C411" s="96"/>
      <c r="D411" s="96"/>
      <c r="E411" s="96"/>
      <c r="F411" s="96"/>
      <c r="G411" s="96"/>
      <c r="H411" s="97"/>
      <c r="I411" s="33"/>
      <c r="J411" s="33"/>
      <c r="K411" s="33"/>
    </row>
    <row r="412" spans="1:14" s="42" customFormat="1" hidden="1" x14ac:dyDescent="0.3">
      <c r="A412" s="95" t="s">
        <v>235</v>
      </c>
      <c r="B412" s="96"/>
      <c r="C412" s="96"/>
      <c r="D412" s="96"/>
      <c r="E412" s="96"/>
      <c r="F412" s="96"/>
      <c r="G412" s="96"/>
      <c r="H412" s="97"/>
      <c r="I412" s="33"/>
      <c r="J412" s="33"/>
      <c r="K412" s="33"/>
    </row>
    <row r="413" spans="1:14" s="42" customFormat="1" hidden="1" x14ac:dyDescent="0.3">
      <c r="A413" s="95" t="s">
        <v>189</v>
      </c>
      <c r="B413" s="96"/>
      <c r="C413" s="96"/>
      <c r="D413" s="96"/>
      <c r="E413" s="96"/>
      <c r="F413" s="96"/>
      <c r="G413" s="96"/>
      <c r="H413" s="97"/>
      <c r="J413" s="33"/>
    </row>
    <row r="414" spans="1:14" s="42" customFormat="1" hidden="1" x14ac:dyDescent="0.3">
      <c r="A414" s="95" t="s">
        <v>198</v>
      </c>
      <c r="B414" s="96"/>
      <c r="C414" s="96"/>
      <c r="D414" s="96"/>
      <c r="E414" s="96"/>
      <c r="F414" s="96"/>
      <c r="G414" s="96"/>
      <c r="H414" s="97"/>
      <c r="J414" s="33"/>
    </row>
    <row r="415" spans="1:14" s="42" customFormat="1" hidden="1" x14ac:dyDescent="0.3">
      <c r="A415" s="95" t="s">
        <v>210</v>
      </c>
      <c r="B415" s="96"/>
      <c r="C415" s="96"/>
      <c r="D415" s="96"/>
      <c r="E415" s="96"/>
      <c r="F415" s="96"/>
      <c r="G415" s="96"/>
      <c r="H415" s="97"/>
      <c r="J415" s="33"/>
    </row>
    <row r="416" spans="1:14" s="42" customFormat="1" ht="15.75" hidden="1" customHeight="1" x14ac:dyDescent="0.3">
      <c r="A416" s="98">
        <v>1</v>
      </c>
      <c r="B416" s="99"/>
      <c r="C416" s="38" t="s">
        <v>211</v>
      </c>
      <c r="D416" s="47">
        <f>(89.88+8.24)*10.764</f>
        <v>1056.1636799999999</v>
      </c>
      <c r="E416" s="38">
        <v>0</v>
      </c>
      <c r="F416" s="38">
        <f>D416*(($F$333)+1)+(IF(E416&lt;101,E416,IF(E416&lt;201,E416/2,IF(E416&lt;=301,E416/3,E416/4))))</f>
        <v>1531.4373359999997</v>
      </c>
      <c r="G416" s="100" t="str">
        <f>A415</f>
        <v>1st to 7th Floor For Residential</v>
      </c>
      <c r="H416" s="101"/>
      <c r="I416" s="33">
        <f>4.88*4.11+3.3*3.05+3.2*3.96+3.2*3.96+3.2*3.96+1.42*1.83+2.29*1.37+1.37*2.95+2.29*1.37+1.37*2.4+1.37*1.2+1.37*0.9</f>
        <v>87.217500000000001</v>
      </c>
      <c r="J416" s="42">
        <f>1.17*4.11</f>
        <v>4.8087</v>
      </c>
      <c r="L416" s="108"/>
      <c r="M416" s="108"/>
      <c r="N416" s="33"/>
    </row>
    <row r="417" spans="1:14" s="42" customFormat="1" ht="15.75" hidden="1" customHeight="1" x14ac:dyDescent="0.3">
      <c r="A417" s="98">
        <f t="shared" ref="A417:A419" si="21">A416+1</f>
        <v>2</v>
      </c>
      <c r="B417" s="99"/>
      <c r="C417" s="38" t="s">
        <v>211</v>
      </c>
      <c r="D417" s="47">
        <f t="shared" ref="D417:D419" si="22">(89.88+8.24)*10.764</f>
        <v>1056.1636799999999</v>
      </c>
      <c r="E417" s="38">
        <v>0</v>
      </c>
      <c r="F417" s="38">
        <f>D417*(($F$333)+1)+(IF(E417&lt;101,E417,IF(E417&lt;201,E417/2,IF(E417&lt;=301,E417/3,E417/4))))</f>
        <v>1531.4373359999997</v>
      </c>
      <c r="G417" s="102"/>
      <c r="H417" s="103"/>
      <c r="L417" s="108"/>
      <c r="M417" s="108"/>
      <c r="N417" s="33"/>
    </row>
    <row r="418" spans="1:14" s="42" customFormat="1" ht="15.75" hidden="1" customHeight="1" x14ac:dyDescent="0.3">
      <c r="A418" s="98">
        <v>1</v>
      </c>
      <c r="B418" s="99"/>
      <c r="C418" s="38" t="s">
        <v>211</v>
      </c>
      <c r="D418" s="47">
        <f t="shared" si="22"/>
        <v>1056.1636799999999</v>
      </c>
      <c r="E418" s="38">
        <v>0</v>
      </c>
      <c r="F418" s="38">
        <f>D418*(($F$333)+1)+(IF(E418&lt;101,E418,IF(E418&lt;201,E418/2,IF(E418&lt;=301,E418/3,E418/4))))</f>
        <v>1531.4373359999997</v>
      </c>
      <c r="G418" s="102"/>
      <c r="H418" s="103"/>
      <c r="L418" s="108"/>
      <c r="M418" s="108"/>
      <c r="N418" s="33"/>
    </row>
    <row r="419" spans="1:14" s="42" customFormat="1" ht="15.75" hidden="1" customHeight="1" x14ac:dyDescent="0.3">
      <c r="A419" s="98">
        <f t="shared" si="21"/>
        <v>2</v>
      </c>
      <c r="B419" s="99"/>
      <c r="C419" s="38" t="s">
        <v>211</v>
      </c>
      <c r="D419" s="47">
        <f t="shared" si="22"/>
        <v>1056.1636799999999</v>
      </c>
      <c r="E419" s="38">
        <v>0</v>
      </c>
      <c r="F419" s="38">
        <f>D419*(($F$333)+1)+(IF(E419&lt;101,E419,IF(E419&lt;201,E419/2,IF(E419&lt;=301,E419/3,E419/4))))</f>
        <v>1531.4373359999997</v>
      </c>
      <c r="G419" s="104"/>
      <c r="H419" s="105"/>
      <c r="I419" s="33"/>
      <c r="L419" s="108"/>
      <c r="M419" s="108"/>
      <c r="N419" s="33"/>
    </row>
    <row r="420" spans="1:14" s="42" customFormat="1" x14ac:dyDescent="0.3">
      <c r="A420" s="204" t="s">
        <v>197</v>
      </c>
      <c r="B420" s="205"/>
      <c r="C420" s="205"/>
      <c r="D420" s="205"/>
      <c r="E420" s="205"/>
      <c r="F420" s="205"/>
      <c r="G420" s="205"/>
      <c r="H420" s="206"/>
      <c r="J420" s="33"/>
    </row>
    <row r="421" spans="1:14" s="42" customFormat="1" x14ac:dyDescent="0.3">
      <c r="A421" s="95" t="s">
        <v>248</v>
      </c>
      <c r="B421" s="96"/>
      <c r="C421" s="96"/>
      <c r="D421" s="96"/>
      <c r="E421" s="96"/>
      <c r="F421" s="96"/>
      <c r="G421" s="96"/>
      <c r="H421" s="97"/>
      <c r="J421" s="33"/>
    </row>
    <row r="422" spans="1:14" s="42" customFormat="1" x14ac:dyDescent="0.3">
      <c r="A422" s="95" t="s">
        <v>198</v>
      </c>
      <c r="B422" s="96"/>
      <c r="C422" s="96"/>
      <c r="D422" s="96"/>
      <c r="E422" s="96"/>
      <c r="F422" s="96"/>
      <c r="G422" s="96"/>
      <c r="H422" s="97"/>
      <c r="J422" s="33"/>
    </row>
    <row r="423" spans="1:14" s="42" customFormat="1" x14ac:dyDescent="0.3">
      <c r="A423" s="95" t="s">
        <v>210</v>
      </c>
      <c r="B423" s="96"/>
      <c r="C423" s="96"/>
      <c r="D423" s="96"/>
      <c r="E423" s="96"/>
      <c r="F423" s="96"/>
      <c r="G423" s="96"/>
      <c r="H423" s="97"/>
      <c r="J423" s="33"/>
    </row>
    <row r="424" spans="1:14" s="42" customFormat="1" ht="15.75" customHeight="1" x14ac:dyDescent="0.3">
      <c r="A424" s="98" t="s">
        <v>261</v>
      </c>
      <c r="B424" s="99"/>
      <c r="C424" s="38" t="s">
        <v>190</v>
      </c>
      <c r="D424" s="47">
        <f>(59.52+6.7)*10.764</f>
        <v>712.79207999999994</v>
      </c>
      <c r="E424" s="38">
        <v>0</v>
      </c>
      <c r="F424" s="38">
        <f>D424*(($F$333)+1)+(IF(E424&lt;101,E424,IF(E424&lt;201,E424/2,IF(E424&lt;=301,E424/3,E424/4))))</f>
        <v>1033.5485159999998</v>
      </c>
      <c r="G424" s="100" t="str">
        <f>A423</f>
        <v>1st to 7th Floor For Residential</v>
      </c>
      <c r="H424" s="101"/>
      <c r="I424" s="33">
        <f>(4.06*4.57+2.59*2.74+3.05*3.66+3.05*3.35+2.03*1.37+1.37*2.29+1.37*1.27+0.9*1.37+1.17*0.6*2)</f>
        <v>57.326599999999999</v>
      </c>
      <c r="J424" s="49">
        <f>1*4.06+1*2.59</f>
        <v>6.6499999999999995</v>
      </c>
      <c r="L424" s="108"/>
      <c r="M424" s="108"/>
      <c r="N424" s="33"/>
    </row>
    <row r="425" spans="1:14" s="42" customFormat="1" ht="15.75" customHeight="1" x14ac:dyDescent="0.3">
      <c r="A425" s="98" t="s">
        <v>262</v>
      </c>
      <c r="B425" s="99"/>
      <c r="C425" s="38" t="s">
        <v>190</v>
      </c>
      <c r="D425" s="47">
        <f>(59.52+6.7)*10.764</f>
        <v>712.79207999999994</v>
      </c>
      <c r="E425" s="38">
        <v>0</v>
      </c>
      <c r="F425" s="38">
        <f>D425*(($F$333)+1)+(IF(E425&lt;101,E425,IF(E425&lt;201,E425/2,IF(E425&lt;=301,E425/3,E425/4))))</f>
        <v>1033.5485159999998</v>
      </c>
      <c r="G425" s="104"/>
      <c r="H425" s="105"/>
      <c r="I425" s="51" t="s">
        <v>238</v>
      </c>
      <c r="J425" s="52" t="s">
        <v>227</v>
      </c>
      <c r="L425" s="108"/>
      <c r="M425" s="108"/>
      <c r="N425" s="33"/>
    </row>
    <row r="426" spans="1:14" s="42" customFormat="1" hidden="1" x14ac:dyDescent="0.3">
      <c r="A426" s="95" t="s">
        <v>197</v>
      </c>
      <c r="B426" s="96"/>
      <c r="C426" s="96"/>
      <c r="D426" s="96"/>
      <c r="E426" s="96"/>
      <c r="F426" s="96"/>
      <c r="G426" s="96"/>
      <c r="H426" s="97"/>
      <c r="J426" s="33"/>
    </row>
    <row r="427" spans="1:14" s="42" customFormat="1" hidden="1" x14ac:dyDescent="0.3">
      <c r="A427" s="95" t="s">
        <v>239</v>
      </c>
      <c r="B427" s="96"/>
      <c r="C427" s="96"/>
      <c r="D427" s="96"/>
      <c r="E427" s="96"/>
      <c r="F427" s="96"/>
      <c r="G427" s="96"/>
      <c r="H427" s="97"/>
      <c r="J427" s="33"/>
    </row>
    <row r="428" spans="1:14" s="42" customFormat="1" hidden="1" x14ac:dyDescent="0.3">
      <c r="A428" s="95" t="s">
        <v>198</v>
      </c>
      <c r="B428" s="96"/>
      <c r="C428" s="96"/>
      <c r="D428" s="96"/>
      <c r="E428" s="96"/>
      <c r="F428" s="96"/>
      <c r="G428" s="96"/>
      <c r="H428" s="97"/>
      <c r="J428" s="33"/>
    </row>
    <row r="429" spans="1:14" s="42" customFormat="1" hidden="1" x14ac:dyDescent="0.3">
      <c r="A429" s="95" t="s">
        <v>210</v>
      </c>
      <c r="B429" s="96"/>
      <c r="C429" s="96"/>
      <c r="D429" s="96"/>
      <c r="E429" s="96"/>
      <c r="F429" s="96"/>
      <c r="G429" s="96"/>
      <c r="H429" s="97"/>
      <c r="J429" s="33"/>
    </row>
    <row r="430" spans="1:14" s="42" customFormat="1" ht="15.75" hidden="1" customHeight="1" x14ac:dyDescent="0.3">
      <c r="A430" s="98">
        <v>1</v>
      </c>
      <c r="B430" s="99"/>
      <c r="C430" s="38" t="s">
        <v>190</v>
      </c>
      <c r="D430" s="47">
        <f>(59.52+6.7)*10.764</f>
        <v>712.79207999999994</v>
      </c>
      <c r="E430" s="38">
        <v>0</v>
      </c>
      <c r="F430" s="38">
        <f>D430*(($F$333)+1)+(IF(E430&lt;101,E430,IF(E430&lt;201,E430/2,IF(E430&lt;=301,E430/3,E430/4))))</f>
        <v>1033.5485159999998</v>
      </c>
      <c r="G430" s="100" t="str">
        <f>A429</f>
        <v>1st to 7th Floor For Residential</v>
      </c>
      <c r="H430" s="101"/>
      <c r="I430" s="33"/>
      <c r="J430" s="49"/>
      <c r="L430" s="108"/>
      <c r="M430" s="108"/>
      <c r="N430" s="33"/>
    </row>
    <row r="431" spans="1:14" s="42" customFormat="1" ht="15.75" hidden="1" customHeight="1" x14ac:dyDescent="0.3">
      <c r="A431" s="98">
        <v>2</v>
      </c>
      <c r="B431" s="99"/>
      <c r="C431" s="38" t="s">
        <v>190</v>
      </c>
      <c r="D431" s="47">
        <f>(59.52+6.7)*10.764</f>
        <v>712.79207999999994</v>
      </c>
      <c r="E431" s="38">
        <v>0</v>
      </c>
      <c r="F431" s="38">
        <f>D431*(($F$333)+1)+(IF(E431&lt;101,E431,IF(E431&lt;201,E431/2,IF(E431&lt;=301,E431/3,E431/4))))</f>
        <v>1033.5485159999998</v>
      </c>
      <c r="G431" s="104"/>
      <c r="H431" s="105"/>
      <c r="L431" s="108"/>
      <c r="M431" s="108"/>
      <c r="N431" s="33"/>
    </row>
    <row r="432" spans="1:14" s="42" customFormat="1" hidden="1" x14ac:dyDescent="0.3">
      <c r="A432" s="95" t="s">
        <v>197</v>
      </c>
      <c r="B432" s="96"/>
      <c r="C432" s="96"/>
      <c r="D432" s="96"/>
      <c r="E432" s="96"/>
      <c r="F432" s="96"/>
      <c r="G432" s="96"/>
      <c r="H432" s="97"/>
      <c r="J432" s="33"/>
    </row>
    <row r="433" spans="1:14" s="42" customFormat="1" hidden="1" x14ac:dyDescent="0.3">
      <c r="A433" s="95" t="s">
        <v>240</v>
      </c>
      <c r="B433" s="96"/>
      <c r="C433" s="96"/>
      <c r="D433" s="96"/>
      <c r="E433" s="96"/>
      <c r="F433" s="96"/>
      <c r="G433" s="96"/>
      <c r="H433" s="97"/>
      <c r="J433" s="33"/>
    </row>
    <row r="434" spans="1:14" s="42" customFormat="1" hidden="1" x14ac:dyDescent="0.3">
      <c r="A434" s="95" t="s">
        <v>198</v>
      </c>
      <c r="B434" s="96"/>
      <c r="C434" s="96"/>
      <c r="D434" s="96"/>
      <c r="E434" s="96"/>
      <c r="F434" s="96"/>
      <c r="G434" s="96"/>
      <c r="H434" s="97"/>
      <c r="J434" s="33"/>
    </row>
    <row r="435" spans="1:14" s="42" customFormat="1" hidden="1" x14ac:dyDescent="0.3">
      <c r="A435" s="95" t="s">
        <v>210</v>
      </c>
      <c r="B435" s="96"/>
      <c r="C435" s="96"/>
      <c r="D435" s="96"/>
      <c r="E435" s="96"/>
      <c r="F435" s="96"/>
      <c r="G435" s="96"/>
      <c r="H435" s="97"/>
      <c r="J435" s="33"/>
    </row>
    <row r="436" spans="1:14" s="42" customFormat="1" ht="15.75" hidden="1" customHeight="1" x14ac:dyDescent="0.3">
      <c r="A436" s="98">
        <v>1</v>
      </c>
      <c r="B436" s="99"/>
      <c r="C436" s="38" t="s">
        <v>190</v>
      </c>
      <c r="D436" s="47">
        <f>(59.52+6.7)*10.764</f>
        <v>712.79207999999994</v>
      </c>
      <c r="E436" s="38">
        <v>0</v>
      </c>
      <c r="F436" s="38">
        <f>D436*(($F$333)+1)+(IF(E436&lt;101,E436,IF(E436&lt;201,E436/2,IF(E436&lt;=301,E436/3,E436/4))))</f>
        <v>1033.5485159999998</v>
      </c>
      <c r="G436" s="100" t="str">
        <f>A435</f>
        <v>1st to 7th Floor For Residential</v>
      </c>
      <c r="H436" s="101"/>
      <c r="I436" s="33"/>
      <c r="J436" s="49"/>
      <c r="L436" s="108"/>
      <c r="M436" s="108"/>
      <c r="N436" s="33"/>
    </row>
    <row r="437" spans="1:14" s="42" customFormat="1" ht="15.75" hidden="1" customHeight="1" x14ac:dyDescent="0.3">
      <c r="A437" s="98">
        <v>2</v>
      </c>
      <c r="B437" s="99"/>
      <c r="C437" s="38" t="s">
        <v>190</v>
      </c>
      <c r="D437" s="47">
        <f>(59.52+6.7)*10.764</f>
        <v>712.79207999999994</v>
      </c>
      <c r="E437" s="38">
        <v>0</v>
      </c>
      <c r="F437" s="38">
        <f>D437*(($F$333)+1)+(IF(E437&lt;101,E437,IF(E437&lt;201,E437/2,IF(E437&lt;=301,E437/3,E437/4))))</f>
        <v>1033.5485159999998</v>
      </c>
      <c r="G437" s="104"/>
      <c r="H437" s="105"/>
      <c r="L437" s="108"/>
      <c r="M437" s="108"/>
      <c r="N437" s="33"/>
    </row>
    <row r="438" spans="1:14" s="42" customFormat="1" hidden="1" x14ac:dyDescent="0.3">
      <c r="A438" s="95" t="s">
        <v>197</v>
      </c>
      <c r="B438" s="96"/>
      <c r="C438" s="96"/>
      <c r="D438" s="96"/>
      <c r="E438" s="96"/>
      <c r="F438" s="96"/>
      <c r="G438" s="96"/>
      <c r="H438" s="97"/>
      <c r="J438" s="33"/>
    </row>
    <row r="439" spans="1:14" s="42" customFormat="1" hidden="1" x14ac:dyDescent="0.3">
      <c r="A439" s="95" t="s">
        <v>241</v>
      </c>
      <c r="B439" s="96"/>
      <c r="C439" s="96"/>
      <c r="D439" s="96"/>
      <c r="E439" s="96"/>
      <c r="F439" s="96"/>
      <c r="G439" s="96"/>
      <c r="H439" s="97"/>
      <c r="J439" s="33"/>
    </row>
    <row r="440" spans="1:14" s="42" customFormat="1" hidden="1" x14ac:dyDescent="0.3">
      <c r="A440" s="95" t="s">
        <v>198</v>
      </c>
      <c r="B440" s="96"/>
      <c r="C440" s="96"/>
      <c r="D440" s="96"/>
      <c r="E440" s="96"/>
      <c r="F440" s="96"/>
      <c r="G440" s="96"/>
      <c r="H440" s="97"/>
      <c r="J440" s="33"/>
    </row>
    <row r="441" spans="1:14" s="42" customFormat="1" hidden="1" x14ac:dyDescent="0.3">
      <c r="A441" s="95" t="s">
        <v>210</v>
      </c>
      <c r="B441" s="96"/>
      <c r="C441" s="96"/>
      <c r="D441" s="96"/>
      <c r="E441" s="96"/>
      <c r="F441" s="96"/>
      <c r="G441" s="96"/>
      <c r="H441" s="97"/>
      <c r="J441" s="33"/>
    </row>
    <row r="442" spans="1:14" s="42" customFormat="1" ht="15.75" hidden="1" customHeight="1" x14ac:dyDescent="0.3">
      <c r="A442" s="98">
        <v>1</v>
      </c>
      <c r="B442" s="99"/>
      <c r="C442" s="38" t="s">
        <v>190</v>
      </c>
      <c r="D442" s="47">
        <f>(59.52+6.7)*10.764</f>
        <v>712.79207999999994</v>
      </c>
      <c r="E442" s="38">
        <v>0</v>
      </c>
      <c r="F442" s="38">
        <f>D442*(($F$333)+1)+(IF(E442&lt;101,E442,IF(E442&lt;201,E442/2,IF(E442&lt;=301,E442/3,E442/4))))</f>
        <v>1033.5485159999998</v>
      </c>
      <c r="G442" s="100" t="str">
        <f>A441</f>
        <v>1st to 7th Floor For Residential</v>
      </c>
      <c r="H442" s="101"/>
      <c r="I442" s="33"/>
      <c r="J442" s="49"/>
      <c r="L442" s="108"/>
      <c r="M442" s="108"/>
      <c r="N442" s="33"/>
    </row>
    <row r="443" spans="1:14" s="42" customFormat="1" ht="15.75" hidden="1" customHeight="1" x14ac:dyDescent="0.3">
      <c r="A443" s="98">
        <v>2</v>
      </c>
      <c r="B443" s="99"/>
      <c r="C443" s="38" t="s">
        <v>190</v>
      </c>
      <c r="D443" s="47">
        <f>(59.52+6.7)*10.764</f>
        <v>712.79207999999994</v>
      </c>
      <c r="E443" s="38">
        <v>0</v>
      </c>
      <c r="F443" s="38">
        <f>D443*(($F$333)+1)+(IF(E443&lt;101,E443,IF(E443&lt;201,E443/2,IF(E443&lt;=301,E443/3,E443/4))))</f>
        <v>1033.5485159999998</v>
      </c>
      <c r="G443" s="104"/>
      <c r="H443" s="105"/>
      <c r="L443" s="108"/>
      <c r="M443" s="108"/>
      <c r="N443" s="33"/>
    </row>
    <row r="444" spans="1:14" s="42" customFormat="1" hidden="1" x14ac:dyDescent="0.3">
      <c r="A444" s="95" t="s">
        <v>197</v>
      </c>
      <c r="B444" s="96"/>
      <c r="C444" s="96"/>
      <c r="D444" s="96"/>
      <c r="E444" s="96"/>
      <c r="F444" s="96"/>
      <c r="G444" s="96"/>
      <c r="H444" s="97"/>
      <c r="J444" s="33"/>
    </row>
    <row r="445" spans="1:14" s="42" customFormat="1" hidden="1" x14ac:dyDescent="0.3">
      <c r="A445" s="95" t="s">
        <v>242</v>
      </c>
      <c r="B445" s="96"/>
      <c r="C445" s="96"/>
      <c r="D445" s="96"/>
      <c r="E445" s="96"/>
      <c r="F445" s="96"/>
      <c r="G445" s="96"/>
      <c r="H445" s="97"/>
      <c r="J445" s="33"/>
    </row>
    <row r="446" spans="1:14" s="42" customFormat="1" hidden="1" x14ac:dyDescent="0.3">
      <c r="A446" s="95" t="s">
        <v>198</v>
      </c>
      <c r="B446" s="96"/>
      <c r="C446" s="96"/>
      <c r="D446" s="96"/>
      <c r="E446" s="96"/>
      <c r="F446" s="96"/>
      <c r="G446" s="96"/>
      <c r="H446" s="97"/>
      <c r="J446" s="33"/>
    </row>
    <row r="447" spans="1:14" s="42" customFormat="1" hidden="1" x14ac:dyDescent="0.3">
      <c r="A447" s="95" t="s">
        <v>210</v>
      </c>
      <c r="B447" s="96"/>
      <c r="C447" s="96"/>
      <c r="D447" s="96"/>
      <c r="E447" s="96"/>
      <c r="F447" s="96"/>
      <c r="G447" s="96"/>
      <c r="H447" s="97"/>
      <c r="J447" s="33"/>
    </row>
    <row r="448" spans="1:14" s="42" customFormat="1" ht="15.75" hidden="1" customHeight="1" x14ac:dyDescent="0.3">
      <c r="A448" s="98">
        <v>1</v>
      </c>
      <c r="B448" s="99"/>
      <c r="C448" s="38" t="s">
        <v>190</v>
      </c>
      <c r="D448" s="47">
        <f>(59.52+6.7)*10.764</f>
        <v>712.79207999999994</v>
      </c>
      <c r="E448" s="38">
        <v>0</v>
      </c>
      <c r="F448" s="38">
        <f>D448*(($F$333)+1)+(IF(E448&lt;101,E448,IF(E448&lt;201,E448/2,IF(E448&lt;=301,E448/3,E448/4))))</f>
        <v>1033.5485159999998</v>
      </c>
      <c r="G448" s="100" t="str">
        <f>A447</f>
        <v>1st to 7th Floor For Residential</v>
      </c>
      <c r="H448" s="101"/>
      <c r="I448" s="33"/>
      <c r="J448" s="49"/>
      <c r="L448" s="108"/>
      <c r="M448" s="108"/>
      <c r="N448" s="33"/>
    </row>
    <row r="449" spans="1:14" s="42" customFormat="1" ht="15.75" hidden="1" customHeight="1" x14ac:dyDescent="0.3">
      <c r="A449" s="98">
        <v>2</v>
      </c>
      <c r="B449" s="99"/>
      <c r="C449" s="38" t="s">
        <v>190</v>
      </c>
      <c r="D449" s="47">
        <f>(59.52+6.7)*10.764</f>
        <v>712.79207999999994</v>
      </c>
      <c r="E449" s="38">
        <v>0</v>
      </c>
      <c r="F449" s="38">
        <f>D449*(($F$333)+1)+(IF(E449&lt;101,E449,IF(E449&lt;201,E449/2,IF(E449&lt;=301,E449/3,E449/4))))</f>
        <v>1033.5485159999998</v>
      </c>
      <c r="G449" s="104"/>
      <c r="H449" s="105"/>
      <c r="L449" s="108"/>
      <c r="M449" s="108"/>
      <c r="N449" s="33"/>
    </row>
    <row r="450" spans="1:14" s="42" customFormat="1" hidden="1" x14ac:dyDescent="0.3">
      <c r="A450" s="95" t="s">
        <v>197</v>
      </c>
      <c r="B450" s="96"/>
      <c r="C450" s="96"/>
      <c r="D450" s="96"/>
      <c r="E450" s="96"/>
      <c r="F450" s="96"/>
      <c r="G450" s="96"/>
      <c r="H450" s="97"/>
      <c r="J450" s="33"/>
    </row>
    <row r="451" spans="1:14" s="42" customFormat="1" hidden="1" x14ac:dyDescent="0.3">
      <c r="A451" s="95" t="s">
        <v>243</v>
      </c>
      <c r="B451" s="96"/>
      <c r="C451" s="96"/>
      <c r="D451" s="96"/>
      <c r="E451" s="96"/>
      <c r="F451" s="96"/>
      <c r="G451" s="96"/>
      <c r="H451" s="97"/>
      <c r="J451" s="33"/>
    </row>
    <row r="452" spans="1:14" s="42" customFormat="1" hidden="1" x14ac:dyDescent="0.3">
      <c r="A452" s="95" t="s">
        <v>198</v>
      </c>
      <c r="B452" s="96"/>
      <c r="C452" s="96"/>
      <c r="D452" s="96"/>
      <c r="E452" s="96"/>
      <c r="F452" s="96"/>
      <c r="G452" s="96"/>
      <c r="H452" s="97"/>
      <c r="J452" s="33"/>
    </row>
    <row r="453" spans="1:14" s="42" customFormat="1" hidden="1" x14ac:dyDescent="0.3">
      <c r="A453" s="95" t="s">
        <v>210</v>
      </c>
      <c r="B453" s="96"/>
      <c r="C453" s="96"/>
      <c r="D453" s="96"/>
      <c r="E453" s="96"/>
      <c r="F453" s="96"/>
      <c r="G453" s="96"/>
      <c r="H453" s="97"/>
      <c r="J453" s="33"/>
    </row>
    <row r="454" spans="1:14" s="42" customFormat="1" ht="15.75" hidden="1" customHeight="1" x14ac:dyDescent="0.3">
      <c r="A454" s="98">
        <v>1</v>
      </c>
      <c r="B454" s="99"/>
      <c r="C454" s="38" t="s">
        <v>190</v>
      </c>
      <c r="D454" s="47">
        <f>(59.52+6.7)*10.764</f>
        <v>712.79207999999994</v>
      </c>
      <c r="E454" s="38">
        <v>0</v>
      </c>
      <c r="F454" s="38">
        <f>D454*(($F$333)+1)+(IF(E454&lt;101,E454,IF(E454&lt;201,E454/2,IF(E454&lt;=301,E454/3,E454/4))))</f>
        <v>1033.5485159999998</v>
      </c>
      <c r="G454" s="100" t="str">
        <f>A453</f>
        <v>1st to 7th Floor For Residential</v>
      </c>
      <c r="H454" s="101"/>
      <c r="I454" s="33"/>
      <c r="J454" s="49"/>
      <c r="L454" s="108"/>
      <c r="M454" s="108"/>
      <c r="N454" s="33"/>
    </row>
    <row r="455" spans="1:14" s="42" customFormat="1" ht="15.75" hidden="1" customHeight="1" x14ac:dyDescent="0.3">
      <c r="A455" s="98">
        <v>2</v>
      </c>
      <c r="B455" s="99"/>
      <c r="C455" s="38" t="s">
        <v>190</v>
      </c>
      <c r="D455" s="47">
        <f>(59.52+6.7)*10.764</f>
        <v>712.79207999999994</v>
      </c>
      <c r="E455" s="38">
        <v>0</v>
      </c>
      <c r="F455" s="38">
        <f>D455*(($F$333)+1)+(IF(E455&lt;101,E455,IF(E455&lt;201,E455/2,IF(E455&lt;=301,E455/3,E455/4))))</f>
        <v>1033.5485159999998</v>
      </c>
      <c r="G455" s="104"/>
      <c r="H455" s="105"/>
      <c r="L455" s="108"/>
      <c r="M455" s="108"/>
      <c r="N455" s="33"/>
    </row>
    <row r="456" spans="1:14" s="42" customFormat="1" hidden="1" x14ac:dyDescent="0.3">
      <c r="A456" s="95" t="s">
        <v>197</v>
      </c>
      <c r="B456" s="96"/>
      <c r="C456" s="96"/>
      <c r="D456" s="96"/>
      <c r="E456" s="96"/>
      <c r="F456" s="96"/>
      <c r="G456" s="96"/>
      <c r="H456" s="97"/>
      <c r="J456" s="33"/>
    </row>
    <row r="457" spans="1:14" s="42" customFormat="1" hidden="1" x14ac:dyDescent="0.3">
      <c r="A457" s="95" t="s">
        <v>244</v>
      </c>
      <c r="B457" s="96"/>
      <c r="C457" s="96"/>
      <c r="D457" s="96"/>
      <c r="E457" s="96"/>
      <c r="F457" s="96"/>
      <c r="G457" s="96"/>
      <c r="H457" s="97"/>
      <c r="J457" s="33"/>
    </row>
    <row r="458" spans="1:14" s="42" customFormat="1" hidden="1" x14ac:dyDescent="0.3">
      <c r="A458" s="95" t="s">
        <v>198</v>
      </c>
      <c r="B458" s="96"/>
      <c r="C458" s="96"/>
      <c r="D458" s="96"/>
      <c r="E458" s="96"/>
      <c r="F458" s="96"/>
      <c r="G458" s="96"/>
      <c r="H458" s="97"/>
      <c r="J458" s="33"/>
    </row>
    <row r="459" spans="1:14" s="42" customFormat="1" hidden="1" x14ac:dyDescent="0.3">
      <c r="A459" s="95" t="s">
        <v>210</v>
      </c>
      <c r="B459" s="96"/>
      <c r="C459" s="96"/>
      <c r="D459" s="96"/>
      <c r="E459" s="96"/>
      <c r="F459" s="96"/>
      <c r="G459" s="96"/>
      <c r="H459" s="97"/>
      <c r="J459" s="33"/>
    </row>
    <row r="460" spans="1:14" s="42" customFormat="1" ht="15.75" hidden="1" customHeight="1" x14ac:dyDescent="0.3">
      <c r="A460" s="98">
        <v>1</v>
      </c>
      <c r="B460" s="99"/>
      <c r="C460" s="38" t="s">
        <v>190</v>
      </c>
      <c r="D460" s="47">
        <f>(59.52+6.7)*10.764</f>
        <v>712.79207999999994</v>
      </c>
      <c r="E460" s="38">
        <v>0</v>
      </c>
      <c r="F460" s="38">
        <f>D460*(($F$333)+1)+(IF(E460&lt;101,E460,IF(E460&lt;201,E460/2,IF(E460&lt;=301,E460/3,E460/4))))</f>
        <v>1033.5485159999998</v>
      </c>
      <c r="G460" s="100" t="str">
        <f>A459</f>
        <v>1st to 7th Floor For Residential</v>
      </c>
      <c r="H460" s="101"/>
      <c r="I460" s="33"/>
      <c r="J460" s="49"/>
      <c r="L460" s="108"/>
      <c r="M460" s="108"/>
      <c r="N460" s="33"/>
    </row>
    <row r="461" spans="1:14" s="42" customFormat="1" ht="15.75" hidden="1" customHeight="1" x14ac:dyDescent="0.3">
      <c r="A461" s="98">
        <v>2</v>
      </c>
      <c r="B461" s="99"/>
      <c r="C461" s="38" t="s">
        <v>190</v>
      </c>
      <c r="D461" s="47">
        <f>(59.52+6.7)*10.764</f>
        <v>712.79207999999994</v>
      </c>
      <c r="E461" s="38">
        <v>0</v>
      </c>
      <c r="F461" s="38">
        <f>D461*(($F$333)+1)+(IF(E461&lt;101,E461,IF(E461&lt;201,E461/2,IF(E461&lt;=301,E461/3,E461/4))))</f>
        <v>1033.5485159999998</v>
      </c>
      <c r="G461" s="104"/>
      <c r="H461" s="105"/>
      <c r="L461" s="108"/>
      <c r="M461" s="108"/>
      <c r="N461" s="33"/>
    </row>
    <row r="462" spans="1:14" s="42" customFormat="1" hidden="1" x14ac:dyDescent="0.3">
      <c r="A462" s="95" t="s">
        <v>197</v>
      </c>
      <c r="B462" s="96"/>
      <c r="C462" s="96"/>
      <c r="D462" s="96"/>
      <c r="E462" s="96"/>
      <c r="F462" s="96"/>
      <c r="G462" s="96"/>
      <c r="H462" s="97"/>
      <c r="J462" s="33"/>
    </row>
    <row r="463" spans="1:14" s="42" customFormat="1" hidden="1" x14ac:dyDescent="0.3">
      <c r="A463" s="95" t="s">
        <v>245</v>
      </c>
      <c r="B463" s="96"/>
      <c r="C463" s="96"/>
      <c r="D463" s="96"/>
      <c r="E463" s="96"/>
      <c r="F463" s="96"/>
      <c r="G463" s="96"/>
      <c r="H463" s="97"/>
      <c r="J463" s="33"/>
    </row>
    <row r="464" spans="1:14" s="42" customFormat="1" hidden="1" x14ac:dyDescent="0.3">
      <c r="A464" s="95" t="s">
        <v>198</v>
      </c>
      <c r="B464" s="96"/>
      <c r="C464" s="96"/>
      <c r="D464" s="96"/>
      <c r="E464" s="96"/>
      <c r="F464" s="96"/>
      <c r="G464" s="96"/>
      <c r="H464" s="97"/>
      <c r="J464" s="33"/>
    </row>
    <row r="465" spans="1:14" s="42" customFormat="1" hidden="1" x14ac:dyDescent="0.3">
      <c r="A465" s="95" t="s">
        <v>210</v>
      </c>
      <c r="B465" s="96"/>
      <c r="C465" s="96"/>
      <c r="D465" s="96"/>
      <c r="E465" s="96"/>
      <c r="F465" s="96"/>
      <c r="G465" s="96"/>
      <c r="H465" s="97"/>
      <c r="J465" s="33"/>
    </row>
    <row r="466" spans="1:14" s="42" customFormat="1" ht="15.75" hidden="1" customHeight="1" x14ac:dyDescent="0.3">
      <c r="A466" s="98">
        <v>1</v>
      </c>
      <c r="B466" s="99"/>
      <c r="C466" s="38" t="s">
        <v>190</v>
      </c>
      <c r="D466" s="47">
        <f>(59.52+6.7)*10.764</f>
        <v>712.79207999999994</v>
      </c>
      <c r="E466" s="38">
        <v>0</v>
      </c>
      <c r="F466" s="38">
        <f>D466*(($F$333)+1)+(IF(E466&lt;101,E466,IF(E466&lt;201,E466/2,IF(E466&lt;=301,E466/3,E466/4))))</f>
        <v>1033.5485159999998</v>
      </c>
      <c r="G466" s="100" t="str">
        <f>A465</f>
        <v>1st to 7th Floor For Residential</v>
      </c>
      <c r="H466" s="101"/>
      <c r="I466" s="33"/>
      <c r="J466" s="49"/>
      <c r="L466" s="108"/>
      <c r="M466" s="108"/>
      <c r="N466" s="33"/>
    </row>
    <row r="467" spans="1:14" s="42" customFormat="1" ht="15.75" hidden="1" customHeight="1" x14ac:dyDescent="0.3">
      <c r="A467" s="98">
        <v>2</v>
      </c>
      <c r="B467" s="99"/>
      <c r="C467" s="38" t="s">
        <v>190</v>
      </c>
      <c r="D467" s="47">
        <f>(59.52+6.7)*10.764</f>
        <v>712.79207999999994</v>
      </c>
      <c r="E467" s="38">
        <v>0</v>
      </c>
      <c r="F467" s="38">
        <f>D467*(($F$333)+1)+(IF(E467&lt;101,E467,IF(E467&lt;201,E467/2,IF(E467&lt;=301,E467/3,E467/4))))</f>
        <v>1033.5485159999998</v>
      </c>
      <c r="G467" s="104"/>
      <c r="H467" s="105"/>
      <c r="L467" s="108"/>
      <c r="M467" s="108"/>
      <c r="N467" s="33"/>
    </row>
    <row r="468" spans="1:14" s="42" customFormat="1" hidden="1" x14ac:dyDescent="0.3">
      <c r="A468" s="95" t="s">
        <v>197</v>
      </c>
      <c r="B468" s="96"/>
      <c r="C468" s="96"/>
      <c r="D468" s="96"/>
      <c r="E468" s="96"/>
      <c r="F468" s="96"/>
      <c r="G468" s="96"/>
      <c r="H468" s="97"/>
      <c r="J468" s="33"/>
    </row>
    <row r="469" spans="1:14" s="42" customFormat="1" hidden="1" x14ac:dyDescent="0.3">
      <c r="A469" s="95" t="s">
        <v>246</v>
      </c>
      <c r="B469" s="96"/>
      <c r="C469" s="96"/>
      <c r="D469" s="96"/>
      <c r="E469" s="96"/>
      <c r="F469" s="96"/>
      <c r="G469" s="96"/>
      <c r="H469" s="97"/>
      <c r="J469" s="33"/>
    </row>
    <row r="470" spans="1:14" s="42" customFormat="1" hidden="1" x14ac:dyDescent="0.3">
      <c r="A470" s="95" t="s">
        <v>198</v>
      </c>
      <c r="B470" s="96"/>
      <c r="C470" s="96"/>
      <c r="D470" s="96"/>
      <c r="E470" s="96"/>
      <c r="F470" s="96"/>
      <c r="G470" s="96"/>
      <c r="H470" s="97"/>
      <c r="J470" s="33"/>
    </row>
    <row r="471" spans="1:14" s="42" customFormat="1" hidden="1" x14ac:dyDescent="0.3">
      <c r="A471" s="95" t="s">
        <v>210</v>
      </c>
      <c r="B471" s="96"/>
      <c r="C471" s="96"/>
      <c r="D471" s="96"/>
      <c r="E471" s="96"/>
      <c r="F471" s="96"/>
      <c r="G471" s="96"/>
      <c r="H471" s="97"/>
      <c r="J471" s="33"/>
    </row>
    <row r="472" spans="1:14" s="42" customFormat="1" ht="15.75" hidden="1" customHeight="1" x14ac:dyDescent="0.3">
      <c r="A472" s="98">
        <v>1</v>
      </c>
      <c r="B472" s="99"/>
      <c r="C472" s="38" t="s">
        <v>190</v>
      </c>
      <c r="D472" s="47">
        <f>(59.52+6.7)*10.764</f>
        <v>712.79207999999994</v>
      </c>
      <c r="E472" s="38">
        <v>0</v>
      </c>
      <c r="F472" s="38">
        <f>D472*(($F$333)+1)+(IF(E472&lt;101,E472,IF(E472&lt;201,E472/2,IF(E472&lt;=301,E472/3,E472/4))))</f>
        <v>1033.5485159999998</v>
      </c>
      <c r="G472" s="100" t="str">
        <f>A471</f>
        <v>1st to 7th Floor For Residential</v>
      </c>
      <c r="H472" s="101"/>
      <c r="I472" s="33"/>
      <c r="J472" s="49"/>
      <c r="L472" s="108"/>
      <c r="M472" s="108"/>
      <c r="N472" s="33"/>
    </row>
    <row r="473" spans="1:14" s="42" customFormat="1" ht="15.75" hidden="1" customHeight="1" x14ac:dyDescent="0.3">
      <c r="A473" s="98">
        <v>2</v>
      </c>
      <c r="B473" s="99"/>
      <c r="C473" s="38" t="s">
        <v>190</v>
      </c>
      <c r="D473" s="47">
        <f>(59.52+6.7)*10.764</f>
        <v>712.79207999999994</v>
      </c>
      <c r="E473" s="38">
        <v>0</v>
      </c>
      <c r="F473" s="38">
        <f>D473*(($F$333)+1)+(IF(E473&lt;101,E473,IF(E473&lt;201,E473/2,IF(E473&lt;=301,E473/3,E473/4))))</f>
        <v>1033.5485159999998</v>
      </c>
      <c r="G473" s="104"/>
      <c r="H473" s="105"/>
      <c r="L473" s="108"/>
      <c r="M473" s="108"/>
      <c r="N473" s="33"/>
    </row>
    <row r="474" spans="1:14" s="42" customFormat="1" hidden="1" x14ac:dyDescent="0.3">
      <c r="A474" s="95" t="s">
        <v>197</v>
      </c>
      <c r="B474" s="96"/>
      <c r="C474" s="96"/>
      <c r="D474" s="96"/>
      <c r="E474" s="96"/>
      <c r="F474" s="96"/>
      <c r="G474" s="96"/>
      <c r="H474" s="97"/>
      <c r="J474" s="33"/>
    </row>
    <row r="475" spans="1:14" s="42" customFormat="1" hidden="1" x14ac:dyDescent="0.3">
      <c r="A475" s="95" t="s">
        <v>247</v>
      </c>
      <c r="B475" s="96"/>
      <c r="C475" s="96"/>
      <c r="D475" s="96"/>
      <c r="E475" s="96"/>
      <c r="F475" s="96"/>
      <c r="G475" s="96"/>
      <c r="H475" s="97"/>
      <c r="J475" s="33"/>
    </row>
    <row r="476" spans="1:14" s="42" customFormat="1" hidden="1" x14ac:dyDescent="0.3">
      <c r="A476" s="95" t="s">
        <v>198</v>
      </c>
      <c r="B476" s="96"/>
      <c r="C476" s="96"/>
      <c r="D476" s="96"/>
      <c r="E476" s="96"/>
      <c r="F476" s="96"/>
      <c r="G476" s="96"/>
      <c r="H476" s="97"/>
      <c r="J476" s="33"/>
    </row>
    <row r="477" spans="1:14" s="42" customFormat="1" hidden="1" x14ac:dyDescent="0.3">
      <c r="A477" s="95" t="s">
        <v>210</v>
      </c>
      <c r="B477" s="96"/>
      <c r="C477" s="96"/>
      <c r="D477" s="96"/>
      <c r="E477" s="96"/>
      <c r="F477" s="96"/>
      <c r="G477" s="96"/>
      <c r="H477" s="97"/>
      <c r="J477" s="33"/>
    </row>
    <row r="478" spans="1:14" s="42" customFormat="1" ht="15.75" hidden="1" customHeight="1" x14ac:dyDescent="0.3">
      <c r="A478" s="98">
        <v>1</v>
      </c>
      <c r="B478" s="99"/>
      <c r="C478" s="38" t="s">
        <v>190</v>
      </c>
      <c r="D478" s="47">
        <f>(59.52+6.7)*10.764</f>
        <v>712.79207999999994</v>
      </c>
      <c r="E478" s="38">
        <v>0</v>
      </c>
      <c r="F478" s="38">
        <f>D478*(($F$333)+1)+(IF(E478&lt;101,E478,IF(E478&lt;201,E478/2,IF(E478&lt;=301,E478/3,E478/4))))</f>
        <v>1033.5485159999998</v>
      </c>
      <c r="G478" s="100" t="str">
        <f>A477</f>
        <v>1st to 7th Floor For Residential</v>
      </c>
      <c r="H478" s="101"/>
      <c r="I478" s="33"/>
      <c r="J478" s="49"/>
      <c r="L478" s="108"/>
      <c r="M478" s="108"/>
      <c r="N478" s="33"/>
    </row>
    <row r="479" spans="1:14" s="42" customFormat="1" ht="15.75" hidden="1" customHeight="1" x14ac:dyDescent="0.3">
      <c r="A479" s="98">
        <v>2</v>
      </c>
      <c r="B479" s="99"/>
      <c r="C479" s="38" t="s">
        <v>190</v>
      </c>
      <c r="D479" s="47">
        <f>(59.52+6.7)*10.764</f>
        <v>712.79207999999994</v>
      </c>
      <c r="E479" s="38">
        <v>0</v>
      </c>
      <c r="F479" s="38">
        <f>D479*(($F$333)+1)+(IF(E479&lt;101,E479,IF(E479&lt;201,E479/2,IF(E479&lt;=301,E479/3,E479/4))))</f>
        <v>1033.5485159999998</v>
      </c>
      <c r="G479" s="104"/>
      <c r="H479" s="105"/>
      <c r="L479" s="108"/>
      <c r="M479" s="108"/>
      <c r="N479" s="33"/>
    </row>
    <row r="480" spans="1:14" s="42" customFormat="1" x14ac:dyDescent="0.3">
      <c r="A480" s="95" t="s">
        <v>197</v>
      </c>
      <c r="B480" s="96"/>
      <c r="C480" s="96"/>
      <c r="D480" s="96"/>
      <c r="E480" s="96"/>
      <c r="F480" s="96"/>
      <c r="G480" s="96"/>
      <c r="H480" s="97"/>
      <c r="J480" s="33"/>
    </row>
    <row r="481" spans="1:14" s="42" customFormat="1" x14ac:dyDescent="0.3">
      <c r="A481" s="95" t="s">
        <v>199</v>
      </c>
      <c r="B481" s="96"/>
      <c r="C481" s="96"/>
      <c r="D481" s="96"/>
      <c r="E481" s="96"/>
      <c r="F481" s="96"/>
      <c r="G481" s="96"/>
      <c r="H481" s="97"/>
      <c r="J481" s="33"/>
    </row>
    <row r="482" spans="1:14" s="42" customFormat="1" x14ac:dyDescent="0.3">
      <c r="A482" s="95" t="s">
        <v>203</v>
      </c>
      <c r="B482" s="96"/>
      <c r="C482" s="96"/>
      <c r="D482" s="96"/>
      <c r="E482" s="96"/>
      <c r="F482" s="96"/>
      <c r="G482" s="96"/>
      <c r="H482" s="97"/>
      <c r="J482" s="33"/>
    </row>
    <row r="483" spans="1:14" s="42" customFormat="1" ht="15.75" customHeight="1" x14ac:dyDescent="0.3">
      <c r="A483" s="98">
        <v>101</v>
      </c>
      <c r="B483" s="99"/>
      <c r="C483" s="38" t="s">
        <v>190</v>
      </c>
      <c r="D483" s="47">
        <f>(60.31+6.7)*10.764</f>
        <v>721.29564000000005</v>
      </c>
      <c r="E483" s="38">
        <f>10.55*10.764</f>
        <v>113.56019999999999</v>
      </c>
      <c r="F483" s="38">
        <f>D483*(($F$333)+1)+(IF(E483&lt;101,E483,IF(E483&lt;201,E483/2,IF(E483&lt;=301,E483/3,E483/4))))</f>
        <v>1102.658778</v>
      </c>
      <c r="G483" s="100" t="str">
        <f>A482</f>
        <v>1st Floor For Residential</v>
      </c>
      <c r="H483" s="101"/>
      <c r="I483" s="33"/>
      <c r="J483" s="49"/>
      <c r="L483" s="108"/>
      <c r="M483" s="108"/>
      <c r="N483" s="33"/>
    </row>
    <row r="484" spans="1:14" s="42" customFormat="1" ht="15.75" customHeight="1" x14ac:dyDescent="0.3">
      <c r="A484" s="98">
        <v>102</v>
      </c>
      <c r="B484" s="99"/>
      <c r="C484" s="38" t="s">
        <v>190</v>
      </c>
      <c r="D484" s="47">
        <f>(59.52+6.7)*10.764</f>
        <v>712.79207999999994</v>
      </c>
      <c r="E484" s="38">
        <v>0</v>
      </c>
      <c r="F484" s="38">
        <f>D484*(($F$333)+1)+(IF(E484&lt;101,E484,IF(E484&lt;201,E484/2,IF(E484&lt;=301,E484/3,E484/4))))</f>
        <v>1033.5485159999998</v>
      </c>
      <c r="G484" s="104"/>
      <c r="H484" s="105"/>
      <c r="L484" s="108"/>
      <c r="M484" s="108"/>
      <c r="N484" s="33"/>
    </row>
    <row r="485" spans="1:14" s="42" customFormat="1" x14ac:dyDescent="0.3">
      <c r="A485" s="95" t="s">
        <v>204</v>
      </c>
      <c r="B485" s="96"/>
      <c r="C485" s="96"/>
      <c r="D485" s="96"/>
      <c r="E485" s="96"/>
      <c r="F485" s="96"/>
      <c r="G485" s="96"/>
      <c r="H485" s="97"/>
      <c r="J485" s="33"/>
    </row>
    <row r="486" spans="1:14" s="42" customFormat="1" ht="15.75" customHeight="1" x14ac:dyDescent="0.3">
      <c r="A486" s="98" t="s">
        <v>281</v>
      </c>
      <c r="B486" s="99"/>
      <c r="C486" s="38" t="s">
        <v>190</v>
      </c>
      <c r="D486" s="47">
        <f>(59.52+6.7)*10.764</f>
        <v>712.79207999999994</v>
      </c>
      <c r="E486" s="38">
        <v>0</v>
      </c>
      <c r="F486" s="38">
        <f>D486*(($F$333)+1)+(IF(E486&lt;101,E486,IF(E486&lt;201,E486/2,IF(E486&lt;=301,E486/3,E486/4))))</f>
        <v>1033.5485159999998</v>
      </c>
      <c r="G486" s="100" t="str">
        <f>A485</f>
        <v>2nd to 7th Floor</v>
      </c>
      <c r="H486" s="101"/>
      <c r="I486" s="33"/>
      <c r="J486" s="49"/>
      <c r="L486" s="108"/>
      <c r="M486" s="108"/>
      <c r="N486" s="33"/>
    </row>
    <row r="487" spans="1:14" s="42" customFormat="1" ht="15.75" customHeight="1" x14ac:dyDescent="0.3">
      <c r="A487" s="98" t="s">
        <v>282</v>
      </c>
      <c r="B487" s="99"/>
      <c r="C487" s="38" t="s">
        <v>190</v>
      </c>
      <c r="D487" s="47">
        <f>(59.52+6.7)*10.764</f>
        <v>712.79207999999994</v>
      </c>
      <c r="E487" s="38">
        <v>0</v>
      </c>
      <c r="F487" s="38">
        <f>D487*(($F$333)+1)+(IF(E487&lt;101,E487,IF(E487&lt;201,E487/2,IF(E487&lt;=301,E487/3,E487/4))))</f>
        <v>1033.5485159999998</v>
      </c>
      <c r="G487" s="104"/>
      <c r="H487" s="105"/>
      <c r="L487" s="108"/>
      <c r="M487" s="108"/>
      <c r="N487" s="33"/>
    </row>
    <row r="488" spans="1:14" s="42" customFormat="1" x14ac:dyDescent="0.3">
      <c r="A488" s="95" t="s">
        <v>197</v>
      </c>
      <c r="B488" s="96"/>
      <c r="C488" s="96"/>
      <c r="D488" s="96"/>
      <c r="E488" s="96"/>
      <c r="F488" s="96"/>
      <c r="G488" s="96"/>
      <c r="H488" s="97"/>
      <c r="J488" s="33"/>
    </row>
    <row r="489" spans="1:14" s="42" customFormat="1" ht="15.75" customHeight="1" x14ac:dyDescent="0.3">
      <c r="A489" s="95" t="s">
        <v>225</v>
      </c>
      <c r="B489" s="96"/>
      <c r="C489" s="96"/>
      <c r="D489" s="96"/>
      <c r="E489" s="96"/>
      <c r="F489" s="96"/>
      <c r="G489" s="96"/>
      <c r="H489" s="97"/>
      <c r="J489" s="33"/>
    </row>
    <row r="490" spans="1:14" s="42" customFormat="1" x14ac:dyDescent="0.3">
      <c r="A490" s="95" t="s">
        <v>189</v>
      </c>
      <c r="B490" s="96"/>
      <c r="C490" s="96"/>
      <c r="D490" s="96"/>
      <c r="E490" s="96"/>
      <c r="F490" s="96"/>
      <c r="G490" s="96"/>
      <c r="H490" s="97"/>
      <c r="J490" s="33"/>
    </row>
    <row r="491" spans="1:14" s="42" customFormat="1" x14ac:dyDescent="0.3">
      <c r="A491" s="95" t="s">
        <v>203</v>
      </c>
      <c r="B491" s="96"/>
      <c r="C491" s="96"/>
      <c r="D491" s="96"/>
      <c r="E491" s="96"/>
      <c r="F491" s="96"/>
      <c r="G491" s="96"/>
      <c r="H491" s="97"/>
      <c r="J491" s="33"/>
    </row>
    <row r="492" spans="1:14" s="42" customFormat="1" ht="15.75" customHeight="1" x14ac:dyDescent="0.3">
      <c r="A492" s="98">
        <v>101</v>
      </c>
      <c r="B492" s="99"/>
      <c r="C492" s="38" t="s">
        <v>190</v>
      </c>
      <c r="D492" s="47">
        <f>(58.69+1.89)*10.764</f>
        <v>652.08311999999989</v>
      </c>
      <c r="E492" s="38">
        <f>14.04*10.764</f>
        <v>151.12655999999998</v>
      </c>
      <c r="F492" s="38">
        <f>D492*(($F$333)+1)+(IF(E492&lt;101,E492,IF(E492&lt;201,E492/2,IF(E492&lt;=301,E492/3,E492/4))))</f>
        <v>1021.0838039999998</v>
      </c>
      <c r="G492" s="100" t="str">
        <f>A491</f>
        <v>1st Floor For Residential</v>
      </c>
      <c r="H492" s="101"/>
      <c r="I492" s="33"/>
      <c r="J492" s="49"/>
      <c r="L492" s="108"/>
      <c r="M492" s="108"/>
      <c r="N492" s="33"/>
    </row>
    <row r="493" spans="1:14" s="42" customFormat="1" ht="15.75" customHeight="1" x14ac:dyDescent="0.3">
      <c r="A493" s="98">
        <v>102</v>
      </c>
      <c r="B493" s="99"/>
      <c r="C493" s="38" t="s">
        <v>190</v>
      </c>
      <c r="D493" s="47">
        <f>(58.69+1.89)*10.764</f>
        <v>652.08311999999989</v>
      </c>
      <c r="E493" s="38">
        <f>13.92*10.764</f>
        <v>149.83488</v>
      </c>
      <c r="F493" s="38">
        <f>D493*(($F$333)+1)+(IF(E493&lt;101,E493,IF(E493&lt;201,E493/2,IF(E493&lt;=301,E493/3,E493/4))))</f>
        <v>1020.4379639999997</v>
      </c>
      <c r="G493" s="102"/>
      <c r="H493" s="103"/>
      <c r="L493" s="108"/>
      <c r="M493" s="108"/>
      <c r="N493" s="33"/>
    </row>
    <row r="494" spans="1:14" s="42" customFormat="1" ht="15.75" customHeight="1" x14ac:dyDescent="0.3">
      <c r="A494" s="98">
        <v>103</v>
      </c>
      <c r="B494" s="99"/>
      <c r="C494" s="38" t="s">
        <v>190</v>
      </c>
      <c r="D494" s="47">
        <f>(58.69+5.67)*10.764</f>
        <v>692.77103999999997</v>
      </c>
      <c r="E494" s="38">
        <v>0</v>
      </c>
      <c r="F494" s="38">
        <f>D494*(($F$333)+1)+(IF(E494&lt;101,E494,IF(E494&lt;201,E494/2,IF(E494&lt;=301,E494/3,E494/4))))</f>
        <v>1004.5180079999999</v>
      </c>
      <c r="G494" s="102"/>
      <c r="H494" s="103"/>
      <c r="I494" s="33">
        <f>3600000/F494</f>
        <v>3583.808325315757</v>
      </c>
      <c r="J494" s="49"/>
      <c r="L494" s="108"/>
      <c r="M494" s="108"/>
      <c r="N494" s="33"/>
    </row>
    <row r="495" spans="1:14" s="42" customFormat="1" ht="15.75" customHeight="1" x14ac:dyDescent="0.3">
      <c r="A495" s="98">
        <v>104</v>
      </c>
      <c r="B495" s="99"/>
      <c r="C495" s="38" t="s">
        <v>190</v>
      </c>
      <c r="D495" s="47">
        <f>(58.69+5.67)*10.764</f>
        <v>692.77103999999997</v>
      </c>
      <c r="E495" s="38">
        <v>0</v>
      </c>
      <c r="F495" s="38">
        <f>D495*(($F$333)+1)+(IF(E495&lt;101,E495,IF(E495&lt;201,E495/2,IF(E495&lt;=301,E495/3,E495/4))))</f>
        <v>1004.5180079999999</v>
      </c>
      <c r="G495" s="104"/>
      <c r="H495" s="105"/>
      <c r="L495" s="108"/>
      <c r="M495" s="108"/>
      <c r="N495" s="33"/>
    </row>
    <row r="496" spans="1:14" s="42" customFormat="1" x14ac:dyDescent="0.3">
      <c r="A496" s="95" t="s">
        <v>204</v>
      </c>
      <c r="B496" s="96"/>
      <c r="C496" s="96"/>
      <c r="D496" s="96"/>
      <c r="E496" s="96"/>
      <c r="F496" s="96"/>
      <c r="G496" s="96"/>
      <c r="H496" s="97"/>
      <c r="J496" s="33"/>
    </row>
    <row r="497" spans="1:14" s="42" customFormat="1" ht="15.75" customHeight="1" x14ac:dyDescent="0.3">
      <c r="A497" s="98" t="s">
        <v>281</v>
      </c>
      <c r="B497" s="99"/>
      <c r="C497" s="38" t="s">
        <v>190</v>
      </c>
      <c r="D497" s="47">
        <f t="shared" ref="D497:D498" si="23">(58.69+5.67)*10.764</f>
        <v>692.77103999999997</v>
      </c>
      <c r="E497" s="38">
        <v>0</v>
      </c>
      <c r="F497" s="38">
        <f>D497*(($F$333)+1)+(IF(E497&lt;101,E497,IF(E497&lt;201,E497/2,IF(E497&lt;=301,E497/3,E497/4))))</f>
        <v>1004.5180079999999</v>
      </c>
      <c r="G497" s="100" t="str">
        <f>A496</f>
        <v>2nd to 7th Floor</v>
      </c>
      <c r="H497" s="101"/>
      <c r="I497" s="33"/>
      <c r="J497" s="49"/>
      <c r="L497" s="108"/>
      <c r="M497" s="108"/>
      <c r="N497" s="33"/>
    </row>
    <row r="498" spans="1:14" s="42" customFormat="1" ht="15.75" customHeight="1" x14ac:dyDescent="0.3">
      <c r="A498" s="98" t="s">
        <v>282</v>
      </c>
      <c r="B498" s="99"/>
      <c r="C498" s="38" t="s">
        <v>190</v>
      </c>
      <c r="D498" s="47">
        <f t="shared" si="23"/>
        <v>692.77103999999997</v>
      </c>
      <c r="E498" s="38">
        <v>0</v>
      </c>
      <c r="F498" s="38">
        <f>D498*(($F$333)+1)+(IF(E498&lt;101,E498,IF(E498&lt;201,E498/2,IF(E498&lt;=301,E498/3,E498/4))))</f>
        <v>1004.5180079999999</v>
      </c>
      <c r="G498" s="102"/>
      <c r="H498" s="103"/>
      <c r="L498" s="108"/>
      <c r="M498" s="108"/>
      <c r="N498" s="33"/>
    </row>
    <row r="499" spans="1:14" s="42" customFormat="1" ht="15.75" customHeight="1" x14ac:dyDescent="0.3">
      <c r="A499" s="98" t="s">
        <v>283</v>
      </c>
      <c r="B499" s="99"/>
      <c r="C499" s="38" t="s">
        <v>190</v>
      </c>
      <c r="D499" s="47">
        <f>(58.69+5.67)*10.764</f>
        <v>692.77103999999997</v>
      </c>
      <c r="E499" s="38">
        <v>0</v>
      </c>
      <c r="F499" s="38">
        <f>D499*(($F$333)+1)+(IF(E499&lt;101,E499,IF(E499&lt;201,E499/2,IF(E499&lt;=301,E499/3,E499/4))))</f>
        <v>1004.5180079999999</v>
      </c>
      <c r="G499" s="102"/>
      <c r="H499" s="103"/>
      <c r="I499" s="33"/>
      <c r="J499" s="49"/>
      <c r="L499" s="108"/>
      <c r="M499" s="108"/>
      <c r="N499" s="33"/>
    </row>
    <row r="500" spans="1:14" s="42" customFormat="1" ht="15.75" customHeight="1" x14ac:dyDescent="0.3">
      <c r="A500" s="98" t="s">
        <v>284</v>
      </c>
      <c r="B500" s="99"/>
      <c r="C500" s="38" t="s">
        <v>190</v>
      </c>
      <c r="D500" s="47">
        <f t="shared" ref="D500" si="24">(58.69+5.67)*10.764</f>
        <v>692.77103999999997</v>
      </c>
      <c r="E500" s="38">
        <v>0</v>
      </c>
      <c r="F500" s="38">
        <f>D500*(($F$333)+1)+(IF(E500&lt;101,E500,IF(E500&lt;201,E500/2,IF(E500&lt;=301,E500/3,E500/4))))</f>
        <v>1004.5180079999999</v>
      </c>
      <c r="G500" s="104"/>
      <c r="H500" s="105"/>
      <c r="I500" s="51"/>
      <c r="J500" s="52"/>
      <c r="L500" s="108"/>
      <c r="M500" s="108"/>
      <c r="N500" s="33"/>
    </row>
    <row r="501" spans="1:14" s="42" customFormat="1" x14ac:dyDescent="0.3">
      <c r="A501" s="95" t="s">
        <v>197</v>
      </c>
      <c r="B501" s="96"/>
      <c r="C501" s="96"/>
      <c r="D501" s="96"/>
      <c r="E501" s="96"/>
      <c r="F501" s="96"/>
      <c r="G501" s="96"/>
      <c r="H501" s="97"/>
      <c r="J501" s="33"/>
    </row>
    <row r="502" spans="1:14" s="42" customFormat="1" ht="15.75" customHeight="1" x14ac:dyDescent="0.3">
      <c r="A502" s="95" t="s">
        <v>224</v>
      </c>
      <c r="B502" s="96"/>
      <c r="C502" s="96"/>
      <c r="D502" s="96"/>
      <c r="E502" s="96"/>
      <c r="F502" s="96"/>
      <c r="G502" s="96"/>
      <c r="H502" s="97"/>
      <c r="J502" s="33"/>
    </row>
    <row r="503" spans="1:14" s="42" customFormat="1" x14ac:dyDescent="0.3">
      <c r="A503" s="95" t="s">
        <v>191</v>
      </c>
      <c r="B503" s="96"/>
      <c r="C503" s="96"/>
      <c r="D503" s="96"/>
      <c r="E503" s="96"/>
      <c r="F503" s="96"/>
      <c r="G503" s="96"/>
      <c r="H503" s="97"/>
      <c r="J503" s="33"/>
    </row>
    <row r="504" spans="1:14" s="42" customFormat="1" x14ac:dyDescent="0.3">
      <c r="A504" s="95" t="s">
        <v>203</v>
      </c>
      <c r="B504" s="96"/>
      <c r="C504" s="96"/>
      <c r="D504" s="96"/>
      <c r="E504" s="96"/>
      <c r="F504" s="96"/>
      <c r="G504" s="96"/>
      <c r="H504" s="97"/>
      <c r="J504" s="33"/>
    </row>
    <row r="505" spans="1:14" s="42" customFormat="1" ht="15.75" customHeight="1" x14ac:dyDescent="0.3">
      <c r="A505" s="98">
        <v>101</v>
      </c>
      <c r="B505" s="99"/>
      <c r="C505" s="38" t="s">
        <v>190</v>
      </c>
      <c r="D505" s="47">
        <f>(58.69+5.66)*10.764</f>
        <v>692.66339999999991</v>
      </c>
      <c r="E505" s="38">
        <v>0</v>
      </c>
      <c r="F505" s="38">
        <f>D505*(($F$333)+1)+(IF(E505&lt;101,E505,IF(E505&lt;201,E505/2,IF(E505&lt;=301,E505/3,E505/4))))</f>
        <v>1004.3619299999998</v>
      </c>
      <c r="G505" s="100" t="str">
        <f>A504</f>
        <v>1st Floor For Residential</v>
      </c>
      <c r="H505" s="101"/>
      <c r="I505" s="33"/>
      <c r="J505" s="49"/>
      <c r="L505" s="108"/>
      <c r="M505" s="108"/>
      <c r="N505" s="33"/>
    </row>
    <row r="506" spans="1:14" s="42" customFormat="1" ht="15.75" customHeight="1" x14ac:dyDescent="0.3">
      <c r="A506" s="98">
        <v>102</v>
      </c>
      <c r="B506" s="99"/>
      <c r="C506" s="38" t="s">
        <v>190</v>
      </c>
      <c r="D506" s="47">
        <f>(58.69+5.66)*10.764</f>
        <v>692.66339999999991</v>
      </c>
      <c r="E506" s="38">
        <v>0</v>
      </c>
      <c r="F506" s="38">
        <f>D506*(($F$333)+1)+(IF(E506&lt;101,E506,IF(E506&lt;201,E506/2,IF(E506&lt;=301,E506/3,E506/4))))</f>
        <v>1004.3619299999998</v>
      </c>
      <c r="G506" s="102"/>
      <c r="H506" s="103"/>
      <c r="L506" s="108"/>
      <c r="M506" s="108"/>
      <c r="N506" s="33"/>
    </row>
    <row r="507" spans="1:14" s="42" customFormat="1" ht="15.75" customHeight="1" x14ac:dyDescent="0.3">
      <c r="A507" s="98">
        <v>103</v>
      </c>
      <c r="B507" s="99"/>
      <c r="C507" s="38" t="s">
        <v>190</v>
      </c>
      <c r="D507" s="47">
        <f>(58.69+1.89)*10.764</f>
        <v>652.08311999999989</v>
      </c>
      <c r="E507" s="38">
        <f>13.92*10.764</f>
        <v>149.83488</v>
      </c>
      <c r="F507" s="38">
        <f>D507*(($F$333)+1)+(IF(E507&lt;101,E507,IF(E507&lt;201,E507/2,IF(E507&lt;=301,E507/3,E507/4))))</f>
        <v>1020.4379639999997</v>
      </c>
      <c r="G507" s="102"/>
      <c r="H507" s="103"/>
      <c r="I507" s="33"/>
      <c r="J507" s="49"/>
      <c r="L507" s="108"/>
      <c r="M507" s="108"/>
      <c r="N507" s="33"/>
    </row>
    <row r="508" spans="1:14" s="42" customFormat="1" ht="15.75" customHeight="1" x14ac:dyDescent="0.3">
      <c r="A508" s="98">
        <v>104</v>
      </c>
      <c r="B508" s="99"/>
      <c r="C508" s="38" t="s">
        <v>190</v>
      </c>
      <c r="D508" s="47">
        <f>(58.69+1.89)*10.764</f>
        <v>652.08311999999989</v>
      </c>
      <c r="E508" s="38">
        <f>14.04*10.764</f>
        <v>151.12655999999998</v>
      </c>
      <c r="F508" s="38">
        <f>D508*(($F$333)+1)+(IF(E508&lt;101,E508,IF(E508&lt;201,E508/2,IF(E508&lt;=301,E508/3,E508/4))))</f>
        <v>1021.0838039999998</v>
      </c>
      <c r="G508" s="104"/>
      <c r="H508" s="105"/>
      <c r="L508" s="108"/>
      <c r="M508" s="108"/>
      <c r="N508" s="33"/>
    </row>
    <row r="509" spans="1:14" s="42" customFormat="1" x14ac:dyDescent="0.3">
      <c r="A509" s="95" t="s">
        <v>204</v>
      </c>
      <c r="B509" s="96"/>
      <c r="C509" s="96"/>
      <c r="D509" s="96"/>
      <c r="E509" s="96"/>
      <c r="F509" s="96"/>
      <c r="G509" s="96"/>
      <c r="H509" s="97"/>
      <c r="J509" s="33"/>
    </row>
    <row r="510" spans="1:14" s="42" customFormat="1" ht="15.75" customHeight="1" x14ac:dyDescent="0.3">
      <c r="A510" s="98" t="s">
        <v>281</v>
      </c>
      <c r="B510" s="99"/>
      <c r="C510" s="38" t="s">
        <v>190</v>
      </c>
      <c r="D510" s="47">
        <f t="shared" ref="D510:D511" si="25">(58.69+5.67)*10.764</f>
        <v>692.77103999999997</v>
      </c>
      <c r="E510" s="38">
        <v>0</v>
      </c>
      <c r="F510" s="38">
        <f>D510*(($F$333)+1)+(IF(E510&lt;101,E510,IF(E510&lt;201,E510/2,IF(E510&lt;=301,E510/3,E510/4))))</f>
        <v>1004.5180079999999</v>
      </c>
      <c r="G510" s="100" t="str">
        <f>A509</f>
        <v>2nd to 7th Floor</v>
      </c>
      <c r="H510" s="101"/>
      <c r="I510" s="33"/>
      <c r="J510" s="49"/>
      <c r="L510" s="108"/>
      <c r="M510" s="108"/>
      <c r="N510" s="33"/>
    </row>
    <row r="511" spans="1:14" s="42" customFormat="1" ht="15.75" customHeight="1" x14ac:dyDescent="0.3">
      <c r="A511" s="98" t="s">
        <v>282</v>
      </c>
      <c r="B511" s="99"/>
      <c r="C511" s="38" t="s">
        <v>190</v>
      </c>
      <c r="D511" s="47">
        <f t="shared" si="25"/>
        <v>692.77103999999997</v>
      </c>
      <c r="E511" s="38">
        <v>0</v>
      </c>
      <c r="F511" s="38">
        <f>D511*(($F$333)+1)+(IF(E511&lt;101,E511,IF(E511&lt;201,E511/2,IF(E511&lt;=301,E511/3,E511/4))))</f>
        <v>1004.5180079999999</v>
      </c>
      <c r="G511" s="102"/>
      <c r="H511" s="103"/>
      <c r="L511" s="108"/>
      <c r="M511" s="108"/>
      <c r="N511" s="33"/>
    </row>
    <row r="512" spans="1:14" s="42" customFormat="1" ht="15.75" customHeight="1" x14ac:dyDescent="0.3">
      <c r="A512" s="98" t="s">
        <v>283</v>
      </c>
      <c r="B512" s="99"/>
      <c r="C512" s="38" t="s">
        <v>190</v>
      </c>
      <c r="D512" s="47">
        <f>(58.69+5.67)*10.764</f>
        <v>692.77103999999997</v>
      </c>
      <c r="E512" s="38">
        <v>0</v>
      </c>
      <c r="F512" s="38">
        <f>D512*(($F$333)+1)+(IF(E512&lt;101,E512,IF(E512&lt;201,E512/2,IF(E512&lt;=301,E512/3,E512/4))))</f>
        <v>1004.5180079999999</v>
      </c>
      <c r="G512" s="102"/>
      <c r="H512" s="103"/>
      <c r="I512" s="33"/>
      <c r="J512" s="49"/>
      <c r="L512" s="108"/>
      <c r="M512" s="108"/>
      <c r="N512" s="33"/>
    </row>
    <row r="513" spans="1:14" s="42" customFormat="1" ht="15.75" customHeight="1" x14ac:dyDescent="0.3">
      <c r="A513" s="98" t="s">
        <v>284</v>
      </c>
      <c r="B513" s="99"/>
      <c r="C513" s="38" t="s">
        <v>190</v>
      </c>
      <c r="D513" s="47">
        <f t="shared" ref="D513" si="26">(58.69+5.67)*10.764</f>
        <v>692.77103999999997</v>
      </c>
      <c r="E513" s="38">
        <v>0</v>
      </c>
      <c r="F513" s="38">
        <f>D513*(($F$333)+1)+(IF(E513&lt;101,E513,IF(E513&lt;201,E513/2,IF(E513&lt;=301,E513/3,E513/4))))</f>
        <v>1004.5180079999999</v>
      </c>
      <c r="G513" s="104"/>
      <c r="H513" s="105"/>
      <c r="I513" s="51"/>
      <c r="J513" s="52"/>
      <c r="L513" s="108"/>
      <c r="M513" s="108"/>
      <c r="N513" s="33"/>
    </row>
    <row r="514" spans="1:14" s="42" customFormat="1" x14ac:dyDescent="0.3">
      <c r="A514" s="95" t="s">
        <v>197</v>
      </c>
      <c r="B514" s="96"/>
      <c r="C514" s="96"/>
      <c r="D514" s="96"/>
      <c r="E514" s="96"/>
      <c r="F514" s="96"/>
      <c r="G514" s="96"/>
      <c r="H514" s="97"/>
      <c r="J514" s="33"/>
    </row>
    <row r="515" spans="1:14" s="42" customFormat="1" ht="15.75" customHeight="1" x14ac:dyDescent="0.3">
      <c r="A515" s="95" t="s">
        <v>249</v>
      </c>
      <c r="B515" s="96"/>
      <c r="C515" s="96"/>
      <c r="D515" s="96"/>
      <c r="E515" s="96"/>
      <c r="F515" s="96"/>
      <c r="G515" s="96"/>
      <c r="H515" s="97"/>
      <c r="J515" s="33"/>
    </row>
    <row r="516" spans="1:14" s="42" customFormat="1" x14ac:dyDescent="0.3">
      <c r="A516" s="95" t="s">
        <v>189</v>
      </c>
      <c r="B516" s="96"/>
      <c r="C516" s="96"/>
      <c r="D516" s="96"/>
      <c r="E516" s="96"/>
      <c r="F516" s="96"/>
      <c r="G516" s="96"/>
      <c r="H516" s="97"/>
      <c r="J516" s="33"/>
    </row>
    <row r="517" spans="1:14" s="42" customFormat="1" x14ac:dyDescent="0.3">
      <c r="A517" s="95" t="s">
        <v>203</v>
      </c>
      <c r="B517" s="96"/>
      <c r="C517" s="96"/>
      <c r="D517" s="96"/>
      <c r="E517" s="96"/>
      <c r="F517" s="96"/>
      <c r="G517" s="96"/>
      <c r="H517" s="97"/>
      <c r="J517" s="33"/>
    </row>
    <row r="518" spans="1:14" s="42" customFormat="1" ht="15.75" customHeight="1" x14ac:dyDescent="0.3">
      <c r="A518" s="98">
        <v>1</v>
      </c>
      <c r="B518" s="99"/>
      <c r="C518" s="38" t="s">
        <v>190</v>
      </c>
      <c r="D518" s="47">
        <f>(58.69+1.89)*10.764</f>
        <v>652.08311999999989</v>
      </c>
      <c r="E518" s="38">
        <f>14.04*10.764</f>
        <v>151.12655999999998</v>
      </c>
      <c r="F518" s="38">
        <f>D518*(($F$333)+1)+(IF(E518&lt;101,E518,IF(E518&lt;201,E518/2,IF(E518&lt;=301,E518/3,E518/4))))</f>
        <v>1021.0838039999998</v>
      </c>
      <c r="G518" s="100" t="str">
        <f>A517</f>
        <v>1st Floor For Residential</v>
      </c>
      <c r="H518" s="101"/>
      <c r="I518" s="33"/>
      <c r="J518" s="49"/>
      <c r="L518" s="108"/>
      <c r="M518" s="108"/>
      <c r="N518" s="33"/>
    </row>
    <row r="519" spans="1:14" s="42" customFormat="1" ht="15.75" customHeight="1" x14ac:dyDescent="0.3">
      <c r="A519" s="98">
        <v>2</v>
      </c>
      <c r="B519" s="99"/>
      <c r="C519" s="38" t="s">
        <v>190</v>
      </c>
      <c r="D519" s="47">
        <f>(58.69+1.89)*10.764</f>
        <v>652.08311999999989</v>
      </c>
      <c r="E519" s="38">
        <f>13.92*10.764</f>
        <v>149.83488</v>
      </c>
      <c r="F519" s="38">
        <f>D519*(($F$333)+1)+(IF(E519&lt;101,E519,IF(E519&lt;201,E519/2,IF(E519&lt;=301,E519/3,E519/4))))</f>
        <v>1020.4379639999997</v>
      </c>
      <c r="G519" s="102"/>
      <c r="H519" s="103"/>
      <c r="L519" s="108"/>
      <c r="M519" s="108"/>
      <c r="N519" s="33"/>
    </row>
    <row r="520" spans="1:14" s="42" customFormat="1" ht="15.75" customHeight="1" x14ac:dyDescent="0.3">
      <c r="A520" s="98">
        <v>3</v>
      </c>
      <c r="B520" s="99"/>
      <c r="C520" s="38" t="s">
        <v>190</v>
      </c>
      <c r="D520" s="47">
        <f>(58.69+5.67)*10.764</f>
        <v>692.77103999999997</v>
      </c>
      <c r="E520" s="38">
        <v>0</v>
      </c>
      <c r="F520" s="38">
        <f>D520*(($F$333)+1)+(IF(E520&lt;101,E520,IF(E520&lt;201,E520/2,IF(E520&lt;=301,E520/3,E520/4))))</f>
        <v>1004.5180079999999</v>
      </c>
      <c r="G520" s="102"/>
      <c r="H520" s="103"/>
      <c r="I520" s="33"/>
      <c r="J520" s="49"/>
      <c r="L520" s="108"/>
      <c r="M520" s="108"/>
      <c r="N520" s="33"/>
    </row>
    <row r="521" spans="1:14" s="42" customFormat="1" ht="15.75" customHeight="1" x14ac:dyDescent="0.3">
      <c r="A521" s="98">
        <v>4</v>
      </c>
      <c r="B521" s="99"/>
      <c r="C521" s="38" t="s">
        <v>190</v>
      </c>
      <c r="D521" s="47">
        <f>(58.69+5.67)*10.764</f>
        <v>692.77103999999997</v>
      </c>
      <c r="E521" s="38">
        <v>0</v>
      </c>
      <c r="F521" s="38">
        <f>D521*(($F$333)+1)+(IF(E521&lt;101,E521,IF(E521&lt;201,E521/2,IF(E521&lt;=301,E521/3,E521/4))))</f>
        <v>1004.5180079999999</v>
      </c>
      <c r="G521" s="104"/>
      <c r="H521" s="105"/>
      <c r="L521" s="108"/>
      <c r="M521" s="108"/>
      <c r="N521" s="33"/>
    </row>
    <row r="522" spans="1:14" s="42" customFormat="1" x14ac:dyDescent="0.3">
      <c r="A522" s="95" t="s">
        <v>204</v>
      </c>
      <c r="B522" s="96"/>
      <c r="C522" s="96"/>
      <c r="D522" s="96"/>
      <c r="E522" s="96"/>
      <c r="F522" s="96"/>
      <c r="G522" s="96"/>
      <c r="H522" s="97"/>
      <c r="J522" s="33"/>
    </row>
    <row r="523" spans="1:14" s="42" customFormat="1" ht="15.75" customHeight="1" x14ac:dyDescent="0.3">
      <c r="A523" s="98">
        <v>1</v>
      </c>
      <c r="B523" s="99"/>
      <c r="C523" s="38" t="s">
        <v>190</v>
      </c>
      <c r="D523" s="47">
        <f t="shared" ref="D523:D524" si="27">(58.69+5.67)*10.764</f>
        <v>692.77103999999997</v>
      </c>
      <c r="E523" s="38">
        <v>0</v>
      </c>
      <c r="F523" s="38">
        <f>D523*(($F$333)+1)+(IF(E523&lt;101,E523,IF(E523&lt;201,E523/2,IF(E523&lt;=301,E523/3,E523/4))))</f>
        <v>1004.5180079999999</v>
      </c>
      <c r="G523" s="100" t="str">
        <f>A522</f>
        <v>2nd to 7th Floor</v>
      </c>
      <c r="H523" s="101"/>
      <c r="I523" s="33"/>
      <c r="J523" s="49"/>
      <c r="L523" s="108"/>
      <c r="M523" s="108"/>
      <c r="N523" s="33"/>
    </row>
    <row r="524" spans="1:14" s="42" customFormat="1" ht="15.75" customHeight="1" x14ac:dyDescent="0.3">
      <c r="A524" s="98">
        <v>2</v>
      </c>
      <c r="B524" s="99"/>
      <c r="C524" s="38" t="s">
        <v>190</v>
      </c>
      <c r="D524" s="47">
        <f t="shared" si="27"/>
        <v>692.77103999999997</v>
      </c>
      <c r="E524" s="38">
        <v>0</v>
      </c>
      <c r="F524" s="38">
        <f>D524*(($F$333)+1)+(IF(E524&lt;101,E524,IF(E524&lt;201,E524/2,IF(E524&lt;=301,E524/3,E524/4))))</f>
        <v>1004.5180079999999</v>
      </c>
      <c r="G524" s="102"/>
      <c r="H524" s="103"/>
      <c r="L524" s="108"/>
      <c r="M524" s="108"/>
      <c r="N524" s="33"/>
    </row>
    <row r="525" spans="1:14" s="42" customFormat="1" ht="15.75" customHeight="1" x14ac:dyDescent="0.3">
      <c r="A525" s="98">
        <v>3</v>
      </c>
      <c r="B525" s="99"/>
      <c r="C525" s="38" t="s">
        <v>190</v>
      </c>
      <c r="D525" s="47">
        <f>(58.69+5.67)*10.764</f>
        <v>692.77103999999997</v>
      </c>
      <c r="E525" s="38">
        <v>0</v>
      </c>
      <c r="F525" s="38">
        <f>D525*(($F$333)+1)+(IF(E525&lt;101,E525,IF(E525&lt;201,E525/2,IF(E525&lt;=301,E525/3,E525/4))))</f>
        <v>1004.5180079999999</v>
      </c>
      <c r="G525" s="102"/>
      <c r="H525" s="103"/>
      <c r="I525" s="33"/>
      <c r="J525" s="49"/>
      <c r="L525" s="108"/>
      <c r="M525" s="108"/>
      <c r="N525" s="33"/>
    </row>
    <row r="526" spans="1:14" s="42" customFormat="1" ht="15.75" customHeight="1" x14ac:dyDescent="0.3">
      <c r="A526" s="98">
        <v>4</v>
      </c>
      <c r="B526" s="99"/>
      <c r="C526" s="38" t="s">
        <v>190</v>
      </c>
      <c r="D526" s="47">
        <f t="shared" ref="D526" si="28">(58.69+5.67)*10.764</f>
        <v>692.77103999999997</v>
      </c>
      <c r="E526" s="38">
        <v>0</v>
      </c>
      <c r="F526" s="38">
        <f>D526*(($F$333)+1)+(IF(E526&lt;101,E526,IF(E526&lt;201,E526/2,IF(E526&lt;=301,E526/3,E526/4))))</f>
        <v>1004.5180079999999</v>
      </c>
      <c r="G526" s="104"/>
      <c r="H526" s="105"/>
      <c r="L526" s="108"/>
      <c r="M526" s="108"/>
      <c r="N526" s="33"/>
    </row>
    <row r="527" spans="1:14" s="42" customFormat="1" x14ac:dyDescent="0.3">
      <c r="A527" s="95" t="s">
        <v>197</v>
      </c>
      <c r="B527" s="96"/>
      <c r="C527" s="96"/>
      <c r="D527" s="96"/>
      <c r="E527" s="96"/>
      <c r="F527" s="96"/>
      <c r="G527" s="96"/>
      <c r="H527" s="97"/>
      <c r="J527" s="33"/>
    </row>
    <row r="528" spans="1:14" s="42" customFormat="1" ht="15.75" customHeight="1" x14ac:dyDescent="0.3">
      <c r="A528" s="95" t="s">
        <v>250</v>
      </c>
      <c r="B528" s="96"/>
      <c r="C528" s="96"/>
      <c r="D528" s="96"/>
      <c r="E528" s="96"/>
      <c r="F528" s="96"/>
      <c r="G528" s="96"/>
      <c r="H528" s="97"/>
      <c r="J528" s="33"/>
    </row>
    <row r="529" spans="1:14" s="42" customFormat="1" x14ac:dyDescent="0.3">
      <c r="A529" s="95" t="s">
        <v>191</v>
      </c>
      <c r="B529" s="96"/>
      <c r="C529" s="96"/>
      <c r="D529" s="96"/>
      <c r="E529" s="96"/>
      <c r="F529" s="96"/>
      <c r="G529" s="96"/>
      <c r="H529" s="97"/>
      <c r="J529" s="33"/>
    </row>
    <row r="530" spans="1:14" s="42" customFormat="1" x14ac:dyDescent="0.3">
      <c r="A530" s="95" t="s">
        <v>203</v>
      </c>
      <c r="B530" s="96"/>
      <c r="C530" s="96"/>
      <c r="D530" s="96"/>
      <c r="E530" s="96"/>
      <c r="F530" s="96"/>
      <c r="G530" s="96"/>
      <c r="H530" s="97"/>
      <c r="J530" s="33"/>
    </row>
    <row r="531" spans="1:14" s="42" customFormat="1" ht="15.75" customHeight="1" x14ac:dyDescent="0.3">
      <c r="A531" s="98">
        <v>1</v>
      </c>
      <c r="B531" s="99"/>
      <c r="C531" s="38" t="s">
        <v>190</v>
      </c>
      <c r="D531" s="47">
        <f>(58.69+5.66)*10.764</f>
        <v>692.66339999999991</v>
      </c>
      <c r="E531" s="38">
        <v>0</v>
      </c>
      <c r="F531" s="38">
        <f>D531*(($F$333)+1)+(IF(E531&lt;101,E531,IF(E531&lt;201,E531/2,IF(E531&lt;=301,E531/3,E531/4))))</f>
        <v>1004.3619299999998</v>
      </c>
      <c r="G531" s="100" t="str">
        <f>A530</f>
        <v>1st Floor For Residential</v>
      </c>
      <c r="H531" s="101"/>
      <c r="I531" s="33"/>
      <c r="J531" s="49"/>
      <c r="L531" s="108"/>
      <c r="M531" s="108"/>
      <c r="N531" s="33"/>
    </row>
    <row r="532" spans="1:14" s="42" customFormat="1" ht="15.75" customHeight="1" x14ac:dyDescent="0.3">
      <c r="A532" s="98">
        <v>2</v>
      </c>
      <c r="B532" s="99"/>
      <c r="C532" s="38" t="s">
        <v>190</v>
      </c>
      <c r="D532" s="47">
        <f>(58.69+5.66)*10.764</f>
        <v>692.66339999999991</v>
      </c>
      <c r="E532" s="38">
        <v>0</v>
      </c>
      <c r="F532" s="38">
        <f>D532*(($F$333)+1)+(IF(E532&lt;101,E532,IF(E532&lt;201,E532/2,IF(E532&lt;=301,E532/3,E532/4))))</f>
        <v>1004.3619299999998</v>
      </c>
      <c r="G532" s="102"/>
      <c r="H532" s="103"/>
      <c r="L532" s="108"/>
      <c r="M532" s="108"/>
      <c r="N532" s="33"/>
    </row>
    <row r="533" spans="1:14" s="42" customFormat="1" ht="15.75" customHeight="1" x14ac:dyDescent="0.3">
      <c r="A533" s="98">
        <v>3</v>
      </c>
      <c r="B533" s="99"/>
      <c r="C533" s="38" t="s">
        <v>190</v>
      </c>
      <c r="D533" s="47">
        <f>(58.69+1.89)*10.764</f>
        <v>652.08311999999989</v>
      </c>
      <c r="E533" s="38">
        <f>13.92*10.764</f>
        <v>149.83488</v>
      </c>
      <c r="F533" s="38">
        <f>D533*(($F$333)+1)+(IF(E533&lt;101,E533,IF(E533&lt;201,E533/2,IF(E533&lt;=301,E533/3,E533/4))))</f>
        <v>1020.4379639999997</v>
      </c>
      <c r="G533" s="102"/>
      <c r="H533" s="103"/>
      <c r="I533" s="33"/>
      <c r="J533" s="49"/>
      <c r="L533" s="108"/>
      <c r="M533" s="108"/>
      <c r="N533" s="33"/>
    </row>
    <row r="534" spans="1:14" s="42" customFormat="1" ht="15.75" customHeight="1" x14ac:dyDescent="0.3">
      <c r="A534" s="98">
        <v>4</v>
      </c>
      <c r="B534" s="99"/>
      <c r="C534" s="38" t="s">
        <v>190</v>
      </c>
      <c r="D534" s="47">
        <f>(58.69+1.89)*10.764</f>
        <v>652.08311999999989</v>
      </c>
      <c r="E534" s="38">
        <f>14.04*10.764</f>
        <v>151.12655999999998</v>
      </c>
      <c r="F534" s="38">
        <f>D534*(($F$333)+1)+(IF(E534&lt;101,E534,IF(E534&lt;201,E534/2,IF(E534&lt;=301,E534/3,E534/4))))</f>
        <v>1021.0838039999998</v>
      </c>
      <c r="G534" s="104"/>
      <c r="H534" s="105"/>
      <c r="L534" s="108"/>
      <c r="M534" s="108"/>
      <c r="N534" s="33"/>
    </row>
    <row r="535" spans="1:14" s="42" customFormat="1" x14ac:dyDescent="0.3">
      <c r="A535" s="95" t="s">
        <v>204</v>
      </c>
      <c r="B535" s="96"/>
      <c r="C535" s="96"/>
      <c r="D535" s="96"/>
      <c r="E535" s="96"/>
      <c r="F535" s="96"/>
      <c r="G535" s="96"/>
      <c r="H535" s="97"/>
      <c r="J535" s="33"/>
    </row>
    <row r="536" spans="1:14" s="42" customFormat="1" ht="15.75" customHeight="1" x14ac:dyDescent="0.3">
      <c r="A536" s="98">
        <v>1</v>
      </c>
      <c r="B536" s="99"/>
      <c r="C536" s="38" t="s">
        <v>190</v>
      </c>
      <c r="D536" s="47">
        <f t="shared" ref="D536:D537" si="29">(58.69+5.67)*10.764</f>
        <v>692.77103999999997</v>
      </c>
      <c r="E536" s="38">
        <v>0</v>
      </c>
      <c r="F536" s="38">
        <f>D536*(($F$333)+1)+(IF(E536&lt;101,E536,IF(E536&lt;201,E536/2,IF(E536&lt;=301,E536/3,E536/4))))</f>
        <v>1004.5180079999999</v>
      </c>
      <c r="G536" s="100" t="str">
        <f>A535</f>
        <v>2nd to 7th Floor</v>
      </c>
      <c r="H536" s="101"/>
      <c r="I536" s="33"/>
      <c r="J536" s="49"/>
      <c r="L536" s="108"/>
      <c r="M536" s="108"/>
      <c r="N536" s="33"/>
    </row>
    <row r="537" spans="1:14" s="42" customFormat="1" ht="15.75" customHeight="1" x14ac:dyDescent="0.3">
      <c r="A537" s="98">
        <v>2</v>
      </c>
      <c r="B537" s="99"/>
      <c r="C537" s="38" t="s">
        <v>190</v>
      </c>
      <c r="D537" s="47">
        <f t="shared" si="29"/>
        <v>692.77103999999997</v>
      </c>
      <c r="E537" s="38">
        <v>0</v>
      </c>
      <c r="F537" s="38">
        <f>D537*(($F$333)+1)+(IF(E537&lt;101,E537,IF(E537&lt;201,E537/2,IF(E537&lt;=301,E537/3,E537/4))))</f>
        <v>1004.5180079999999</v>
      </c>
      <c r="G537" s="102"/>
      <c r="H537" s="103"/>
      <c r="L537" s="108"/>
      <c r="M537" s="108"/>
      <c r="N537" s="33"/>
    </row>
    <row r="538" spans="1:14" s="42" customFormat="1" ht="15.75" customHeight="1" x14ac:dyDescent="0.3">
      <c r="A538" s="98">
        <v>3</v>
      </c>
      <c r="B538" s="99"/>
      <c r="C538" s="38" t="s">
        <v>190</v>
      </c>
      <c r="D538" s="47">
        <f>(58.69+5.67)*10.764</f>
        <v>692.77103999999997</v>
      </c>
      <c r="E538" s="38">
        <v>0</v>
      </c>
      <c r="F538" s="38">
        <f>D538*(($F$333)+1)+(IF(E538&lt;101,E538,IF(E538&lt;201,E538/2,IF(E538&lt;=301,E538/3,E538/4))))</f>
        <v>1004.5180079999999</v>
      </c>
      <c r="G538" s="102"/>
      <c r="H538" s="103"/>
      <c r="I538" s="33"/>
      <c r="J538" s="49"/>
      <c r="L538" s="108"/>
      <c r="M538" s="108"/>
      <c r="N538" s="33"/>
    </row>
    <row r="539" spans="1:14" s="42" customFormat="1" ht="15.75" customHeight="1" x14ac:dyDescent="0.3">
      <c r="A539" s="98">
        <v>4</v>
      </c>
      <c r="B539" s="99"/>
      <c r="C539" s="38" t="s">
        <v>190</v>
      </c>
      <c r="D539" s="47">
        <f t="shared" ref="D539" si="30">(58.69+5.67)*10.764</f>
        <v>692.77103999999997</v>
      </c>
      <c r="E539" s="38">
        <v>0</v>
      </c>
      <c r="F539" s="38">
        <f>D539*(($F$333)+1)+(IF(E539&lt;101,E539,IF(E539&lt;201,E539/2,IF(E539&lt;=301,E539/3,E539/4))))</f>
        <v>1004.5180079999999</v>
      </c>
      <c r="G539" s="104"/>
      <c r="H539" s="105"/>
      <c r="L539" s="108"/>
      <c r="M539" s="108"/>
      <c r="N539" s="33"/>
    </row>
    <row r="540" spans="1:14" s="42" customFormat="1" x14ac:dyDescent="0.3">
      <c r="A540" s="126" t="s">
        <v>205</v>
      </c>
      <c r="B540" s="127"/>
      <c r="C540" s="127"/>
      <c r="D540" s="127"/>
      <c r="E540" s="127"/>
      <c r="F540" s="127"/>
      <c r="G540" s="127"/>
      <c r="H540" s="128"/>
      <c r="J540" s="33"/>
    </row>
    <row r="541" spans="1:14" s="42" customFormat="1" ht="15.75" hidden="1" customHeight="1" x14ac:dyDescent="0.3">
      <c r="A541" s="95" t="s">
        <v>206</v>
      </c>
      <c r="B541" s="96"/>
      <c r="C541" s="96"/>
      <c r="D541" s="96"/>
      <c r="E541" s="96"/>
      <c r="F541" s="96"/>
      <c r="G541" s="96"/>
      <c r="H541" s="97"/>
      <c r="J541" s="33"/>
    </row>
    <row r="542" spans="1:14" s="42" customFormat="1" x14ac:dyDescent="0.3">
      <c r="A542" s="95" t="s">
        <v>207</v>
      </c>
      <c r="B542" s="96"/>
      <c r="C542" s="96"/>
      <c r="D542" s="96"/>
      <c r="E542" s="96"/>
      <c r="F542" s="96"/>
      <c r="G542" s="96"/>
      <c r="H542" s="97"/>
      <c r="J542" s="33"/>
    </row>
    <row r="543" spans="1:14" s="42" customFormat="1" ht="15.75" customHeight="1" x14ac:dyDescent="0.3">
      <c r="A543" s="98" t="s">
        <v>212</v>
      </c>
      <c r="B543" s="99"/>
      <c r="C543" s="38" t="s">
        <v>208</v>
      </c>
      <c r="D543" s="50">
        <f t="shared" ref="D543:D553" si="31">(61.85+64.02+5.5)*10.764</f>
        <v>1414.0666799999999</v>
      </c>
      <c r="E543" s="38">
        <v>0</v>
      </c>
      <c r="F543" s="38">
        <f t="shared" ref="F543:F553" si="32">D543*(($F$333)+1)+(IF(E543&lt;101,E543,IF(E543&lt;201,E543/2,IF(E543&lt;=301,E543/3,E543/4))))</f>
        <v>2050.3966859999996</v>
      </c>
      <c r="G543" s="98" t="s">
        <v>265</v>
      </c>
      <c r="H543" s="99"/>
      <c r="I543" s="33">
        <f>2.85*1.93</f>
        <v>5.5004999999999997</v>
      </c>
      <c r="J543" s="49">
        <f>(3.66*6.86+3.2*3.76+2.75*1.83+3.2*3.66+2.75*2.4)</f>
        <v>60.484100000000005</v>
      </c>
      <c r="K543" s="42">
        <f>(3.66*4.42+1.63*1.78+3.2*3.66+3.2*3.66+2.75*1.49+1.9*2.4+2.4*2.75)</f>
        <v>57.760100000000001</v>
      </c>
      <c r="L543" s="108"/>
      <c r="M543" s="108"/>
      <c r="N543" s="33"/>
    </row>
    <row r="544" spans="1:14" s="42" customFormat="1" ht="15.75" customHeight="1" x14ac:dyDescent="0.3">
      <c r="A544" s="98" t="s">
        <v>213</v>
      </c>
      <c r="B544" s="99"/>
      <c r="C544" s="38" t="s">
        <v>208</v>
      </c>
      <c r="D544" s="50">
        <f t="shared" si="31"/>
        <v>1414.0666799999999</v>
      </c>
      <c r="E544" s="38">
        <v>0</v>
      </c>
      <c r="F544" s="38">
        <f t="shared" si="32"/>
        <v>2050.3966859999996</v>
      </c>
      <c r="G544" s="98" t="str">
        <f>G543</f>
        <v>G + 1st Floor</v>
      </c>
      <c r="H544" s="99"/>
      <c r="I544" s="33"/>
      <c r="J544" s="49"/>
      <c r="L544" s="108"/>
      <c r="M544" s="108"/>
      <c r="N544" s="33"/>
    </row>
    <row r="545" spans="1:14" s="42" customFormat="1" ht="15.75" customHeight="1" x14ac:dyDescent="0.3">
      <c r="A545" s="98" t="s">
        <v>214</v>
      </c>
      <c r="B545" s="99"/>
      <c r="C545" s="38" t="s">
        <v>208</v>
      </c>
      <c r="D545" s="50">
        <f t="shared" si="31"/>
        <v>1414.0666799999999</v>
      </c>
      <c r="E545" s="38">
        <v>0</v>
      </c>
      <c r="F545" s="38">
        <f t="shared" si="32"/>
        <v>2050.3966859999996</v>
      </c>
      <c r="G545" s="98" t="str">
        <f t="shared" ref="G545:G552" si="33">G544</f>
        <v>G + 1st Floor</v>
      </c>
      <c r="H545" s="99"/>
      <c r="I545" s="33">
        <f>9000000/F545</f>
        <v>4389.3945310444196</v>
      </c>
      <c r="J545" s="49"/>
      <c r="L545" s="108"/>
      <c r="M545" s="108"/>
      <c r="N545" s="33"/>
    </row>
    <row r="546" spans="1:14" s="42" customFormat="1" ht="15.75" customHeight="1" x14ac:dyDescent="0.3">
      <c r="A546" s="98" t="s">
        <v>215</v>
      </c>
      <c r="B546" s="99"/>
      <c r="C546" s="38" t="s">
        <v>208</v>
      </c>
      <c r="D546" s="50">
        <f t="shared" si="31"/>
        <v>1414.0666799999999</v>
      </c>
      <c r="E546" s="38">
        <v>0</v>
      </c>
      <c r="F546" s="38">
        <f t="shared" si="32"/>
        <v>2050.3966859999996</v>
      </c>
      <c r="G546" s="98" t="str">
        <f t="shared" si="33"/>
        <v>G + 1st Floor</v>
      </c>
      <c r="H546" s="99"/>
      <c r="I546" s="33"/>
      <c r="J546" s="49"/>
      <c r="L546" s="108"/>
      <c r="M546" s="108"/>
      <c r="N546" s="33"/>
    </row>
    <row r="547" spans="1:14" s="42" customFormat="1" ht="15.75" customHeight="1" x14ac:dyDescent="0.3">
      <c r="A547" s="98" t="s">
        <v>216</v>
      </c>
      <c r="B547" s="99"/>
      <c r="C547" s="38" t="s">
        <v>208</v>
      </c>
      <c r="D547" s="50">
        <f t="shared" si="31"/>
        <v>1414.0666799999999</v>
      </c>
      <c r="E547" s="38">
        <v>0</v>
      </c>
      <c r="F547" s="38">
        <f t="shared" si="32"/>
        <v>2050.3966859999996</v>
      </c>
      <c r="G547" s="98" t="str">
        <f t="shared" si="33"/>
        <v>G + 1st Floor</v>
      </c>
      <c r="H547" s="99"/>
      <c r="I547" s="33"/>
      <c r="J547" s="49"/>
      <c r="L547" s="108"/>
      <c r="M547" s="108"/>
      <c r="N547" s="33"/>
    </row>
    <row r="548" spans="1:14" s="42" customFormat="1" ht="15.75" customHeight="1" x14ac:dyDescent="0.3">
      <c r="A548" s="98" t="s">
        <v>217</v>
      </c>
      <c r="B548" s="99"/>
      <c r="C548" s="38" t="s">
        <v>208</v>
      </c>
      <c r="D548" s="50">
        <f t="shared" si="31"/>
        <v>1414.0666799999999</v>
      </c>
      <c r="E548" s="38">
        <v>0</v>
      </c>
      <c r="F548" s="38">
        <f t="shared" si="32"/>
        <v>2050.3966859999996</v>
      </c>
      <c r="G548" s="98" t="str">
        <f t="shared" si="33"/>
        <v>G + 1st Floor</v>
      </c>
      <c r="H548" s="99"/>
      <c r="I548" s="33"/>
      <c r="J548" s="49"/>
      <c r="L548" s="108"/>
      <c r="M548" s="108"/>
      <c r="N548" s="33"/>
    </row>
    <row r="549" spans="1:14" s="42" customFormat="1" ht="15.75" customHeight="1" x14ac:dyDescent="0.3">
      <c r="A549" s="98" t="s">
        <v>218</v>
      </c>
      <c r="B549" s="99"/>
      <c r="C549" s="38" t="s">
        <v>208</v>
      </c>
      <c r="D549" s="50">
        <f t="shared" si="31"/>
        <v>1414.0666799999999</v>
      </c>
      <c r="E549" s="38">
        <v>0</v>
      </c>
      <c r="F549" s="38">
        <f t="shared" si="32"/>
        <v>2050.3966859999996</v>
      </c>
      <c r="G549" s="98" t="str">
        <f t="shared" si="33"/>
        <v>G + 1st Floor</v>
      </c>
      <c r="H549" s="99"/>
      <c r="I549" s="33"/>
      <c r="J549" s="49"/>
      <c r="L549" s="108"/>
      <c r="M549" s="108"/>
      <c r="N549" s="33"/>
    </row>
    <row r="550" spans="1:14" s="42" customFormat="1" ht="15.75" customHeight="1" x14ac:dyDescent="0.3">
      <c r="A550" s="98" t="s">
        <v>219</v>
      </c>
      <c r="B550" s="99"/>
      <c r="C550" s="38" t="s">
        <v>208</v>
      </c>
      <c r="D550" s="50">
        <f t="shared" si="31"/>
        <v>1414.0666799999999</v>
      </c>
      <c r="E550" s="38">
        <v>0</v>
      </c>
      <c r="F550" s="38">
        <f t="shared" si="32"/>
        <v>2050.3966859999996</v>
      </c>
      <c r="G550" s="98" t="str">
        <f t="shared" si="33"/>
        <v>G + 1st Floor</v>
      </c>
      <c r="H550" s="99"/>
      <c r="I550" s="33"/>
      <c r="J550" s="49"/>
      <c r="L550" s="108"/>
      <c r="M550" s="108"/>
      <c r="N550" s="33"/>
    </row>
    <row r="551" spans="1:14" s="42" customFormat="1" ht="15.75" customHeight="1" x14ac:dyDescent="0.3">
      <c r="A551" s="98" t="s">
        <v>220</v>
      </c>
      <c r="B551" s="99"/>
      <c r="C551" s="38" t="s">
        <v>208</v>
      </c>
      <c r="D551" s="50">
        <f t="shared" si="31"/>
        <v>1414.0666799999999</v>
      </c>
      <c r="E551" s="38">
        <v>0</v>
      </c>
      <c r="F551" s="38">
        <f t="shared" si="32"/>
        <v>2050.3966859999996</v>
      </c>
      <c r="G551" s="98" t="str">
        <f t="shared" si="33"/>
        <v>G + 1st Floor</v>
      </c>
      <c r="H551" s="99"/>
      <c r="I551" s="33"/>
      <c r="J551" s="49"/>
      <c r="L551" s="108"/>
      <c r="M551" s="108"/>
      <c r="N551" s="33"/>
    </row>
    <row r="552" spans="1:14" s="42" customFormat="1" ht="15.75" customHeight="1" x14ac:dyDescent="0.3">
      <c r="A552" s="98" t="s">
        <v>221</v>
      </c>
      <c r="B552" s="99"/>
      <c r="C552" s="38" t="s">
        <v>208</v>
      </c>
      <c r="D552" s="50">
        <f t="shared" si="31"/>
        <v>1414.0666799999999</v>
      </c>
      <c r="E552" s="38">
        <v>0</v>
      </c>
      <c r="F552" s="38">
        <f t="shared" si="32"/>
        <v>2050.3966859999996</v>
      </c>
      <c r="G552" s="98" t="str">
        <f t="shared" si="33"/>
        <v>G + 1st Floor</v>
      </c>
      <c r="H552" s="99"/>
      <c r="I552" s="33"/>
      <c r="J552" s="49"/>
      <c r="L552" s="108"/>
      <c r="M552" s="108"/>
      <c r="N552" s="33"/>
    </row>
    <row r="553" spans="1:14" s="42" customFormat="1" ht="15.75" customHeight="1" x14ac:dyDescent="0.3">
      <c r="A553" s="98" t="s">
        <v>222</v>
      </c>
      <c r="B553" s="99"/>
      <c r="C553" s="38" t="s">
        <v>208</v>
      </c>
      <c r="D553" s="50">
        <f t="shared" si="31"/>
        <v>1414.0666799999999</v>
      </c>
      <c r="E553" s="38">
        <v>0</v>
      </c>
      <c r="F553" s="38">
        <f t="shared" si="32"/>
        <v>2050.3966859999996</v>
      </c>
      <c r="G553" s="98" t="str">
        <f>G552</f>
        <v>G + 1st Floor</v>
      </c>
      <c r="H553" s="99"/>
      <c r="I553" s="33"/>
      <c r="J553" s="49"/>
      <c r="L553" s="108"/>
      <c r="M553" s="108"/>
      <c r="N553" s="33"/>
    </row>
    <row r="554" spans="1:14" s="32" customFormat="1" x14ac:dyDescent="0.3">
      <c r="A554" s="135" t="s">
        <v>72</v>
      </c>
      <c r="B554" s="135"/>
      <c r="C554" s="135"/>
      <c r="D554" s="135"/>
      <c r="E554" s="135"/>
      <c r="F554" s="135"/>
      <c r="G554" s="135"/>
      <c r="H554" s="135"/>
    </row>
    <row r="555" spans="1:14" s="32" customFormat="1" ht="61.8" customHeight="1" x14ac:dyDescent="0.3">
      <c r="A555" s="41" t="s">
        <v>160</v>
      </c>
      <c r="B555" s="190" t="s">
        <v>327</v>
      </c>
      <c r="C555" s="191"/>
      <c r="D555" s="191"/>
      <c r="E555" s="191"/>
      <c r="F555" s="191"/>
      <c r="G555" s="191"/>
      <c r="H555" s="192"/>
      <c r="I555" s="32" t="s">
        <v>312</v>
      </c>
    </row>
    <row r="556" spans="1:14" s="32" customFormat="1" x14ac:dyDescent="0.3">
      <c r="A556" s="41" t="s">
        <v>160</v>
      </c>
      <c r="B556" s="190" t="str">
        <f>(IF(F332="Saleable area Loading :","We have considered Saleable area of Flats as per our Calculation.","We considered Saleable area of Flat as per Builder area Sheet."))</f>
        <v>We have considered Saleable area of Flats as per our Calculation.</v>
      </c>
      <c r="C556" s="191"/>
      <c r="D556" s="191"/>
      <c r="E556" s="191"/>
      <c r="F556" s="191"/>
      <c r="G556" s="191"/>
      <c r="H556" s="192"/>
    </row>
    <row r="557" spans="1:14" s="32" customFormat="1" x14ac:dyDescent="0.3">
      <c r="A557" s="41" t="s">
        <v>160</v>
      </c>
      <c r="B557" s="190" t="str">
        <f>(IF(F239="Saleable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557" s="191"/>
      <c r="D557" s="191"/>
      <c r="E557" s="191"/>
      <c r="F557" s="191"/>
      <c r="G557" s="191"/>
      <c r="H557" s="192"/>
    </row>
    <row r="558" spans="1:14" s="32" customFormat="1" x14ac:dyDescent="0.3">
      <c r="A558" s="41" t="s">
        <v>160</v>
      </c>
      <c r="B558" s="66" t="s">
        <v>129</v>
      </c>
      <c r="C558" s="67"/>
      <c r="D558" s="67"/>
      <c r="E558" s="67"/>
      <c r="F558" s="67"/>
      <c r="G558" s="67"/>
      <c r="H558" s="68"/>
    </row>
    <row r="559" spans="1:14" s="32" customFormat="1" x14ac:dyDescent="0.3">
      <c r="A559" s="41" t="s">
        <v>160</v>
      </c>
      <c r="B559" s="66" t="s">
        <v>209</v>
      </c>
      <c r="C559" s="67"/>
      <c r="D559" s="67"/>
      <c r="E559" s="67"/>
      <c r="F559" s="67"/>
      <c r="G559" s="67"/>
      <c r="H559" s="68"/>
    </row>
    <row r="560" spans="1:14" s="32" customFormat="1" x14ac:dyDescent="0.3">
      <c r="A560" s="41" t="s">
        <v>160</v>
      </c>
      <c r="B560" s="66" t="s">
        <v>159</v>
      </c>
      <c r="C560" s="67"/>
      <c r="D560" s="67"/>
      <c r="E560" s="67"/>
      <c r="F560" s="67"/>
      <c r="G560" s="67"/>
      <c r="H560" s="68"/>
    </row>
    <row r="561" spans="1:8" s="32" customFormat="1" x14ac:dyDescent="0.3">
      <c r="A561" s="41" t="s">
        <v>160</v>
      </c>
      <c r="B561" s="66" t="s">
        <v>130</v>
      </c>
      <c r="C561" s="67"/>
      <c r="D561" s="67"/>
      <c r="E561" s="67"/>
      <c r="F561" s="67"/>
      <c r="G561" s="67"/>
      <c r="H561" s="68"/>
    </row>
    <row r="562" spans="1:8" s="32" customFormat="1" ht="34.5" customHeight="1" x14ac:dyDescent="0.3">
      <c r="A562" s="41" t="s">
        <v>160</v>
      </c>
      <c r="B562" s="66" t="s">
        <v>161</v>
      </c>
      <c r="C562" s="67"/>
      <c r="D562" s="67"/>
      <c r="E562" s="67"/>
      <c r="F562" s="67"/>
      <c r="G562" s="67"/>
      <c r="H562" s="68"/>
    </row>
    <row r="563" spans="1:8" s="32" customFormat="1" x14ac:dyDescent="0.3">
      <c r="A563" s="41" t="s">
        <v>160</v>
      </c>
      <c r="B563" s="66" t="s">
        <v>131</v>
      </c>
      <c r="C563" s="67"/>
      <c r="D563" s="67"/>
      <c r="E563" s="67"/>
      <c r="F563" s="67"/>
      <c r="G563" s="67"/>
      <c r="H563" s="68"/>
    </row>
    <row r="564" spans="1:8" s="32" customFormat="1" ht="34.5" customHeight="1" x14ac:dyDescent="0.3">
      <c r="A564" s="41" t="s">
        <v>160</v>
      </c>
      <c r="B564" s="66" t="s">
        <v>291</v>
      </c>
      <c r="C564" s="67"/>
      <c r="D564" s="67"/>
      <c r="E564" s="67"/>
      <c r="F564" s="67"/>
      <c r="G564" s="67"/>
      <c r="H564" s="68"/>
    </row>
    <row r="565" spans="1:8" s="32" customFormat="1" ht="34.5" customHeight="1" x14ac:dyDescent="0.3">
      <c r="A565" s="41" t="s">
        <v>160</v>
      </c>
      <c r="B565" s="66" t="s">
        <v>301</v>
      </c>
      <c r="C565" s="67"/>
      <c r="D565" s="67"/>
      <c r="E565" s="67"/>
      <c r="F565" s="67"/>
      <c r="G565" s="67"/>
      <c r="H565" s="68"/>
    </row>
    <row r="566" spans="1:8" s="32" customFormat="1" x14ac:dyDescent="0.3">
      <c r="A566" s="41" t="s">
        <v>160</v>
      </c>
      <c r="B566" s="66" t="s">
        <v>319</v>
      </c>
      <c r="C566" s="67"/>
      <c r="D566" s="67"/>
      <c r="E566" s="67"/>
      <c r="F566" s="67"/>
      <c r="G566" s="67"/>
      <c r="H566" s="68"/>
    </row>
    <row r="567" spans="1:8" s="32" customFormat="1" ht="34.5" hidden="1" customHeight="1" x14ac:dyDescent="0.3">
      <c r="A567" s="41" t="s">
        <v>160</v>
      </c>
      <c r="B567" s="66" t="s">
        <v>313</v>
      </c>
      <c r="C567" s="67"/>
      <c r="D567" s="67"/>
      <c r="E567" s="67"/>
      <c r="F567" s="67"/>
      <c r="G567" s="67"/>
      <c r="H567" s="68"/>
    </row>
    <row r="568" spans="1:8" x14ac:dyDescent="0.3">
      <c r="A568" s="152" t="s">
        <v>65</v>
      </c>
      <c r="B568" s="152"/>
      <c r="C568" s="152"/>
      <c r="D568" s="152"/>
      <c r="E568" s="152"/>
      <c r="F568" s="152"/>
      <c r="G568" s="152"/>
      <c r="H568" s="152"/>
    </row>
    <row r="569" spans="1:8" x14ac:dyDescent="0.3">
      <c r="A569" s="114" t="s">
        <v>66</v>
      </c>
      <c r="B569" s="114"/>
      <c r="C569" s="114"/>
      <c r="D569" s="114"/>
      <c r="E569" s="114"/>
      <c r="F569" s="114"/>
      <c r="G569" s="114"/>
      <c r="H569" s="114"/>
    </row>
    <row r="570" spans="1:8" ht="15.75" customHeight="1" x14ac:dyDescent="0.3">
      <c r="A570" s="193" t="s">
        <v>67</v>
      </c>
      <c r="B570" s="193"/>
      <c r="C570" s="193"/>
      <c r="D570" s="193"/>
      <c r="E570" s="193"/>
      <c r="F570" s="193"/>
      <c r="G570" s="193"/>
      <c r="H570" s="193"/>
    </row>
    <row r="571" spans="1:8" x14ac:dyDescent="0.3">
      <c r="A571" s="114" t="s">
        <v>68</v>
      </c>
      <c r="B571" s="114"/>
      <c r="C571" s="114"/>
      <c r="D571" s="114"/>
      <c r="E571" s="114"/>
      <c r="F571" s="114"/>
      <c r="G571" s="114"/>
      <c r="H571" s="114"/>
    </row>
    <row r="572" spans="1:8" x14ac:dyDescent="0.3">
      <c r="A572" s="114" t="s">
        <v>69</v>
      </c>
      <c r="B572" s="114"/>
      <c r="C572" s="114"/>
      <c r="D572" s="114"/>
      <c r="E572" s="114"/>
      <c r="F572" s="114"/>
      <c r="G572" s="114"/>
      <c r="H572" s="114"/>
    </row>
    <row r="573" spans="1:8" x14ac:dyDescent="0.3">
      <c r="A573" s="114" t="s">
        <v>132</v>
      </c>
      <c r="B573" s="114"/>
      <c r="C573" s="114"/>
      <c r="D573" s="114"/>
      <c r="E573" s="114"/>
      <c r="F573" s="114"/>
      <c r="G573" s="114"/>
      <c r="H573" s="114"/>
    </row>
    <row r="574" spans="1:8" x14ac:dyDescent="0.3">
      <c r="A574" s="150" t="s">
        <v>133</v>
      </c>
      <c r="B574" s="150"/>
      <c r="C574" s="150"/>
      <c r="D574" s="150"/>
      <c r="E574" s="150"/>
      <c r="F574" s="150"/>
      <c r="G574" s="150"/>
      <c r="H574" s="150"/>
    </row>
    <row r="575" spans="1:8" x14ac:dyDescent="0.3">
      <c r="A575" s="189" t="s">
        <v>82</v>
      </c>
      <c r="B575" s="189"/>
      <c r="C575" s="189" t="s">
        <v>326</v>
      </c>
      <c r="D575" s="189"/>
      <c r="E575" s="189" t="s">
        <v>111</v>
      </c>
      <c r="F575" s="189"/>
      <c r="G575" s="189" t="s">
        <v>325</v>
      </c>
      <c r="H575" s="189"/>
    </row>
    <row r="576" spans="1:8" x14ac:dyDescent="0.3">
      <c r="A576" s="188" t="s">
        <v>84</v>
      </c>
      <c r="B576" s="188"/>
      <c r="C576" s="188"/>
      <c r="D576" s="188"/>
      <c r="E576" s="188"/>
      <c r="F576" s="188"/>
      <c r="G576" s="188"/>
      <c r="H576" s="188"/>
    </row>
    <row r="577" spans="1:8" x14ac:dyDescent="0.3">
      <c r="A577" s="188"/>
      <c r="B577" s="188"/>
      <c r="C577" s="188"/>
      <c r="D577" s="188"/>
      <c r="E577" s="188"/>
      <c r="F577" s="188"/>
      <c r="G577" s="188"/>
      <c r="H577" s="188"/>
    </row>
    <row r="578" spans="1:8" x14ac:dyDescent="0.3">
      <c r="A578" s="188"/>
      <c r="B578" s="188"/>
      <c r="C578" s="188"/>
      <c r="D578" s="188"/>
      <c r="E578" s="188"/>
      <c r="F578" s="188"/>
      <c r="G578" s="188"/>
      <c r="H578" s="188"/>
    </row>
    <row r="579" spans="1:8" x14ac:dyDescent="0.3">
      <c r="A579" s="188"/>
      <c r="B579" s="188"/>
      <c r="C579" s="188"/>
      <c r="D579" s="188"/>
      <c r="E579" s="188"/>
      <c r="F579" s="188"/>
      <c r="G579" s="188"/>
      <c r="H579" s="188"/>
    </row>
    <row r="580" spans="1:8" x14ac:dyDescent="0.3">
      <c r="A580" s="34" t="s">
        <v>70</v>
      </c>
      <c r="B580" s="35"/>
      <c r="C580" s="35"/>
      <c r="D580" s="34" t="str">
        <f>E8</f>
        <v>Roop Rajat Park</v>
      </c>
      <c r="F580" s="35"/>
      <c r="G580" s="35"/>
      <c r="H580" s="35"/>
    </row>
    <row r="581" spans="1:8" x14ac:dyDescent="0.3">
      <c r="A581" s="35"/>
      <c r="B581" s="35"/>
      <c r="C581" s="35"/>
      <c r="D581" s="35"/>
      <c r="E581" s="35"/>
      <c r="F581" s="35"/>
      <c r="G581" s="35"/>
      <c r="H581" s="35"/>
    </row>
    <row r="582" spans="1:8" x14ac:dyDescent="0.3">
      <c r="A582" s="35"/>
      <c r="B582" s="35"/>
      <c r="C582" s="35"/>
      <c r="D582" s="35"/>
      <c r="E582" s="35"/>
      <c r="F582" s="35"/>
      <c r="G582" s="35"/>
      <c r="H582" s="35"/>
    </row>
    <row r="583" spans="1:8" ht="15" customHeight="1" x14ac:dyDescent="0.3"/>
    <row r="622" spans="1:4" x14ac:dyDescent="0.3">
      <c r="A622" s="34" t="s">
        <v>70</v>
      </c>
      <c r="D622" s="37" t="str">
        <f>E8</f>
        <v>Roop Rajat Park</v>
      </c>
    </row>
    <row r="662" spans="1:1" hidden="1" x14ac:dyDescent="0.3"/>
    <row r="665" spans="1:1" x14ac:dyDescent="0.3">
      <c r="A665" s="37" t="s">
        <v>259</v>
      </c>
    </row>
    <row r="707" spans="1:1" x14ac:dyDescent="0.3">
      <c r="A707" s="37" t="s">
        <v>71</v>
      </c>
    </row>
  </sheetData>
  <mergeCells count="1033">
    <mergeCell ref="C157:H157"/>
    <mergeCell ref="A158:B158"/>
    <mergeCell ref="E158:F158"/>
    <mergeCell ref="G158:H158"/>
    <mergeCell ref="A159:B159"/>
    <mergeCell ref="E159:F168"/>
    <mergeCell ref="G159:H168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89:B189"/>
    <mergeCell ref="A190:B190"/>
    <mergeCell ref="A191:B191"/>
    <mergeCell ref="A192:B192"/>
    <mergeCell ref="A193:B193"/>
    <mergeCell ref="B566:H566"/>
    <mergeCell ref="A218:B218"/>
    <mergeCell ref="C218:D218"/>
    <mergeCell ref="E218:F218"/>
    <mergeCell ref="G218:H218"/>
    <mergeCell ref="A233:B233"/>
    <mergeCell ref="C233:D233"/>
    <mergeCell ref="E233:F233"/>
    <mergeCell ref="G233:H233"/>
    <mergeCell ref="A234:B234"/>
    <mergeCell ref="C234:D234"/>
    <mergeCell ref="E234:F234"/>
    <mergeCell ref="G234:H234"/>
    <mergeCell ref="L548:M548"/>
    <mergeCell ref="L553:M553"/>
    <mergeCell ref="A544:B544"/>
    <mergeCell ref="G544:H544"/>
    <mergeCell ref="L544:M544"/>
    <mergeCell ref="L552:M552"/>
    <mergeCell ref="L497:M497"/>
    <mergeCell ref="A498:B498"/>
    <mergeCell ref="L498:M498"/>
    <mergeCell ref="A499:B499"/>
    <mergeCell ref="A546:B546"/>
    <mergeCell ref="G546:H546"/>
    <mergeCell ref="L546:M546"/>
    <mergeCell ref="A547:B547"/>
    <mergeCell ref="G547:H547"/>
    <mergeCell ref="L547:M547"/>
    <mergeCell ref="J11:M11"/>
    <mergeCell ref="D62:H62"/>
    <mergeCell ref="G304:H315"/>
    <mergeCell ref="A316:H316"/>
    <mergeCell ref="A317:H317"/>
    <mergeCell ref="A318:H318"/>
    <mergeCell ref="G319:H330"/>
    <mergeCell ref="A183:B183"/>
    <mergeCell ref="C183:H183"/>
    <mergeCell ref="A185:B185"/>
    <mergeCell ref="C185:H185"/>
    <mergeCell ref="A187:B187"/>
    <mergeCell ref="E187:F187"/>
    <mergeCell ref="G187:H187"/>
    <mergeCell ref="A188:B188"/>
    <mergeCell ref="E188:F197"/>
    <mergeCell ref="A488:H488"/>
    <mergeCell ref="A489:H489"/>
    <mergeCell ref="A491:H491"/>
    <mergeCell ref="A492:B492"/>
    <mergeCell ref="L492:M492"/>
    <mergeCell ref="A493:B493"/>
    <mergeCell ref="B564:H564"/>
    <mergeCell ref="A502:H502"/>
    <mergeCell ref="A503:H503"/>
    <mergeCell ref="A533:B533"/>
    <mergeCell ref="L533:M533"/>
    <mergeCell ref="A534:B534"/>
    <mergeCell ref="L534:M534"/>
    <mergeCell ref="A535:H535"/>
    <mergeCell ref="A536:B536"/>
    <mergeCell ref="G536:H539"/>
    <mergeCell ref="L536:M536"/>
    <mergeCell ref="A537:B537"/>
    <mergeCell ref="L537:M537"/>
    <mergeCell ref="A538:B538"/>
    <mergeCell ref="L538:M538"/>
    <mergeCell ref="A539:B539"/>
    <mergeCell ref="B555:H555"/>
    <mergeCell ref="A548:B548"/>
    <mergeCell ref="L545:M545"/>
    <mergeCell ref="A549:B549"/>
    <mergeCell ref="G549:H549"/>
    <mergeCell ref="L549:M549"/>
    <mergeCell ref="A552:B552"/>
    <mergeCell ref="G552:H552"/>
    <mergeCell ref="L539:M539"/>
    <mergeCell ref="G548:H548"/>
    <mergeCell ref="A280:B280"/>
    <mergeCell ref="L339:M339"/>
    <mergeCell ref="L283:M283"/>
    <mergeCell ref="A284:B284"/>
    <mergeCell ref="L284:M284"/>
    <mergeCell ref="A285:B285"/>
    <mergeCell ref="L285:M285"/>
    <mergeCell ref="A473:B473"/>
    <mergeCell ref="L473:M473"/>
    <mergeCell ref="A474:H474"/>
    <mergeCell ref="A475:H475"/>
    <mergeCell ref="A476:H476"/>
    <mergeCell ref="L493:M493"/>
    <mergeCell ref="A490:H490"/>
    <mergeCell ref="A496:H496"/>
    <mergeCell ref="A477:H477"/>
    <mergeCell ref="A478:B478"/>
    <mergeCell ref="G478:H479"/>
    <mergeCell ref="L478:M478"/>
    <mergeCell ref="A479:B479"/>
    <mergeCell ref="L479:M479"/>
    <mergeCell ref="A481:H481"/>
    <mergeCell ref="A482:H482"/>
    <mergeCell ref="A483:B483"/>
    <mergeCell ref="G483:H484"/>
    <mergeCell ref="L483:M483"/>
    <mergeCell ref="A484:B484"/>
    <mergeCell ref="L484:M484"/>
    <mergeCell ref="L495:M495"/>
    <mergeCell ref="G492:H495"/>
    <mergeCell ref="A485:H485"/>
    <mergeCell ref="A495:B495"/>
    <mergeCell ref="L455:M455"/>
    <mergeCell ref="A456:H456"/>
    <mergeCell ref="A457:H457"/>
    <mergeCell ref="A458:H458"/>
    <mergeCell ref="A459:H459"/>
    <mergeCell ref="A460:B460"/>
    <mergeCell ref="G460:H461"/>
    <mergeCell ref="L460:M460"/>
    <mergeCell ref="A461:B461"/>
    <mergeCell ref="L461:M461"/>
    <mergeCell ref="A455:B455"/>
    <mergeCell ref="A462:H462"/>
    <mergeCell ref="A463:H463"/>
    <mergeCell ref="A464:H464"/>
    <mergeCell ref="A465:H465"/>
    <mergeCell ref="A466:B466"/>
    <mergeCell ref="G466:H467"/>
    <mergeCell ref="L466:M466"/>
    <mergeCell ref="A467:B467"/>
    <mergeCell ref="L467:M467"/>
    <mergeCell ref="A428:H428"/>
    <mergeCell ref="A429:H429"/>
    <mergeCell ref="A430:B430"/>
    <mergeCell ref="G430:H431"/>
    <mergeCell ref="L430:M430"/>
    <mergeCell ref="A431:B431"/>
    <mergeCell ref="L431:M431"/>
    <mergeCell ref="A432:H432"/>
    <mergeCell ref="A433:H433"/>
    <mergeCell ref="A434:H434"/>
    <mergeCell ref="A235:B235"/>
    <mergeCell ref="C235:D235"/>
    <mergeCell ref="E235:F235"/>
    <mergeCell ref="G235:H235"/>
    <mergeCell ref="A421:H421"/>
    <mergeCell ref="G424:H425"/>
    <mergeCell ref="A422:H422"/>
    <mergeCell ref="A427:H427"/>
    <mergeCell ref="C236:D236"/>
    <mergeCell ref="A242:H242"/>
    <mergeCell ref="L249:M249"/>
    <mergeCell ref="A250:B250"/>
    <mergeCell ref="L250:M250"/>
    <mergeCell ref="C332:C333"/>
    <mergeCell ref="L251:M251"/>
    <mergeCell ref="L248:M248"/>
    <mergeCell ref="L247:M247"/>
    <mergeCell ref="L246:M246"/>
    <mergeCell ref="L280:M280"/>
    <mergeCell ref="A289:B289"/>
    <mergeCell ref="L289:M289"/>
    <mergeCell ref="L279:M279"/>
    <mergeCell ref="A550:B550"/>
    <mergeCell ref="G550:H550"/>
    <mergeCell ref="L550:M550"/>
    <mergeCell ref="A551:B551"/>
    <mergeCell ref="G551:H551"/>
    <mergeCell ref="L551:M551"/>
    <mergeCell ref="A402:H402"/>
    <mergeCell ref="A403:H403"/>
    <mergeCell ref="A404:H404"/>
    <mergeCell ref="A405:H405"/>
    <mergeCell ref="A406:H406"/>
    <mergeCell ref="A407:B407"/>
    <mergeCell ref="G407:H410"/>
    <mergeCell ref="L407:M407"/>
    <mergeCell ref="A408:B408"/>
    <mergeCell ref="L408:M408"/>
    <mergeCell ref="A409:B409"/>
    <mergeCell ref="L409:M409"/>
    <mergeCell ref="A410:B410"/>
    <mergeCell ref="L410:M410"/>
    <mergeCell ref="A411:H411"/>
    <mergeCell ref="A412:H412"/>
    <mergeCell ref="A413:H413"/>
    <mergeCell ref="L416:M416"/>
    <mergeCell ref="A417:B417"/>
    <mergeCell ref="L417:M417"/>
    <mergeCell ref="A418:B418"/>
    <mergeCell ref="L418:M418"/>
    <mergeCell ref="G545:H545"/>
    <mergeCell ref="L436:M436"/>
    <mergeCell ref="A420:H420"/>
    <mergeCell ref="A437:B437"/>
    <mergeCell ref="A232:B232"/>
    <mergeCell ref="E41:H41"/>
    <mergeCell ref="A41:D41"/>
    <mergeCell ref="A127:B127"/>
    <mergeCell ref="C127:H127"/>
    <mergeCell ref="A80:B80"/>
    <mergeCell ref="A48:B48"/>
    <mergeCell ref="C48:E48"/>
    <mergeCell ref="D68:H68"/>
    <mergeCell ref="A69:C69"/>
    <mergeCell ref="D69:H69"/>
    <mergeCell ref="A75:B75"/>
    <mergeCell ref="G74:H74"/>
    <mergeCell ref="A65:C65"/>
    <mergeCell ref="C49:E49"/>
    <mergeCell ref="A52:B52"/>
    <mergeCell ref="C52:E52"/>
    <mergeCell ref="A49:B49"/>
    <mergeCell ref="A78:B78"/>
    <mergeCell ref="E74:F74"/>
    <mergeCell ref="A67:C67"/>
    <mergeCell ref="D67:H67"/>
    <mergeCell ref="A70:C70"/>
    <mergeCell ref="D70:H70"/>
    <mergeCell ref="A68:C68"/>
    <mergeCell ref="G75:H84"/>
    <mergeCell ref="A83:B83"/>
    <mergeCell ref="A42:D42"/>
    <mergeCell ref="E42:H42"/>
    <mergeCell ref="E43:H43"/>
    <mergeCell ref="E44:H44"/>
    <mergeCell ref="G188:H197"/>
    <mergeCell ref="G230:H230"/>
    <mergeCell ref="C221:D221"/>
    <mergeCell ref="G221:H221"/>
    <mergeCell ref="A573:H573"/>
    <mergeCell ref="A570:H570"/>
    <mergeCell ref="A221:B221"/>
    <mergeCell ref="D332:D333"/>
    <mergeCell ref="E332:E333"/>
    <mergeCell ref="G332:H333"/>
    <mergeCell ref="A135:B135"/>
    <mergeCell ref="A136:B136"/>
    <mergeCell ref="A137:B137"/>
    <mergeCell ref="A179:B179"/>
    <mergeCell ref="F199:H199"/>
    <mergeCell ref="G215:H215"/>
    <mergeCell ref="A182:B182"/>
    <mergeCell ref="A335:H335"/>
    <mergeCell ref="A334:H334"/>
    <mergeCell ref="A295:B295"/>
    <mergeCell ref="A309:B309"/>
    <mergeCell ref="A324:B324"/>
    <mergeCell ref="A294:B294"/>
    <mergeCell ref="A337:H337"/>
    <mergeCell ref="E231:F231"/>
    <mergeCell ref="C228:D228"/>
    <mergeCell ref="E228:F228"/>
    <mergeCell ref="G228:H228"/>
    <mergeCell ref="A239:A240"/>
    <mergeCell ref="A263:B263"/>
    <mergeCell ref="A283:B283"/>
    <mergeCell ref="A436:B436"/>
    <mergeCell ref="G436:H437"/>
    <mergeCell ref="A194:B194"/>
    <mergeCell ref="A195:B195"/>
    <mergeCell ref="A196:B196"/>
    <mergeCell ref="A197:B197"/>
    <mergeCell ref="A186:B186"/>
    <mergeCell ref="A576:H579"/>
    <mergeCell ref="A575:B575"/>
    <mergeCell ref="E575:F575"/>
    <mergeCell ref="C575:D575"/>
    <mergeCell ref="G575:H575"/>
    <mergeCell ref="A213:H213"/>
    <mergeCell ref="A211:E211"/>
    <mergeCell ref="F211:H211"/>
    <mergeCell ref="A212:E212"/>
    <mergeCell ref="F212:H212"/>
    <mergeCell ref="A228:B228"/>
    <mergeCell ref="A215:B215"/>
    <mergeCell ref="A571:H571"/>
    <mergeCell ref="A220:H220"/>
    <mergeCell ref="A574:H574"/>
    <mergeCell ref="A572:H572"/>
    <mergeCell ref="A568:H568"/>
    <mergeCell ref="A569:H569"/>
    <mergeCell ref="B563:H563"/>
    <mergeCell ref="B561:H561"/>
    <mergeCell ref="B557:H557"/>
    <mergeCell ref="A237:H237"/>
    <mergeCell ref="B556:H556"/>
    <mergeCell ref="A394:H394"/>
    <mergeCell ref="G222:H222"/>
    <mergeCell ref="A229:B229"/>
    <mergeCell ref="C229:D22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6:B16"/>
    <mergeCell ref="C16:H16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64:C64"/>
    <mergeCell ref="F35:H35"/>
    <mergeCell ref="A37:B37"/>
    <mergeCell ref="E37:F37"/>
    <mergeCell ref="C37:D37"/>
    <mergeCell ref="G37:H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G48:H48"/>
    <mergeCell ref="G50:H50"/>
    <mergeCell ref="D54:H54"/>
    <mergeCell ref="C50:E50"/>
    <mergeCell ref="A57:C63"/>
    <mergeCell ref="D57:H57"/>
    <mergeCell ref="D59:H59"/>
    <mergeCell ref="D63:H63"/>
    <mergeCell ref="D60:H60"/>
    <mergeCell ref="A181:B181"/>
    <mergeCell ref="E45:H45"/>
    <mergeCell ref="A43:D43"/>
    <mergeCell ref="A81:B81"/>
    <mergeCell ref="A74:B74"/>
    <mergeCell ref="A77:B77"/>
    <mergeCell ref="A73:B73"/>
    <mergeCell ref="A71:B71"/>
    <mergeCell ref="C71:H71"/>
    <mergeCell ref="A79:B79"/>
    <mergeCell ref="A66:C66"/>
    <mergeCell ref="D66:H66"/>
    <mergeCell ref="C73:H73"/>
    <mergeCell ref="A76:B76"/>
    <mergeCell ref="A82:B82"/>
    <mergeCell ref="D58:H58"/>
    <mergeCell ref="D61:H61"/>
    <mergeCell ref="A53:H53"/>
    <mergeCell ref="A54:C54"/>
    <mergeCell ref="A55:C55"/>
    <mergeCell ref="D55:H55"/>
    <mergeCell ref="G52:H52"/>
    <mergeCell ref="C51:H51"/>
    <mergeCell ref="D64:H64"/>
    <mergeCell ref="E75:F84"/>
    <mergeCell ref="A84:B84"/>
    <mergeCell ref="D65:H65"/>
    <mergeCell ref="A172:B172"/>
    <mergeCell ref="E172:F172"/>
    <mergeCell ref="A155:B155"/>
    <mergeCell ref="C155:H155"/>
    <mergeCell ref="A157:B157"/>
    <mergeCell ref="A545:B545"/>
    <mergeCell ref="F206:H206"/>
    <mergeCell ref="A199:E199"/>
    <mergeCell ref="A169:B169"/>
    <mergeCell ref="C169:H169"/>
    <mergeCell ref="A244:H244"/>
    <mergeCell ref="E239:E240"/>
    <mergeCell ref="G239:H240"/>
    <mergeCell ref="A131:B131"/>
    <mergeCell ref="E131:F140"/>
    <mergeCell ref="A138:B138"/>
    <mergeCell ref="A139:B139"/>
    <mergeCell ref="A140:B140"/>
    <mergeCell ref="A173:B173"/>
    <mergeCell ref="E173:F182"/>
    <mergeCell ref="F198:H198"/>
    <mergeCell ref="F204:H204"/>
    <mergeCell ref="F207:H207"/>
    <mergeCell ref="C214:D214"/>
    <mergeCell ref="F210:H210"/>
    <mergeCell ref="F208:H208"/>
    <mergeCell ref="G173:H182"/>
    <mergeCell ref="E221:F221"/>
    <mergeCell ref="A209:E209"/>
    <mergeCell ref="A241:H241"/>
    <mergeCell ref="C186:D186"/>
    <mergeCell ref="E186:F186"/>
    <mergeCell ref="G186:H186"/>
    <mergeCell ref="A176:B176"/>
    <mergeCell ref="A177:B177"/>
    <mergeCell ref="A178:B178"/>
    <mergeCell ref="A180:B180"/>
    <mergeCell ref="A541:H541"/>
    <mergeCell ref="L245:M245"/>
    <mergeCell ref="A238:H238"/>
    <mergeCell ref="G214:H214"/>
    <mergeCell ref="C215:D215"/>
    <mergeCell ref="E215:F215"/>
    <mergeCell ref="A236:B236"/>
    <mergeCell ref="E236:F236"/>
    <mergeCell ref="E217:F217"/>
    <mergeCell ref="G217:H217"/>
    <mergeCell ref="A219:B219"/>
    <mergeCell ref="C219:D219"/>
    <mergeCell ref="E219:F219"/>
    <mergeCell ref="G219:H219"/>
    <mergeCell ref="A230:B230"/>
    <mergeCell ref="C230:D230"/>
    <mergeCell ref="B559:H559"/>
    <mergeCell ref="A554:H554"/>
    <mergeCell ref="C239:C240"/>
    <mergeCell ref="B332:B333"/>
    <mergeCell ref="A341:B341"/>
    <mergeCell ref="A338:B338"/>
    <mergeCell ref="A243:H243"/>
    <mergeCell ref="A249:B249"/>
    <mergeCell ref="A254:B254"/>
    <mergeCell ref="A259:B259"/>
    <mergeCell ref="A264:B264"/>
    <mergeCell ref="A269:B269"/>
    <mergeCell ref="A281:B281"/>
    <mergeCell ref="A331:H331"/>
    <mergeCell ref="A332:A333"/>
    <mergeCell ref="A339:B339"/>
    <mergeCell ref="F201:H201"/>
    <mergeCell ref="A207:E207"/>
    <mergeCell ref="A201:E201"/>
    <mergeCell ref="A248:B248"/>
    <mergeCell ref="A204:E204"/>
    <mergeCell ref="A210:E210"/>
    <mergeCell ref="G236:H236"/>
    <mergeCell ref="C217:D217"/>
    <mergeCell ref="A288:B288"/>
    <mergeCell ref="A336:H336"/>
    <mergeCell ref="A275:B275"/>
    <mergeCell ref="A291:B291"/>
    <mergeCell ref="A480:H480"/>
    <mergeCell ref="A327:B327"/>
    <mergeCell ref="A521:B521"/>
    <mergeCell ref="A540:H540"/>
    <mergeCell ref="F209:H209"/>
    <mergeCell ref="E214:F214"/>
    <mergeCell ref="A214:B214"/>
    <mergeCell ref="A217:B217"/>
    <mergeCell ref="A231:B231"/>
    <mergeCell ref="C231:D231"/>
    <mergeCell ref="A216:B216"/>
    <mergeCell ref="C216:D216"/>
    <mergeCell ref="E216:F216"/>
    <mergeCell ref="G216:H216"/>
    <mergeCell ref="E229:F229"/>
    <mergeCell ref="G229:H229"/>
    <mergeCell ref="A222:B222"/>
    <mergeCell ref="C222:D222"/>
    <mergeCell ref="E222:F222"/>
    <mergeCell ref="C232:D232"/>
    <mergeCell ref="B558:H558"/>
    <mergeCell ref="A469:H469"/>
    <mergeCell ref="A470:H470"/>
    <mergeCell ref="A471:H471"/>
    <mergeCell ref="A472:B472"/>
    <mergeCell ref="G472:H473"/>
    <mergeCell ref="A497:B497"/>
    <mergeCell ref="G497:H500"/>
    <mergeCell ref="B562:H562"/>
    <mergeCell ref="A47:B47"/>
    <mergeCell ref="C47:H47"/>
    <mergeCell ref="B560:H560"/>
    <mergeCell ref="A174:B174"/>
    <mergeCell ref="A175:B175"/>
    <mergeCell ref="G131:H140"/>
    <mergeCell ref="A132:B132"/>
    <mergeCell ref="A133:B133"/>
    <mergeCell ref="A134:B134"/>
    <mergeCell ref="F200:H200"/>
    <mergeCell ref="A200:E200"/>
    <mergeCell ref="D239:D240"/>
    <mergeCell ref="A203:E203"/>
    <mergeCell ref="A245:B245"/>
    <mergeCell ref="A246:B246"/>
    <mergeCell ref="A247:B247"/>
    <mergeCell ref="A553:B553"/>
    <mergeCell ref="G553:H553"/>
    <mergeCell ref="B239:B240"/>
    <mergeCell ref="A416:B416"/>
    <mergeCell ref="G416:H419"/>
    <mergeCell ref="G130:H130"/>
    <mergeCell ref="A205:E205"/>
    <mergeCell ref="F205:H205"/>
    <mergeCell ref="A206:E206"/>
    <mergeCell ref="L273:M273"/>
    <mergeCell ref="A274:B274"/>
    <mergeCell ref="A251:B251"/>
    <mergeCell ref="L257:M257"/>
    <mergeCell ref="A258:B258"/>
    <mergeCell ref="L258:M258"/>
    <mergeCell ref="L259:M259"/>
    <mergeCell ref="A260:B260"/>
    <mergeCell ref="L260:M260"/>
    <mergeCell ref="A261:B261"/>
    <mergeCell ref="L261:M261"/>
    <mergeCell ref="A252:B252"/>
    <mergeCell ref="L252:M252"/>
    <mergeCell ref="A253:B253"/>
    <mergeCell ref="L253:M253"/>
    <mergeCell ref="L254:M254"/>
    <mergeCell ref="A255:B255"/>
    <mergeCell ref="L255:M255"/>
    <mergeCell ref="A256:B256"/>
    <mergeCell ref="L256:M256"/>
    <mergeCell ref="L274:M274"/>
    <mergeCell ref="L271:M271"/>
    <mergeCell ref="A272:B272"/>
    <mergeCell ref="L272:M272"/>
    <mergeCell ref="A273:B273"/>
    <mergeCell ref="A208:E208"/>
    <mergeCell ref="E232:F232"/>
    <mergeCell ref="G232:H232"/>
    <mergeCell ref="G231:H231"/>
    <mergeCell ref="E230:F230"/>
    <mergeCell ref="A202:E202"/>
    <mergeCell ref="F202:H202"/>
    <mergeCell ref="A198:E198"/>
    <mergeCell ref="F203:H203"/>
    <mergeCell ref="G172:H172"/>
    <mergeCell ref="A171:B171"/>
    <mergeCell ref="C171:H171"/>
    <mergeCell ref="L275:M275"/>
    <mergeCell ref="A276:B276"/>
    <mergeCell ref="L276:M276"/>
    <mergeCell ref="A277:B277"/>
    <mergeCell ref="L277:M277"/>
    <mergeCell ref="L263:M263"/>
    <mergeCell ref="A278:B278"/>
    <mergeCell ref="L278:M278"/>
    <mergeCell ref="A262:B262"/>
    <mergeCell ref="L262:M262"/>
    <mergeCell ref="A257:B257"/>
    <mergeCell ref="L264:M264"/>
    <mergeCell ref="A265:B265"/>
    <mergeCell ref="L265:M265"/>
    <mergeCell ref="A266:B266"/>
    <mergeCell ref="L266:M266"/>
    <mergeCell ref="A267:B267"/>
    <mergeCell ref="L267:M267"/>
    <mergeCell ref="A268:B268"/>
    <mergeCell ref="L268:M268"/>
    <mergeCell ref="L269:M269"/>
    <mergeCell ref="G245:H269"/>
    <mergeCell ref="A270:H270"/>
    <mergeCell ref="A271:B271"/>
    <mergeCell ref="G271:H295"/>
    <mergeCell ref="A296:H296"/>
    <mergeCell ref="A297:H297"/>
    <mergeCell ref="A298:H298"/>
    <mergeCell ref="A299:B299"/>
    <mergeCell ref="L299:M299"/>
    <mergeCell ref="A300:B300"/>
    <mergeCell ref="L300:M300"/>
    <mergeCell ref="G299:H300"/>
    <mergeCell ref="L290:M290"/>
    <mergeCell ref="L281:M281"/>
    <mergeCell ref="A282:B282"/>
    <mergeCell ref="L282:M282"/>
    <mergeCell ref="L294:M294"/>
    <mergeCell ref="L295:M295"/>
    <mergeCell ref="A286:B286"/>
    <mergeCell ref="L286:M286"/>
    <mergeCell ref="A287:B287"/>
    <mergeCell ref="L287:M287"/>
    <mergeCell ref="L291:M291"/>
    <mergeCell ref="A292:B292"/>
    <mergeCell ref="L292:M292"/>
    <mergeCell ref="A293:B293"/>
    <mergeCell ref="L293:M293"/>
    <mergeCell ref="L288:M288"/>
    <mergeCell ref="L352:M352"/>
    <mergeCell ref="A343:B343"/>
    <mergeCell ref="L343:M343"/>
    <mergeCell ref="A345:H345"/>
    <mergeCell ref="A346:B346"/>
    <mergeCell ref="G346:H349"/>
    <mergeCell ref="L346:M346"/>
    <mergeCell ref="A347:B347"/>
    <mergeCell ref="L347:M347"/>
    <mergeCell ref="A348:B348"/>
    <mergeCell ref="L348:M348"/>
    <mergeCell ref="A349:B349"/>
    <mergeCell ref="L349:M349"/>
    <mergeCell ref="L354:M354"/>
    <mergeCell ref="A355:B355"/>
    <mergeCell ref="L355:M355"/>
    <mergeCell ref="A356:B356"/>
    <mergeCell ref="L304:M304"/>
    <mergeCell ref="A305:B305"/>
    <mergeCell ref="L305:M305"/>
    <mergeCell ref="A306:B306"/>
    <mergeCell ref="L306:M306"/>
    <mergeCell ref="A307:B307"/>
    <mergeCell ref="L307:M307"/>
    <mergeCell ref="A308:B308"/>
    <mergeCell ref="L308:M308"/>
    <mergeCell ref="L309:M309"/>
    <mergeCell ref="A310:B310"/>
    <mergeCell ref="L310:M310"/>
    <mergeCell ref="L373:M373"/>
    <mergeCell ref="A374:B374"/>
    <mergeCell ref="L374:M374"/>
    <mergeCell ref="A375:B375"/>
    <mergeCell ref="L375:M375"/>
    <mergeCell ref="L312:M312"/>
    <mergeCell ref="A313:B313"/>
    <mergeCell ref="L313:M313"/>
    <mergeCell ref="A314:B314"/>
    <mergeCell ref="L314:M314"/>
    <mergeCell ref="A315:B315"/>
    <mergeCell ref="L315:M315"/>
    <mergeCell ref="A319:B319"/>
    <mergeCell ref="L319:M319"/>
    <mergeCell ref="L320:M320"/>
    <mergeCell ref="A321:B321"/>
    <mergeCell ref="L321:M321"/>
    <mergeCell ref="A322:B322"/>
    <mergeCell ref="L357:M357"/>
    <mergeCell ref="G359:H362"/>
    <mergeCell ref="A376:B376"/>
    <mergeCell ref="L376:M376"/>
    <mergeCell ref="A360:B360"/>
    <mergeCell ref="L360:M360"/>
    <mergeCell ref="A361:B361"/>
    <mergeCell ref="L361:M361"/>
    <mergeCell ref="A362:B362"/>
    <mergeCell ref="G365:H366"/>
    <mergeCell ref="L365:M365"/>
    <mergeCell ref="L327:M327"/>
    <mergeCell ref="A397:H397"/>
    <mergeCell ref="A400:B400"/>
    <mergeCell ref="L400:M400"/>
    <mergeCell ref="A396:H396"/>
    <mergeCell ref="A398:B398"/>
    <mergeCell ref="L398:M398"/>
    <mergeCell ref="A399:B399"/>
    <mergeCell ref="L399:M399"/>
    <mergeCell ref="G398:H401"/>
    <mergeCell ref="A372:H372"/>
    <mergeCell ref="A373:B373"/>
    <mergeCell ref="G373:H376"/>
    <mergeCell ref="L362:M362"/>
    <mergeCell ref="A363:H363"/>
    <mergeCell ref="A364:H364"/>
    <mergeCell ref="L371:M371"/>
    <mergeCell ref="L356:M356"/>
    <mergeCell ref="L369:M369"/>
    <mergeCell ref="A370:B370"/>
    <mergeCell ref="L370:M370"/>
    <mergeCell ref="A371:B371"/>
    <mergeCell ref="A357:B357"/>
    <mergeCell ref="L359:M359"/>
    <mergeCell ref="L341:M341"/>
    <mergeCell ref="L338:M338"/>
    <mergeCell ref="A340:H340"/>
    <mergeCell ref="A342:B342"/>
    <mergeCell ref="L342:M342"/>
    <mergeCell ref="A344:B344"/>
    <mergeCell ref="L344:M344"/>
    <mergeCell ref="G341:H344"/>
    <mergeCell ref="A353:H353"/>
    <mergeCell ref="G338:H339"/>
    <mergeCell ref="A350:H350"/>
    <mergeCell ref="L322:M322"/>
    <mergeCell ref="A389:H389"/>
    <mergeCell ref="A390:H390"/>
    <mergeCell ref="L323:M323"/>
    <mergeCell ref="A506:B506"/>
    <mergeCell ref="L324:M324"/>
    <mergeCell ref="A325:B325"/>
    <mergeCell ref="L325:M325"/>
    <mergeCell ref="A326:B326"/>
    <mergeCell ref="L326:M326"/>
    <mergeCell ref="A494:B494"/>
    <mergeCell ref="L494:M494"/>
    <mergeCell ref="A423:H423"/>
    <mergeCell ref="A424:B424"/>
    <mergeCell ref="L424:M424"/>
    <mergeCell ref="A425:B425"/>
    <mergeCell ref="L425:M425"/>
    <mergeCell ref="A426:H426"/>
    <mergeCell ref="A328:B328"/>
    <mergeCell ref="L328:M328"/>
    <mergeCell ref="A329:B329"/>
    <mergeCell ref="L329:M329"/>
    <mergeCell ref="A330:B330"/>
    <mergeCell ref="L330:M330"/>
    <mergeCell ref="A448:B448"/>
    <mergeCell ref="G448:H449"/>
    <mergeCell ref="L448:M448"/>
    <mergeCell ref="A449:B449"/>
    <mergeCell ref="L366:M366"/>
    <mergeCell ref="A366:B366"/>
    <mergeCell ref="A365:B365"/>
    <mergeCell ref="L368:M368"/>
    <mergeCell ref="L443:M443"/>
    <mergeCell ref="A444:H444"/>
    <mergeCell ref="A445:H445"/>
    <mergeCell ref="A446:H446"/>
    <mergeCell ref="A447:H447"/>
    <mergeCell ref="L387:M387"/>
    <mergeCell ref="A388:B388"/>
    <mergeCell ref="L388:M388"/>
    <mergeCell ref="A379:H379"/>
    <mergeCell ref="A381:H381"/>
    <mergeCell ref="A382:B382"/>
    <mergeCell ref="G382:H383"/>
    <mergeCell ref="L382:M382"/>
    <mergeCell ref="A383:B383"/>
    <mergeCell ref="L383:M383"/>
    <mergeCell ref="A380:H380"/>
    <mergeCell ref="I378:M378"/>
    <mergeCell ref="A401:B401"/>
    <mergeCell ref="L401:M401"/>
    <mergeCell ref="A395:H395"/>
    <mergeCell ref="A439:H439"/>
    <mergeCell ref="A440:H440"/>
    <mergeCell ref="A441:H441"/>
    <mergeCell ref="A442:B442"/>
    <mergeCell ref="G442:H443"/>
    <mergeCell ref="A443:B443"/>
    <mergeCell ref="A414:H414"/>
    <mergeCell ref="A415:H415"/>
    <mergeCell ref="A419:B419"/>
    <mergeCell ref="L419:M419"/>
    <mergeCell ref="A435:H435"/>
    <mergeCell ref="G531:H534"/>
    <mergeCell ref="L449:M449"/>
    <mergeCell ref="A450:H450"/>
    <mergeCell ref="A451:H451"/>
    <mergeCell ref="A452:H452"/>
    <mergeCell ref="L499:M499"/>
    <mergeCell ref="A500:B500"/>
    <mergeCell ref="L500:M500"/>
    <mergeCell ref="A517:H517"/>
    <mergeCell ref="A518:B518"/>
    <mergeCell ref="G518:H521"/>
    <mergeCell ref="L518:M518"/>
    <mergeCell ref="A519:B519"/>
    <mergeCell ref="L519:M519"/>
    <mergeCell ref="A514:H514"/>
    <mergeCell ref="A515:H515"/>
    <mergeCell ref="A516:H516"/>
    <mergeCell ref="A501:H501"/>
    <mergeCell ref="L521:M521"/>
    <mergeCell ref="A520:B520"/>
    <mergeCell ref="L437:M437"/>
    <mergeCell ref="L520:M520"/>
    <mergeCell ref="A453:H453"/>
    <mergeCell ref="A454:B454"/>
    <mergeCell ref="G454:H455"/>
    <mergeCell ref="L454:M454"/>
    <mergeCell ref="A486:B486"/>
    <mergeCell ref="G486:H487"/>
    <mergeCell ref="L486:M486"/>
    <mergeCell ref="A487:B487"/>
    <mergeCell ref="L487:M487"/>
    <mergeCell ref="A468:H468"/>
    <mergeCell ref="L472:M472"/>
    <mergeCell ref="A542:H542"/>
    <mergeCell ref="A543:B543"/>
    <mergeCell ref="L543:M543"/>
    <mergeCell ref="G543:H543"/>
    <mergeCell ref="A509:H509"/>
    <mergeCell ref="A510:B510"/>
    <mergeCell ref="G510:H513"/>
    <mergeCell ref="L510:M510"/>
    <mergeCell ref="A511:B511"/>
    <mergeCell ref="L511:M511"/>
    <mergeCell ref="A512:B512"/>
    <mergeCell ref="L512:M512"/>
    <mergeCell ref="A513:B513"/>
    <mergeCell ref="L513:M513"/>
    <mergeCell ref="A527:H527"/>
    <mergeCell ref="A528:H528"/>
    <mergeCell ref="A529:H529"/>
    <mergeCell ref="A530:H530"/>
    <mergeCell ref="A531:B531"/>
    <mergeCell ref="L531:M531"/>
    <mergeCell ref="A532:B532"/>
    <mergeCell ref="A522:H522"/>
    <mergeCell ref="A523:B523"/>
    <mergeCell ref="G523:H526"/>
    <mergeCell ref="L523:M523"/>
    <mergeCell ref="A524:B524"/>
    <mergeCell ref="L524:M524"/>
    <mergeCell ref="A525:B525"/>
    <mergeCell ref="L525:M525"/>
    <mergeCell ref="A526:B526"/>
    <mergeCell ref="L526:M526"/>
    <mergeCell ref="L532:M532"/>
    <mergeCell ref="A504:H504"/>
    <mergeCell ref="A505:B505"/>
    <mergeCell ref="G505:H508"/>
    <mergeCell ref="L505:M505"/>
    <mergeCell ref="G226:H226"/>
    <mergeCell ref="A378:H378"/>
    <mergeCell ref="A377:H377"/>
    <mergeCell ref="A323:B323"/>
    <mergeCell ref="A227:B227"/>
    <mergeCell ref="C227:D227"/>
    <mergeCell ref="E227:F227"/>
    <mergeCell ref="G227:H227"/>
    <mergeCell ref="A301:H301"/>
    <mergeCell ref="A302:H302"/>
    <mergeCell ref="A303:H303"/>
    <mergeCell ref="A304:B304"/>
    <mergeCell ref="A290:B290"/>
    <mergeCell ref="A311:B311"/>
    <mergeCell ref="A367:H367"/>
    <mergeCell ref="A368:B368"/>
    <mergeCell ref="L392:M392"/>
    <mergeCell ref="A393:B393"/>
    <mergeCell ref="L393:M393"/>
    <mergeCell ref="L506:M506"/>
    <mergeCell ref="A507:B507"/>
    <mergeCell ref="L507:M507"/>
    <mergeCell ref="A508:B508"/>
    <mergeCell ref="L508:M508"/>
    <mergeCell ref="L311:M311"/>
    <mergeCell ref="A312:B312"/>
    <mergeCell ref="L442:M442"/>
    <mergeCell ref="A99:B99"/>
    <mergeCell ref="C99:H99"/>
    <mergeCell ref="A101:B101"/>
    <mergeCell ref="C101:H101"/>
    <mergeCell ref="A102:B102"/>
    <mergeCell ref="E102:F102"/>
    <mergeCell ref="G102:H102"/>
    <mergeCell ref="A103:B103"/>
    <mergeCell ref="E103:F112"/>
    <mergeCell ref="G103:H112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G392:H393"/>
    <mergeCell ref="A438:H438"/>
    <mergeCell ref="A384:H384"/>
    <mergeCell ref="A385:H385"/>
    <mergeCell ref="A386:H386"/>
    <mergeCell ref="A387:B387"/>
    <mergeCell ref="G387:H388"/>
    <mergeCell ref="A115:B115"/>
    <mergeCell ref="C115:H115"/>
    <mergeCell ref="A116:B116"/>
    <mergeCell ref="E116:F116"/>
    <mergeCell ref="G116:H116"/>
    <mergeCell ref="A117:B117"/>
    <mergeCell ref="E117:F126"/>
    <mergeCell ref="G117:H126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369:B369"/>
    <mergeCell ref="A351:H351"/>
    <mergeCell ref="A352:B352"/>
    <mergeCell ref="G352:H352"/>
    <mergeCell ref="A279:B279"/>
    <mergeCell ref="A129:B129"/>
    <mergeCell ref="C129:H129"/>
    <mergeCell ref="A130:B130"/>
    <mergeCell ref="E130:F130"/>
    <mergeCell ref="G368:H371"/>
    <mergeCell ref="B567:H567"/>
    <mergeCell ref="A141:B141"/>
    <mergeCell ref="C141:H141"/>
    <mergeCell ref="A143:B143"/>
    <mergeCell ref="C143:H143"/>
    <mergeCell ref="A144:B144"/>
    <mergeCell ref="E144:F144"/>
    <mergeCell ref="G144:H144"/>
    <mergeCell ref="A145:B145"/>
    <mergeCell ref="E145:F154"/>
    <mergeCell ref="G145:H154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320:B320"/>
    <mergeCell ref="A354:B354"/>
    <mergeCell ref="G354:H357"/>
    <mergeCell ref="A358:H358"/>
    <mergeCell ref="A359:B359"/>
    <mergeCell ref="A225:B225"/>
    <mergeCell ref="C225:D225"/>
    <mergeCell ref="E225:F225"/>
    <mergeCell ref="G225:H225"/>
    <mergeCell ref="A226:B226"/>
    <mergeCell ref="C226:D226"/>
    <mergeCell ref="E226:F226"/>
    <mergeCell ref="B565:H565"/>
    <mergeCell ref="A224:B224"/>
    <mergeCell ref="C224:D224"/>
    <mergeCell ref="E224:F224"/>
    <mergeCell ref="G224:H224"/>
    <mergeCell ref="A223:B223"/>
    <mergeCell ref="C223:D223"/>
    <mergeCell ref="E223:F223"/>
    <mergeCell ref="G223:H223"/>
    <mergeCell ref="A85:B85"/>
    <mergeCell ref="C85:H85"/>
    <mergeCell ref="A87:B87"/>
    <mergeCell ref="C87:H87"/>
    <mergeCell ref="A88:B88"/>
    <mergeCell ref="E88:F88"/>
    <mergeCell ref="G88:H88"/>
    <mergeCell ref="A89:B89"/>
    <mergeCell ref="E89:F98"/>
    <mergeCell ref="G89:H98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113:B113"/>
    <mergeCell ref="C113:H113"/>
    <mergeCell ref="A391:H391"/>
    <mergeCell ref="A392:B392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98" max="16383" man="1"/>
    <brk id="579" max="16383" man="1"/>
    <brk id="621" max="16383" man="1"/>
    <brk id="664" max="16383" man="1"/>
    <brk id="70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C20" zoomScale="145" zoomScaleNormal="145" workbookViewId="0">
      <selection activeCell="B15" sqref="B15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10" t="s">
        <v>112</v>
      </c>
      <c r="C3" s="210"/>
      <c r="D3" s="210"/>
      <c r="E3" s="210"/>
      <c r="F3" s="210"/>
      <c r="G3" s="210"/>
      <c r="H3" s="210"/>
    </row>
    <row r="4" spans="1:9" x14ac:dyDescent="0.3">
      <c r="A4" s="2"/>
      <c r="B4" s="3" t="s">
        <v>113</v>
      </c>
      <c r="C4" s="3" t="s">
        <v>114</v>
      </c>
      <c r="D4" s="3" t="s">
        <v>73</v>
      </c>
      <c r="E4" s="3" t="s">
        <v>115</v>
      </c>
      <c r="F4" s="3" t="s">
        <v>121</v>
      </c>
      <c r="G4" s="3" t="s">
        <v>122</v>
      </c>
      <c r="H4" s="3" t="s">
        <v>116</v>
      </c>
    </row>
    <row r="5" spans="1:9" ht="15" customHeight="1" x14ac:dyDescent="0.3">
      <c r="A5" s="2"/>
      <c r="B5" s="5" t="s">
        <v>117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117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117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117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117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118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118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119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120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G13"/>
  <sheetViews>
    <sheetView zoomScale="70" zoomScaleNormal="70" workbookViewId="0">
      <selection activeCell="C16" sqref="C16"/>
    </sheetView>
  </sheetViews>
  <sheetFormatPr defaultRowHeight="14.4" x14ac:dyDescent="0.3"/>
  <cols>
    <col min="6" max="6" width="12" bestFit="1" customWidth="1"/>
  </cols>
  <sheetData>
    <row r="3" spans="2:7" x14ac:dyDescent="0.3">
      <c r="B3" t="s">
        <v>232</v>
      </c>
    </row>
    <row r="4" spans="2:7" x14ac:dyDescent="0.3">
      <c r="B4" t="s">
        <v>233</v>
      </c>
    </row>
    <row r="5" spans="2:7" x14ac:dyDescent="0.3">
      <c r="B5" t="s">
        <v>238</v>
      </c>
    </row>
    <row r="6" spans="2:7" x14ac:dyDescent="0.3">
      <c r="B6" t="s">
        <v>251</v>
      </c>
    </row>
    <row r="10" spans="2:7" x14ac:dyDescent="0.3">
      <c r="B10" s="64" t="s">
        <v>309</v>
      </c>
      <c r="F10" s="65">
        <v>45705</v>
      </c>
    </row>
    <row r="11" spans="2:7" ht="33.75" customHeight="1" x14ac:dyDescent="0.3">
      <c r="B11" s="211" t="s">
        <v>310</v>
      </c>
      <c r="C11" s="211"/>
      <c r="D11" s="211"/>
      <c r="E11" s="211"/>
      <c r="F11" s="211"/>
      <c r="G11" s="211"/>
    </row>
    <row r="12" spans="2:7" x14ac:dyDescent="0.3">
      <c r="B12" s="211"/>
      <c r="C12" s="211"/>
      <c r="D12" s="211"/>
      <c r="E12" s="211"/>
      <c r="F12" s="211"/>
      <c r="G12" s="211"/>
    </row>
    <row r="13" spans="2:7" x14ac:dyDescent="0.3">
      <c r="B13" s="211"/>
      <c r="C13" s="211"/>
      <c r="D13" s="211"/>
      <c r="E13" s="211"/>
      <c r="F13" s="211"/>
      <c r="G13" s="211"/>
    </row>
  </sheetData>
  <mergeCells count="1">
    <mergeCell ref="B11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2025-08-19T13:44:49Z</cp:lastPrinted>
  <dcterms:created xsi:type="dcterms:W3CDTF">2019-07-16T09:29:46Z</dcterms:created>
  <dcterms:modified xsi:type="dcterms:W3CDTF">2025-08-19T13:46:34Z</dcterms:modified>
</cp:coreProperties>
</file>