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52522A80-61A6-4B5C-B23C-DDB073ED25F4}" xr6:coauthVersionLast="47" xr6:coauthVersionMax="47" xr10:uidLastSave="{00000000-0000-0000-0000-000000000000}"/>
  <bookViews>
    <workbookView xWindow="-108" yWindow="-108" windowWidth="23256" windowHeight="12456" tabRatio="855" xr2:uid="{00000000-000D-0000-FFFF-FFFF00000000}"/>
  </bookViews>
  <sheets>
    <sheet name="Sheet1" sheetId="1" r:id="rId1"/>
    <sheet name="Valuation" sheetId="22" r:id="rId2"/>
    <sheet name="B-1A&amp;B " sheetId="23" r:id="rId3"/>
    <sheet name="Note" sheetId="16" r:id="rId4"/>
    <sheet name="B-2A" sheetId="14" r:id="rId5"/>
    <sheet name="B-2B" sheetId="17" r:id="rId6"/>
    <sheet name="3-A&amp;B" sheetId="15" r:id="rId7"/>
    <sheet name="3-C" sheetId="18" r:id="rId8"/>
    <sheet name="4-A &amp; B" sheetId="19" r:id="rId9"/>
    <sheet name="4-C" sheetId="20" r:id="rId10"/>
    <sheet name="5-A&amp; B" sheetId="21" r:id="rId11"/>
    <sheet name="Wing A" sheetId="11" r:id="rId12"/>
    <sheet name="Wing B" sheetId="12" r:id="rId13"/>
    <sheet name="Wing C" sheetId="13" r:id="rId14"/>
  </sheets>
  <definedNames>
    <definedName name="_xlnm.Print_Area" localSheetId="0">Sheet1!$A$1:$J$527</definedName>
  </definedNames>
  <calcPr calcId="191029"/>
</workbook>
</file>

<file path=xl/calcChain.xml><?xml version="1.0" encoding="utf-8"?>
<calcChain xmlns="http://schemas.openxmlformats.org/spreadsheetml/2006/main">
  <c r="F3" i="1" l="1"/>
  <c r="M135" i="1" l="1"/>
  <c r="M134" i="1"/>
  <c r="M133" i="1"/>
  <c r="M132" i="1"/>
  <c r="M149" i="1"/>
  <c r="M148" i="1"/>
  <c r="M147" i="1"/>
  <c r="M146" i="1"/>
  <c r="M121" i="1"/>
  <c r="M120" i="1"/>
  <c r="M119" i="1"/>
  <c r="M118" i="1"/>
  <c r="M107" i="1"/>
  <c r="M106" i="1"/>
  <c r="M105" i="1"/>
  <c r="M104" i="1"/>
  <c r="M93" i="1"/>
  <c r="M92" i="1"/>
  <c r="M91" i="1"/>
  <c r="M90" i="1"/>
  <c r="M79" i="1"/>
  <c r="M78" i="1"/>
  <c r="M77" i="1"/>
  <c r="M76" i="1"/>
  <c r="M65" i="1"/>
  <c r="M64" i="1"/>
  <c r="M63" i="1"/>
  <c r="M62" i="1"/>
  <c r="I125" i="1"/>
  <c r="I139" i="1"/>
  <c r="I55" i="1"/>
  <c r="I97" i="1"/>
  <c r="I69" i="1"/>
  <c r="I111" i="1"/>
  <c r="I83" i="1"/>
  <c r="M129" i="1" l="1"/>
  <c r="D134" i="1"/>
  <c r="D137" i="1"/>
  <c r="D135" i="1"/>
  <c r="D133" i="1"/>
  <c r="D131" i="1"/>
  <c r="D129" i="1"/>
  <c r="D130" i="1"/>
  <c r="M130" i="1"/>
  <c r="M131" i="1" s="1"/>
  <c r="M136" i="1" s="1"/>
  <c r="M137" i="1" s="1"/>
  <c r="M128" i="1"/>
  <c r="D136" i="1"/>
  <c r="D132" i="1"/>
  <c r="M127" i="1"/>
  <c r="C128" i="1" s="1"/>
  <c r="D151" i="1"/>
  <c r="D149" i="1"/>
  <c r="D147" i="1"/>
  <c r="D145" i="1"/>
  <c r="M143" i="1"/>
  <c r="C142" i="1" s="1"/>
  <c r="D142" i="1" s="1"/>
  <c r="M141" i="1"/>
  <c r="D150" i="1"/>
  <c r="M144" i="1"/>
  <c r="M145" i="1" s="1"/>
  <c r="M150" i="1" s="1"/>
  <c r="M151" i="1" s="1"/>
  <c r="C143" i="1" s="1"/>
  <c r="D143" i="1" s="1"/>
  <c r="D148" i="1"/>
  <c r="D146" i="1"/>
  <c r="D144" i="1"/>
  <c r="M142" i="1"/>
  <c r="D123" i="1"/>
  <c r="D121" i="1"/>
  <c r="D119" i="1"/>
  <c r="D117" i="1"/>
  <c r="M115" i="1"/>
  <c r="D114" i="1" s="1"/>
  <c r="M113" i="1"/>
  <c r="D122" i="1"/>
  <c r="D118" i="1"/>
  <c r="M116" i="1"/>
  <c r="M117" i="1" s="1"/>
  <c r="M122" i="1" s="1"/>
  <c r="M123" i="1" s="1"/>
  <c r="D115" i="1" s="1"/>
  <c r="D120" i="1"/>
  <c r="D116" i="1"/>
  <c r="M114" i="1"/>
  <c r="D102" i="1"/>
  <c r="M100" i="1"/>
  <c r="D104" i="1"/>
  <c r="D109" i="1"/>
  <c r="D107" i="1"/>
  <c r="D105" i="1"/>
  <c r="D103" i="1"/>
  <c r="M101" i="1"/>
  <c r="C100" i="1" s="1"/>
  <c r="M99" i="1"/>
  <c r="D106" i="1"/>
  <c r="M102" i="1"/>
  <c r="M103" i="1" s="1"/>
  <c r="M108" i="1" s="1"/>
  <c r="M109" i="1" s="1"/>
  <c r="D101" i="1" s="1"/>
  <c r="D108" i="1"/>
  <c r="D88" i="1"/>
  <c r="M86" i="1"/>
  <c r="D95" i="1"/>
  <c r="D93" i="1"/>
  <c r="D91" i="1"/>
  <c r="D89" i="1"/>
  <c r="M87" i="1"/>
  <c r="C86" i="1" s="1"/>
  <c r="D86" i="1" s="1"/>
  <c r="M85" i="1"/>
  <c r="D94" i="1"/>
  <c r="D90" i="1"/>
  <c r="M88" i="1"/>
  <c r="M89" i="1" s="1"/>
  <c r="M94" i="1" s="1"/>
  <c r="M95" i="1" s="1"/>
  <c r="C87" i="1" s="1"/>
  <c r="D87" i="1" s="1"/>
  <c r="D92" i="1"/>
  <c r="D81" i="1"/>
  <c r="D79" i="1"/>
  <c r="D77" i="1"/>
  <c r="D75" i="1"/>
  <c r="M73" i="1"/>
  <c r="C72" i="1" s="1"/>
  <c r="M71" i="1"/>
  <c r="M74" i="1"/>
  <c r="M75" i="1" s="1"/>
  <c r="M80" i="1" s="1"/>
  <c r="M81" i="1" s="1"/>
  <c r="C73" i="1" s="1"/>
  <c r="D73" i="1" s="1"/>
  <c r="D80" i="1"/>
  <c r="D78" i="1"/>
  <c r="D76" i="1"/>
  <c r="D74" i="1"/>
  <c r="M72" i="1"/>
  <c r="D67" i="1"/>
  <c r="D65" i="1"/>
  <c r="D63" i="1"/>
  <c r="D61" i="1"/>
  <c r="M59" i="1"/>
  <c r="D58" i="1" s="1"/>
  <c r="M57" i="1"/>
  <c r="M60" i="1"/>
  <c r="M61" i="1" s="1"/>
  <c r="M66" i="1" s="1"/>
  <c r="M67" i="1" s="1"/>
  <c r="D59" i="1" s="1"/>
  <c r="D66" i="1"/>
  <c r="D64" i="1"/>
  <c r="D60" i="1"/>
  <c r="M58" i="1"/>
  <c r="D62" i="1"/>
  <c r="D128" i="1" l="1"/>
  <c r="K124" i="1" s="1"/>
  <c r="C126" i="1" s="1"/>
  <c r="F128" i="1" s="1"/>
  <c r="H128" i="1"/>
  <c r="H142" i="1"/>
  <c r="K138" i="1"/>
  <c r="C140" i="1" s="1"/>
  <c r="F142" i="1" s="1"/>
  <c r="H114" i="1"/>
  <c r="K110" i="1"/>
  <c r="C112" i="1" s="1"/>
  <c r="F114" i="1" s="1"/>
  <c r="H100" i="1"/>
  <c r="D100" i="1"/>
  <c r="K96" i="1" s="1"/>
  <c r="C98" i="1" s="1"/>
  <c r="F100" i="1" s="1"/>
  <c r="K82" i="1"/>
  <c r="C84" i="1" s="1"/>
  <c r="F86" i="1" s="1"/>
  <c r="H86" i="1"/>
  <c r="H72" i="1"/>
  <c r="D72" i="1"/>
  <c r="K68" i="1" s="1"/>
  <c r="C70" i="1" s="1"/>
  <c r="F72" i="1" s="1"/>
  <c r="H58" i="1"/>
  <c r="K54" i="1"/>
  <c r="C56" i="1" s="1"/>
  <c r="F58" i="1" s="1"/>
  <c r="B16" i="23" l="1"/>
  <c r="E10" i="23" s="1"/>
  <c r="B14" i="23"/>
  <c r="N7" i="23" s="1"/>
  <c r="H18" i="23" s="1"/>
  <c r="B12" i="23"/>
  <c r="E8" i="23" s="1"/>
  <c r="B10" i="23"/>
  <c r="L7" i="23" s="1"/>
  <c r="H16" i="23" s="1"/>
  <c r="B8" i="23"/>
  <c r="K7" i="23" s="1"/>
  <c r="H15" i="23" s="1"/>
  <c r="M7" i="23"/>
  <c r="H17" i="23" s="1"/>
  <c r="M6" i="23"/>
  <c r="G17" i="23" s="1"/>
  <c r="K6" i="23"/>
  <c r="G15" i="23" s="1"/>
  <c r="I6" i="23"/>
  <c r="I7" i="23" s="1"/>
  <c r="H13" i="23" s="1"/>
  <c r="E6" i="23"/>
  <c r="B6" i="23"/>
  <c r="E4" i="23"/>
  <c r="G9" i="22"/>
  <c r="G8" i="22"/>
  <c r="G7" i="22"/>
  <c r="G6" i="22"/>
  <c r="G5" i="22"/>
  <c r="B16" i="21"/>
  <c r="O7" i="21" s="1"/>
  <c r="H19" i="21" s="1"/>
  <c r="B14" i="21"/>
  <c r="B12" i="21"/>
  <c r="E8" i="21" s="1"/>
  <c r="E10" i="21"/>
  <c r="B10" i="21"/>
  <c r="L7" i="21" s="1"/>
  <c r="H16" i="21" s="1"/>
  <c r="B8" i="21"/>
  <c r="K6" i="21" s="1"/>
  <c r="G15" i="21" s="1"/>
  <c r="K7" i="21"/>
  <c r="H15" i="21" s="1"/>
  <c r="E7" i="21"/>
  <c r="O6" i="21"/>
  <c r="G19" i="21" s="1"/>
  <c r="L6" i="21"/>
  <c r="G16" i="21" s="1"/>
  <c r="I6" i="21"/>
  <c r="G13" i="21" s="1"/>
  <c r="E6" i="21"/>
  <c r="B6" i="21"/>
  <c r="J6" i="21" s="1"/>
  <c r="G14" i="21" s="1"/>
  <c r="E4" i="21"/>
  <c r="B16" i="20"/>
  <c r="O6" i="20" s="1"/>
  <c r="G19" i="20" s="1"/>
  <c r="O7" i="20"/>
  <c r="H19" i="20" s="1"/>
  <c r="B14" i="20"/>
  <c r="B12" i="20"/>
  <c r="E8" i="20" s="1"/>
  <c r="E10" i="20"/>
  <c r="B10" i="20"/>
  <c r="B8" i="20"/>
  <c r="K6" i="20" s="1"/>
  <c r="G15" i="20" s="1"/>
  <c r="K7" i="20"/>
  <c r="H15" i="20" s="1"/>
  <c r="I6" i="20"/>
  <c r="I7" i="20" s="1"/>
  <c r="H13" i="20" s="1"/>
  <c r="B6" i="20"/>
  <c r="E5" i="20" s="1"/>
  <c r="E4" i="20"/>
  <c r="B16" i="19"/>
  <c r="O7" i="19" s="1"/>
  <c r="H19" i="19" s="1"/>
  <c r="B14" i="19"/>
  <c r="B12" i="19"/>
  <c r="E8" i="19" s="1"/>
  <c r="B10" i="19"/>
  <c r="B8" i="19"/>
  <c r="K6" i="19" s="1"/>
  <c r="G15" i="19" s="1"/>
  <c r="L7" i="19"/>
  <c r="H16" i="19" s="1"/>
  <c r="E7" i="19"/>
  <c r="O6" i="19"/>
  <c r="G19" i="19" s="1"/>
  <c r="M6" i="19"/>
  <c r="G17" i="19" s="1"/>
  <c r="L6" i="19"/>
  <c r="G16" i="19" s="1"/>
  <c r="I6" i="19"/>
  <c r="E6" i="19"/>
  <c r="B6" i="19"/>
  <c r="J7" i="19" s="1"/>
  <c r="H14" i="19" s="1"/>
  <c r="E4" i="19"/>
  <c r="G13" i="20"/>
  <c r="B16" i="18"/>
  <c r="E10" i="18" s="1"/>
  <c r="B14" i="18"/>
  <c r="E9" i="18" s="1"/>
  <c r="B12" i="18"/>
  <c r="E8" i="18" s="1"/>
  <c r="B10" i="18"/>
  <c r="L7" i="18" s="1"/>
  <c r="H16" i="18" s="1"/>
  <c r="B8" i="18"/>
  <c r="K7" i="18" s="1"/>
  <c r="H15" i="18" s="1"/>
  <c r="I6" i="18"/>
  <c r="I7" i="18" s="1"/>
  <c r="H13" i="18" s="1"/>
  <c r="E6" i="18"/>
  <c r="B6" i="18"/>
  <c r="E5" i="18" s="1"/>
  <c r="E4" i="18"/>
  <c r="B16" i="17"/>
  <c r="E10" i="17" s="1"/>
  <c r="B14" i="17"/>
  <c r="N7" i="17" s="1"/>
  <c r="H18" i="17" s="1"/>
  <c r="B12" i="17"/>
  <c r="M6" i="17" s="1"/>
  <c r="G17" i="17" s="1"/>
  <c r="B10" i="17"/>
  <c r="L7" i="17" s="1"/>
  <c r="H16" i="17" s="1"/>
  <c r="B8" i="17"/>
  <c r="E6" i="17" s="1"/>
  <c r="I6" i="17"/>
  <c r="I7" i="17" s="1"/>
  <c r="H13" i="17" s="1"/>
  <c r="B6" i="17"/>
  <c r="J7" i="17"/>
  <c r="H14" i="17"/>
  <c r="E4" i="17"/>
  <c r="D377" i="1"/>
  <c r="D376" i="1"/>
  <c r="D375" i="1"/>
  <c r="D374" i="1"/>
  <c r="D373" i="1"/>
  <c r="D372" i="1"/>
  <c r="D371" i="1"/>
  <c r="D393" i="1"/>
  <c r="D392" i="1"/>
  <c r="D391" i="1"/>
  <c r="D390" i="1"/>
  <c r="D389" i="1"/>
  <c r="D388" i="1"/>
  <c r="D387" i="1"/>
  <c r="D385" i="1"/>
  <c r="D384" i="1"/>
  <c r="D381" i="1"/>
  <c r="D382" i="1"/>
  <c r="D380" i="1"/>
  <c r="I387" i="1"/>
  <c r="D383" i="1"/>
  <c r="I380" i="1"/>
  <c r="B16" i="15"/>
  <c r="O6" i="15" s="1"/>
  <c r="G19" i="15" s="1"/>
  <c r="B14" i="15"/>
  <c r="E9" i="15" s="1"/>
  <c r="B12" i="15"/>
  <c r="B10" i="15"/>
  <c r="L6" i="15" s="1"/>
  <c r="G16" i="15" s="1"/>
  <c r="B8" i="15"/>
  <c r="E6" i="15" s="1"/>
  <c r="E7" i="15"/>
  <c r="I6" i="15"/>
  <c r="I7" i="15"/>
  <c r="H13" i="15"/>
  <c r="B6" i="15"/>
  <c r="J7" i="15" s="1"/>
  <c r="H14" i="15" s="1"/>
  <c r="E4" i="15"/>
  <c r="I371" i="1"/>
  <c r="D348" i="1"/>
  <c r="D347" i="1"/>
  <c r="D346" i="1"/>
  <c r="D345" i="1"/>
  <c r="D344" i="1"/>
  <c r="I343" i="1"/>
  <c r="D343" i="1"/>
  <c r="D300" i="1"/>
  <c r="D299" i="1"/>
  <c r="D298" i="1"/>
  <c r="D297" i="1"/>
  <c r="D296" i="1"/>
  <c r="I295" i="1"/>
  <c r="D295" i="1"/>
  <c r="D274" i="1"/>
  <c r="D273" i="1"/>
  <c r="D272" i="1"/>
  <c r="I271" i="1"/>
  <c r="D271" i="1"/>
  <c r="D250" i="1"/>
  <c r="D249" i="1"/>
  <c r="D248" i="1"/>
  <c r="I247" i="1"/>
  <c r="D247" i="1"/>
  <c r="D227" i="1"/>
  <c r="D226" i="1"/>
  <c r="D225" i="1"/>
  <c r="D224" i="1"/>
  <c r="D223" i="1"/>
  <c r="I222" i="1"/>
  <c r="D222" i="1"/>
  <c r="I181" i="1"/>
  <c r="D187" i="1"/>
  <c r="D186" i="1"/>
  <c r="D185" i="1"/>
  <c r="D184" i="1"/>
  <c r="D183" i="1"/>
  <c r="D182" i="1"/>
  <c r="D181" i="1"/>
  <c r="D179" i="1"/>
  <c r="D178" i="1"/>
  <c r="D177" i="1"/>
  <c r="D176" i="1"/>
  <c r="D175" i="1"/>
  <c r="D174" i="1"/>
  <c r="K174" i="1" s="1"/>
  <c r="D269" i="1"/>
  <c r="D268" i="1"/>
  <c r="D267" i="1"/>
  <c r="I266" i="1"/>
  <c r="D266" i="1"/>
  <c r="I254" i="1"/>
  <c r="D264" i="1"/>
  <c r="D263" i="1"/>
  <c r="D262" i="1"/>
  <c r="D261" i="1"/>
  <c r="D260" i="1"/>
  <c r="D259" i="1"/>
  <c r="D258" i="1"/>
  <c r="D257" i="1"/>
  <c r="D256" i="1"/>
  <c r="D255" i="1"/>
  <c r="D254" i="1"/>
  <c r="I242" i="1"/>
  <c r="D245" i="1"/>
  <c r="D244" i="1"/>
  <c r="D243" i="1"/>
  <c r="D242" i="1"/>
  <c r="I230" i="1"/>
  <c r="D240" i="1"/>
  <c r="D239" i="1"/>
  <c r="D238" i="1"/>
  <c r="D237" i="1"/>
  <c r="D236" i="1"/>
  <c r="D235" i="1"/>
  <c r="D234" i="1"/>
  <c r="D233" i="1"/>
  <c r="D232" i="1"/>
  <c r="D231" i="1"/>
  <c r="D230" i="1"/>
  <c r="I215" i="1"/>
  <c r="D220" i="1"/>
  <c r="D219" i="1"/>
  <c r="D218" i="1"/>
  <c r="D217" i="1"/>
  <c r="D216" i="1"/>
  <c r="D215" i="1"/>
  <c r="I205" i="1"/>
  <c r="D213" i="1"/>
  <c r="D212" i="1"/>
  <c r="D211" i="1"/>
  <c r="D210" i="1"/>
  <c r="D209" i="1"/>
  <c r="D208" i="1"/>
  <c r="D207" i="1"/>
  <c r="D206" i="1"/>
  <c r="D205" i="1"/>
  <c r="I403" i="1"/>
  <c r="D408" i="1"/>
  <c r="D407" i="1"/>
  <c r="D405" i="1"/>
  <c r="D406" i="1"/>
  <c r="D404" i="1"/>
  <c r="D403" i="1"/>
  <c r="I397" i="1"/>
  <c r="D401" i="1"/>
  <c r="D400" i="1"/>
  <c r="D399" i="1"/>
  <c r="D398" i="1"/>
  <c r="D397" i="1"/>
  <c r="I196" i="1"/>
  <c r="D200" i="1"/>
  <c r="D201" i="1"/>
  <c r="D199" i="1"/>
  <c r="D198" i="1"/>
  <c r="D197" i="1"/>
  <c r="D196" i="1"/>
  <c r="I190" i="1"/>
  <c r="D194" i="1"/>
  <c r="D193" i="1"/>
  <c r="D192" i="1"/>
  <c r="D191" i="1"/>
  <c r="D190" i="1"/>
  <c r="I288" i="1"/>
  <c r="D293" i="1"/>
  <c r="D292" i="1"/>
  <c r="D291" i="1"/>
  <c r="D290" i="1"/>
  <c r="D289" i="1"/>
  <c r="D288" i="1"/>
  <c r="I277" i="1"/>
  <c r="D286" i="1"/>
  <c r="D285" i="1"/>
  <c r="D284" i="1"/>
  <c r="D283" i="1"/>
  <c r="D282" i="1"/>
  <c r="D281" i="1"/>
  <c r="D280" i="1"/>
  <c r="D279" i="1"/>
  <c r="D278" i="1"/>
  <c r="D277" i="1"/>
  <c r="I336" i="1"/>
  <c r="D341" i="1"/>
  <c r="D340" i="1"/>
  <c r="D339" i="1"/>
  <c r="D338" i="1"/>
  <c r="D337" i="1"/>
  <c r="D336" i="1"/>
  <c r="D334" i="1"/>
  <c r="I320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I417" i="1"/>
  <c r="D422" i="1"/>
  <c r="D421" i="1"/>
  <c r="D420" i="1"/>
  <c r="D419" i="1"/>
  <c r="D418" i="1"/>
  <c r="D417" i="1"/>
  <c r="I411" i="1"/>
  <c r="D415" i="1"/>
  <c r="D414" i="1"/>
  <c r="D413" i="1"/>
  <c r="D412" i="1"/>
  <c r="D411" i="1"/>
  <c r="I310" i="1"/>
  <c r="D315" i="1"/>
  <c r="D316" i="1"/>
  <c r="D314" i="1"/>
  <c r="D313" i="1"/>
  <c r="D312" i="1"/>
  <c r="D311" i="1"/>
  <c r="D310" i="1"/>
  <c r="D308" i="1"/>
  <c r="D307" i="1"/>
  <c r="D306" i="1"/>
  <c r="D305" i="1"/>
  <c r="D304" i="1"/>
  <c r="D303" i="1"/>
  <c r="D361" i="1"/>
  <c r="I363" i="1"/>
  <c r="D369" i="1"/>
  <c r="D368" i="1"/>
  <c r="D367" i="1"/>
  <c r="D366" i="1"/>
  <c r="D365" i="1"/>
  <c r="D364" i="1"/>
  <c r="D363" i="1"/>
  <c r="I351" i="1"/>
  <c r="D360" i="1"/>
  <c r="D359" i="1"/>
  <c r="D358" i="1"/>
  <c r="D357" i="1"/>
  <c r="D356" i="1"/>
  <c r="D355" i="1"/>
  <c r="D354" i="1"/>
  <c r="D353" i="1"/>
  <c r="D352" i="1"/>
  <c r="D351" i="1"/>
  <c r="F39" i="1"/>
  <c r="F40" i="1" s="1"/>
  <c r="D50" i="1"/>
  <c r="I6" i="14"/>
  <c r="I7" i="14" s="1"/>
  <c r="H13" i="14" s="1"/>
  <c r="B6" i="14"/>
  <c r="J7" i="14"/>
  <c r="H14" i="14" s="1"/>
  <c r="B8" i="14"/>
  <c r="K7" i="14" s="1"/>
  <c r="H15" i="14" s="1"/>
  <c r="B10" i="14"/>
  <c r="L7" i="14" s="1"/>
  <c r="H16" i="14" s="1"/>
  <c r="B12" i="14"/>
  <c r="M6" i="14" s="1"/>
  <c r="G17" i="14" s="1"/>
  <c r="M7" i="14"/>
  <c r="H17" i="14" s="1"/>
  <c r="B14" i="14"/>
  <c r="N7" i="14"/>
  <c r="H18" i="14"/>
  <c r="B16" i="14"/>
  <c r="O6" i="14" s="1"/>
  <c r="G19" i="14" s="1"/>
  <c r="N6" i="14"/>
  <c r="G18" i="14" s="1"/>
  <c r="E4" i="14"/>
  <c r="F436" i="1"/>
  <c r="H45" i="1"/>
  <c r="C45" i="1"/>
  <c r="D48" i="1"/>
  <c r="G167" i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K7" i="13"/>
  <c r="G8" i="13"/>
  <c r="N7" i="13"/>
  <c r="G7" i="13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F11" i="12"/>
  <c r="M10" i="12"/>
  <c r="J10" i="12"/>
  <c r="F10" i="12"/>
  <c r="M9" i="12"/>
  <c r="J9" i="12"/>
  <c r="F9" i="12"/>
  <c r="M8" i="12"/>
  <c r="J8" i="12"/>
  <c r="F8" i="12"/>
  <c r="M7" i="12"/>
  <c r="J7" i="12"/>
  <c r="F7" i="12"/>
  <c r="M21" i="11"/>
  <c r="M22" i="11"/>
  <c r="M23" i="11"/>
  <c r="M24" i="11"/>
  <c r="M25" i="11"/>
  <c r="M26" i="11"/>
  <c r="M27" i="11"/>
  <c r="M28" i="11"/>
  <c r="M29" i="11"/>
  <c r="J21" i="11"/>
  <c r="J22" i="11"/>
  <c r="J23" i="11"/>
  <c r="J24" i="11"/>
  <c r="J25" i="11"/>
  <c r="J26" i="11"/>
  <c r="J27" i="11"/>
  <c r="J28" i="11"/>
  <c r="J29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J7" i="11"/>
  <c r="J6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30" i="11"/>
  <c r="J31" i="11"/>
  <c r="J32" i="11"/>
  <c r="J33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M33" i="11"/>
  <c r="M32" i="11"/>
  <c r="M31" i="11"/>
  <c r="M30" i="11"/>
  <c r="M6" i="11"/>
  <c r="F6" i="11"/>
  <c r="E9" i="14"/>
  <c r="E6" i="14"/>
  <c r="K6" i="14"/>
  <c r="G15" i="14" s="1"/>
  <c r="E7" i="14"/>
  <c r="E5" i="15"/>
  <c r="J6" i="15"/>
  <c r="G14" i="15"/>
  <c r="N6" i="15"/>
  <c r="G18" i="15" s="1"/>
  <c r="N7" i="15"/>
  <c r="H18" i="15" s="1"/>
  <c r="G13" i="15"/>
  <c r="K6" i="15"/>
  <c r="G15" i="15" s="1"/>
  <c r="N6" i="18"/>
  <c r="G18" i="18" s="1"/>
  <c r="K6" i="18"/>
  <c r="G15" i="18" s="1"/>
  <c r="E5" i="17"/>
  <c r="J6" i="17"/>
  <c r="G14" i="17" s="1"/>
  <c r="N6" i="17"/>
  <c r="G18" i="17" s="1"/>
  <c r="E9" i="17" l="1"/>
  <c r="L6" i="18"/>
  <c r="G16" i="18" s="1"/>
  <c r="K7" i="19"/>
  <c r="H15" i="19" s="1"/>
  <c r="J7" i="20"/>
  <c r="H14" i="20" s="1"/>
  <c r="E5" i="21"/>
  <c r="L6" i="17"/>
  <c r="G16" i="17" s="1"/>
  <c r="O7" i="17"/>
  <c r="H19" i="17" s="1"/>
  <c r="E6" i="20"/>
  <c r="E7" i="17"/>
  <c r="M7" i="18"/>
  <c r="H17" i="18" s="1"/>
  <c r="I7" i="21"/>
  <c r="H13" i="21" s="1"/>
  <c r="M7" i="21"/>
  <c r="H17" i="21" s="1"/>
  <c r="G13" i="14"/>
  <c r="M6" i="18"/>
  <c r="G17" i="18" s="1"/>
  <c r="J6" i="20"/>
  <c r="G14" i="20" s="1"/>
  <c r="G20" i="20" s="1"/>
  <c r="G13" i="23"/>
  <c r="M34" i="11"/>
  <c r="L34" i="11" s="1"/>
  <c r="J7" i="21"/>
  <c r="H14" i="21" s="1"/>
  <c r="O6" i="17"/>
  <c r="G19" i="17" s="1"/>
  <c r="N7" i="18"/>
  <c r="H18" i="18" s="1"/>
  <c r="L6" i="14"/>
  <c r="G16" i="14" s="1"/>
  <c r="F34" i="11"/>
  <c r="E34" i="11" s="1"/>
  <c r="M35" i="12"/>
  <c r="L35" i="12" s="1"/>
  <c r="G35" i="13"/>
  <c r="F35" i="13" s="1"/>
  <c r="K35" i="13"/>
  <c r="J35" i="13" s="1"/>
  <c r="K7" i="15"/>
  <c r="H15" i="15" s="1"/>
  <c r="O6" i="18"/>
  <c r="G19" i="18" s="1"/>
  <c r="O7" i="18"/>
  <c r="H19" i="18" s="1"/>
  <c r="M7" i="19"/>
  <c r="H17" i="19" s="1"/>
  <c r="M6" i="21"/>
  <c r="G17" i="21" s="1"/>
  <c r="G10" i="22"/>
  <c r="N35" i="13"/>
  <c r="M35" i="13" s="1"/>
  <c r="L7" i="15"/>
  <c r="H16" i="15" s="1"/>
  <c r="G13" i="17"/>
  <c r="J35" i="12"/>
  <c r="I35" i="12" s="1"/>
  <c r="E7" i="18"/>
  <c r="M6" i="20"/>
  <c r="G17" i="20" s="1"/>
  <c r="L6" i="23"/>
  <c r="G16" i="23" s="1"/>
  <c r="E8" i="15"/>
  <c r="M7" i="15"/>
  <c r="H17" i="15" s="1"/>
  <c r="G13" i="18"/>
  <c r="I7" i="19"/>
  <c r="H13" i="19" s="1"/>
  <c r="G13" i="19"/>
  <c r="E9" i="20"/>
  <c r="N7" i="20"/>
  <c r="H18" i="20" s="1"/>
  <c r="N6" i="20"/>
  <c r="G18" i="20" s="1"/>
  <c r="E9" i="21"/>
  <c r="N7" i="21"/>
  <c r="H18" i="21" s="1"/>
  <c r="K6" i="17"/>
  <c r="G15" i="17" s="1"/>
  <c r="E10" i="15"/>
  <c r="F35" i="12"/>
  <c r="E35" i="12" s="1"/>
  <c r="E5" i="14"/>
  <c r="J6" i="14"/>
  <c r="G14" i="14" s="1"/>
  <c r="G20" i="14" s="1"/>
  <c r="M6" i="15"/>
  <c r="G17" i="15" s="1"/>
  <c r="G20" i="15" s="1"/>
  <c r="J6" i="18"/>
  <c r="G14" i="18" s="1"/>
  <c r="J7" i="18"/>
  <c r="H14" i="18" s="1"/>
  <c r="H20" i="18" s="1"/>
  <c r="N6" i="19"/>
  <c r="G18" i="19" s="1"/>
  <c r="N7" i="19"/>
  <c r="H18" i="19" s="1"/>
  <c r="E7" i="20"/>
  <c r="L6" i="20"/>
  <c r="G16" i="20" s="1"/>
  <c r="L7" i="20"/>
  <c r="H16" i="20" s="1"/>
  <c r="E9" i="19"/>
  <c r="J7" i="23"/>
  <c r="H14" i="23" s="1"/>
  <c r="H20" i="23" s="1"/>
  <c r="J6" i="23"/>
  <c r="G14" i="23" s="1"/>
  <c r="G20" i="23" s="1"/>
  <c r="E5" i="23"/>
  <c r="N6" i="23"/>
  <c r="G18" i="23" s="1"/>
  <c r="E9" i="23"/>
  <c r="J34" i="11"/>
  <c r="I34" i="11" s="1"/>
  <c r="E8" i="14"/>
  <c r="O7" i="14"/>
  <c r="H19" i="14" s="1"/>
  <c r="H20" i="14" s="1"/>
  <c r="E10" i="14"/>
  <c r="O7" i="15"/>
  <c r="H19" i="15" s="1"/>
  <c r="K7" i="17"/>
  <c r="H15" i="17" s="1"/>
  <c r="E8" i="17"/>
  <c r="M7" i="17"/>
  <c r="H17" i="17" s="1"/>
  <c r="N6" i="21"/>
  <c r="G18" i="21" s="1"/>
  <c r="G20" i="21"/>
  <c r="O7" i="23"/>
  <c r="H19" i="23" s="1"/>
  <c r="E5" i="19"/>
  <c r="J6" i="19"/>
  <c r="G14" i="19" s="1"/>
  <c r="E10" i="19"/>
  <c r="O6" i="23"/>
  <c r="G19" i="23" s="1"/>
  <c r="M7" i="20"/>
  <c r="H17" i="20" s="1"/>
  <c r="E7" i="23"/>
  <c r="H20" i="17" l="1"/>
  <c r="H20" i="21"/>
  <c r="H20" i="15"/>
  <c r="G20" i="17"/>
  <c r="H20" i="20"/>
  <c r="H20" i="19"/>
  <c r="G20" i="19"/>
  <c r="G20" i="18"/>
</calcChain>
</file>

<file path=xl/sharedStrings.xml><?xml version="1.0" encoding="utf-8"?>
<sst xmlns="http://schemas.openxmlformats.org/spreadsheetml/2006/main" count="1409" uniqueCount="282">
  <si>
    <t>Date:</t>
  </si>
  <si>
    <t>CPC Name:</t>
  </si>
  <si>
    <t>Date Of Property Visit</t>
  </si>
  <si>
    <t>Name of the builder company</t>
  </si>
  <si>
    <t>Name of the Project</t>
  </si>
  <si>
    <t>Docouments Provided</t>
  </si>
  <si>
    <t>Road</t>
  </si>
  <si>
    <t>City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</si>
  <si>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</si>
  <si>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</si>
  <si>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</si>
  <si>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</si>
  <si>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</si>
  <si>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</si>
  <si>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</si>
  <si>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</si>
  <si>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</si>
  <si>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</si>
  <si>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</si>
  <si>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</si>
  <si>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</si>
  <si>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</si>
  <si>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</si>
  <si>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</si>
  <si>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Valuation as per Government reckoners rates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</si>
  <si>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</si>
  <si>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</si>
  <si>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</si>
  <si>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</si>
  <si>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Description</t>
  </si>
  <si>
    <t>Attached Terrace area</t>
  </si>
  <si>
    <t>PLC Y/N</t>
  </si>
  <si>
    <t>Flat No.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</si>
  <si>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</si>
  <si>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</si>
  <si>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</si>
  <si>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</si>
  <si>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</si>
  <si>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</si>
  <si>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</si>
  <si>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</si>
  <si>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</si>
  <si>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 xml:space="preserve">Latitude &amp; Longitude </t>
  </si>
  <si>
    <t>Flooring</t>
  </si>
  <si>
    <t>Finishing</t>
  </si>
  <si>
    <t xml:space="preserve">Valuation Report </t>
  </si>
  <si>
    <t xml:space="preserve">Details of Flats in Building   </t>
  </si>
  <si>
    <t>Yes</t>
  </si>
  <si>
    <t>Expiry date:NA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</si>
  <si>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</si>
  <si>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</si>
  <si>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</si>
  <si>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</si>
  <si>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</si>
  <si>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</si>
  <si>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Expiry date: NA</t>
  </si>
  <si>
    <t>Projected life of the structure: 60 Years After Completion</t>
  </si>
  <si>
    <t>Material laying at Site: :Bricks, Cement &amp; Steel etc.</t>
  </si>
  <si>
    <t>No of floors at site : See Construction details</t>
  </si>
  <si>
    <t>Wheather the construction is as per approved Building plan : Under Construction</t>
  </si>
  <si>
    <t xml:space="preserve">4)  The saleable area is as per Our Calculation.  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</si>
  <si>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</si>
  <si>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</si>
  <si>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</si>
  <si>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</si>
  <si>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</si>
  <si>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</si>
  <si>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</si>
  <si>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</si>
  <si>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</si>
  <si>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</si>
  <si>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</si>
  <si>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</si>
  <si>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</si>
  <si>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</si>
  <si>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>Expected Completion</t>
  </si>
  <si>
    <t>Approved no of Floors</t>
  </si>
  <si>
    <t>Floor rise rate 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</si>
  <si>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</si>
  <si>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</si>
  <si>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Society formation charges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</si>
  <si>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</si>
  <si>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</si>
  <si>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</si>
  <si>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</si>
  <si>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</si>
  <si>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</si>
  <si>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</si>
  <si>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</si>
  <si>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</si>
  <si>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</si>
  <si>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</si>
  <si>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</si>
  <si>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</si>
  <si>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</si>
  <si>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</si>
  <si>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</si>
  <si>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</si>
  <si>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</si>
  <si>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</si>
  <si>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</si>
  <si>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</si>
  <si>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</si>
  <si>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</si>
  <si>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</si>
  <si>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</si>
  <si>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</si>
  <si>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>Contect Details ( Name &amp; Contect No.)</t>
  </si>
  <si>
    <t>Name / no of the Building</t>
  </si>
  <si>
    <t>Plot No</t>
  </si>
  <si>
    <t>Accessibility to the Project from the City:
(Proximity to civic amenities like school, hospital, market, etc.)</t>
  </si>
  <si>
    <t>Does property have Electricity / Water / Drainage Connection</t>
  </si>
  <si>
    <t>PLC charges</t>
  </si>
  <si>
    <t>Club Charges</t>
  </si>
  <si>
    <t>Any Other amenities</t>
  </si>
  <si>
    <t>Distressed valuation of the Property</t>
  </si>
  <si>
    <t>Building details Floor Wise</t>
  </si>
  <si>
    <t>Floor</t>
  </si>
  <si>
    <t>Particulars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</si>
  <si>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</si>
  <si>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</si>
  <si>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</si>
  <si>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</si>
  <si>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</si>
  <si>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</si>
  <si>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</si>
  <si>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</si>
  <si>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</si>
  <si>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</si>
  <si>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</si>
  <si>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</si>
  <si>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</si>
  <si>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</si>
  <si>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</si>
  <si>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</si>
  <si>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</si>
  <si>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</si>
  <si>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</si>
  <si>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 xml:space="preserve">totaL floor </t>
  </si>
  <si>
    <t>Type of Structure : RCC Frame Structure</t>
  </si>
  <si>
    <t>Approved no of units</t>
  </si>
  <si>
    <t>Google Map :</t>
  </si>
  <si>
    <t>Middle Class</t>
  </si>
  <si>
    <t>Developing</t>
  </si>
  <si>
    <t>RERA No.</t>
  </si>
  <si>
    <t>Gross Carpet area</t>
  </si>
  <si>
    <t>P99000009894</t>
  </si>
  <si>
    <t>Gut No.</t>
  </si>
  <si>
    <t>Kamare</t>
  </si>
  <si>
    <t>Ambedkar Road</t>
  </si>
  <si>
    <t>Palghar</t>
  </si>
  <si>
    <t>Palghar Railway Station</t>
  </si>
  <si>
    <t xml:space="preserve">Approved usage of the Property: Residential + Commercial
(Restrictive Covenants in regard to Land Use, if any)                                                                                                                                                </t>
  </si>
  <si>
    <t>BS/BP/KAMARE/PALGHAR/GK-101/335</t>
  </si>
  <si>
    <t>03/03/2016.</t>
  </si>
  <si>
    <t>NA Order cum CC</t>
  </si>
  <si>
    <t>26/08/2016.</t>
  </si>
  <si>
    <t>O. Certificate No.: NA</t>
  </si>
  <si>
    <t>Date of approval: NA</t>
  </si>
  <si>
    <t>Shop</t>
  </si>
  <si>
    <t>N</t>
  </si>
  <si>
    <t>Ground Floor</t>
  </si>
  <si>
    <t>2BHK</t>
  </si>
  <si>
    <t>1RK</t>
  </si>
  <si>
    <t>1BHK</t>
  </si>
  <si>
    <t>1st to 3rd Floor</t>
  </si>
  <si>
    <t>Building Type - A1,A2,B2,B2a &amp; B3 = Gr. + 3rd Floor
Building Type - A3,B1,B4,C1,E1 &amp; E1a = Gr. + 4th Floor</t>
  </si>
  <si>
    <t>Building No. 1</t>
  </si>
  <si>
    <t>Wing B (Type - B3)</t>
  </si>
  <si>
    <t>Wing A (Type A1)</t>
  </si>
  <si>
    <t>Building No. 2</t>
  </si>
  <si>
    <t>Wing A (Type - B1)</t>
  </si>
  <si>
    <t>Wing B (Type E1)</t>
  </si>
  <si>
    <t>Building No. 3</t>
  </si>
  <si>
    <t>Wing A (Type E1a)</t>
  </si>
  <si>
    <t>Wing B (Type - B4)</t>
  </si>
  <si>
    <t>Building No. 4</t>
  </si>
  <si>
    <t>Wing A (Type - C1)</t>
  </si>
  <si>
    <t>Wing B (Type - A3)</t>
  </si>
  <si>
    <t>Building No. 5</t>
  </si>
  <si>
    <t>Wing A (Type - B2)</t>
  </si>
  <si>
    <t>Axis Goregaon</t>
  </si>
  <si>
    <t>Wing B (Type - B2a)</t>
  </si>
  <si>
    <t>1st Floor</t>
  </si>
  <si>
    <t>2nd to 4th Floor</t>
  </si>
  <si>
    <t>Wing C (Type - A2)</t>
  </si>
  <si>
    <t>M/s.Future Land &amp; developers</t>
  </si>
  <si>
    <t>Shiv Shakti Dream City, Gut No.101, Kamare, Palghar.</t>
  </si>
  <si>
    <t>Recommended rate of the flat Per Sq. Ft. ( on Saleable Area)</t>
  </si>
  <si>
    <t>Ground Floor for Residential &amp; Parking</t>
  </si>
  <si>
    <t>Ground Floor for Commercial, Residential &amp; Parking</t>
  </si>
  <si>
    <t>Building No.</t>
  </si>
  <si>
    <t>Wing</t>
  </si>
  <si>
    <t>Type</t>
  </si>
  <si>
    <t>Building no.1
Building no.1
Building no.2
Building no.2
Building no.3
Building no.3
Building no.3
Building no.4
Building no.4
Building no.4
Building no.5
Building no.5</t>
  </si>
  <si>
    <t>Wing A
Wing B
Wing A
Wing B
Wing A
Wing B
Wing C
Wing A
Wing B
Wing C
Wing A
Wing B</t>
  </si>
  <si>
    <t>Type A1
Type B3
Type B1
Type E1
Type E1a
Type B4
Type A2
Type C1
Type A3
Type A1a
Type B2
Type B2a</t>
  </si>
  <si>
    <t>Approved Plan &amp; NA Order cum CC</t>
  </si>
  <si>
    <t>Recommended rate of the Shop Per Sq. Ft. ( on Saleable Area)</t>
  </si>
  <si>
    <t>25000/-</t>
  </si>
  <si>
    <t>50000/-</t>
  </si>
  <si>
    <t>Development charges</t>
  </si>
  <si>
    <t>Builder Saleable area</t>
  </si>
  <si>
    <t>Open</t>
  </si>
  <si>
    <t>Wing C (Type - A1a)</t>
  </si>
  <si>
    <t>1st to 4th Floor</t>
  </si>
  <si>
    <t>5 Buildings (12 Wings)</t>
  </si>
  <si>
    <t>Flats = 300
Shops = 56</t>
  </si>
  <si>
    <t xml:space="preserve">PHOTOGRAPHS OF PROPERTY : 
</t>
  </si>
  <si>
    <t>S S Dream City</t>
  </si>
  <si>
    <t>Name of the builder</t>
  </si>
  <si>
    <t>M/s.Sanjay Yadav</t>
  </si>
  <si>
    <t>In previous report : We considered recommended rate as per Builder cost sheet.</t>
  </si>
  <si>
    <t>OLD APF</t>
  </si>
  <si>
    <t>Asmita</t>
  </si>
  <si>
    <t>14/3/2020.</t>
  </si>
  <si>
    <t>05/10/2020.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</si>
  <si>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</si>
  <si>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</si>
  <si>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</si>
  <si>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</si>
  <si>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</si>
  <si>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</si>
  <si>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</si>
  <si>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Common floor</t>
  </si>
  <si>
    <t>proptiger</t>
  </si>
  <si>
    <t>Quiker</t>
  </si>
  <si>
    <t>LivingandLiving</t>
  </si>
  <si>
    <t>Average</t>
  </si>
  <si>
    <t xml:space="preserve">Valuation Adopted </t>
  </si>
  <si>
    <t>Dhanashree</t>
  </si>
  <si>
    <t xml:space="preserve">1. Rate has changed 
</t>
  </si>
  <si>
    <t xml:space="preserve">Befor it was = 2800/-sq.ft &amp; now it is given as = 2500/-sq.ft
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</si>
  <si>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</si>
  <si>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</si>
  <si>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</si>
  <si>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</si>
  <si>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</si>
  <si>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</si>
  <si>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100000/-</t>
  </si>
  <si>
    <t>Construction details:</t>
  </si>
  <si>
    <t>Basement</t>
  </si>
  <si>
    <t>Ground</t>
  </si>
  <si>
    <t>Podium</t>
  </si>
  <si>
    <t>Floors</t>
  </si>
  <si>
    <t>All work Completed. Provide OC.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</si>
  <si>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</si>
  <si>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</si>
  <si>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</si>
  <si>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</si>
  <si>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</si>
  <si>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</si>
  <si>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</si>
  <si>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</si>
  <si>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</si>
  <si>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</si>
  <si>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</si>
  <si>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</si>
  <si>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</si>
  <si>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</si>
  <si>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</si>
  <si>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</si>
  <si>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</si>
  <si>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</si>
  <si>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</si>
  <si>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</si>
  <si>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</si>
  <si>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</si>
  <si>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MHSL/KS.1/T.1/NP/SR-391/2015                                                                                                              Valid Up to: Building Type - A1,A2,B2,B2a &amp; B3 = Gr. + 3rd Floor
Building Type - A3,B1,B4,C1,E1 &amp; E1a = Gr. + 1st to 4th Floor</t>
  </si>
  <si>
    <t>Building no.1 = A wing (A1) &amp; B Wing (B3) = Gr + 1st to 4th Floor</t>
  </si>
  <si>
    <t>Building no.5 = A Wing (B2) &amp; B Wing (B2a) = Gr + 1st to 4th Floor</t>
  </si>
  <si>
    <t>Building no.4 = C Wing (A1a)  = Gr + 1st to 4th Floor</t>
  </si>
  <si>
    <t>Building no.2 (A wing (B1) &amp; B Wing (E1) )= Gr + 1st to 4th Floor</t>
  </si>
  <si>
    <t>0.12 Km from Palghar Railway Station</t>
  </si>
  <si>
    <t>Building no.3 A Wing (E1a) &amp; B Wing (B4) = Gr + 1st to 4th Floor</t>
  </si>
  <si>
    <t xml:space="preserve"> Building no.3 C Wing (A2) = Gr + 1st to 4th Floor</t>
  </si>
  <si>
    <t xml:space="preserve"> Building no.4 A Wing (C1) &amp; B Wing (A3) = Gr + 1st to 4th Floor</t>
  </si>
  <si>
    <t>Location Link</t>
  </si>
  <si>
    <t>https://goo.gl/maps/ZMzSw74qJxa36VqF6?coh=178572&amp;entry=tt</t>
  </si>
  <si>
    <t xml:space="preserve">Office No. 1031, Wing J, Akshar Business Park, Plot No. 03 Sector 25, Near APMC Market, Vashi, 
Navi Mumbai, Maharashtra 400703 TEL: 022-46090378/79/80
E mail : vsjcapf@gmail.com. Web site : www.vsjadon.com </t>
  </si>
  <si>
    <t>19.6971911,72.7728651</t>
  </si>
  <si>
    <r>
      <t xml:space="preserve">Remarks:  
1. Building No. 1, 3, 4 &amp; 5 = Construction work was stopped. Work is same from visit (dtd.12/08/2022).
    Building No. 2 = Construction work was stopped. Work is same from visit (dtd.08/02/2023).
2. We considered Saleable area as per builder area sheet.
3. We considered Carpet area as per Approved Plan.
4. Building no.4 Wing C (Type A1a) Approved Plan updated on 20/03/2019.
5. We have considered rate by verifying it from market inquire.
6. We have considered Other charges from cost sheet.
7. Car parking is subjected to authentic documentation.
</t>
    </r>
    <r>
      <rPr>
        <b/>
        <sz val="11"/>
        <color rgb="FFFF0000"/>
        <rFont val="Times New Roman"/>
        <family val="1"/>
      </rPr>
      <t>8. As per RERA, completion period of project S S Dream City is expired on 30/01/2024 but still project work is pending.
9. As per the site visit dated 12/08/2024, We have observed that Building No 3 demolition work is in process.</t>
    </r>
    <r>
      <rPr>
        <b/>
        <sz val="11"/>
        <color indexed="8"/>
        <rFont val="Times New Roman"/>
        <family val="1"/>
      </rPr>
      <t xml:space="preserve">
10. As building have received CC on 26/08/2016, still building work is not completed.
11. As checked on RERA portal on dated 19/08/2025, we have observed that above project is kept under abeyance.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</si>
</sst>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22" fillId="0" borderId="0"/>
    <xf numFmtId="0" fontId="27" fillId="0" borderId="0" applyNumberFormat="0" applyFill="0" applyBorder="0" applyAlignment="0" applyProtection="0"/>
  </cellStyleXfs>
  <cellXfs count="253">
    <xf numFmtId="0" fontId="0" fillId="0" borderId="0" xfId="0"/>
    <xf numFmtId="0" fontId="5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1" fontId="6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16" fillId="0" borderId="2" xfId="0" applyFont="1" applyBorder="1"/>
    <xf numFmtId="0" fontId="0" fillId="0" borderId="3" xfId="0" applyBorder="1"/>
    <xf numFmtId="0" fontId="0" fillId="2" borderId="2" xfId="0" applyFill="1" applyBorder="1"/>
    <xf numFmtId="0" fontId="16" fillId="0" borderId="2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top" wrapText="1"/>
    </xf>
    <xf numFmtId="0" fontId="16" fillId="2" borderId="2" xfId="0" applyFont="1" applyFill="1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" fillId="0" borderId="0" xfId="3"/>
    <xf numFmtId="0" fontId="15" fillId="0" borderId="0" xfId="7"/>
    <xf numFmtId="0" fontId="16" fillId="0" borderId="2" xfId="7" applyFont="1" applyBorder="1" applyAlignment="1">
      <alignment horizontal="center" vertical="top" wrapText="1"/>
    </xf>
    <xf numFmtId="0" fontId="15" fillId="0" borderId="2" xfId="7" applyBorder="1" applyAlignment="1">
      <alignment horizontal="center" vertical="center"/>
    </xf>
    <xf numFmtId="0" fontId="15" fillId="0" borderId="2" xfId="7" applyBorder="1" applyAlignment="1">
      <alignment horizontal="left" vertical="center"/>
    </xf>
    <xf numFmtId="1" fontId="15" fillId="0" borderId="2" xfId="7" applyNumberFormat="1" applyBorder="1" applyAlignment="1">
      <alignment horizontal="center" vertical="center"/>
    </xf>
    <xf numFmtId="166" fontId="15" fillId="0" borderId="2" xfId="1" applyNumberFormat="1" applyFont="1" applyBorder="1" applyAlignment="1">
      <alignment horizontal="right" vertical="center"/>
    </xf>
    <xf numFmtId="0" fontId="16" fillId="0" borderId="2" xfId="7" applyFont="1" applyBorder="1" applyAlignment="1">
      <alignment horizontal="center" vertical="center"/>
    </xf>
    <xf numFmtId="1" fontId="17" fillId="0" borderId="2" xfId="7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21" fillId="0" borderId="0" xfId="3" applyFont="1"/>
    <xf numFmtId="0" fontId="23" fillId="0" borderId="14" xfId="8" applyFont="1" applyBorder="1" applyProtection="1">
      <protection hidden="1"/>
    </xf>
    <xf numFmtId="9" fontId="23" fillId="0" borderId="0" xfId="8" applyNumberFormat="1" applyFont="1" applyProtection="1">
      <protection hidden="1"/>
    </xf>
    <xf numFmtId="9" fontId="23" fillId="0" borderId="15" xfId="8" applyNumberFormat="1" applyFont="1" applyBorder="1" applyProtection="1">
      <protection hidden="1"/>
    </xf>
    <xf numFmtId="0" fontId="23" fillId="0" borderId="16" xfId="8" applyFont="1" applyBorder="1" applyProtection="1">
      <protection hidden="1"/>
    </xf>
    <xf numFmtId="9" fontId="23" fillId="0" borderId="17" xfId="8" applyNumberFormat="1" applyFont="1" applyBorder="1" applyProtection="1">
      <protection hidden="1"/>
    </xf>
    <xf numFmtId="9" fontId="23" fillId="0" borderId="18" xfId="8" applyNumberFormat="1" applyFont="1" applyBorder="1" applyProtection="1">
      <protection hidden="1"/>
    </xf>
    <xf numFmtId="0" fontId="24" fillId="0" borderId="22" xfId="5" applyFont="1" applyBorder="1" applyProtection="1">
      <protection hidden="1"/>
    </xf>
    <xf numFmtId="0" fontId="24" fillId="0" borderId="0" xfId="5" applyFont="1" applyProtection="1">
      <protection hidden="1"/>
    </xf>
    <xf numFmtId="0" fontId="23" fillId="0" borderId="0" xfId="0" applyFont="1" applyProtection="1">
      <protection hidden="1"/>
    </xf>
    <xf numFmtId="0" fontId="23" fillId="0" borderId="17" xfId="0" applyFont="1" applyBorder="1" applyProtection="1">
      <protection hidden="1"/>
    </xf>
    <xf numFmtId="0" fontId="25" fillId="0" borderId="22" xfId="5" applyFont="1" applyBorder="1" applyProtection="1">
      <protection hidden="1"/>
    </xf>
    <xf numFmtId="0" fontId="25" fillId="0" borderId="0" xfId="5" applyFont="1" applyProtection="1">
      <protection hidden="1"/>
    </xf>
    <xf numFmtId="0" fontId="9" fillId="0" borderId="0" xfId="0" applyFont="1" applyProtection="1">
      <protection hidden="1"/>
    </xf>
    <xf numFmtId="0" fontId="9" fillId="0" borderId="17" xfId="0" applyFont="1" applyBorder="1" applyProtection="1">
      <protection hidden="1"/>
    </xf>
    <xf numFmtId="1" fontId="10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25" fillId="0" borderId="2" xfId="5" applyFont="1" applyBorder="1" applyAlignment="1" applyProtection="1">
      <alignment horizontal="center" vertical="top"/>
      <protection locked="0"/>
    </xf>
    <xf numFmtId="0" fontId="25" fillId="0" borderId="2" xfId="5" applyFont="1" applyBorder="1" applyAlignment="1" applyProtection="1">
      <alignment horizontal="center" vertical="top" wrapText="1"/>
      <protection locked="0"/>
    </xf>
    <xf numFmtId="0" fontId="25" fillId="0" borderId="24" xfId="5" applyFont="1" applyBorder="1" applyAlignment="1" applyProtection="1">
      <alignment horizontal="center" vertical="top"/>
      <protection locked="0"/>
    </xf>
    <xf numFmtId="0" fontId="0" fillId="0" borderId="7" xfId="0" applyBorder="1"/>
    <xf numFmtId="0" fontId="8" fillId="0" borderId="2" xfId="0" applyFont="1" applyBorder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17" fillId="0" borderId="0" xfId="0" applyFont="1"/>
    <xf numFmtId="0" fontId="20" fillId="0" borderId="0" xfId="0" applyFont="1"/>
    <xf numFmtId="0" fontId="25" fillId="0" borderId="23" xfId="5" applyFont="1" applyBorder="1" applyProtection="1">
      <protection hidden="1"/>
    </xf>
    <xf numFmtId="0" fontId="25" fillId="0" borderId="15" xfId="5" applyFont="1" applyBorder="1" applyProtection="1">
      <protection hidden="1"/>
    </xf>
    <xf numFmtId="0" fontId="25" fillId="0" borderId="0" xfId="5" applyFont="1"/>
    <xf numFmtId="0" fontId="25" fillId="0" borderId="15" xfId="5" applyFont="1" applyBorder="1"/>
    <xf numFmtId="0" fontId="25" fillId="0" borderId="2" xfId="5" applyFont="1" applyBorder="1" applyAlignment="1" applyProtection="1">
      <alignment horizontal="center" wrapText="1"/>
      <protection locked="0"/>
    </xf>
    <xf numFmtId="9" fontId="9" fillId="0" borderId="0" xfId="0" applyNumberFormat="1" applyFont="1" applyProtection="1">
      <protection hidden="1"/>
    </xf>
    <xf numFmtId="0" fontId="9" fillId="0" borderId="15" xfId="0" applyFont="1" applyBorder="1" applyProtection="1">
      <protection hidden="1"/>
    </xf>
    <xf numFmtId="1" fontId="25" fillId="0" borderId="2" xfId="5" applyNumberFormat="1" applyFont="1" applyBorder="1" applyAlignment="1" applyProtection="1">
      <alignment horizontal="center" wrapText="1"/>
      <protection locked="0"/>
    </xf>
    <xf numFmtId="1" fontId="20" fillId="0" borderId="15" xfId="0" applyNumberFormat="1" applyFont="1" applyBorder="1"/>
    <xf numFmtId="1" fontId="20" fillId="0" borderId="0" xfId="0" applyNumberFormat="1" applyFont="1"/>
    <xf numFmtId="165" fontId="20" fillId="0" borderId="0" xfId="0" applyNumberFormat="1" applyFont="1"/>
    <xf numFmtId="1" fontId="20" fillId="0" borderId="15" xfId="0" applyNumberFormat="1" applyFont="1" applyBorder="1" applyAlignment="1">
      <alignment horizontal="right"/>
    </xf>
    <xf numFmtId="0" fontId="20" fillId="0" borderId="15" xfId="0" applyFont="1" applyBorder="1"/>
    <xf numFmtId="0" fontId="25" fillId="0" borderId="27" xfId="5" applyFont="1" applyBorder="1" applyAlignment="1" applyProtection="1">
      <alignment horizontal="center" wrapText="1"/>
      <protection locked="0"/>
    </xf>
    <xf numFmtId="9" fontId="9" fillId="0" borderId="17" xfId="0" applyNumberFormat="1" applyFont="1" applyBorder="1" applyProtection="1">
      <protection hidden="1"/>
    </xf>
    <xf numFmtId="1" fontId="20" fillId="0" borderId="18" xfId="0" applyNumberFormat="1" applyFont="1" applyBorder="1"/>
    <xf numFmtId="0" fontId="24" fillId="0" borderId="23" xfId="5" applyFont="1" applyBorder="1" applyProtection="1">
      <protection hidden="1"/>
    </xf>
    <xf numFmtId="0" fontId="24" fillId="0" borderId="15" xfId="5" applyFont="1" applyBorder="1" applyProtection="1">
      <protection hidden="1"/>
    </xf>
    <xf numFmtId="0" fontId="24" fillId="0" borderId="0" xfId="5" applyFont="1"/>
    <xf numFmtId="0" fontId="24" fillId="0" borderId="15" xfId="5" applyFont="1" applyBorder="1"/>
    <xf numFmtId="9" fontId="23" fillId="0" borderId="0" xfId="0" applyNumberFormat="1" applyFont="1" applyProtection="1">
      <protection hidden="1"/>
    </xf>
    <xf numFmtId="0" fontId="23" fillId="0" borderId="15" xfId="0" applyFont="1" applyBorder="1" applyProtection="1">
      <protection hidden="1"/>
    </xf>
    <xf numFmtId="1" fontId="0" fillId="0" borderId="15" xfId="0" applyNumberFormat="1" applyBorder="1"/>
    <xf numFmtId="1" fontId="0" fillId="0" borderId="0" xfId="0" applyNumberFormat="1"/>
    <xf numFmtId="165" fontId="0" fillId="0" borderId="0" xfId="0" applyNumberFormat="1"/>
    <xf numFmtId="1" fontId="0" fillId="0" borderId="15" xfId="0" applyNumberFormat="1" applyBorder="1" applyAlignment="1">
      <alignment horizontal="right"/>
    </xf>
    <xf numFmtId="0" fontId="0" fillId="0" borderId="15" xfId="0" applyBorder="1"/>
    <xf numFmtId="9" fontId="23" fillId="0" borderId="17" xfId="0" applyNumberFormat="1" applyFont="1" applyBorder="1" applyProtection="1">
      <protection hidden="1"/>
    </xf>
    <xf numFmtId="1" fontId="0" fillId="0" borderId="18" xfId="0" applyNumberFormat="1" applyBorder="1"/>
    <xf numFmtId="0" fontId="2" fillId="0" borderId="0" xfId="2"/>
    <xf numFmtId="0" fontId="1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9" fillId="0" borderId="0" xfId="0" applyFont="1"/>
    <xf numFmtId="0" fontId="25" fillId="0" borderId="24" xfId="5" applyFont="1" applyBorder="1" applyAlignment="1" applyProtection="1">
      <alignment horizontal="center" vertical="top"/>
      <protection locked="0"/>
    </xf>
    <xf numFmtId="0" fontId="25" fillId="0" borderId="2" xfId="5" applyFont="1" applyBorder="1" applyAlignment="1" applyProtection="1">
      <alignment horizontal="center" vertical="top"/>
      <protection locked="0"/>
    </xf>
    <xf numFmtId="9" fontId="25" fillId="0" borderId="2" xfId="5" applyNumberFormat="1" applyFont="1" applyBorder="1" applyAlignment="1" applyProtection="1">
      <alignment horizontal="center" vertical="center" wrapText="1"/>
      <protection hidden="1"/>
    </xf>
    <xf numFmtId="9" fontId="25" fillId="0" borderId="27" xfId="5" applyNumberFormat="1" applyFont="1" applyBorder="1" applyAlignment="1" applyProtection="1">
      <alignment horizontal="center" vertical="center" wrapText="1"/>
      <protection hidden="1"/>
    </xf>
    <xf numFmtId="9" fontId="25" fillId="0" borderId="25" xfId="5" applyNumberFormat="1" applyFont="1" applyBorder="1" applyAlignment="1" applyProtection="1">
      <alignment horizontal="center" vertical="center" wrapText="1"/>
      <protection hidden="1"/>
    </xf>
    <xf numFmtId="9" fontId="25" fillId="0" borderId="28" xfId="5" applyNumberFormat="1" applyFont="1" applyBorder="1" applyAlignment="1" applyProtection="1">
      <alignment horizontal="center" vertical="center" wrapText="1"/>
      <protection hidden="1"/>
    </xf>
    <xf numFmtId="0" fontId="25" fillId="0" borderId="26" xfId="5" applyFont="1" applyBorder="1" applyAlignment="1" applyProtection="1">
      <alignment horizontal="center" vertical="top"/>
      <protection locked="0"/>
    </xf>
    <xf numFmtId="0" fontId="25" fillId="0" borderId="27" xfId="5" applyFont="1" applyBorder="1" applyAlignment="1" applyProtection="1">
      <alignment horizontal="center" vertical="top"/>
      <protection locked="0"/>
    </xf>
    <xf numFmtId="0" fontId="26" fillId="0" borderId="19" xfId="5" applyFont="1" applyBorder="1" applyAlignment="1" applyProtection="1">
      <alignment horizontal="center" vertical="top" wrapText="1"/>
      <protection locked="0"/>
    </xf>
    <xf numFmtId="0" fontId="26" fillId="0" borderId="20" xfId="5" applyFont="1" applyBorder="1" applyAlignment="1" applyProtection="1">
      <alignment horizontal="center" vertical="top" wrapText="1"/>
      <protection locked="0"/>
    </xf>
    <xf numFmtId="0" fontId="26" fillId="0" borderId="20" xfId="5" applyFont="1" applyBorder="1" applyAlignment="1" applyProtection="1">
      <alignment horizontal="left" vertical="top" wrapText="1"/>
      <protection locked="0"/>
    </xf>
    <xf numFmtId="0" fontId="26" fillId="0" borderId="21" xfId="5" applyFont="1" applyBorder="1" applyAlignment="1" applyProtection="1">
      <alignment horizontal="left" vertical="top" wrapText="1"/>
      <protection locked="0"/>
    </xf>
    <xf numFmtId="0" fontId="25" fillId="0" borderId="25" xfId="5" applyFont="1" applyBorder="1" applyAlignment="1" applyProtection="1">
      <alignment horizontal="center" vertical="top"/>
      <protection locked="0"/>
    </xf>
    <xf numFmtId="0" fontId="26" fillId="0" borderId="24" xfId="5" applyFont="1" applyBorder="1" applyAlignment="1" applyProtection="1">
      <alignment horizontal="left" vertical="top"/>
      <protection locked="0"/>
    </xf>
    <xf numFmtId="0" fontId="26" fillId="0" borderId="2" xfId="5" applyFont="1" applyBorder="1" applyAlignment="1" applyProtection="1">
      <alignment horizontal="left" vertical="top"/>
      <protection locked="0"/>
    </xf>
    <xf numFmtId="0" fontId="26" fillId="0" borderId="2" xfId="5" applyFont="1" applyBorder="1" applyAlignment="1" applyProtection="1">
      <alignment horizontal="left" vertical="top" wrapText="1"/>
      <protection locked="0"/>
    </xf>
    <xf numFmtId="0" fontId="26" fillId="0" borderId="25" xfId="5" applyFont="1" applyBorder="1" applyAlignment="1" applyProtection="1">
      <alignment horizontal="left" vertical="top" wrapText="1"/>
      <protection locked="0"/>
    </xf>
    <xf numFmtId="0" fontId="25" fillId="0" borderId="2" xfId="5" applyFont="1" applyBorder="1" applyAlignment="1" applyProtection="1">
      <alignment horizontal="center" vertical="top" wrapText="1"/>
      <protection locked="0"/>
    </xf>
    <xf numFmtId="0" fontId="25" fillId="0" borderId="25" xfId="5" applyFont="1" applyBorder="1" applyAlignment="1" applyProtection="1">
      <alignment horizontal="center" vertical="top" wrapText="1"/>
      <protection locked="0"/>
    </xf>
    <xf numFmtId="0" fontId="25" fillId="0" borderId="24" xfId="5" applyFont="1" applyBorder="1" applyAlignment="1" applyProtection="1">
      <alignment horizontal="center" vertical="top" wrapText="1"/>
      <protection locked="0"/>
    </xf>
    <xf numFmtId="0" fontId="25" fillId="0" borderId="26" xfId="5" applyFont="1" applyBorder="1" applyAlignment="1" applyProtection="1">
      <alignment horizontal="center" vertical="top" wrapText="1"/>
      <protection locked="0"/>
    </xf>
    <xf numFmtId="0" fontId="25" fillId="0" borderId="27" xfId="5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left" vertical="top"/>
    </xf>
    <xf numFmtId="165" fontId="4" fillId="0" borderId="11" xfId="0" applyNumberFormat="1" applyFont="1" applyBorder="1" applyAlignment="1">
      <alignment horizontal="left" vertical="top"/>
    </xf>
    <xf numFmtId="165" fontId="4" fillId="0" borderId="12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5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left" vertical="top"/>
    </xf>
    <xf numFmtId="2" fontId="4" fillId="0" borderId="11" xfId="0" applyNumberFormat="1" applyFont="1" applyBorder="1" applyAlignment="1">
      <alignment horizontal="left" vertical="top"/>
    </xf>
    <xf numFmtId="2" fontId="4" fillId="0" borderId="12" xfId="0" applyNumberFormat="1" applyFont="1" applyBorder="1" applyAlignment="1">
      <alignment horizontal="left" vertical="top"/>
    </xf>
    <xf numFmtId="0" fontId="27" fillId="0" borderId="1" xfId="9" applyFill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top" wrapText="1"/>
    </xf>
    <xf numFmtId="0" fontId="3" fillId="0" borderId="11" xfId="2" applyFont="1" applyBorder="1" applyAlignment="1">
      <alignment horizontal="left" vertical="top" wrapText="1"/>
    </xf>
    <xf numFmtId="0" fontId="3" fillId="0" borderId="12" xfId="2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2" fontId="4" fillId="0" borderId="11" xfId="0" applyNumberFormat="1" applyFont="1" applyBorder="1" applyAlignment="1">
      <alignment horizontal="left" vertical="top" wrapText="1"/>
    </xf>
    <xf numFmtId="2" fontId="4" fillId="0" borderId="1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14" fontId="4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1" fontId="10" fillId="0" borderId="7" xfId="0" applyNumberFormat="1" applyFont="1" applyBorder="1" applyAlignment="1">
      <alignment horizontal="center" wrapText="1"/>
    </xf>
    <xf numFmtId="1" fontId="10" fillId="0" borderId="8" xfId="0" applyNumberFormat="1" applyFont="1" applyBorder="1" applyAlignment="1">
      <alignment horizontal="center" wrapText="1"/>
    </xf>
    <xf numFmtId="1" fontId="10" fillId="0" borderId="9" xfId="0" applyNumberFormat="1" applyFont="1" applyBorder="1" applyAlignment="1">
      <alignment horizontal="center" wrapText="1"/>
    </xf>
    <xf numFmtId="1" fontId="10" fillId="0" borderId="10" xfId="0" applyNumberFormat="1" applyFont="1" applyBorder="1" applyAlignment="1">
      <alignment horizontal="center" wrapText="1"/>
    </xf>
    <xf numFmtId="0" fontId="16" fillId="0" borderId="2" xfId="7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center" wrapText="1"/>
    </xf>
    <xf numFmtId="0" fontId="16" fillId="0" borderId="2" xfId="0" applyFont="1" applyBorder="1" applyAlignment="1">
      <alignment horizontal="center"/>
    </xf>
  </cellXfs>
  <cellStyles count="10">
    <cellStyle name="Comma 2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Hyperlink" xfId="9" builtinId="8"/>
    <cellStyle name="Normal" xfId="0" builtinId="0"/>
    <cellStyle name="Normal 2" xfId="4" xr:uid="{00000000-0005-0000-0000-000005000000}"/>
    <cellStyle name="Normal 3" xfId="5" xr:uid="{00000000-0005-0000-0000-000006000000}"/>
    <cellStyle name="Normal 3 3" xfId="6" xr:uid="{00000000-0005-0000-0000-000007000000}"/>
    <cellStyle name="Normal 4" xfId="7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487456</xdr:colOff>
      <xdr:row>482</xdr:row>
      <xdr:rowOff>10084</xdr:rowOff>
    </xdr:from>
    <xdr:to>
      <xdr:col>8</xdr:col>
      <xdr:colOff>375294</xdr:colOff>
      <xdr:row>497</xdr:row>
      <xdr:rowOff>32585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2781" y="101546584"/>
          <a:ext cx="4326488" cy="2880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503142</xdr:colOff>
      <xdr:row>498</xdr:row>
      <xdr:rowOff>30814</xdr:rowOff>
    </xdr:from>
    <xdr:to>
      <xdr:col>8</xdr:col>
      <xdr:colOff>338038</xdr:colOff>
      <xdr:row>513</xdr:row>
      <xdr:rowOff>53315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8467" y="104615314"/>
          <a:ext cx="4273546" cy="2880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471054</xdr:colOff>
      <xdr:row>448</xdr:row>
      <xdr:rowOff>80529</xdr:rowOff>
    </xdr:from>
    <xdr:ext cx="256160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691004" y="94978104"/>
          <a:ext cx="256160" cy="26456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oneCellAnchor>
  <xdr:oneCellAnchor>
    <xdr:from>
      <xdr:col>12</xdr:col>
      <xdr:colOff>246907</xdr:colOff>
      <xdr:row>446</xdr:row>
      <xdr:rowOff>118629</xdr:rowOff>
    </xdr:from>
    <xdr:ext cx="256160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466857" y="94635204"/>
          <a:ext cx="256160" cy="26456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oneCellAnchor>
  <xdr:oneCellAnchor>
    <xdr:from>
      <xdr:col>11</xdr:col>
      <xdr:colOff>337704</xdr:colOff>
      <xdr:row>449</xdr:row>
      <xdr:rowOff>152995</xdr:rowOff>
    </xdr:from>
    <xdr:ext cx="256160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948054" y="95241070"/>
          <a:ext cx="256160" cy="26456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</a:t>
          </a:r>
        </a:p>
      </xdr:txBody>
    </xdr:sp>
    <xdr:clientData/>
  </xdr:oneCellAnchor>
  <xdr:oneCellAnchor>
    <xdr:from>
      <xdr:col>11</xdr:col>
      <xdr:colOff>608857</xdr:colOff>
      <xdr:row>448</xdr:row>
      <xdr:rowOff>29170</xdr:rowOff>
    </xdr:from>
    <xdr:ext cx="256160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219207" y="94926745"/>
          <a:ext cx="256160" cy="26456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</a:t>
          </a:r>
        </a:p>
      </xdr:txBody>
    </xdr:sp>
    <xdr:clientData/>
  </xdr:oneCellAnchor>
  <xdr:oneCellAnchor>
    <xdr:from>
      <xdr:col>12</xdr:col>
      <xdr:colOff>242454</xdr:colOff>
      <xdr:row>449</xdr:row>
      <xdr:rowOff>168311</xdr:rowOff>
    </xdr:from>
    <xdr:ext cx="256160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462404" y="95256386"/>
          <a:ext cx="256160" cy="26456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</a:t>
          </a:r>
        </a:p>
      </xdr:txBody>
    </xdr:sp>
    <xdr:clientData/>
  </xdr:oneCellAnchor>
  <xdr:twoCellAnchor>
    <xdr:from>
      <xdr:col>11</xdr:col>
      <xdr:colOff>295275</xdr:colOff>
      <xdr:row>435</xdr:row>
      <xdr:rowOff>57149</xdr:rowOff>
    </xdr:from>
    <xdr:to>
      <xdr:col>22</xdr:col>
      <xdr:colOff>72390</xdr:colOff>
      <xdr:row>469</xdr:row>
      <xdr:rowOff>142874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92A9DB35-85F4-4E2C-B2AF-A24939E4C9A2}"/>
            </a:ext>
          </a:extLst>
        </xdr:cNvPr>
        <xdr:cNvGrpSpPr/>
      </xdr:nvGrpSpPr>
      <xdr:grpSpPr>
        <a:xfrm>
          <a:off x="7922895" y="91771469"/>
          <a:ext cx="6650355" cy="6303645"/>
          <a:chOff x="476250" y="341785"/>
          <a:chExt cx="5905502" cy="6255542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D463CA6B-ED38-47FA-9265-36554EE51B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50" y="341785"/>
            <a:ext cx="5905502" cy="243175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A783C7A-DD91-4432-B427-CD5F2AECDB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50" y="2970685"/>
            <a:ext cx="2880000" cy="162949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23E0C1E3-FC00-46F4-91EC-FA7A999FA7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1752" y="2970685"/>
            <a:ext cx="2880000" cy="16013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23D52D6-47B7-48EF-874E-2BB0B78A5E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2700" y="4797327"/>
            <a:ext cx="266355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DD04845B-4908-41BB-AF83-DD48E7ADC4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1752" y="4797327"/>
            <a:ext cx="266355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10</xdr:col>
      <xdr:colOff>358140</xdr:colOff>
      <xdr:row>422</xdr:row>
      <xdr:rowOff>586740</xdr:rowOff>
    </xdr:from>
    <xdr:to>
      <xdr:col>16</xdr:col>
      <xdr:colOff>209100</xdr:colOff>
      <xdr:row>423</xdr:row>
      <xdr:rowOff>89520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0440E2-EF77-BE52-5200-1C1B6DEC1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0920" y="87553800"/>
          <a:ext cx="3600000" cy="2025000"/>
        </a:xfrm>
        <a:prstGeom prst="rect">
          <a:avLst/>
        </a:prstGeom>
      </xdr:spPr>
    </xdr:pic>
    <xdr:clientData/>
  </xdr:twoCellAnchor>
  <xdr:twoCellAnchor>
    <xdr:from>
      <xdr:col>0</xdr:col>
      <xdr:colOff>160021</xdr:colOff>
      <xdr:row>437</xdr:row>
      <xdr:rowOff>22860</xdr:rowOff>
    </xdr:from>
    <xdr:to>
      <xdr:col>9</xdr:col>
      <xdr:colOff>792481</xdr:colOff>
      <xdr:row>475</xdr:row>
      <xdr:rowOff>87432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DFB1201-8547-362D-0653-53740D5D8263}"/>
            </a:ext>
          </a:extLst>
        </xdr:cNvPr>
        <xdr:cNvGrpSpPr/>
      </xdr:nvGrpSpPr>
      <xdr:grpSpPr>
        <a:xfrm>
          <a:off x="160021" y="92102940"/>
          <a:ext cx="6682740" cy="7014012"/>
          <a:chOff x="-183308" y="230334"/>
          <a:chExt cx="6956177" cy="7212132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B8CBD17E-1E15-E8BA-AE18-DA025D6E1722}"/>
              </a:ext>
            </a:extLst>
          </xdr:cNvPr>
          <xdr:cNvGrpSpPr/>
        </xdr:nvGrpSpPr>
        <xdr:grpSpPr>
          <a:xfrm>
            <a:off x="-183308" y="230334"/>
            <a:ext cx="6956177" cy="2520000"/>
            <a:chOff x="71709" y="230334"/>
            <a:chExt cx="6956177" cy="252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73413E17-1A9D-4CAF-1965-DA2236E442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1709" y="230334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B1907BB7-C1DC-9519-476F-64B5DC0AAB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70595" y="230334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3C3C9CB-53C3-3031-95C7-E4AA238B9D00}"/>
              </a:ext>
            </a:extLst>
          </xdr:cNvPr>
          <xdr:cNvGrpSpPr/>
        </xdr:nvGrpSpPr>
        <xdr:grpSpPr>
          <a:xfrm>
            <a:off x="243192" y="2915760"/>
            <a:ext cx="6103176" cy="2540640"/>
            <a:chOff x="71709" y="2915760"/>
            <a:chExt cx="6103176" cy="254064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5C4BB9CF-F8F2-2D97-D080-82CBA942F2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1709" y="29157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5A11BBE8-98F8-3B43-8BEB-133B7308AB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86854" y="29364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7E3B9549-49C9-45EE-6D8E-9500311E51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02612" y="29364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2920B0-7F45-5664-80C5-0BF2D5F5C886}"/>
              </a:ext>
            </a:extLst>
          </xdr:cNvPr>
          <xdr:cNvGrpSpPr/>
        </xdr:nvGrpSpPr>
        <xdr:grpSpPr>
          <a:xfrm>
            <a:off x="1300015" y="5642466"/>
            <a:ext cx="3989531" cy="1800000"/>
            <a:chOff x="-438325" y="5642466"/>
            <a:chExt cx="3989531" cy="180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4EB7FC4D-D67F-9E2C-C1B8-C4591474E8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02612" y="564246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1ED2130B-2199-FBE7-A972-B80A7A3C40B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438325" y="5642466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12</xdr:row>
      <xdr:rowOff>0</xdr:rowOff>
    </xdr:from>
    <xdr:to>
      <xdr:col>16</xdr:col>
      <xdr:colOff>133350</xdr:colOff>
      <xdr:row>30</xdr:row>
      <xdr:rowOff>171450</xdr:rowOff>
    </xdr:to>
    <xdr:pic>
      <xdr:nvPicPr>
        <xdr:cNvPr id="6280" name="Picture 1">
          <a:extLst>
            <a:ext uri="{FF2B5EF4-FFF2-40B4-BE49-F238E27FC236}">
              <a16:creationId xmlns:a16="http://schemas.microsoft.com/office/drawing/2014/main" id="{00000000-0008-0000-0100-00008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39025" y="2295525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31</xdr:row>
      <xdr:rowOff>133350</xdr:rowOff>
    </xdr:from>
    <xdr:to>
      <xdr:col>6</xdr:col>
      <xdr:colOff>361950</xdr:colOff>
      <xdr:row>50</xdr:row>
      <xdr:rowOff>114300</xdr:rowOff>
    </xdr:to>
    <xdr:pic>
      <xdr:nvPicPr>
        <xdr:cNvPr id="6281" name="Picture 2">
          <a:extLst>
            <a:ext uri="{FF2B5EF4-FFF2-40B4-BE49-F238E27FC236}">
              <a16:creationId xmlns:a16="http://schemas.microsoft.com/office/drawing/2014/main" id="{00000000-0008-0000-0100-00008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6048375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6</xdr:col>
      <xdr:colOff>352425</xdr:colOff>
      <xdr:row>30</xdr:row>
      <xdr:rowOff>171450</xdr:rowOff>
    </xdr:to>
    <xdr:pic>
      <xdr:nvPicPr>
        <xdr:cNvPr id="6282" name="Picture 3">
          <a:extLst>
            <a:ext uri="{FF2B5EF4-FFF2-40B4-BE49-F238E27FC236}">
              <a16:creationId xmlns:a16="http://schemas.microsoft.com/office/drawing/2014/main" id="{00000000-0008-0000-0100-00008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2295525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19</xdr:row>
      <xdr:rowOff>0</xdr:rowOff>
    </xdr:from>
    <xdr:to>
      <xdr:col>11</xdr:col>
      <xdr:colOff>400050</xdr:colOff>
      <xdr:row>30</xdr:row>
      <xdr:rowOff>57150</xdr:rowOff>
    </xdr:to>
    <xdr:pic>
      <xdr:nvPicPr>
        <xdr:cNvPr id="8198" name="Picture 1">
          <a:extLst>
            <a:ext uri="{FF2B5EF4-FFF2-40B4-BE49-F238E27FC236}">
              <a16:creationId xmlns:a16="http://schemas.microsoft.com/office/drawing/2014/main" id="{00000000-0008-0000-0200-00000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57850" y="4000500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13</xdr:col>
      <xdr:colOff>400050</xdr:colOff>
      <xdr:row>19</xdr:row>
      <xdr:rowOff>66675</xdr:rowOff>
    </xdr:to>
    <xdr:pic>
      <xdr:nvPicPr>
        <xdr:cNvPr id="2155" name="Picture 1">
          <a:extLst>
            <a:ext uri="{FF2B5EF4-FFF2-40B4-BE49-F238E27FC236}">
              <a16:creationId xmlns:a16="http://schemas.microsoft.com/office/drawing/2014/main" id="{00000000-0008-0000-07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1905000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590550</xdr:colOff>
      <xdr:row>10</xdr:row>
      <xdr:rowOff>9525</xdr:rowOff>
    </xdr:from>
    <xdr:to>
      <xdr:col>16</xdr:col>
      <xdr:colOff>381000</xdr:colOff>
      <xdr:row>19</xdr:row>
      <xdr:rowOff>76200</xdr:rowOff>
    </xdr:to>
    <xdr:pic>
      <xdr:nvPicPr>
        <xdr:cNvPr id="2156" name="Picture 2">
          <a:extLst>
            <a:ext uri="{FF2B5EF4-FFF2-40B4-BE49-F238E27FC236}">
              <a16:creationId xmlns:a16="http://schemas.microsoft.com/office/drawing/2014/main" id="{00000000-0008-0000-07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86800" y="1914525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13</xdr:col>
      <xdr:colOff>400050</xdr:colOff>
      <xdr:row>19</xdr:row>
      <xdr:rowOff>66675</xdr:rowOff>
    </xdr:to>
    <xdr:pic>
      <xdr:nvPicPr>
        <xdr:cNvPr id="3179" name="Picture 1">
          <a:extLst>
            <a:ext uri="{FF2B5EF4-FFF2-40B4-BE49-F238E27FC236}">
              <a16:creationId xmlns:a16="http://schemas.microsoft.com/office/drawing/2014/main" id="{00000000-0008-0000-08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1905000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590550</xdr:colOff>
      <xdr:row>10</xdr:row>
      <xdr:rowOff>9525</xdr:rowOff>
    </xdr:from>
    <xdr:to>
      <xdr:col>16</xdr:col>
      <xdr:colOff>381000</xdr:colOff>
      <xdr:row>19</xdr:row>
      <xdr:rowOff>76200</xdr:rowOff>
    </xdr:to>
    <xdr:pic>
      <xdr:nvPicPr>
        <xdr:cNvPr id="3180" name="Picture 2">
          <a:extLst>
            <a:ext uri="{FF2B5EF4-FFF2-40B4-BE49-F238E27FC236}">
              <a16:creationId xmlns:a16="http://schemas.microsoft.com/office/drawing/2014/main" id="{00000000-0008-0000-08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86800" y="1914525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13</xdr:col>
      <xdr:colOff>400050</xdr:colOff>
      <xdr:row>19</xdr:row>
      <xdr:rowOff>66675</xdr:rowOff>
    </xdr:to>
    <xdr:pic>
      <xdr:nvPicPr>
        <xdr:cNvPr id="4203" name="Picture 1">
          <a:extLst>
            <a:ext uri="{FF2B5EF4-FFF2-40B4-BE49-F238E27FC236}">
              <a16:creationId xmlns:a16="http://schemas.microsoft.com/office/drawing/2014/main" id="{00000000-0008-0000-0900-00006B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1905000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590550</xdr:colOff>
      <xdr:row>10</xdr:row>
      <xdr:rowOff>9525</xdr:rowOff>
    </xdr:from>
    <xdr:to>
      <xdr:col>16</xdr:col>
      <xdr:colOff>381000</xdr:colOff>
      <xdr:row>19</xdr:row>
      <xdr:rowOff>76200</xdr:rowOff>
    </xdr:to>
    <xdr:pic>
      <xdr:nvPicPr>
        <xdr:cNvPr id="4204" name="Picture 2">
          <a:extLst>
            <a:ext uri="{FF2B5EF4-FFF2-40B4-BE49-F238E27FC236}">
              <a16:creationId xmlns:a16="http://schemas.microsoft.com/office/drawing/2014/main" id="{00000000-0008-0000-0900-00006C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86800" y="1914525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13</xdr:col>
      <xdr:colOff>400050</xdr:colOff>
      <xdr:row>19</xdr:row>
      <xdr:rowOff>66675</xdr:rowOff>
    </xdr:to>
    <xdr:pic>
      <xdr:nvPicPr>
        <xdr:cNvPr id="5227" name="Picture 1">
          <a:extLst>
            <a:ext uri="{FF2B5EF4-FFF2-40B4-BE49-F238E27FC236}">
              <a16:creationId xmlns:a16="http://schemas.microsoft.com/office/drawing/2014/main" id="{00000000-0008-0000-0A00-00006B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1905000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590550</xdr:colOff>
      <xdr:row>10</xdr:row>
      <xdr:rowOff>9525</xdr:rowOff>
    </xdr:from>
    <xdr:to>
      <xdr:col>16</xdr:col>
      <xdr:colOff>381000</xdr:colOff>
      <xdr:row>19</xdr:row>
      <xdr:rowOff>76200</xdr:rowOff>
    </xdr:to>
    <xdr:pic>
      <xdr:nvPicPr>
        <xdr:cNvPr id="5228" name="Picture 2">
          <a:extLst>
            <a:ext uri="{FF2B5EF4-FFF2-40B4-BE49-F238E27FC236}">
              <a16:creationId xmlns:a16="http://schemas.microsoft.com/office/drawing/2014/main" id="{00000000-0008-0000-0A00-00006C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86800" y="1914525"/>
          <a:ext cx="1619250" cy="2162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MzSw74qJxa36VqF6?coh=178572&amp;entry=tt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8"/>
  <sheetViews>
    <sheetView tabSelected="1" view="pageBreakPreview" topLeftCell="A91" zoomScaleNormal="100" zoomScaleSheetLayoutView="100" zoomScalePageLayoutView="85" workbookViewId="0">
      <selection activeCell="P99" sqref="P99"/>
    </sheetView>
  </sheetViews>
  <sheetFormatPr defaultColWidth="9.109375" defaultRowHeight="14.4" x14ac:dyDescent="0.3"/>
  <cols>
    <col min="1" max="1" width="10.44140625" customWidth="1"/>
    <col min="2" max="2" width="12.5546875" customWidth="1"/>
    <col min="3" max="3" width="13.44140625" customWidth="1"/>
    <col min="4" max="4" width="7.33203125" customWidth="1"/>
    <col min="5" max="5" width="5.5546875" customWidth="1"/>
    <col min="6" max="6" width="9" customWidth="1"/>
    <col min="7" max="7" width="9.88671875" customWidth="1"/>
    <col min="8" max="8" width="8.88671875" customWidth="1"/>
    <col min="9" max="9" width="11.109375" customWidth="1"/>
    <col min="10" max="10" width="13.88671875" customWidth="1"/>
  </cols>
  <sheetData>
    <row r="1" spans="1:11" ht="43.95" customHeight="1" x14ac:dyDescent="0.3">
      <c r="A1" s="131" t="s">
        <v>279</v>
      </c>
      <c r="B1" s="132"/>
      <c r="C1" s="132"/>
      <c r="D1" s="132"/>
      <c r="E1" s="132"/>
      <c r="F1" s="132"/>
      <c r="G1" s="132"/>
      <c r="H1" s="132"/>
      <c r="I1" s="132"/>
      <c r="J1" s="133"/>
    </row>
    <row r="2" spans="1:11" x14ac:dyDescent="0.3">
      <c r="A2" s="194" t="s">
        <v>45</v>
      </c>
      <c r="B2" s="195"/>
      <c r="C2" s="195"/>
      <c r="D2" s="195"/>
      <c r="E2" s="195"/>
      <c r="F2" s="195"/>
      <c r="G2" s="195"/>
      <c r="H2" s="195"/>
      <c r="I2" s="195"/>
      <c r="J2" s="196"/>
      <c r="K2" s="47"/>
    </row>
    <row r="3" spans="1:11" x14ac:dyDescent="0.3">
      <c r="A3" s="151" t="s">
        <v>0</v>
      </c>
      <c r="B3" s="125"/>
      <c r="C3" s="125"/>
      <c r="D3" s="125"/>
      <c r="E3" s="126"/>
      <c r="F3" s="234" t="str">
        <f ca="1">TEXT(TODAY(),"DD/MM/YYYY")</f>
        <v>19/08/2025</v>
      </c>
      <c r="G3" s="234"/>
      <c r="H3" s="234"/>
      <c r="I3" s="234"/>
      <c r="J3" s="234"/>
      <c r="K3" s="47"/>
    </row>
    <row r="4" spans="1:11" x14ac:dyDescent="0.3">
      <c r="A4" s="151" t="s">
        <v>1</v>
      </c>
      <c r="B4" s="125"/>
      <c r="C4" s="125"/>
      <c r="D4" s="125"/>
      <c r="E4" s="126"/>
      <c r="F4" s="158" t="s">
        <v>181</v>
      </c>
      <c r="G4" s="158"/>
      <c r="H4" s="158"/>
      <c r="I4" s="158"/>
      <c r="J4" s="158"/>
      <c r="K4" s="47"/>
    </row>
    <row r="5" spans="1:11" x14ac:dyDescent="0.3">
      <c r="A5" s="151" t="s">
        <v>2</v>
      </c>
      <c r="B5" s="125"/>
      <c r="C5" s="125"/>
      <c r="D5" s="125"/>
      <c r="E5" s="126"/>
      <c r="F5" s="234">
        <v>45883</v>
      </c>
      <c r="G5" s="234"/>
      <c r="H5" s="234"/>
      <c r="I5" s="234"/>
      <c r="J5" s="234"/>
      <c r="K5" s="47"/>
    </row>
    <row r="6" spans="1:11" ht="16.5" customHeight="1" x14ac:dyDescent="0.3">
      <c r="A6" s="122" t="s">
        <v>210</v>
      </c>
      <c r="B6" s="125"/>
      <c r="C6" s="125"/>
      <c r="D6" s="125"/>
      <c r="E6" s="126"/>
      <c r="F6" s="179" t="s">
        <v>211</v>
      </c>
      <c r="G6" s="179"/>
      <c r="H6" s="179"/>
      <c r="I6" s="179"/>
      <c r="J6" s="179"/>
      <c r="K6" s="47"/>
    </row>
    <row r="7" spans="1:11" ht="15" customHeight="1" x14ac:dyDescent="0.3">
      <c r="A7" s="151" t="s">
        <v>3</v>
      </c>
      <c r="B7" s="125"/>
      <c r="C7" s="125"/>
      <c r="D7" s="125"/>
      <c r="E7" s="126"/>
      <c r="F7" s="179" t="s">
        <v>186</v>
      </c>
      <c r="G7" s="179"/>
      <c r="H7" s="179"/>
      <c r="I7" s="179"/>
      <c r="J7" s="179"/>
      <c r="K7" s="47"/>
    </row>
    <row r="8" spans="1:11" x14ac:dyDescent="0.3">
      <c r="A8" s="151" t="s">
        <v>4</v>
      </c>
      <c r="B8" s="125"/>
      <c r="C8" s="125"/>
      <c r="D8" s="125"/>
      <c r="E8" s="126"/>
      <c r="F8" s="235" t="s">
        <v>209</v>
      </c>
      <c r="G8" s="235"/>
      <c r="H8" s="235"/>
      <c r="I8" s="235"/>
      <c r="J8" s="235"/>
      <c r="K8" s="47"/>
    </row>
    <row r="9" spans="1:11" x14ac:dyDescent="0.3">
      <c r="A9" s="122" t="s">
        <v>107</v>
      </c>
      <c r="B9" s="125"/>
      <c r="C9" s="125"/>
      <c r="D9" s="125"/>
      <c r="E9" s="126"/>
      <c r="F9" s="158">
        <v>2506521862</v>
      </c>
      <c r="G9" s="158"/>
      <c r="H9" s="158"/>
      <c r="I9" s="158"/>
      <c r="J9" s="158"/>
      <c r="K9" s="47"/>
    </row>
    <row r="10" spans="1:11" ht="16.5" customHeight="1" x14ac:dyDescent="0.3">
      <c r="A10" s="225" t="s">
        <v>108</v>
      </c>
      <c r="B10" s="226"/>
      <c r="C10" s="226"/>
      <c r="D10" s="226"/>
      <c r="E10" s="227"/>
      <c r="F10" s="224" t="s">
        <v>191</v>
      </c>
      <c r="G10" s="224"/>
      <c r="H10" s="48" t="s">
        <v>192</v>
      </c>
      <c r="I10" s="224" t="s">
        <v>193</v>
      </c>
      <c r="J10" s="224"/>
      <c r="K10" s="47"/>
    </row>
    <row r="11" spans="1:11" ht="174" customHeight="1" x14ac:dyDescent="0.3">
      <c r="A11" s="228"/>
      <c r="B11" s="229"/>
      <c r="C11" s="229"/>
      <c r="D11" s="229"/>
      <c r="E11" s="230"/>
      <c r="F11" s="159" t="s">
        <v>194</v>
      </c>
      <c r="G11" s="223"/>
      <c r="H11" s="43" t="s">
        <v>195</v>
      </c>
      <c r="I11" s="159" t="s">
        <v>196</v>
      </c>
      <c r="J11" s="223"/>
    </row>
    <row r="12" spans="1:11" x14ac:dyDescent="0.3">
      <c r="A12" s="151" t="s">
        <v>5</v>
      </c>
      <c r="B12" s="125"/>
      <c r="C12" s="125"/>
      <c r="D12" s="125"/>
      <c r="E12" s="126"/>
      <c r="F12" s="155" t="s">
        <v>197</v>
      </c>
      <c r="G12" s="156"/>
      <c r="H12" s="156"/>
      <c r="I12" s="156"/>
      <c r="J12" s="157"/>
    </row>
    <row r="13" spans="1:11" x14ac:dyDescent="0.3">
      <c r="A13" s="122" t="s">
        <v>144</v>
      </c>
      <c r="B13" s="123"/>
      <c r="C13" s="123"/>
      <c r="D13" s="123"/>
      <c r="E13" s="124"/>
      <c r="F13" s="122" t="s">
        <v>146</v>
      </c>
      <c r="G13" s="123"/>
      <c r="H13" s="123"/>
      <c r="I13" s="123"/>
      <c r="J13" s="124"/>
    </row>
    <row r="14" spans="1:11" x14ac:dyDescent="0.3">
      <c r="A14" s="158" t="s">
        <v>64</v>
      </c>
      <c r="B14" s="158"/>
      <c r="C14" s="119" t="s">
        <v>187</v>
      </c>
      <c r="D14" s="120"/>
      <c r="E14" s="120"/>
      <c r="F14" s="120"/>
      <c r="G14" s="120"/>
      <c r="H14" s="120"/>
      <c r="I14" s="120"/>
      <c r="J14" s="121"/>
    </row>
    <row r="15" spans="1:11" x14ac:dyDescent="0.3">
      <c r="A15" s="41" t="s">
        <v>109</v>
      </c>
      <c r="B15" s="122" t="s">
        <v>51</v>
      </c>
      <c r="C15" s="123"/>
      <c r="D15" s="124"/>
      <c r="E15" s="214" t="s">
        <v>147</v>
      </c>
      <c r="F15" s="215"/>
      <c r="G15" s="49">
        <v>101</v>
      </c>
      <c r="H15" s="3" t="s">
        <v>65</v>
      </c>
      <c r="I15" s="216" t="s">
        <v>148</v>
      </c>
      <c r="J15" s="217"/>
    </row>
    <row r="16" spans="1:11" x14ac:dyDescent="0.3">
      <c r="A16" s="1" t="s">
        <v>6</v>
      </c>
      <c r="B16" s="122" t="s">
        <v>149</v>
      </c>
      <c r="C16" s="123"/>
      <c r="D16" s="123"/>
      <c r="E16" s="124"/>
      <c r="F16" s="2" t="s">
        <v>66</v>
      </c>
      <c r="G16" s="122" t="s">
        <v>150</v>
      </c>
      <c r="H16" s="123"/>
      <c r="I16" s="123"/>
      <c r="J16" s="124"/>
    </row>
    <row r="17" spans="1:10" x14ac:dyDescent="0.3">
      <c r="A17" s="1" t="s">
        <v>7</v>
      </c>
      <c r="B17" s="122" t="s">
        <v>150</v>
      </c>
      <c r="C17" s="123"/>
      <c r="D17" s="123"/>
      <c r="E17" s="124"/>
      <c r="F17" s="2" t="s">
        <v>67</v>
      </c>
      <c r="G17" s="122">
        <v>401404</v>
      </c>
      <c r="H17" s="123"/>
      <c r="I17" s="123"/>
      <c r="J17" s="124"/>
    </row>
    <row r="18" spans="1:10" ht="32.25" customHeight="1" x14ac:dyDescent="0.3">
      <c r="A18" s="158" t="s">
        <v>68</v>
      </c>
      <c r="B18" s="158"/>
      <c r="C18" s="158" t="s">
        <v>151</v>
      </c>
      <c r="D18" s="158"/>
      <c r="E18" s="158"/>
      <c r="F18" s="179" t="s">
        <v>53</v>
      </c>
      <c r="G18" s="179"/>
      <c r="H18" s="120" t="s">
        <v>273</v>
      </c>
      <c r="I18" s="120"/>
      <c r="J18" s="121"/>
    </row>
    <row r="19" spans="1:10" ht="15" customHeight="1" x14ac:dyDescent="0.3">
      <c r="A19" s="168" t="s">
        <v>110</v>
      </c>
      <c r="B19" s="174"/>
      <c r="C19" s="174"/>
      <c r="D19" s="174"/>
      <c r="E19" s="175"/>
      <c r="F19" s="225" t="s">
        <v>62</v>
      </c>
      <c r="G19" s="226"/>
      <c r="H19" s="226"/>
      <c r="I19" s="226"/>
      <c r="J19" s="227"/>
    </row>
    <row r="20" spans="1:10" ht="31.5" customHeight="1" x14ac:dyDescent="0.3">
      <c r="A20" s="176"/>
      <c r="B20" s="177"/>
      <c r="C20" s="177"/>
      <c r="D20" s="177"/>
      <c r="E20" s="178"/>
      <c r="F20" s="228"/>
      <c r="G20" s="229"/>
      <c r="H20" s="229"/>
      <c r="I20" s="229"/>
      <c r="J20" s="230"/>
    </row>
    <row r="21" spans="1:10" ht="15" customHeight="1" x14ac:dyDescent="0.3">
      <c r="A21" s="168" t="s">
        <v>111</v>
      </c>
      <c r="B21" s="169"/>
      <c r="C21" s="169"/>
      <c r="D21" s="169"/>
      <c r="E21" s="170"/>
      <c r="F21" s="168" t="s">
        <v>47</v>
      </c>
      <c r="G21" s="174"/>
      <c r="H21" s="174"/>
      <c r="I21" s="174"/>
      <c r="J21" s="175"/>
    </row>
    <row r="22" spans="1:10" x14ac:dyDescent="0.3">
      <c r="A22" s="171"/>
      <c r="B22" s="172"/>
      <c r="C22" s="172"/>
      <c r="D22" s="172"/>
      <c r="E22" s="173"/>
      <c r="F22" s="176"/>
      <c r="G22" s="177"/>
      <c r="H22" s="177"/>
      <c r="I22" s="177"/>
      <c r="J22" s="178"/>
    </row>
    <row r="23" spans="1:10" x14ac:dyDescent="0.3">
      <c r="A23" s="151" t="s">
        <v>8</v>
      </c>
      <c r="B23" s="125"/>
      <c r="C23" s="125"/>
      <c r="D23" s="125"/>
      <c r="E23" s="126"/>
      <c r="F23" s="236" t="s">
        <v>142</v>
      </c>
      <c r="G23" s="237"/>
      <c r="H23" s="237"/>
      <c r="I23" s="237"/>
      <c r="J23" s="238"/>
    </row>
    <row r="24" spans="1:10" x14ac:dyDescent="0.3">
      <c r="A24" s="151" t="s">
        <v>9</v>
      </c>
      <c r="B24" s="125"/>
      <c r="C24" s="125"/>
      <c r="D24" s="125"/>
      <c r="E24" s="126"/>
      <c r="F24" s="231" t="s">
        <v>54</v>
      </c>
      <c r="G24" s="232"/>
      <c r="H24" s="232"/>
      <c r="I24" s="232"/>
      <c r="J24" s="233"/>
    </row>
    <row r="25" spans="1:10" x14ac:dyDescent="0.3">
      <c r="A25" s="151" t="s">
        <v>10</v>
      </c>
      <c r="B25" s="125"/>
      <c r="C25" s="125"/>
      <c r="D25" s="125"/>
      <c r="E25" s="126"/>
      <c r="F25" s="236" t="s">
        <v>143</v>
      </c>
      <c r="G25" s="237"/>
      <c r="H25" s="237"/>
      <c r="I25" s="237"/>
      <c r="J25" s="238"/>
    </row>
    <row r="26" spans="1:10" x14ac:dyDescent="0.3">
      <c r="A26" s="151" t="s">
        <v>28</v>
      </c>
      <c r="B26" s="125"/>
      <c r="C26" s="125"/>
      <c r="D26" s="125"/>
      <c r="E26" s="126"/>
      <c r="F26" s="231" t="s">
        <v>69</v>
      </c>
      <c r="G26" s="198"/>
      <c r="H26" s="198"/>
      <c r="I26" s="198"/>
      <c r="J26" s="199"/>
    </row>
    <row r="27" spans="1:10" s="50" customFormat="1" x14ac:dyDescent="0.3">
      <c r="A27" s="140" t="s">
        <v>11</v>
      </c>
      <c r="B27" s="141"/>
      <c r="C27" s="140" t="s">
        <v>12</v>
      </c>
      <c r="D27" s="141"/>
      <c r="E27" s="140" t="s">
        <v>13</v>
      </c>
      <c r="F27" s="141"/>
      <c r="G27" s="140" t="s">
        <v>52</v>
      </c>
      <c r="H27" s="141"/>
      <c r="I27" s="140" t="s">
        <v>14</v>
      </c>
      <c r="J27" s="141"/>
    </row>
    <row r="28" spans="1:10" x14ac:dyDescent="0.3">
      <c r="A28" s="140" t="s">
        <v>15</v>
      </c>
      <c r="B28" s="141"/>
      <c r="C28" s="140" t="s">
        <v>51</v>
      </c>
      <c r="D28" s="141"/>
      <c r="E28" s="140" t="s">
        <v>51</v>
      </c>
      <c r="F28" s="141"/>
      <c r="G28" s="140" t="s">
        <v>51</v>
      </c>
      <c r="H28" s="141"/>
      <c r="I28" s="140" t="s">
        <v>51</v>
      </c>
      <c r="J28" s="141"/>
    </row>
    <row r="29" spans="1:10" x14ac:dyDescent="0.3">
      <c r="A29" s="239" t="s">
        <v>16</v>
      </c>
      <c r="B29" s="240"/>
      <c r="C29" s="135" t="s">
        <v>6</v>
      </c>
      <c r="D29" s="136"/>
      <c r="E29" s="135" t="s">
        <v>203</v>
      </c>
      <c r="F29" s="136"/>
      <c r="G29" s="135" t="s">
        <v>203</v>
      </c>
      <c r="H29" s="136"/>
      <c r="I29" s="135" t="s">
        <v>203</v>
      </c>
      <c r="J29" s="136"/>
    </row>
    <row r="30" spans="1:10" x14ac:dyDescent="0.3">
      <c r="A30" s="122" t="s">
        <v>61</v>
      </c>
      <c r="B30" s="123"/>
      <c r="C30" s="123"/>
      <c r="D30" s="123"/>
      <c r="E30" s="123"/>
      <c r="F30" s="123"/>
      <c r="G30" s="123"/>
      <c r="H30" s="123"/>
      <c r="I30" s="123"/>
      <c r="J30" s="124"/>
    </row>
    <row r="31" spans="1:10" x14ac:dyDescent="0.3">
      <c r="A31" s="122" t="s">
        <v>139</v>
      </c>
      <c r="B31" s="123"/>
      <c r="C31" s="123"/>
      <c r="D31" s="123"/>
      <c r="E31" s="123"/>
      <c r="F31" s="123"/>
      <c r="G31" s="123"/>
      <c r="H31" s="123"/>
      <c r="I31" s="123"/>
      <c r="J31" s="124"/>
    </row>
    <row r="32" spans="1:10" x14ac:dyDescent="0.3">
      <c r="A32" s="122" t="s">
        <v>42</v>
      </c>
      <c r="B32" s="124"/>
      <c r="C32" s="160" t="s">
        <v>280</v>
      </c>
      <c r="D32" s="161"/>
      <c r="E32" s="161"/>
      <c r="F32" s="161"/>
      <c r="G32" s="161"/>
      <c r="H32" s="161"/>
      <c r="I32" s="161"/>
      <c r="J32" s="162"/>
    </row>
    <row r="33" spans="1:10" x14ac:dyDescent="0.3">
      <c r="A33" s="122" t="s">
        <v>277</v>
      </c>
      <c r="B33" s="124"/>
      <c r="C33" s="167" t="s">
        <v>278</v>
      </c>
      <c r="D33" s="123"/>
      <c r="E33" s="123"/>
      <c r="F33" s="123"/>
      <c r="G33" s="123"/>
      <c r="H33" s="123"/>
      <c r="I33" s="123"/>
      <c r="J33" s="124"/>
    </row>
    <row r="34" spans="1:10" x14ac:dyDescent="0.3">
      <c r="A34" s="160" t="s">
        <v>17</v>
      </c>
      <c r="B34" s="161"/>
      <c r="C34" s="161"/>
      <c r="D34" s="161"/>
      <c r="E34" s="161"/>
      <c r="F34" s="161"/>
      <c r="G34" s="161"/>
      <c r="H34" s="161"/>
      <c r="I34" s="161"/>
      <c r="J34" s="162"/>
    </row>
    <row r="35" spans="1:10" ht="15" customHeight="1" x14ac:dyDescent="0.3">
      <c r="A35" s="142" t="s">
        <v>152</v>
      </c>
      <c r="B35" s="143"/>
      <c r="C35" s="143"/>
      <c r="D35" s="143"/>
      <c r="E35" s="143"/>
      <c r="F35" s="143"/>
      <c r="G35" s="143"/>
      <c r="H35" s="143"/>
      <c r="I35" s="143"/>
      <c r="J35" s="144"/>
    </row>
    <row r="36" spans="1:10" x14ac:dyDescent="0.3">
      <c r="A36" s="145"/>
      <c r="B36" s="146"/>
      <c r="C36" s="146"/>
      <c r="D36" s="146"/>
      <c r="E36" s="146"/>
      <c r="F36" s="146"/>
      <c r="G36" s="146"/>
      <c r="H36" s="146"/>
      <c r="I36" s="146"/>
      <c r="J36" s="147"/>
    </row>
    <row r="37" spans="1:10" ht="16.5" customHeight="1" x14ac:dyDescent="0.3">
      <c r="A37" s="122" t="s">
        <v>70</v>
      </c>
      <c r="B37" s="125"/>
      <c r="C37" s="125"/>
      <c r="D37" s="125"/>
      <c r="E37" s="126"/>
      <c r="F37" s="220">
        <v>13286.02</v>
      </c>
      <c r="G37" s="221"/>
      <c r="H37" s="221"/>
      <c r="I37" s="221"/>
      <c r="J37" s="222"/>
    </row>
    <row r="38" spans="1:10" x14ac:dyDescent="0.3">
      <c r="A38" s="151" t="s">
        <v>18</v>
      </c>
      <c r="B38" s="125"/>
      <c r="C38" s="125"/>
      <c r="D38" s="125"/>
      <c r="E38" s="126"/>
      <c r="F38" s="137">
        <v>0.9</v>
      </c>
      <c r="G38" s="138"/>
      <c r="H38" s="138"/>
      <c r="I38" s="138"/>
      <c r="J38" s="139"/>
    </row>
    <row r="39" spans="1:10" x14ac:dyDescent="0.3">
      <c r="A39" s="151" t="s">
        <v>19</v>
      </c>
      <c r="B39" s="125"/>
      <c r="C39" s="125"/>
      <c r="D39" s="125"/>
      <c r="E39" s="126"/>
      <c r="F39" s="137">
        <f>F41/F37-F38</f>
        <v>0.17999912690181097</v>
      </c>
      <c r="G39" s="138"/>
      <c r="H39" s="138"/>
      <c r="I39" s="138"/>
      <c r="J39" s="139"/>
    </row>
    <row r="40" spans="1:10" x14ac:dyDescent="0.3">
      <c r="A40" s="151" t="s">
        <v>20</v>
      </c>
      <c r="B40" s="125"/>
      <c r="C40" s="125"/>
      <c r="D40" s="125"/>
      <c r="E40" s="126"/>
      <c r="F40" s="137">
        <f>F38+F39</f>
        <v>1.079999126901811</v>
      </c>
      <c r="G40" s="138"/>
      <c r="H40" s="138"/>
      <c r="I40" s="138"/>
      <c r="J40" s="139"/>
    </row>
    <row r="41" spans="1:10" x14ac:dyDescent="0.3">
      <c r="A41" s="122" t="s">
        <v>71</v>
      </c>
      <c r="B41" s="125"/>
      <c r="C41" s="125"/>
      <c r="D41" s="125"/>
      <c r="E41" s="126"/>
      <c r="F41" s="164">
        <v>14348.89</v>
      </c>
      <c r="G41" s="165"/>
      <c r="H41" s="165"/>
      <c r="I41" s="165"/>
      <c r="J41" s="166"/>
    </row>
    <row r="42" spans="1:10" x14ac:dyDescent="0.3">
      <c r="A42" s="151" t="s">
        <v>21</v>
      </c>
      <c r="B42" s="125"/>
      <c r="C42" s="125"/>
      <c r="D42" s="125"/>
      <c r="E42" s="126"/>
      <c r="F42" s="152" t="s">
        <v>206</v>
      </c>
      <c r="G42" s="153"/>
      <c r="H42" s="153"/>
      <c r="I42" s="153"/>
      <c r="J42" s="154"/>
    </row>
    <row r="43" spans="1:10" x14ac:dyDescent="0.3">
      <c r="A43" s="160" t="s">
        <v>73</v>
      </c>
      <c r="B43" s="161"/>
      <c r="C43" s="161"/>
      <c r="D43" s="161"/>
      <c r="E43" s="161"/>
      <c r="F43" s="161"/>
      <c r="G43" s="161"/>
      <c r="H43" s="161"/>
      <c r="I43" s="161"/>
      <c r="J43" s="162"/>
    </row>
    <row r="44" spans="1:10" ht="16.5" customHeight="1" x14ac:dyDescent="0.3">
      <c r="A44" s="119" t="s">
        <v>72</v>
      </c>
      <c r="B44" s="121"/>
      <c r="C44" s="122" t="s">
        <v>153</v>
      </c>
      <c r="D44" s="123"/>
      <c r="E44" s="123"/>
      <c r="F44" s="124"/>
      <c r="G44" s="42" t="s">
        <v>63</v>
      </c>
      <c r="H44" s="122" t="s">
        <v>154</v>
      </c>
      <c r="I44" s="123"/>
      <c r="J44" s="124"/>
    </row>
    <row r="45" spans="1:10" x14ac:dyDescent="0.3">
      <c r="A45" s="119" t="s">
        <v>74</v>
      </c>
      <c r="B45" s="121"/>
      <c r="C45" s="122" t="str">
        <f>C44</f>
        <v>BS/BP/KAMARE/PALGHAR/GK-101/335</v>
      </c>
      <c r="D45" s="123"/>
      <c r="E45" s="123"/>
      <c r="F45" s="124"/>
      <c r="G45" s="42" t="s">
        <v>63</v>
      </c>
      <c r="H45" s="122" t="str">
        <f>H44</f>
        <v>03/03/2016.</v>
      </c>
      <c r="I45" s="123" t="s">
        <v>48</v>
      </c>
      <c r="J45" s="124"/>
    </row>
    <row r="46" spans="1:10" ht="79.5" customHeight="1" x14ac:dyDescent="0.3">
      <c r="A46" s="119" t="s">
        <v>155</v>
      </c>
      <c r="B46" s="121"/>
      <c r="C46" s="155" t="s">
        <v>268</v>
      </c>
      <c r="D46" s="156"/>
      <c r="E46" s="156"/>
      <c r="F46" s="157"/>
      <c r="G46" s="2" t="s">
        <v>63</v>
      </c>
      <c r="H46" s="122" t="s">
        <v>156</v>
      </c>
      <c r="I46" s="123"/>
      <c r="J46" s="124"/>
    </row>
    <row r="47" spans="1:10" x14ac:dyDescent="0.3">
      <c r="A47" s="122" t="s">
        <v>157</v>
      </c>
      <c r="B47" s="123"/>
      <c r="C47" s="123"/>
      <c r="D47" s="123"/>
      <c r="E47" s="124"/>
      <c r="F47" s="122" t="s">
        <v>158</v>
      </c>
      <c r="G47" s="123"/>
      <c r="H47" s="124"/>
      <c r="I47" s="122" t="s">
        <v>55</v>
      </c>
      <c r="J47" s="124"/>
    </row>
    <row r="48" spans="1:10" x14ac:dyDescent="0.3">
      <c r="A48" s="158" t="s">
        <v>79</v>
      </c>
      <c r="B48" s="158"/>
      <c r="C48" s="158"/>
      <c r="D48" s="163" t="str">
        <f>H46</f>
        <v>26/08/2016.</v>
      </c>
      <c r="E48" s="163"/>
      <c r="F48" s="122" t="s">
        <v>75</v>
      </c>
      <c r="G48" s="134"/>
      <c r="H48" s="218">
        <v>45321</v>
      </c>
      <c r="I48" s="123"/>
      <c r="J48" s="124"/>
    </row>
    <row r="49" spans="1:13" x14ac:dyDescent="0.3">
      <c r="A49" s="148" t="s">
        <v>22</v>
      </c>
      <c r="B49" s="149"/>
      <c r="C49" s="149"/>
      <c r="D49" s="149"/>
      <c r="E49" s="149"/>
      <c r="F49" s="149"/>
      <c r="G49" s="149"/>
      <c r="H49" s="149"/>
      <c r="I49" s="149"/>
      <c r="J49" s="150"/>
    </row>
    <row r="50" spans="1:13" ht="30.75" customHeight="1" x14ac:dyDescent="0.3">
      <c r="A50" s="122" t="s">
        <v>106</v>
      </c>
      <c r="B50" s="123"/>
      <c r="C50" s="124"/>
      <c r="D50" s="135">
        <f>F41</f>
        <v>14348.89</v>
      </c>
      <c r="E50" s="136"/>
      <c r="F50" s="219" t="s">
        <v>140</v>
      </c>
      <c r="G50" s="219"/>
      <c r="H50" s="219"/>
      <c r="I50" s="159" t="s">
        <v>207</v>
      </c>
      <c r="J50" s="159"/>
    </row>
    <row r="51" spans="1:13" s="51" customFormat="1" ht="60.6" customHeight="1" x14ac:dyDescent="0.3">
      <c r="A51" s="140" t="s">
        <v>76</v>
      </c>
      <c r="B51" s="141"/>
      <c r="C51" s="155" t="s">
        <v>166</v>
      </c>
      <c r="D51" s="156"/>
      <c r="E51" s="156"/>
      <c r="F51" s="156"/>
      <c r="G51" s="157"/>
      <c r="H51" s="155" t="s">
        <v>58</v>
      </c>
      <c r="I51" s="156"/>
      <c r="J51" s="157"/>
    </row>
    <row r="52" spans="1:13" ht="33" customHeight="1" x14ac:dyDescent="0.3">
      <c r="A52" s="122" t="s">
        <v>49</v>
      </c>
      <c r="B52" s="123"/>
      <c r="C52" s="123"/>
      <c r="D52" s="123"/>
      <c r="E52" s="124"/>
      <c r="F52" s="119" t="s">
        <v>56</v>
      </c>
      <c r="G52" s="120"/>
      <c r="H52" s="120"/>
      <c r="I52" s="120"/>
      <c r="J52" s="121"/>
    </row>
    <row r="53" spans="1:13" ht="15" thickBot="1" x14ac:dyDescent="0.35">
      <c r="A53" s="122" t="s">
        <v>57</v>
      </c>
      <c r="B53" s="123"/>
      <c r="C53" s="123"/>
      <c r="D53" s="123"/>
      <c r="E53" s="123"/>
      <c r="F53" s="123"/>
      <c r="G53" s="123"/>
      <c r="H53" s="123"/>
      <c r="I53" s="123"/>
      <c r="J53" s="124"/>
    </row>
    <row r="54" spans="1:13" s="51" customFormat="1" ht="15.6" x14ac:dyDescent="0.3">
      <c r="A54" s="94" t="s">
        <v>240</v>
      </c>
      <c r="B54" s="95"/>
      <c r="C54" s="96" t="s">
        <v>269</v>
      </c>
      <c r="D54" s="96"/>
      <c r="E54" s="96"/>
      <c r="F54" s="96"/>
      <c r="G54" s="96"/>
      <c r="H54" s="96"/>
      <c r="I54" s="96"/>
      <c r="J54" s="97"/>
      <c r="K54" s="36" t="str">
        <f ca="1">(IF(C58=0,"Work not yet Started.",IF(D58=25%,"Piling work in process",IF(D58=50%,"Excavation work in process",IF(D58=100%,"Excavation work completed, ","0")))&amp;(IF(C59=0%,"",IF(C59=M60,"Footing work is process",IF(C59=M61,"Footing work Completed",IF(C59=M62,"1st Basement Completed",IF(C59=M63,"1st &amp; 2nd Basement Completed",IF(C59=M64,"1st to 3rd Basement Completed",IF(C59=M65,"1st to 4th Basement Completed",IF(C59=M66,"Plinth work is process",IF(C59=M67,"Plinth work completed","0")))))))))))&amp;(IF(C60&gt;0,", RCC upto "&amp;C60&amp;" Slab completed",""))&amp;(IF(C61&gt;0,", Brickwork upto "&amp;C61&amp;" Floor completed"," "))&amp;(IF(C62&gt;0,", Internal Plaster upto "&amp;C62&amp;" Floor completed"," "))&amp;(IF(C63&gt;0,", External Plaster upto "&amp;C63&amp;" Floor completed"," "))&amp;(IF(C64&gt;0,", Flooring upto "&amp;C64&amp;" Floor completed"," "))&amp;(IF(C65&gt;0,", Painting upto "&amp;C65&amp;" Floor completed"," "))&amp;(IF(C66&gt;0,", Finishing upto "&amp;C66&amp;" Floor completed"," ")))</f>
        <v xml:space="preserve">Excavation work in process      </v>
      </c>
      <c r="L54" s="36"/>
      <c r="M54" s="52"/>
    </row>
    <row r="55" spans="1:13" s="51" customFormat="1" ht="15.6" x14ac:dyDescent="0.3">
      <c r="A55" s="46" t="s">
        <v>241</v>
      </c>
      <c r="B55" s="44">
        <v>0</v>
      </c>
      <c r="C55" s="44" t="s">
        <v>242</v>
      </c>
      <c r="D55" s="44">
        <v>1</v>
      </c>
      <c r="E55" s="44" t="s">
        <v>243</v>
      </c>
      <c r="F55" s="87">
        <v>0</v>
      </c>
      <c r="G55" s="87"/>
      <c r="H55" s="44" t="s">
        <v>244</v>
      </c>
      <c r="I55" s="87">
        <f ca="1">--TRIM(RIGHT(SUBSTITUTE(LEFT(C54,_xlfn.AGGREGATE(16,6,FIND({0,1,2,3,4,5,6,7,8,9},C54,ROW(INDIRECT("1:"&amp;LEN(C54)))),1))," ",REPT(" ",LEN(C54))),LEN(C54)))</f>
        <v>4</v>
      </c>
      <c r="J55" s="98"/>
      <c r="K55" s="37" t="s">
        <v>245</v>
      </c>
      <c r="L55" s="37"/>
      <c r="M55" s="53"/>
    </row>
    <row r="56" spans="1:13" s="51" customFormat="1" ht="15.75" customHeight="1" x14ac:dyDescent="0.3">
      <c r="A56" s="99" t="s">
        <v>246</v>
      </c>
      <c r="B56" s="100"/>
      <c r="C56" s="101" t="str">
        <f ca="1">K54</f>
        <v xml:space="preserve">Excavation work in process      </v>
      </c>
      <c r="D56" s="101"/>
      <c r="E56" s="101"/>
      <c r="F56" s="101"/>
      <c r="G56" s="101"/>
      <c r="H56" s="101"/>
      <c r="I56" s="101"/>
      <c r="J56" s="102"/>
      <c r="K56" s="37" t="s">
        <v>247</v>
      </c>
      <c r="L56" s="37"/>
      <c r="M56" s="53"/>
    </row>
    <row r="57" spans="1:13" s="51" customFormat="1" ht="15.6" x14ac:dyDescent="0.3">
      <c r="A57" s="105" t="s">
        <v>34</v>
      </c>
      <c r="B57" s="103"/>
      <c r="C57" s="45" t="s">
        <v>248</v>
      </c>
      <c r="D57" s="103" t="s">
        <v>249</v>
      </c>
      <c r="E57" s="103"/>
      <c r="F57" s="103" t="s">
        <v>250</v>
      </c>
      <c r="G57" s="103"/>
      <c r="H57" s="103" t="s">
        <v>251</v>
      </c>
      <c r="I57" s="103"/>
      <c r="J57" s="104"/>
      <c r="K57" s="38" t="s">
        <v>252</v>
      </c>
      <c r="L57" s="54"/>
      <c r="M57" s="55">
        <f ca="1">I55*25%</f>
        <v>1</v>
      </c>
    </row>
    <row r="58" spans="1:13" s="51" customFormat="1" ht="15.6" x14ac:dyDescent="0.3">
      <c r="A58" s="105" t="s">
        <v>253</v>
      </c>
      <c r="B58" s="103"/>
      <c r="C58" s="56">
        <v>2</v>
      </c>
      <c r="D58" s="88">
        <f ca="1">((100/I55)*C58)/100</f>
        <v>0.5</v>
      </c>
      <c r="E58" s="88"/>
      <c r="F58" s="88">
        <f ca="1">(IF(C56=K55,"100%",IF(C56=K56,"100%",(((C59/I55*10)+(40/(D55+F55+I55)*C60)+(7.5/(I55)*C61)+(7.5/(I55)*C62)+(10/I55*C63)+(10/I55*C64)+(5/I55*C65)+(5/I55*C66)+(5/I55*C67))/100))))</f>
        <v>0</v>
      </c>
      <c r="G58" s="88"/>
      <c r="H58" s="88">
        <f ca="1">((((C58/I55)*20)+((C59/I55)*25)+(30/(I55+F55+D55)*C60)+(5/I55*C61)+(5/I55*C62)+(5/I55*C63)+(5/I55*C64)+(0/I55*C65)+(0/I55*C66)+(5/I55*C67))/100)</f>
        <v>0.1</v>
      </c>
      <c r="I58" s="88"/>
      <c r="J58" s="90"/>
      <c r="K58" s="38" t="s">
        <v>233</v>
      </c>
      <c r="L58" s="57"/>
      <c r="M58" s="58">
        <f ca="1">I55*50%</f>
        <v>2</v>
      </c>
    </row>
    <row r="59" spans="1:13" s="51" customFormat="1" ht="15.6" x14ac:dyDescent="0.3">
      <c r="A59" s="105" t="s">
        <v>35</v>
      </c>
      <c r="B59" s="103"/>
      <c r="C59" s="59">
        <v>0</v>
      </c>
      <c r="D59" s="88">
        <f ca="1">((100/I55)*C59)/100</f>
        <v>0</v>
      </c>
      <c r="E59" s="88"/>
      <c r="F59" s="88"/>
      <c r="G59" s="88"/>
      <c r="H59" s="88"/>
      <c r="I59" s="88"/>
      <c r="J59" s="90"/>
      <c r="K59" s="38" t="s">
        <v>234</v>
      </c>
      <c r="L59" s="57"/>
      <c r="M59" s="58">
        <f ca="1">I55</f>
        <v>4</v>
      </c>
    </row>
    <row r="60" spans="1:13" s="51" customFormat="1" ht="15.6" x14ac:dyDescent="0.3">
      <c r="A60" s="105" t="s">
        <v>254</v>
      </c>
      <c r="B60" s="103"/>
      <c r="C60" s="59">
        <v>0</v>
      </c>
      <c r="D60" s="88">
        <f ca="1">((100/(D55+F55+I55))*C60)/100</f>
        <v>0</v>
      </c>
      <c r="E60" s="88"/>
      <c r="F60" s="88"/>
      <c r="G60" s="88"/>
      <c r="H60" s="88"/>
      <c r="I60" s="88"/>
      <c r="J60" s="90"/>
      <c r="K60" s="38" t="s">
        <v>235</v>
      </c>
      <c r="L60" s="57"/>
      <c r="M60" s="60">
        <f ca="1">(IF(B55=0,I55/4,(I55/(B55+4))))</f>
        <v>1</v>
      </c>
    </row>
    <row r="61" spans="1:13" s="51" customFormat="1" ht="15.6" x14ac:dyDescent="0.3">
      <c r="A61" s="105" t="s">
        <v>255</v>
      </c>
      <c r="B61" s="103" t="s">
        <v>256</v>
      </c>
      <c r="C61" s="56">
        <v>0</v>
      </c>
      <c r="D61" s="88">
        <f ca="1">((100/I55)*C61)/100</f>
        <v>0</v>
      </c>
      <c r="E61" s="88"/>
      <c r="F61" s="88"/>
      <c r="G61" s="88"/>
      <c r="H61" s="88"/>
      <c r="I61" s="88"/>
      <c r="J61" s="90"/>
      <c r="K61" s="38" t="s">
        <v>236</v>
      </c>
      <c r="L61" s="57"/>
      <c r="M61" s="60">
        <f ca="1">(IF(B55=0,I55/4+M60,(I55/(B55+4)+M60)))</f>
        <v>2</v>
      </c>
    </row>
    <row r="62" spans="1:13" s="51" customFormat="1" ht="15.6" x14ac:dyDescent="0.3">
      <c r="A62" s="105" t="s">
        <v>257</v>
      </c>
      <c r="B62" s="103" t="s">
        <v>256</v>
      </c>
      <c r="C62" s="56">
        <v>0</v>
      </c>
      <c r="D62" s="88">
        <f ca="1">((100/I55)*C62)/100</f>
        <v>0</v>
      </c>
      <c r="E62" s="88"/>
      <c r="F62" s="88"/>
      <c r="G62" s="88"/>
      <c r="H62" s="88"/>
      <c r="I62" s="88"/>
      <c r="J62" s="90"/>
      <c r="K62" s="38" t="s">
        <v>258</v>
      </c>
      <c r="L62" s="61"/>
      <c r="M62" s="60">
        <f>(IF(B55=0,0,(I55/(B55+4)+M61)))</f>
        <v>0</v>
      </c>
    </row>
    <row r="63" spans="1:13" s="51" customFormat="1" ht="15.6" x14ac:dyDescent="0.3">
      <c r="A63" s="105" t="s">
        <v>259</v>
      </c>
      <c r="B63" s="103" t="s">
        <v>260</v>
      </c>
      <c r="C63" s="56">
        <v>0</v>
      </c>
      <c r="D63" s="88">
        <f ca="1">((100/(I55))*C63)/100</f>
        <v>0</v>
      </c>
      <c r="E63" s="88"/>
      <c r="F63" s="88"/>
      <c r="G63" s="88"/>
      <c r="H63" s="88"/>
      <c r="I63" s="88"/>
      <c r="J63" s="90"/>
      <c r="K63" s="38" t="s">
        <v>261</v>
      </c>
      <c r="L63" s="61"/>
      <c r="M63" s="60">
        <f>(IF(B55&gt;1,(I55/(B55+4)+M62),0))</f>
        <v>0</v>
      </c>
    </row>
    <row r="64" spans="1:13" s="51" customFormat="1" ht="15.6" x14ac:dyDescent="0.3">
      <c r="A64" s="105" t="s">
        <v>262</v>
      </c>
      <c r="B64" s="103" t="s">
        <v>262</v>
      </c>
      <c r="C64" s="56">
        <v>0</v>
      </c>
      <c r="D64" s="88">
        <f ca="1">((100/I55)*C64)/100</f>
        <v>0</v>
      </c>
      <c r="E64" s="88"/>
      <c r="F64" s="88"/>
      <c r="G64" s="88"/>
      <c r="H64" s="88"/>
      <c r="I64" s="88"/>
      <c r="J64" s="90"/>
      <c r="K64" s="38" t="s">
        <v>263</v>
      </c>
      <c r="L64" s="62"/>
      <c r="M64" s="63">
        <f>(IF(B55&gt;2,(I55/(B55+4)+M63),0))</f>
        <v>0</v>
      </c>
    </row>
    <row r="65" spans="1:13" s="51" customFormat="1" ht="15.6" x14ac:dyDescent="0.3">
      <c r="A65" s="105" t="s">
        <v>264</v>
      </c>
      <c r="B65" s="103"/>
      <c r="C65" s="56">
        <v>0</v>
      </c>
      <c r="D65" s="88">
        <f ca="1">((100/I55)*C65)/100</f>
        <v>0</v>
      </c>
      <c r="E65" s="88"/>
      <c r="F65" s="88"/>
      <c r="G65" s="88"/>
      <c r="H65" s="88"/>
      <c r="I65" s="88"/>
      <c r="J65" s="90"/>
      <c r="K65" s="38" t="s">
        <v>265</v>
      </c>
      <c r="M65" s="64">
        <f>(IF(B55&gt;3,(I55/(B55+4)+M64),0))</f>
        <v>0</v>
      </c>
    </row>
    <row r="66" spans="1:13" s="51" customFormat="1" ht="15.6" x14ac:dyDescent="0.3">
      <c r="A66" s="105" t="s">
        <v>266</v>
      </c>
      <c r="B66" s="103" t="s">
        <v>266</v>
      </c>
      <c r="C66" s="56">
        <v>0</v>
      </c>
      <c r="D66" s="88">
        <f ca="1">((100/(I55))*C66)/100</f>
        <v>0</v>
      </c>
      <c r="E66" s="88"/>
      <c r="F66" s="88"/>
      <c r="G66" s="88"/>
      <c r="H66" s="88"/>
      <c r="I66" s="88"/>
      <c r="J66" s="90"/>
      <c r="K66" s="38" t="s">
        <v>237</v>
      </c>
      <c r="L66" s="57"/>
      <c r="M66" s="60">
        <f ca="1">(IF(B55=0,I55/4+M61,(I55/(B55+4)+M61+MAX(0,M62-M61)+MAX(0,M63-M62)+MAX(0,M64-M63)+MAX(0,M65-M64))))</f>
        <v>3</v>
      </c>
    </row>
    <row r="67" spans="1:13" s="51" customFormat="1" ht="16.2" thickBot="1" x14ac:dyDescent="0.35">
      <c r="A67" s="106" t="s">
        <v>267</v>
      </c>
      <c r="B67" s="107"/>
      <c r="C67" s="65">
        <v>0</v>
      </c>
      <c r="D67" s="89">
        <f ca="1">((100/(I55))*C67)/100</f>
        <v>0</v>
      </c>
      <c r="E67" s="89"/>
      <c r="F67" s="89"/>
      <c r="G67" s="89"/>
      <c r="H67" s="89"/>
      <c r="I67" s="89"/>
      <c r="J67" s="91"/>
      <c r="K67" s="39" t="s">
        <v>238</v>
      </c>
      <c r="L67" s="66"/>
      <c r="M67" s="67">
        <f ca="1">(IF(B55=0,I55/4+M66,(I55/(B55+4)+M66)))</f>
        <v>4</v>
      </c>
    </row>
    <row r="68" spans="1:13" s="51" customFormat="1" ht="15.6" x14ac:dyDescent="0.3">
      <c r="A68" s="94" t="s">
        <v>240</v>
      </c>
      <c r="B68" s="95"/>
      <c r="C68" s="96" t="s">
        <v>272</v>
      </c>
      <c r="D68" s="96"/>
      <c r="E68" s="96"/>
      <c r="F68" s="96"/>
      <c r="G68" s="96"/>
      <c r="H68" s="96"/>
      <c r="I68" s="96"/>
      <c r="J68" s="97"/>
      <c r="K68" s="36" t="str">
        <f ca="1">(IF(C72=0,"Work not yet Started.",IF(D72=25%,"Piling work in process",IF(D72=50%,"Excavation work in process",IF(D72=100%,"Excavation work completed, ","0")))&amp;(IF(C73=0%,"",IF(C73=M74,"Footing work is process",IF(C73=M75,"Footing work Completed",IF(C73=M76,"1st Basement Completed",IF(C73=M77,"1st &amp; 2nd Basement Completed",IF(C73=M78,"1st to 3rd Basement Completed",IF(C73=M79,"1st to 4th Basement Completed",IF(C73=M80,"Plinth work is process",IF(C73=M81,"Plinth work completed","0")))))))))))&amp;(IF(C74&gt;0,", RCC upto "&amp;C74&amp;" Slab completed",""))&amp;(IF(C75&gt;0,", Brickwork upto "&amp;C75&amp;" Floor completed"," "))&amp;(IF(C76&gt;0,", Internal Plaster upto "&amp;C76&amp;" Floor completed"," "))&amp;(IF(C77&gt;0,", External Plaster upto "&amp;C77&amp;" Floor completed"," "))&amp;(IF(C78&gt;0,", Flooring upto "&amp;C78&amp;" Floor completed"," "))&amp;(IF(C79&gt;0,", Painting upto "&amp;C79&amp;" Floor completed"," "))&amp;(IF(C80&gt;0,", Finishing upto "&amp;C80&amp;" Floor completed"," ")))</f>
        <v xml:space="preserve">Excavation work completed, Plinth work completed      </v>
      </c>
      <c r="L68" s="36"/>
      <c r="M68" s="52"/>
    </row>
    <row r="69" spans="1:13" s="51" customFormat="1" ht="15.6" x14ac:dyDescent="0.3">
      <c r="A69" s="46" t="s">
        <v>241</v>
      </c>
      <c r="B69" s="44">
        <v>0</v>
      </c>
      <c r="C69" s="44" t="s">
        <v>242</v>
      </c>
      <c r="D69" s="44">
        <v>1</v>
      </c>
      <c r="E69" s="44" t="s">
        <v>243</v>
      </c>
      <c r="F69" s="87">
        <v>0</v>
      </c>
      <c r="G69" s="87"/>
      <c r="H69" s="44" t="s">
        <v>244</v>
      </c>
      <c r="I69" s="87">
        <f ca="1">--TRIM(RIGHT(SUBSTITUTE(LEFT(C68,_xlfn.AGGREGATE(16,6,FIND({0,1,2,3,4,5,6,7,8,9},C68,ROW(INDIRECT("1:"&amp;LEN(C68)))),1))," ",REPT(" ",LEN(C68))),LEN(C68)))</f>
        <v>4</v>
      </c>
      <c r="J69" s="98"/>
      <c r="K69" s="37" t="s">
        <v>245</v>
      </c>
      <c r="L69" s="37"/>
      <c r="M69" s="53"/>
    </row>
    <row r="70" spans="1:13" s="51" customFormat="1" ht="15.75" customHeight="1" x14ac:dyDescent="0.3">
      <c r="A70" s="99" t="s">
        <v>246</v>
      </c>
      <c r="B70" s="100"/>
      <c r="C70" s="101" t="str">
        <f ca="1">K68</f>
        <v xml:space="preserve">Excavation work completed, Plinth work completed      </v>
      </c>
      <c r="D70" s="101"/>
      <c r="E70" s="101"/>
      <c r="F70" s="101"/>
      <c r="G70" s="101"/>
      <c r="H70" s="101"/>
      <c r="I70" s="101"/>
      <c r="J70" s="102"/>
      <c r="K70" s="37" t="s">
        <v>247</v>
      </c>
      <c r="L70" s="37"/>
      <c r="M70" s="53"/>
    </row>
    <row r="71" spans="1:13" s="51" customFormat="1" ht="15.6" x14ac:dyDescent="0.3">
      <c r="A71" s="105" t="s">
        <v>34</v>
      </c>
      <c r="B71" s="103"/>
      <c r="C71" s="45" t="s">
        <v>248</v>
      </c>
      <c r="D71" s="103" t="s">
        <v>249</v>
      </c>
      <c r="E71" s="103"/>
      <c r="F71" s="103" t="s">
        <v>250</v>
      </c>
      <c r="G71" s="103"/>
      <c r="H71" s="103" t="s">
        <v>251</v>
      </c>
      <c r="I71" s="103"/>
      <c r="J71" s="104"/>
      <c r="K71" s="38" t="s">
        <v>252</v>
      </c>
      <c r="L71" s="54"/>
      <c r="M71" s="55">
        <f ca="1">I69*25%</f>
        <v>1</v>
      </c>
    </row>
    <row r="72" spans="1:13" s="51" customFormat="1" ht="15.6" x14ac:dyDescent="0.3">
      <c r="A72" s="105" t="s">
        <v>253</v>
      </c>
      <c r="B72" s="103"/>
      <c r="C72" s="56">
        <f ca="1">M73</f>
        <v>4</v>
      </c>
      <c r="D72" s="88">
        <f ca="1">((100/I69)*C72)/100</f>
        <v>1</v>
      </c>
      <c r="E72" s="88"/>
      <c r="F72" s="88">
        <f ca="1">(IF(C70=K69,"100%",IF(C70=K70,"100%",(((C73/I69*10)+(40/(D69+F69+I69)*C74)+(7.5/(I69)*C75)+(7.5/(I69)*C76)+(10/I69*C77)+(10/I69*C78)+(5/I69*C79)+(5/I69*C80)+(5/I69*C81))/100))))</f>
        <v>0.1</v>
      </c>
      <c r="G72" s="88"/>
      <c r="H72" s="88">
        <f ca="1">((((C72/I69)*20)+((C73/I69)*25)+(30/(I69+F69+D69)*C74)+(5/I69*C75)+(5/I69*C76)+(5/I69*C77)+(5/I69*C78)+(0/I69*C79)+(0/I69*C80)+(5/I69*C81))/100)</f>
        <v>0.45</v>
      </c>
      <c r="I72" s="88"/>
      <c r="J72" s="90"/>
      <c r="K72" s="38" t="s">
        <v>233</v>
      </c>
      <c r="L72" s="57"/>
      <c r="M72" s="58">
        <f ca="1">I69*50%</f>
        <v>2</v>
      </c>
    </row>
    <row r="73" spans="1:13" s="51" customFormat="1" ht="15.6" x14ac:dyDescent="0.3">
      <c r="A73" s="105" t="s">
        <v>35</v>
      </c>
      <c r="B73" s="103"/>
      <c r="C73" s="59">
        <f ca="1">M81</f>
        <v>4</v>
      </c>
      <c r="D73" s="88">
        <f ca="1">((100/I69)*C73)/100</f>
        <v>1</v>
      </c>
      <c r="E73" s="88"/>
      <c r="F73" s="88"/>
      <c r="G73" s="88"/>
      <c r="H73" s="88"/>
      <c r="I73" s="88"/>
      <c r="J73" s="90"/>
      <c r="K73" s="38" t="s">
        <v>234</v>
      </c>
      <c r="L73" s="57"/>
      <c r="M73" s="58">
        <f ca="1">I69</f>
        <v>4</v>
      </c>
    </row>
    <row r="74" spans="1:13" s="51" customFormat="1" ht="15.6" x14ac:dyDescent="0.3">
      <c r="A74" s="105" t="s">
        <v>254</v>
      </c>
      <c r="B74" s="103"/>
      <c r="C74" s="59">
        <v>0</v>
      </c>
      <c r="D74" s="88">
        <f ca="1">((100/(D69+F69+I69))*C74)/100</f>
        <v>0</v>
      </c>
      <c r="E74" s="88"/>
      <c r="F74" s="88"/>
      <c r="G74" s="88"/>
      <c r="H74" s="88"/>
      <c r="I74" s="88"/>
      <c r="J74" s="90"/>
      <c r="K74" s="38" t="s">
        <v>235</v>
      </c>
      <c r="L74" s="57"/>
      <c r="M74" s="60">
        <f ca="1">(IF(B69=0,I69/4,(I69/(B69+4))))</f>
        <v>1</v>
      </c>
    </row>
    <row r="75" spans="1:13" s="51" customFormat="1" ht="15.6" x14ac:dyDescent="0.3">
      <c r="A75" s="105" t="s">
        <v>255</v>
      </c>
      <c r="B75" s="103" t="s">
        <v>256</v>
      </c>
      <c r="C75" s="56">
        <v>0</v>
      </c>
      <c r="D75" s="88">
        <f ca="1">((100/I69)*C75)/100</f>
        <v>0</v>
      </c>
      <c r="E75" s="88"/>
      <c r="F75" s="88"/>
      <c r="G75" s="88"/>
      <c r="H75" s="88"/>
      <c r="I75" s="88"/>
      <c r="J75" s="90"/>
      <c r="K75" s="38" t="s">
        <v>236</v>
      </c>
      <c r="L75" s="57"/>
      <c r="M75" s="60">
        <f ca="1">(IF(B69=0,I69/4+M74,(I69/(B69+4)+M74)))</f>
        <v>2</v>
      </c>
    </row>
    <row r="76" spans="1:13" s="51" customFormat="1" ht="15.6" x14ac:dyDescent="0.3">
      <c r="A76" s="105" t="s">
        <v>257</v>
      </c>
      <c r="B76" s="103" t="s">
        <v>256</v>
      </c>
      <c r="C76" s="56">
        <v>0</v>
      </c>
      <c r="D76" s="88">
        <f ca="1">((100/I69)*C76)/100</f>
        <v>0</v>
      </c>
      <c r="E76" s="88"/>
      <c r="F76" s="88"/>
      <c r="G76" s="88"/>
      <c r="H76" s="88"/>
      <c r="I76" s="88"/>
      <c r="J76" s="90"/>
      <c r="K76" s="38" t="s">
        <v>258</v>
      </c>
      <c r="L76" s="61"/>
      <c r="M76" s="60">
        <f>(IF(B69=0,0,(I69/(B69+4)+M75)))</f>
        <v>0</v>
      </c>
    </row>
    <row r="77" spans="1:13" s="51" customFormat="1" ht="15.6" x14ac:dyDescent="0.3">
      <c r="A77" s="105" t="s">
        <v>259</v>
      </c>
      <c r="B77" s="103" t="s">
        <v>260</v>
      </c>
      <c r="C77" s="56">
        <v>0</v>
      </c>
      <c r="D77" s="88">
        <f ca="1">((100/(I69))*C77)/100</f>
        <v>0</v>
      </c>
      <c r="E77" s="88"/>
      <c r="F77" s="88"/>
      <c r="G77" s="88"/>
      <c r="H77" s="88"/>
      <c r="I77" s="88"/>
      <c r="J77" s="90"/>
      <c r="K77" s="38" t="s">
        <v>261</v>
      </c>
      <c r="L77" s="61"/>
      <c r="M77" s="60">
        <f>(IF(B69&gt;1,(I69/(B69+4)+M76),0))</f>
        <v>0</v>
      </c>
    </row>
    <row r="78" spans="1:13" s="51" customFormat="1" ht="15.6" x14ac:dyDescent="0.3">
      <c r="A78" s="105" t="s">
        <v>262</v>
      </c>
      <c r="B78" s="103" t="s">
        <v>262</v>
      </c>
      <c r="C78" s="56">
        <v>0</v>
      </c>
      <c r="D78" s="88">
        <f ca="1">((100/I69)*C78)/100</f>
        <v>0</v>
      </c>
      <c r="E78" s="88"/>
      <c r="F78" s="88"/>
      <c r="G78" s="88"/>
      <c r="H78" s="88"/>
      <c r="I78" s="88"/>
      <c r="J78" s="90"/>
      <c r="K78" s="38" t="s">
        <v>263</v>
      </c>
      <c r="L78" s="62"/>
      <c r="M78" s="63">
        <f>(IF(B69&gt;2,(I69/(B69+4)+M77),0))</f>
        <v>0</v>
      </c>
    </row>
    <row r="79" spans="1:13" s="51" customFormat="1" ht="15.6" x14ac:dyDescent="0.3">
      <c r="A79" s="105" t="s">
        <v>264</v>
      </c>
      <c r="B79" s="103"/>
      <c r="C79" s="56">
        <v>0</v>
      </c>
      <c r="D79" s="88">
        <f ca="1">((100/I69)*C79)/100</f>
        <v>0</v>
      </c>
      <c r="E79" s="88"/>
      <c r="F79" s="88"/>
      <c r="G79" s="88"/>
      <c r="H79" s="88"/>
      <c r="I79" s="88"/>
      <c r="J79" s="90"/>
      <c r="K79" s="38" t="s">
        <v>265</v>
      </c>
      <c r="M79" s="64">
        <f>(IF(B69&gt;3,(I69/(B69+4)+M78),0))</f>
        <v>0</v>
      </c>
    </row>
    <row r="80" spans="1:13" s="51" customFormat="1" ht="15.6" x14ac:dyDescent="0.3">
      <c r="A80" s="105" t="s">
        <v>266</v>
      </c>
      <c r="B80" s="103" t="s">
        <v>266</v>
      </c>
      <c r="C80" s="56">
        <v>0</v>
      </c>
      <c r="D80" s="88">
        <f ca="1">((100/(I69))*C80)/100</f>
        <v>0</v>
      </c>
      <c r="E80" s="88"/>
      <c r="F80" s="88"/>
      <c r="G80" s="88"/>
      <c r="H80" s="88"/>
      <c r="I80" s="88"/>
      <c r="J80" s="90"/>
      <c r="K80" s="38" t="s">
        <v>237</v>
      </c>
      <c r="L80" s="57"/>
      <c r="M80" s="60">
        <f ca="1">(IF(B69=0,I69/4+M75,(I69/(B69+4)+M75+MAX(0,M76-M75)+MAX(0,M77-M76)+MAX(0,M78-M77)+MAX(0,M79-M78))))</f>
        <v>3</v>
      </c>
    </row>
    <row r="81" spans="1:13" s="51" customFormat="1" ht="16.2" thickBot="1" x14ac:dyDescent="0.35">
      <c r="A81" s="106" t="s">
        <v>267</v>
      </c>
      <c r="B81" s="107"/>
      <c r="C81" s="65">
        <v>0</v>
      </c>
      <c r="D81" s="89">
        <f ca="1">((100/(I69))*C81)/100</f>
        <v>0</v>
      </c>
      <c r="E81" s="89"/>
      <c r="F81" s="89"/>
      <c r="G81" s="89"/>
      <c r="H81" s="89"/>
      <c r="I81" s="89"/>
      <c r="J81" s="91"/>
      <c r="K81" s="39" t="s">
        <v>238</v>
      </c>
      <c r="L81" s="66"/>
      <c r="M81" s="67">
        <f ca="1">(IF(B69=0,I69/4+M80,(I69/(B69+4)+M80)))</f>
        <v>4</v>
      </c>
    </row>
    <row r="82" spans="1:13" ht="15.75" customHeight="1" x14ac:dyDescent="0.3">
      <c r="A82" s="94" t="s">
        <v>240</v>
      </c>
      <c r="B82" s="95"/>
      <c r="C82" s="96" t="s">
        <v>274</v>
      </c>
      <c r="D82" s="96"/>
      <c r="E82" s="96"/>
      <c r="F82" s="96"/>
      <c r="G82" s="96"/>
      <c r="H82" s="96"/>
      <c r="I82" s="96"/>
      <c r="J82" s="97"/>
      <c r="K82" s="32" t="str">
        <f ca="1">(IF(C86=0,"Work not yet Started.",IF(D86=25%,"Piling work in process",IF(D86=50%,"Excavation work in process",IF(D86=100%,"Excavation work completed, ","0")))&amp;(IF(C87=0%,"",IF(C87=M88,"Footing work is process",IF(C87=M89,"Footing work Completed",IF(C87=M90,"1st Basement Completed",IF(C87=M91,"1st &amp; 2nd Basement Completed",IF(C87=M92,"1st to 3rd Basement Completed",IF(C87=M93,"1st to 4th Basement Completed",IF(C87=M94,"Plinth work is process",IF(C87=M95,"Plinth work completed","0")))))))))))&amp;(IF(C88&gt;0,", RCC upto "&amp;C88&amp;" Slab completed",""))&amp;(IF(C89&gt;0,", Brickwork upto "&amp;C89&amp;" Floor completed"," "))&amp;(IF(C90&gt;0,", Internal Plaster upto "&amp;C90&amp;" Floor completed"," "))&amp;(IF(C91&gt;0,", External Plaster upto "&amp;C91&amp;" Floor completed"," "))&amp;(IF(C92&gt;0,", Flooring upto "&amp;C92&amp;" Floor completed"," "))&amp;(IF(C93&gt;0,", Painting upto "&amp;C93&amp;" Floor completed"," "))&amp;(IF(C94&gt;0,", Finishing upto "&amp;C94&amp;" Floor completed"," ")))</f>
        <v xml:space="preserve">Excavation work completed, Plinth work completed, RCC upto 1 Slab completed      </v>
      </c>
      <c r="L82" s="32"/>
      <c r="M82" s="68"/>
    </row>
    <row r="83" spans="1:13" ht="15.6" x14ac:dyDescent="0.3">
      <c r="A83" s="46" t="s">
        <v>241</v>
      </c>
      <c r="B83" s="44">
        <v>0</v>
      </c>
      <c r="C83" s="44" t="s">
        <v>242</v>
      </c>
      <c r="D83" s="44">
        <v>1</v>
      </c>
      <c r="E83" s="44" t="s">
        <v>243</v>
      </c>
      <c r="F83" s="87">
        <v>0</v>
      </c>
      <c r="G83" s="87"/>
      <c r="H83" s="44" t="s">
        <v>244</v>
      </c>
      <c r="I83" s="87">
        <f ca="1">--TRIM(RIGHT(SUBSTITUTE(LEFT(C82,_xlfn.AGGREGATE(16,6,FIND({0,1,2,3,4,5,6,7,8,9},C82,ROW(INDIRECT("1:"&amp;LEN(C82)))),1))," ",REPT(" ",LEN(C82))),LEN(C82)))</f>
        <v>4</v>
      </c>
      <c r="J83" s="98"/>
      <c r="K83" s="33" t="s">
        <v>245</v>
      </c>
      <c r="L83" s="33"/>
      <c r="M83" s="69"/>
    </row>
    <row r="84" spans="1:13" ht="15.6" x14ac:dyDescent="0.3">
      <c r="A84" s="99" t="s">
        <v>246</v>
      </c>
      <c r="B84" s="100"/>
      <c r="C84" s="101" t="str">
        <f ca="1">K82</f>
        <v xml:space="preserve">Excavation work completed, Plinth work completed, RCC upto 1 Slab completed      </v>
      </c>
      <c r="D84" s="101"/>
      <c r="E84" s="101"/>
      <c r="F84" s="101"/>
      <c r="G84" s="101"/>
      <c r="H84" s="101"/>
      <c r="I84" s="101"/>
      <c r="J84" s="102"/>
      <c r="K84" s="33" t="s">
        <v>247</v>
      </c>
      <c r="L84" s="33"/>
      <c r="M84" s="69"/>
    </row>
    <row r="85" spans="1:13" ht="15.6" x14ac:dyDescent="0.3">
      <c r="A85" s="105" t="s">
        <v>34</v>
      </c>
      <c r="B85" s="103"/>
      <c r="C85" s="45" t="s">
        <v>248</v>
      </c>
      <c r="D85" s="103" t="s">
        <v>249</v>
      </c>
      <c r="E85" s="103"/>
      <c r="F85" s="103" t="s">
        <v>250</v>
      </c>
      <c r="G85" s="103"/>
      <c r="H85" s="103" t="s">
        <v>251</v>
      </c>
      <c r="I85" s="103"/>
      <c r="J85" s="104"/>
      <c r="K85" s="34" t="s">
        <v>252</v>
      </c>
      <c r="L85" s="70"/>
      <c r="M85" s="71">
        <f ca="1">I83*25%</f>
        <v>1</v>
      </c>
    </row>
    <row r="86" spans="1:13" ht="15.6" x14ac:dyDescent="0.3">
      <c r="A86" s="105" t="s">
        <v>253</v>
      </c>
      <c r="B86" s="103"/>
      <c r="C86" s="56">
        <f ca="1">M87</f>
        <v>4</v>
      </c>
      <c r="D86" s="88">
        <f ca="1">((100/I83)*C86)/100</f>
        <v>1</v>
      </c>
      <c r="E86" s="88"/>
      <c r="F86" s="88">
        <f ca="1">(IF(C84=K83,"100%",IF(C84=K84,"100%",(((C87/I83*10)+(40/(D83+F83+I83)*C88)+(7.5/(I83)*C89)+(7.5/(I83)*C90)+(10/I83*C91)+(10/I83*C92)+(5/I83*C93)+(5/I83*C94)+(5/I83*C95))/100))))</f>
        <v>0.18</v>
      </c>
      <c r="G86" s="88"/>
      <c r="H86" s="88">
        <f ca="1">((((C86/I83)*20)+((C87/I83)*25)+(30/(I83+F83+D83)*C88)+(5/I83*C89)+(5/I83*C90)+(5/I83*C91)+(5/I83*C92)+(0/I83*C93)+(0/I83*C94)+(5/I83*C95))/100)</f>
        <v>0.51</v>
      </c>
      <c r="I86" s="88"/>
      <c r="J86" s="90"/>
      <c r="K86" s="34" t="s">
        <v>233</v>
      </c>
      <c r="L86" s="72"/>
      <c r="M86" s="73">
        <f ca="1">I83*50%</f>
        <v>2</v>
      </c>
    </row>
    <row r="87" spans="1:13" ht="15.6" x14ac:dyDescent="0.3">
      <c r="A87" s="105" t="s">
        <v>35</v>
      </c>
      <c r="B87" s="103"/>
      <c r="C87" s="59">
        <f ca="1">M95</f>
        <v>4</v>
      </c>
      <c r="D87" s="88">
        <f ca="1">((100/I83)*C87)/100</f>
        <v>1</v>
      </c>
      <c r="E87" s="88"/>
      <c r="F87" s="88"/>
      <c r="G87" s="88"/>
      <c r="H87" s="88"/>
      <c r="I87" s="88"/>
      <c r="J87" s="90"/>
      <c r="K87" s="34" t="s">
        <v>234</v>
      </c>
      <c r="L87" s="72"/>
      <c r="M87" s="73">
        <f ca="1">I83</f>
        <v>4</v>
      </c>
    </row>
    <row r="88" spans="1:13" ht="15.6" x14ac:dyDescent="0.3">
      <c r="A88" s="86" t="s">
        <v>254</v>
      </c>
      <c r="B88" s="87"/>
      <c r="C88" s="59">
        <v>1</v>
      </c>
      <c r="D88" s="88">
        <f ca="1">((100/(D83+F83+I83))*C88)/100</f>
        <v>0.2</v>
      </c>
      <c r="E88" s="88"/>
      <c r="F88" s="88"/>
      <c r="G88" s="88"/>
      <c r="H88" s="88"/>
      <c r="I88" s="88"/>
      <c r="J88" s="90"/>
      <c r="K88" s="34" t="s">
        <v>235</v>
      </c>
      <c r="L88" s="72"/>
      <c r="M88" s="74">
        <f ca="1">(IF(B83=0,I83/4,(I83/(B83+4))))</f>
        <v>1</v>
      </c>
    </row>
    <row r="89" spans="1:13" ht="15.6" x14ac:dyDescent="0.3">
      <c r="A89" s="105" t="s">
        <v>255</v>
      </c>
      <c r="B89" s="103" t="s">
        <v>256</v>
      </c>
      <c r="C89" s="56">
        <v>0</v>
      </c>
      <c r="D89" s="88">
        <f ca="1">((100/I83)*C89)/100</f>
        <v>0</v>
      </c>
      <c r="E89" s="88"/>
      <c r="F89" s="88"/>
      <c r="G89" s="88"/>
      <c r="H89" s="88"/>
      <c r="I89" s="88"/>
      <c r="J89" s="90"/>
      <c r="K89" s="34" t="s">
        <v>236</v>
      </c>
      <c r="L89" s="72"/>
      <c r="M89" s="74">
        <f ca="1">(IF(B83=0,I83/4+M88,(I83/(B83+4)+M88)))</f>
        <v>2</v>
      </c>
    </row>
    <row r="90" spans="1:13" ht="15.6" x14ac:dyDescent="0.3">
      <c r="A90" s="105" t="s">
        <v>257</v>
      </c>
      <c r="B90" s="103" t="s">
        <v>256</v>
      </c>
      <c r="C90" s="56">
        <v>0</v>
      </c>
      <c r="D90" s="88">
        <f ca="1">((100/I83)*C90)/100</f>
        <v>0</v>
      </c>
      <c r="E90" s="88"/>
      <c r="F90" s="88"/>
      <c r="G90" s="88"/>
      <c r="H90" s="88"/>
      <c r="I90" s="88"/>
      <c r="J90" s="90"/>
      <c r="K90" s="34" t="s">
        <v>258</v>
      </c>
      <c r="L90" s="75"/>
      <c r="M90" s="74">
        <f>(IF(B83=0,0,(I83/(B83+4)+M89)))</f>
        <v>0</v>
      </c>
    </row>
    <row r="91" spans="1:13" ht="15.6" x14ac:dyDescent="0.3">
      <c r="A91" s="105" t="s">
        <v>259</v>
      </c>
      <c r="B91" s="103" t="s">
        <v>260</v>
      </c>
      <c r="C91" s="56">
        <v>0</v>
      </c>
      <c r="D91" s="88">
        <f ca="1">((100/(I83))*C91)/100</f>
        <v>0</v>
      </c>
      <c r="E91" s="88"/>
      <c r="F91" s="88"/>
      <c r="G91" s="88"/>
      <c r="H91" s="88"/>
      <c r="I91" s="88"/>
      <c r="J91" s="90"/>
      <c r="K91" s="34" t="s">
        <v>261</v>
      </c>
      <c r="L91" s="75"/>
      <c r="M91" s="74">
        <f>(IF(B83&gt;1,(I83/(B83+4)+M90),0))</f>
        <v>0</v>
      </c>
    </row>
    <row r="92" spans="1:13" ht="15.6" x14ac:dyDescent="0.3">
      <c r="A92" s="105" t="s">
        <v>262</v>
      </c>
      <c r="B92" s="103" t="s">
        <v>262</v>
      </c>
      <c r="C92" s="56">
        <v>0</v>
      </c>
      <c r="D92" s="88">
        <f ca="1">((100/I83)*C92)/100</f>
        <v>0</v>
      </c>
      <c r="E92" s="88"/>
      <c r="F92" s="88"/>
      <c r="G92" s="88"/>
      <c r="H92" s="88"/>
      <c r="I92" s="88"/>
      <c r="J92" s="90"/>
      <c r="K92" s="34" t="s">
        <v>263</v>
      </c>
      <c r="L92" s="76"/>
      <c r="M92" s="77">
        <f>(IF(B83&gt;2,(I83/(B83+4)+M91),0))</f>
        <v>0</v>
      </c>
    </row>
    <row r="93" spans="1:13" ht="15.6" x14ac:dyDescent="0.3">
      <c r="A93" s="105" t="s">
        <v>264</v>
      </c>
      <c r="B93" s="103"/>
      <c r="C93" s="56">
        <v>0</v>
      </c>
      <c r="D93" s="88">
        <f ca="1">((100/I83)*C93)/100</f>
        <v>0</v>
      </c>
      <c r="E93" s="88"/>
      <c r="F93" s="88"/>
      <c r="G93" s="88"/>
      <c r="H93" s="88"/>
      <c r="I93" s="88"/>
      <c r="J93" s="90"/>
      <c r="K93" s="34" t="s">
        <v>265</v>
      </c>
      <c r="M93" s="78">
        <f>(IF(B83&gt;3,(I83/(B83+4)+M92),0))</f>
        <v>0</v>
      </c>
    </row>
    <row r="94" spans="1:13" ht="15.6" x14ac:dyDescent="0.3">
      <c r="A94" s="105" t="s">
        <v>266</v>
      </c>
      <c r="B94" s="103" t="s">
        <v>266</v>
      </c>
      <c r="C94" s="56">
        <v>0</v>
      </c>
      <c r="D94" s="88">
        <f ca="1">((100/(I83))*C94)/100</f>
        <v>0</v>
      </c>
      <c r="E94" s="88"/>
      <c r="F94" s="88"/>
      <c r="G94" s="88"/>
      <c r="H94" s="88"/>
      <c r="I94" s="88"/>
      <c r="J94" s="90"/>
      <c r="K94" s="34" t="s">
        <v>237</v>
      </c>
      <c r="L94" s="72"/>
      <c r="M94" s="74">
        <f ca="1">(IF(B83=0,I83/4+M89,(I83/(B83+4)+M89+MAX(0,M90-M89)+MAX(0,M91-M90)+MAX(0,M92-M91)+MAX(0,M93-M92))))</f>
        <v>3</v>
      </c>
    </row>
    <row r="95" spans="1:13" ht="16.2" thickBot="1" x14ac:dyDescent="0.35">
      <c r="A95" s="106" t="s">
        <v>267</v>
      </c>
      <c r="B95" s="107"/>
      <c r="C95" s="65">
        <v>0</v>
      </c>
      <c r="D95" s="89">
        <f ca="1">((100/(I83))*C95)/100</f>
        <v>0</v>
      </c>
      <c r="E95" s="89"/>
      <c r="F95" s="89"/>
      <c r="G95" s="89"/>
      <c r="H95" s="89"/>
      <c r="I95" s="89"/>
      <c r="J95" s="91"/>
      <c r="K95" s="35" t="s">
        <v>238</v>
      </c>
      <c r="L95" s="79"/>
      <c r="M95" s="80">
        <f ca="1">(IF(B83=0,I83/4+M94,(I83/(B83+4)+M94)))</f>
        <v>4</v>
      </c>
    </row>
    <row r="96" spans="1:13" ht="15.75" customHeight="1" x14ac:dyDescent="0.3">
      <c r="A96" s="94" t="s">
        <v>240</v>
      </c>
      <c r="B96" s="95"/>
      <c r="C96" s="96" t="s">
        <v>275</v>
      </c>
      <c r="D96" s="96"/>
      <c r="E96" s="96"/>
      <c r="F96" s="96"/>
      <c r="G96" s="96"/>
      <c r="H96" s="96"/>
      <c r="I96" s="96"/>
      <c r="J96" s="97"/>
      <c r="K96" s="32" t="str">
        <f ca="1">(IF(C100=0,"Work not yet Started.",IF(D100=25%,"Piling work in process",IF(D100=50%,"Excavation work in process",IF(D100=100%,"Excavation work completed, ","0")))&amp;(IF(C101=0%,"",IF(C101=M102,"Footing work is process",IF(C101=M103,"Footing work Completed",IF(C101=M104,"1st Basement Completed",IF(C101=M105,"1st &amp; 2nd Basement Completed",IF(C101=M106,"1st to 3rd Basement Completed",IF(C101=M107,"1st to 4th Basement Completed",IF(C101=M108,"Plinth work is process",IF(C101=M109,"Plinth work completed","0")))))))))))&amp;(IF(C102&gt;0,", RCC upto "&amp;C102&amp;" Slab completed",""))&amp;(IF(C103&gt;0,", Brickwork upto "&amp;C103&amp;" Floor completed"," "))&amp;(IF(C104&gt;0,", Internal Plaster upto "&amp;C104&amp;" Floor completed"," "))&amp;(IF(C105&gt;0,", External Plaster upto "&amp;C105&amp;" Floor completed"," "))&amp;(IF(C106&gt;0,", Flooring upto "&amp;C106&amp;" Floor completed"," "))&amp;(IF(C107&gt;0,", Painting upto "&amp;C107&amp;" Floor completed"," "))&amp;(IF(C108&gt;0,", Finishing upto "&amp;C108&amp;" Floor completed"," ")))</f>
        <v xml:space="preserve">Excavation work completed, Footing work Completed      </v>
      </c>
      <c r="L96" s="32"/>
      <c r="M96" s="68"/>
    </row>
    <row r="97" spans="1:13" ht="15.6" x14ac:dyDescent="0.3">
      <c r="A97" s="46" t="s">
        <v>241</v>
      </c>
      <c r="B97" s="44">
        <v>0</v>
      </c>
      <c r="C97" s="44" t="s">
        <v>242</v>
      </c>
      <c r="D97" s="44">
        <v>1</v>
      </c>
      <c r="E97" s="44" t="s">
        <v>243</v>
      </c>
      <c r="F97" s="87">
        <v>0</v>
      </c>
      <c r="G97" s="87"/>
      <c r="H97" s="44" t="s">
        <v>244</v>
      </c>
      <c r="I97" s="87">
        <f ca="1">--TRIM(RIGHT(SUBSTITUTE(LEFT(C96,_xlfn.AGGREGATE(16,6,FIND({0,1,2,3,4,5,6,7,8,9},C96,ROW(INDIRECT("1:"&amp;LEN(C96)))),1))," ",REPT(" ",LEN(C96))),LEN(C96)))</f>
        <v>4</v>
      </c>
      <c r="J97" s="98"/>
      <c r="K97" s="33" t="s">
        <v>245</v>
      </c>
      <c r="L97" s="33"/>
      <c r="M97" s="69"/>
    </row>
    <row r="98" spans="1:13" ht="15.75" customHeight="1" x14ac:dyDescent="0.3">
      <c r="A98" s="99" t="s">
        <v>246</v>
      </c>
      <c r="B98" s="100"/>
      <c r="C98" s="101" t="str">
        <f ca="1">K96</f>
        <v xml:space="preserve">Excavation work completed, Footing work Completed      </v>
      </c>
      <c r="D98" s="101"/>
      <c r="E98" s="101"/>
      <c r="F98" s="101"/>
      <c r="G98" s="101"/>
      <c r="H98" s="101"/>
      <c r="I98" s="101"/>
      <c r="J98" s="102"/>
      <c r="K98" s="33" t="s">
        <v>247</v>
      </c>
      <c r="L98" s="33"/>
      <c r="M98" s="69"/>
    </row>
    <row r="99" spans="1:13" ht="15.6" x14ac:dyDescent="0.3">
      <c r="A99" s="105" t="s">
        <v>34</v>
      </c>
      <c r="B99" s="103"/>
      <c r="C99" s="45" t="s">
        <v>248</v>
      </c>
      <c r="D99" s="103" t="s">
        <v>249</v>
      </c>
      <c r="E99" s="103"/>
      <c r="F99" s="103" t="s">
        <v>250</v>
      </c>
      <c r="G99" s="103"/>
      <c r="H99" s="103" t="s">
        <v>251</v>
      </c>
      <c r="I99" s="103"/>
      <c r="J99" s="104"/>
      <c r="K99" s="34" t="s">
        <v>252</v>
      </c>
      <c r="L99" s="70"/>
      <c r="M99" s="71">
        <f ca="1">I97*25%</f>
        <v>1</v>
      </c>
    </row>
    <row r="100" spans="1:13" ht="15.6" x14ac:dyDescent="0.3">
      <c r="A100" s="105" t="s">
        <v>253</v>
      </c>
      <c r="B100" s="103"/>
      <c r="C100" s="56">
        <f ca="1">M101</f>
        <v>4</v>
      </c>
      <c r="D100" s="88">
        <f ca="1">((100/I97)*C100)/100</f>
        <v>1</v>
      </c>
      <c r="E100" s="88"/>
      <c r="F100" s="88">
        <f ca="1">(IF(C98=K97,"100%",IF(C98=K98,"100%",(((C101/I97*10)+(40/(D97+F97+I97)*C102)+(7.5/(I97)*C103)+(7.5/(I97)*C104)+(10/I97*C105)+(10/I97*C106)+(5/I97*C107)+(5/I97*C108)+(5/I97*C109))/100))))</f>
        <v>0.05</v>
      </c>
      <c r="G100" s="88"/>
      <c r="H100" s="88">
        <f ca="1">((((C100/I97)*20)+((C101/I97)*25)+(30/(I97+F97+D97)*C102)+(5/I97*C103)+(5/I97*C104)+(5/I97*C105)+(5/I97*C106)+(0/I97*C107)+(0/I97*C108)+(5/I97*C109))/100)</f>
        <v>0.32500000000000001</v>
      </c>
      <c r="I100" s="88"/>
      <c r="J100" s="90"/>
      <c r="K100" s="34" t="s">
        <v>233</v>
      </c>
      <c r="L100" s="72"/>
      <c r="M100" s="73">
        <f ca="1">I97*50%</f>
        <v>2</v>
      </c>
    </row>
    <row r="101" spans="1:13" ht="15.6" x14ac:dyDescent="0.3">
      <c r="A101" s="105" t="s">
        <v>35</v>
      </c>
      <c r="B101" s="103"/>
      <c r="C101" s="59">
        <v>2</v>
      </c>
      <c r="D101" s="88">
        <f ca="1">((100/I97)*C101)/100</f>
        <v>0.5</v>
      </c>
      <c r="E101" s="88"/>
      <c r="F101" s="88"/>
      <c r="G101" s="88"/>
      <c r="H101" s="88"/>
      <c r="I101" s="88"/>
      <c r="J101" s="90"/>
      <c r="K101" s="34" t="s">
        <v>234</v>
      </c>
      <c r="L101" s="72"/>
      <c r="M101" s="73">
        <f ca="1">I97</f>
        <v>4</v>
      </c>
    </row>
    <row r="102" spans="1:13" ht="15.6" x14ac:dyDescent="0.3">
      <c r="A102" s="105" t="s">
        <v>254</v>
      </c>
      <c r="B102" s="103"/>
      <c r="C102" s="59">
        <v>0</v>
      </c>
      <c r="D102" s="88">
        <f ca="1">((100/(D97+F97+I97))*C102)/100</f>
        <v>0</v>
      </c>
      <c r="E102" s="88"/>
      <c r="F102" s="88"/>
      <c r="G102" s="88"/>
      <c r="H102" s="88"/>
      <c r="I102" s="88"/>
      <c r="J102" s="90"/>
      <c r="K102" s="34" t="s">
        <v>235</v>
      </c>
      <c r="L102" s="72"/>
      <c r="M102" s="74">
        <f ca="1">(IF(B97=0,I97/4,(I97/(B97+4))))</f>
        <v>1</v>
      </c>
    </row>
    <row r="103" spans="1:13" ht="15.6" x14ac:dyDescent="0.3">
      <c r="A103" s="105" t="s">
        <v>255</v>
      </c>
      <c r="B103" s="103" t="s">
        <v>256</v>
      </c>
      <c r="C103" s="56">
        <v>0</v>
      </c>
      <c r="D103" s="88">
        <f ca="1">((100/I97)*C103)/100</f>
        <v>0</v>
      </c>
      <c r="E103" s="88"/>
      <c r="F103" s="88"/>
      <c r="G103" s="88"/>
      <c r="H103" s="88"/>
      <c r="I103" s="88"/>
      <c r="J103" s="90"/>
      <c r="K103" s="34" t="s">
        <v>236</v>
      </c>
      <c r="L103" s="72"/>
      <c r="M103" s="74">
        <f ca="1">(IF(B97=0,I97/4+M102,(I97/(B97+4)+M102)))</f>
        <v>2</v>
      </c>
    </row>
    <row r="104" spans="1:13" ht="15.6" x14ac:dyDescent="0.3">
      <c r="A104" s="105" t="s">
        <v>257</v>
      </c>
      <c r="B104" s="103" t="s">
        <v>256</v>
      </c>
      <c r="C104" s="56">
        <v>0</v>
      </c>
      <c r="D104" s="88">
        <f ca="1">((100/I97)*C104)/100</f>
        <v>0</v>
      </c>
      <c r="E104" s="88"/>
      <c r="F104" s="88"/>
      <c r="G104" s="88"/>
      <c r="H104" s="88"/>
      <c r="I104" s="88"/>
      <c r="J104" s="90"/>
      <c r="K104" s="34" t="s">
        <v>258</v>
      </c>
      <c r="L104" s="75"/>
      <c r="M104" s="74">
        <f>(IF(B97=0,0,(I97/(B97+4)+M103)))</f>
        <v>0</v>
      </c>
    </row>
    <row r="105" spans="1:13" ht="15.6" x14ac:dyDescent="0.3">
      <c r="A105" s="105" t="s">
        <v>259</v>
      </c>
      <c r="B105" s="103" t="s">
        <v>260</v>
      </c>
      <c r="C105" s="56">
        <v>0</v>
      </c>
      <c r="D105" s="88">
        <f ca="1">((100/(I97))*C105)/100</f>
        <v>0</v>
      </c>
      <c r="E105" s="88"/>
      <c r="F105" s="88"/>
      <c r="G105" s="88"/>
      <c r="H105" s="88"/>
      <c r="I105" s="88"/>
      <c r="J105" s="90"/>
      <c r="K105" s="34" t="s">
        <v>261</v>
      </c>
      <c r="L105" s="75"/>
      <c r="M105" s="74">
        <f>(IF(B97&gt;1,(I97/(B97+4)+M104),0))</f>
        <v>0</v>
      </c>
    </row>
    <row r="106" spans="1:13" ht="15.6" x14ac:dyDescent="0.3">
      <c r="A106" s="105" t="s">
        <v>262</v>
      </c>
      <c r="B106" s="103" t="s">
        <v>262</v>
      </c>
      <c r="C106" s="56">
        <v>0</v>
      </c>
      <c r="D106" s="88">
        <f ca="1">((100/I97)*C106)/100</f>
        <v>0</v>
      </c>
      <c r="E106" s="88"/>
      <c r="F106" s="88"/>
      <c r="G106" s="88"/>
      <c r="H106" s="88"/>
      <c r="I106" s="88"/>
      <c r="J106" s="90"/>
      <c r="K106" s="34" t="s">
        <v>263</v>
      </c>
      <c r="L106" s="76"/>
      <c r="M106" s="77">
        <f>(IF(B97&gt;2,(I97/(B97+4)+M105),0))</f>
        <v>0</v>
      </c>
    </row>
    <row r="107" spans="1:13" ht="15.6" x14ac:dyDescent="0.3">
      <c r="A107" s="105" t="s">
        <v>264</v>
      </c>
      <c r="B107" s="103"/>
      <c r="C107" s="56">
        <v>0</v>
      </c>
      <c r="D107" s="88">
        <f ca="1">((100/I97)*C107)/100</f>
        <v>0</v>
      </c>
      <c r="E107" s="88"/>
      <c r="F107" s="88"/>
      <c r="G107" s="88"/>
      <c r="H107" s="88"/>
      <c r="I107" s="88"/>
      <c r="J107" s="90"/>
      <c r="K107" s="34" t="s">
        <v>265</v>
      </c>
      <c r="M107" s="78">
        <f>(IF(B97&gt;3,(I97/(B97+4)+M106),0))</f>
        <v>0</v>
      </c>
    </row>
    <row r="108" spans="1:13" ht="15.6" x14ac:dyDescent="0.3">
      <c r="A108" s="105" t="s">
        <v>266</v>
      </c>
      <c r="B108" s="103" t="s">
        <v>266</v>
      </c>
      <c r="C108" s="56">
        <v>0</v>
      </c>
      <c r="D108" s="88">
        <f ca="1">((100/(I97))*C108)/100</f>
        <v>0</v>
      </c>
      <c r="E108" s="88"/>
      <c r="F108" s="88"/>
      <c r="G108" s="88"/>
      <c r="H108" s="88"/>
      <c r="I108" s="88"/>
      <c r="J108" s="90"/>
      <c r="K108" s="34" t="s">
        <v>237</v>
      </c>
      <c r="L108" s="72"/>
      <c r="M108" s="74">
        <f ca="1">(IF(B97=0,I97/4+M103,(I97/(B97+4)+M103+MAX(0,M104-M103)+MAX(0,M105-M104)+MAX(0,M106-M105)+MAX(0,M107-M106))))</f>
        <v>3</v>
      </c>
    </row>
    <row r="109" spans="1:13" ht="16.2" thickBot="1" x14ac:dyDescent="0.35">
      <c r="A109" s="106" t="s">
        <v>267</v>
      </c>
      <c r="B109" s="107"/>
      <c r="C109" s="65">
        <v>0</v>
      </c>
      <c r="D109" s="89">
        <f ca="1">((100/(I97))*C109)/100</f>
        <v>0</v>
      </c>
      <c r="E109" s="89"/>
      <c r="F109" s="89"/>
      <c r="G109" s="89"/>
      <c r="H109" s="89"/>
      <c r="I109" s="89"/>
      <c r="J109" s="91"/>
      <c r="K109" s="35" t="s">
        <v>238</v>
      </c>
      <c r="L109" s="79"/>
      <c r="M109" s="80">
        <f ca="1">(IF(B97=0,I97/4+M108,(I97/(B97+4)+M108)))</f>
        <v>4</v>
      </c>
    </row>
    <row r="110" spans="1:13" ht="15.75" customHeight="1" x14ac:dyDescent="0.3">
      <c r="A110" s="94" t="s">
        <v>240</v>
      </c>
      <c r="B110" s="95"/>
      <c r="C110" s="96" t="s">
        <v>276</v>
      </c>
      <c r="D110" s="96"/>
      <c r="E110" s="96"/>
      <c r="F110" s="96"/>
      <c r="G110" s="96"/>
      <c r="H110" s="96"/>
      <c r="I110" s="96"/>
      <c r="J110" s="97"/>
      <c r="K110" s="32" t="str">
        <f ca="1">(IF(C114=0,"Work not yet Started.",IF(D114=25%,"Piling work in process",IF(D114=50%,"Excavation work in process",IF(D114=100%,"Excavation work completed, ","0")))&amp;(IF(C115=0%,"",IF(C115=M116,"Footing work is process",IF(C115=M117,"Footing work Completed",IF(C115=M118,"1st Basement Completed",IF(C115=M119,"1st &amp; 2nd Basement Completed",IF(C115=M120,"1st to 3rd Basement Completed",IF(C115=M121,"1st to 4th Basement Completed",IF(C115=M122,"Plinth work is process",IF(C115=M123,"Plinth work completed","0")))))))))))&amp;(IF(C116&gt;0,", RCC upto "&amp;C116&amp;" Slab completed",""))&amp;(IF(C117&gt;0,", Brickwork upto "&amp;C117&amp;" Floor completed"," "))&amp;(IF(C118&gt;0,", Internal Plaster upto "&amp;C118&amp;" Floor completed"," "))&amp;(IF(C119&gt;0,", External Plaster upto "&amp;C119&amp;" Floor completed"," "))&amp;(IF(C120&gt;0,", Flooring upto "&amp;C120&amp;" Floor completed"," "))&amp;(IF(C121&gt;0,", Painting upto "&amp;C121&amp;" Floor completed"," "))&amp;(IF(C122&gt;0,", Finishing upto "&amp;C122&amp;" Floor completed"," ")))</f>
        <v xml:space="preserve">Excavation work in process      </v>
      </c>
      <c r="L110" s="32"/>
      <c r="M110" s="68"/>
    </row>
    <row r="111" spans="1:13" ht="15.6" x14ac:dyDescent="0.3">
      <c r="A111" s="46" t="s">
        <v>241</v>
      </c>
      <c r="B111" s="44">
        <v>0</v>
      </c>
      <c r="C111" s="44" t="s">
        <v>242</v>
      </c>
      <c r="D111" s="44">
        <v>1</v>
      </c>
      <c r="E111" s="44" t="s">
        <v>243</v>
      </c>
      <c r="F111" s="87">
        <v>0</v>
      </c>
      <c r="G111" s="87"/>
      <c r="H111" s="44" t="s">
        <v>244</v>
      </c>
      <c r="I111" s="87">
        <f ca="1">--TRIM(RIGHT(SUBSTITUTE(LEFT(C110,_xlfn.AGGREGATE(16,6,FIND({0,1,2,3,4,5,6,7,8,9},C110,ROW(INDIRECT("1:"&amp;LEN(C110)))),1))," ",REPT(" ",LEN(C110))),LEN(C110)))</f>
        <v>4</v>
      </c>
      <c r="J111" s="98"/>
      <c r="K111" s="33" t="s">
        <v>245</v>
      </c>
      <c r="L111" s="33"/>
      <c r="M111" s="69"/>
    </row>
    <row r="112" spans="1:13" ht="15.75" customHeight="1" x14ac:dyDescent="0.3">
      <c r="A112" s="99" t="s">
        <v>246</v>
      </c>
      <c r="B112" s="100"/>
      <c r="C112" s="101" t="str">
        <f ca="1">K110</f>
        <v xml:space="preserve">Excavation work in process      </v>
      </c>
      <c r="D112" s="101"/>
      <c r="E112" s="101"/>
      <c r="F112" s="101"/>
      <c r="G112" s="101"/>
      <c r="H112" s="101"/>
      <c r="I112" s="101"/>
      <c r="J112" s="102"/>
      <c r="K112" s="33" t="s">
        <v>247</v>
      </c>
      <c r="L112" s="33"/>
      <c r="M112" s="69"/>
    </row>
    <row r="113" spans="1:13" ht="15.6" x14ac:dyDescent="0.3">
      <c r="A113" s="105" t="s">
        <v>34</v>
      </c>
      <c r="B113" s="103"/>
      <c r="C113" s="45" t="s">
        <v>248</v>
      </c>
      <c r="D113" s="103" t="s">
        <v>249</v>
      </c>
      <c r="E113" s="103"/>
      <c r="F113" s="103" t="s">
        <v>250</v>
      </c>
      <c r="G113" s="103"/>
      <c r="H113" s="103" t="s">
        <v>251</v>
      </c>
      <c r="I113" s="103"/>
      <c r="J113" s="104"/>
      <c r="K113" s="34" t="s">
        <v>252</v>
      </c>
      <c r="L113" s="70"/>
      <c r="M113" s="71">
        <f ca="1">I111*25%</f>
        <v>1</v>
      </c>
    </row>
    <row r="114" spans="1:13" ht="15.6" x14ac:dyDescent="0.3">
      <c r="A114" s="105" t="s">
        <v>253</v>
      </c>
      <c r="B114" s="103"/>
      <c r="C114" s="56">
        <v>2</v>
      </c>
      <c r="D114" s="88">
        <f ca="1">((100/I111)*C114)/100</f>
        <v>0.5</v>
      </c>
      <c r="E114" s="88"/>
      <c r="F114" s="88">
        <f ca="1">(IF(C112=K111,"100%",IF(C112=K112,"100%",(((C115/I111*10)+(40/(D111+F111+I111)*C116)+(7.5/(I111)*C117)+(7.5/(I111)*C118)+(10/I111*C119)+(10/I111*C120)+(5/I111*C121)+(5/I111*C122)+(5/I111*C123))/100))))</f>
        <v>0</v>
      </c>
      <c r="G114" s="88"/>
      <c r="H114" s="88">
        <f ca="1">((((C114/I111)*20)+((C115/I111)*25)+(30/(I111+F111+D111)*C116)+(5/I111*C117)+(5/I111*C118)+(5/I111*C119)+(5/I111*C120)+(0/I111*C121)+(0/I111*C122)+(5/I111*C123))/100)</f>
        <v>0.1</v>
      </c>
      <c r="I114" s="88"/>
      <c r="J114" s="90"/>
      <c r="K114" s="34" t="s">
        <v>233</v>
      </c>
      <c r="L114" s="72"/>
      <c r="M114" s="73">
        <f ca="1">I111*50%</f>
        <v>2</v>
      </c>
    </row>
    <row r="115" spans="1:13" ht="15.6" x14ac:dyDescent="0.3">
      <c r="A115" s="105" t="s">
        <v>35</v>
      </c>
      <c r="B115" s="103"/>
      <c r="C115" s="59">
        <v>0</v>
      </c>
      <c r="D115" s="88">
        <f ca="1">((100/I111)*C115)/100</f>
        <v>0</v>
      </c>
      <c r="E115" s="88"/>
      <c r="F115" s="88"/>
      <c r="G115" s="88"/>
      <c r="H115" s="88"/>
      <c r="I115" s="88"/>
      <c r="J115" s="90"/>
      <c r="K115" s="34" t="s">
        <v>234</v>
      </c>
      <c r="L115" s="72"/>
      <c r="M115" s="73">
        <f ca="1">I111</f>
        <v>4</v>
      </c>
    </row>
    <row r="116" spans="1:13" ht="15.6" x14ac:dyDescent="0.3">
      <c r="A116" s="105" t="s">
        <v>254</v>
      </c>
      <c r="B116" s="103"/>
      <c r="C116" s="59">
        <v>0</v>
      </c>
      <c r="D116" s="88">
        <f ca="1">((100/(D111+F111+I111))*C116)/100</f>
        <v>0</v>
      </c>
      <c r="E116" s="88"/>
      <c r="F116" s="88"/>
      <c r="G116" s="88"/>
      <c r="H116" s="88"/>
      <c r="I116" s="88"/>
      <c r="J116" s="90"/>
      <c r="K116" s="34" t="s">
        <v>235</v>
      </c>
      <c r="L116" s="72"/>
      <c r="M116" s="74">
        <f ca="1">(IF(B111=0,I111/4,(I111/(B111+4))))</f>
        <v>1</v>
      </c>
    </row>
    <row r="117" spans="1:13" ht="15.6" x14ac:dyDescent="0.3">
      <c r="A117" s="105" t="s">
        <v>255</v>
      </c>
      <c r="B117" s="103" t="s">
        <v>256</v>
      </c>
      <c r="C117" s="56">
        <v>0</v>
      </c>
      <c r="D117" s="88">
        <f ca="1">((100/I111)*C117)/100</f>
        <v>0</v>
      </c>
      <c r="E117" s="88"/>
      <c r="F117" s="88"/>
      <c r="G117" s="88"/>
      <c r="H117" s="88"/>
      <c r="I117" s="88"/>
      <c r="J117" s="90"/>
      <c r="K117" s="34" t="s">
        <v>236</v>
      </c>
      <c r="L117" s="72"/>
      <c r="M117" s="74">
        <f ca="1">(IF(B111=0,I111/4+M116,(I111/(B111+4)+M116)))</f>
        <v>2</v>
      </c>
    </row>
    <row r="118" spans="1:13" ht="15.6" x14ac:dyDescent="0.3">
      <c r="A118" s="105" t="s">
        <v>257</v>
      </c>
      <c r="B118" s="103" t="s">
        <v>256</v>
      </c>
      <c r="C118" s="56">
        <v>0</v>
      </c>
      <c r="D118" s="88">
        <f ca="1">((100/I111)*C118)/100</f>
        <v>0</v>
      </c>
      <c r="E118" s="88"/>
      <c r="F118" s="88"/>
      <c r="G118" s="88"/>
      <c r="H118" s="88"/>
      <c r="I118" s="88"/>
      <c r="J118" s="90"/>
      <c r="K118" s="34" t="s">
        <v>258</v>
      </c>
      <c r="L118" s="75"/>
      <c r="M118" s="74">
        <f>(IF(B111=0,0,(I111/(B111+4)+M117)))</f>
        <v>0</v>
      </c>
    </row>
    <row r="119" spans="1:13" ht="15.6" x14ac:dyDescent="0.3">
      <c r="A119" s="105" t="s">
        <v>259</v>
      </c>
      <c r="B119" s="103" t="s">
        <v>260</v>
      </c>
      <c r="C119" s="56">
        <v>0</v>
      </c>
      <c r="D119" s="88">
        <f ca="1">((100/(I111))*C119)/100</f>
        <v>0</v>
      </c>
      <c r="E119" s="88"/>
      <c r="F119" s="88"/>
      <c r="G119" s="88"/>
      <c r="H119" s="88"/>
      <c r="I119" s="88"/>
      <c r="J119" s="90"/>
      <c r="K119" s="34" t="s">
        <v>261</v>
      </c>
      <c r="L119" s="75"/>
      <c r="M119" s="74">
        <f>(IF(B111&gt;1,(I111/(B111+4)+M118),0))</f>
        <v>0</v>
      </c>
    </row>
    <row r="120" spans="1:13" ht="15.6" x14ac:dyDescent="0.3">
      <c r="A120" s="105" t="s">
        <v>262</v>
      </c>
      <c r="B120" s="103" t="s">
        <v>262</v>
      </c>
      <c r="C120" s="56">
        <v>0</v>
      </c>
      <c r="D120" s="88">
        <f ca="1">((100/I111)*C120)/100</f>
        <v>0</v>
      </c>
      <c r="E120" s="88"/>
      <c r="F120" s="88"/>
      <c r="G120" s="88"/>
      <c r="H120" s="88"/>
      <c r="I120" s="88"/>
      <c r="J120" s="90"/>
      <c r="K120" s="34" t="s">
        <v>263</v>
      </c>
      <c r="L120" s="76"/>
      <c r="M120" s="77">
        <f>(IF(B111&gt;2,(I111/(B111+4)+M119),0))</f>
        <v>0</v>
      </c>
    </row>
    <row r="121" spans="1:13" ht="15.6" x14ac:dyDescent="0.3">
      <c r="A121" s="105" t="s">
        <v>264</v>
      </c>
      <c r="B121" s="103"/>
      <c r="C121" s="56">
        <v>0</v>
      </c>
      <c r="D121" s="88">
        <f ca="1">((100/I111)*C121)/100</f>
        <v>0</v>
      </c>
      <c r="E121" s="88"/>
      <c r="F121" s="88"/>
      <c r="G121" s="88"/>
      <c r="H121" s="88"/>
      <c r="I121" s="88"/>
      <c r="J121" s="90"/>
      <c r="K121" s="34" t="s">
        <v>265</v>
      </c>
      <c r="M121" s="78">
        <f>(IF(B111&gt;3,(I111/(B111+4)+M120),0))</f>
        <v>0</v>
      </c>
    </row>
    <row r="122" spans="1:13" ht="15.6" x14ac:dyDescent="0.3">
      <c r="A122" s="105" t="s">
        <v>266</v>
      </c>
      <c r="B122" s="103" t="s">
        <v>266</v>
      </c>
      <c r="C122" s="56">
        <v>0</v>
      </c>
      <c r="D122" s="88">
        <f ca="1">((100/(I111))*C122)/100</f>
        <v>0</v>
      </c>
      <c r="E122" s="88"/>
      <c r="F122" s="88"/>
      <c r="G122" s="88"/>
      <c r="H122" s="88"/>
      <c r="I122" s="88"/>
      <c r="J122" s="90"/>
      <c r="K122" s="34" t="s">
        <v>237</v>
      </c>
      <c r="L122" s="72"/>
      <c r="M122" s="74">
        <f ca="1">(IF(B111=0,I111/4+M117,(I111/(B111+4)+M117+MAX(0,M118-M117)+MAX(0,M119-M118)+MAX(0,M120-M119)+MAX(0,M121-M120))))</f>
        <v>3</v>
      </c>
    </row>
    <row r="123" spans="1:13" ht="16.2" thickBot="1" x14ac:dyDescent="0.35">
      <c r="A123" s="106" t="s">
        <v>267</v>
      </c>
      <c r="B123" s="107"/>
      <c r="C123" s="65">
        <v>0</v>
      </c>
      <c r="D123" s="89">
        <f ca="1">((100/(I111))*C123)/100</f>
        <v>0</v>
      </c>
      <c r="E123" s="89"/>
      <c r="F123" s="89"/>
      <c r="G123" s="89"/>
      <c r="H123" s="89"/>
      <c r="I123" s="89"/>
      <c r="J123" s="91"/>
      <c r="K123" s="35" t="s">
        <v>238</v>
      </c>
      <c r="L123" s="79"/>
      <c r="M123" s="80">
        <f ca="1">(IF(B111=0,I111/4+M122,(I111/(B111+4)+M122)))</f>
        <v>4</v>
      </c>
    </row>
    <row r="124" spans="1:13" ht="15.75" customHeight="1" x14ac:dyDescent="0.3">
      <c r="A124" s="94" t="s">
        <v>240</v>
      </c>
      <c r="B124" s="95"/>
      <c r="C124" s="96" t="s">
        <v>271</v>
      </c>
      <c r="D124" s="96"/>
      <c r="E124" s="96"/>
      <c r="F124" s="96"/>
      <c r="G124" s="96"/>
      <c r="H124" s="96"/>
      <c r="I124" s="96"/>
      <c r="J124" s="97"/>
      <c r="K124" s="32" t="str">
        <f ca="1">(IF(C128=0,"Work not yet Started.",IF(D128=25%,"Piling work in process",IF(D128=50%,"Excavation work in process",IF(D128=100%,"Excavation work completed, ","0")))&amp;(IF(C129=0%,"",IF(C129=M130,"Footing work is process",IF(C129=M131,"Footing work Completed",IF(C129=M132,"1st Basement Completed",IF(C129=M133,"1st &amp; 2nd Basement Completed",IF(C129=M134,"1st to 3rd Basement Completed",IF(C129=M135,"1st to 4th Basement Completed",IF(C129=M136,"Plinth work is process",IF(C129=M137,"Plinth work completed","0")))))))))))&amp;(IF(C130&gt;0,", RCC upto "&amp;C130&amp;" Slab completed",""))&amp;(IF(C131&gt;0,", Brickwork upto "&amp;C131&amp;" Floor completed"," "))&amp;(IF(C132&gt;0,", Internal Plaster upto "&amp;C132&amp;" Floor completed"," "))&amp;(IF(C133&gt;0,", External Plaster upto "&amp;C133&amp;" Floor completed"," "))&amp;(IF(C134&gt;0,", Flooring upto "&amp;C134&amp;" Floor completed"," "))&amp;(IF(C135&gt;0,", Painting upto "&amp;C135&amp;" Floor completed"," "))&amp;(IF(C136&gt;0,", Finishing upto "&amp;C136&amp;" Floor completed"," ")))</f>
        <v xml:space="preserve">Piling work in process      </v>
      </c>
      <c r="L124" s="32"/>
      <c r="M124" s="68"/>
    </row>
    <row r="125" spans="1:13" ht="15.6" x14ac:dyDescent="0.3">
      <c r="A125" s="46" t="s">
        <v>241</v>
      </c>
      <c r="B125" s="44">
        <v>0</v>
      </c>
      <c r="C125" s="44" t="s">
        <v>242</v>
      </c>
      <c r="D125" s="44">
        <v>1</v>
      </c>
      <c r="E125" s="44" t="s">
        <v>243</v>
      </c>
      <c r="F125" s="87">
        <v>0</v>
      </c>
      <c r="G125" s="87"/>
      <c r="H125" s="44" t="s">
        <v>244</v>
      </c>
      <c r="I125" s="87">
        <f ca="1">--TRIM(RIGHT(SUBSTITUTE(LEFT(C124,_xlfn.AGGREGATE(16,6,FIND({0,1,2,3,4,5,6,7,8,9},C124,ROW(INDIRECT("1:"&amp;LEN(C124)))),1))," ",REPT(" ",LEN(C124))),LEN(C124)))</f>
        <v>4</v>
      </c>
      <c r="J125" s="98"/>
      <c r="K125" s="33" t="s">
        <v>245</v>
      </c>
      <c r="L125" s="33"/>
      <c r="M125" s="69"/>
    </row>
    <row r="126" spans="1:13" ht="15.75" customHeight="1" x14ac:dyDescent="0.3">
      <c r="A126" s="99" t="s">
        <v>246</v>
      </c>
      <c r="B126" s="100"/>
      <c r="C126" s="101" t="str">
        <f ca="1">K124</f>
        <v xml:space="preserve">Piling work in process      </v>
      </c>
      <c r="D126" s="101"/>
      <c r="E126" s="101"/>
      <c r="F126" s="101"/>
      <c r="G126" s="101"/>
      <c r="H126" s="101"/>
      <c r="I126" s="101"/>
      <c r="J126" s="102"/>
      <c r="K126" s="33" t="s">
        <v>247</v>
      </c>
      <c r="L126" s="33"/>
      <c r="M126" s="69"/>
    </row>
    <row r="127" spans="1:13" ht="15.6" x14ac:dyDescent="0.3">
      <c r="A127" s="86" t="s">
        <v>34</v>
      </c>
      <c r="B127" s="87"/>
      <c r="C127" s="45" t="s">
        <v>248</v>
      </c>
      <c r="D127" s="103" t="s">
        <v>249</v>
      </c>
      <c r="E127" s="103"/>
      <c r="F127" s="103" t="s">
        <v>250</v>
      </c>
      <c r="G127" s="103"/>
      <c r="H127" s="103" t="s">
        <v>251</v>
      </c>
      <c r="I127" s="103"/>
      <c r="J127" s="104"/>
      <c r="K127" s="34" t="s">
        <v>252</v>
      </c>
      <c r="L127" s="70"/>
      <c r="M127" s="71">
        <f ca="1">I125*25%</f>
        <v>1</v>
      </c>
    </row>
    <row r="128" spans="1:13" ht="15.6" x14ac:dyDescent="0.3">
      <c r="A128" s="86" t="s">
        <v>253</v>
      </c>
      <c r="B128" s="87"/>
      <c r="C128" s="56">
        <f ca="1">M127</f>
        <v>1</v>
      </c>
      <c r="D128" s="88">
        <f ca="1">((100/I125)*C128)/100</f>
        <v>0.25</v>
      </c>
      <c r="E128" s="88"/>
      <c r="F128" s="88">
        <f ca="1">(IF(C126=K125,"100%",IF(C126=K126,"100%",(((C129/I125*10)+(40/(D125+F125+I125)*C130)+(7.5/(I125)*C131)+(7.5/(I125)*C132)+(10/I125*C133)+(10/I125*C134)+(5/I125*C135)+(5/I125*C136)+(5/I125*C137))/100))))</f>
        <v>0</v>
      </c>
      <c r="G128" s="88"/>
      <c r="H128" s="88">
        <f ca="1">((((C128/I125)*20)+((C129/I125)*25)+(30/(I125+F125+D125)*C130)+(5/I125*C131)+(5/I125*C132)+(5/I125*C133)+(5/I125*C134)+(0/I125*C135)+(0/I125*C136)+(5/I125*C137))/100)</f>
        <v>0.05</v>
      </c>
      <c r="I128" s="88"/>
      <c r="J128" s="90"/>
      <c r="K128" s="34" t="s">
        <v>233</v>
      </c>
      <c r="L128" s="72"/>
      <c r="M128" s="73">
        <f ca="1">I125*50%</f>
        <v>2</v>
      </c>
    </row>
    <row r="129" spans="1:13" ht="15.6" x14ac:dyDescent="0.3">
      <c r="A129" s="86" t="s">
        <v>35</v>
      </c>
      <c r="B129" s="87"/>
      <c r="C129" s="59">
        <v>0</v>
      </c>
      <c r="D129" s="88">
        <f ca="1">((100/I125)*C129)/100</f>
        <v>0</v>
      </c>
      <c r="E129" s="88"/>
      <c r="F129" s="88"/>
      <c r="G129" s="88"/>
      <c r="H129" s="88"/>
      <c r="I129" s="88"/>
      <c r="J129" s="90"/>
      <c r="K129" s="34" t="s">
        <v>234</v>
      </c>
      <c r="L129" s="72"/>
      <c r="M129" s="73">
        <f ca="1">I125</f>
        <v>4</v>
      </c>
    </row>
    <row r="130" spans="1:13" ht="15.6" x14ac:dyDescent="0.3">
      <c r="A130" s="86" t="s">
        <v>254</v>
      </c>
      <c r="B130" s="87"/>
      <c r="C130" s="59">
        <v>0</v>
      </c>
      <c r="D130" s="88">
        <f ca="1">((100/(D125+F125+I125))*C130)/100</f>
        <v>0</v>
      </c>
      <c r="E130" s="88"/>
      <c r="F130" s="88"/>
      <c r="G130" s="88"/>
      <c r="H130" s="88"/>
      <c r="I130" s="88"/>
      <c r="J130" s="90"/>
      <c r="K130" s="34" t="s">
        <v>235</v>
      </c>
      <c r="L130" s="72"/>
      <c r="M130" s="74">
        <f ca="1">(IF(B125=0,I125/4,(I125/(B125+4))))</f>
        <v>1</v>
      </c>
    </row>
    <row r="131" spans="1:13" ht="15.6" x14ac:dyDescent="0.3">
      <c r="A131" s="86" t="s">
        <v>255</v>
      </c>
      <c r="B131" s="87" t="s">
        <v>256</v>
      </c>
      <c r="C131" s="56">
        <v>0</v>
      </c>
      <c r="D131" s="88">
        <f ca="1">((100/I125)*C131)/100</f>
        <v>0</v>
      </c>
      <c r="E131" s="88"/>
      <c r="F131" s="88"/>
      <c r="G131" s="88"/>
      <c r="H131" s="88"/>
      <c r="I131" s="88"/>
      <c r="J131" s="90"/>
      <c r="K131" s="34" t="s">
        <v>236</v>
      </c>
      <c r="L131" s="72"/>
      <c r="M131" s="74">
        <f ca="1">(IF(B125=0,I125/4+M130,(I125/(B125+4)+M130)))</f>
        <v>2</v>
      </c>
    </row>
    <row r="132" spans="1:13" ht="15.6" x14ac:dyDescent="0.3">
      <c r="A132" s="86" t="s">
        <v>257</v>
      </c>
      <c r="B132" s="87" t="s">
        <v>256</v>
      </c>
      <c r="C132" s="56">
        <v>0</v>
      </c>
      <c r="D132" s="88">
        <f ca="1">((100/I125)*C132)/100</f>
        <v>0</v>
      </c>
      <c r="E132" s="88"/>
      <c r="F132" s="88"/>
      <c r="G132" s="88"/>
      <c r="H132" s="88"/>
      <c r="I132" s="88"/>
      <c r="J132" s="90"/>
      <c r="K132" s="34" t="s">
        <v>258</v>
      </c>
      <c r="L132" s="75"/>
      <c r="M132" s="74">
        <f>(IF(B125=0,0,(I125/(B125+4)+M131)))</f>
        <v>0</v>
      </c>
    </row>
    <row r="133" spans="1:13" ht="15.6" x14ac:dyDescent="0.3">
      <c r="A133" s="86" t="s">
        <v>259</v>
      </c>
      <c r="B133" s="87" t="s">
        <v>260</v>
      </c>
      <c r="C133" s="56">
        <v>0</v>
      </c>
      <c r="D133" s="88">
        <f ca="1">((100/(I125))*C133)/100</f>
        <v>0</v>
      </c>
      <c r="E133" s="88"/>
      <c r="F133" s="88"/>
      <c r="G133" s="88"/>
      <c r="H133" s="88"/>
      <c r="I133" s="88"/>
      <c r="J133" s="90"/>
      <c r="K133" s="34" t="s">
        <v>261</v>
      </c>
      <c r="L133" s="75"/>
      <c r="M133" s="74">
        <f>(IF(B125&gt;1,(I125/(B125+4)+M132),0))</f>
        <v>0</v>
      </c>
    </row>
    <row r="134" spans="1:13" ht="15.6" x14ac:dyDescent="0.3">
      <c r="A134" s="86" t="s">
        <v>262</v>
      </c>
      <c r="B134" s="87" t="s">
        <v>262</v>
      </c>
      <c r="C134" s="56">
        <v>0</v>
      </c>
      <c r="D134" s="88">
        <f ca="1">((100/I125)*C134)/100</f>
        <v>0</v>
      </c>
      <c r="E134" s="88"/>
      <c r="F134" s="88"/>
      <c r="G134" s="88"/>
      <c r="H134" s="88"/>
      <c r="I134" s="88"/>
      <c r="J134" s="90"/>
      <c r="K134" s="34" t="s">
        <v>263</v>
      </c>
      <c r="L134" s="76"/>
      <c r="M134" s="77">
        <f>(IF(B125&gt;2,(I125/(B125+4)+M133),0))</f>
        <v>0</v>
      </c>
    </row>
    <row r="135" spans="1:13" ht="15.6" x14ac:dyDescent="0.3">
      <c r="A135" s="86" t="s">
        <v>264</v>
      </c>
      <c r="B135" s="87"/>
      <c r="C135" s="56">
        <v>0</v>
      </c>
      <c r="D135" s="88">
        <f ca="1">((100/I125)*C135)/100</f>
        <v>0</v>
      </c>
      <c r="E135" s="88"/>
      <c r="F135" s="88"/>
      <c r="G135" s="88"/>
      <c r="H135" s="88"/>
      <c r="I135" s="88"/>
      <c r="J135" s="90"/>
      <c r="K135" s="34" t="s">
        <v>265</v>
      </c>
      <c r="M135" s="78">
        <f>(IF(B125&gt;3,(I125/(B125+4)+M134),0))</f>
        <v>0</v>
      </c>
    </row>
    <row r="136" spans="1:13" ht="15.6" x14ac:dyDescent="0.3">
      <c r="A136" s="86" t="s">
        <v>266</v>
      </c>
      <c r="B136" s="87" t="s">
        <v>266</v>
      </c>
      <c r="C136" s="56">
        <v>0</v>
      </c>
      <c r="D136" s="88">
        <f ca="1">((100/(I125))*C136)/100</f>
        <v>0</v>
      </c>
      <c r="E136" s="88"/>
      <c r="F136" s="88"/>
      <c r="G136" s="88"/>
      <c r="H136" s="88"/>
      <c r="I136" s="88"/>
      <c r="J136" s="90"/>
      <c r="K136" s="34" t="s">
        <v>237</v>
      </c>
      <c r="L136" s="72"/>
      <c r="M136" s="74">
        <f ca="1">(IF(B125=0,I125/4+M131,(I125/(B125+4)+M131+MAX(0,M132-M131)+MAX(0,M133-M132)+MAX(0,M134-M133)+MAX(0,M135-M134))))</f>
        <v>3</v>
      </c>
    </row>
    <row r="137" spans="1:13" ht="16.2" thickBot="1" x14ac:dyDescent="0.35">
      <c r="A137" s="92" t="s">
        <v>267</v>
      </c>
      <c r="B137" s="93"/>
      <c r="C137" s="65">
        <v>0</v>
      </c>
      <c r="D137" s="89">
        <f ca="1">((100/(I125))*C137)/100</f>
        <v>0</v>
      </c>
      <c r="E137" s="89"/>
      <c r="F137" s="89"/>
      <c r="G137" s="89"/>
      <c r="H137" s="89"/>
      <c r="I137" s="89"/>
      <c r="J137" s="91"/>
      <c r="K137" s="35" t="s">
        <v>238</v>
      </c>
      <c r="L137" s="79"/>
      <c r="M137" s="80">
        <f ca="1">(IF(B125=0,I125/4+M136,(I125/(B125+4)+M136)))</f>
        <v>4</v>
      </c>
    </row>
    <row r="138" spans="1:13" ht="15.75" customHeight="1" x14ac:dyDescent="0.3">
      <c r="A138" s="94" t="s">
        <v>240</v>
      </c>
      <c r="B138" s="95"/>
      <c r="C138" s="96" t="s">
        <v>270</v>
      </c>
      <c r="D138" s="96"/>
      <c r="E138" s="96"/>
      <c r="F138" s="96"/>
      <c r="G138" s="96"/>
      <c r="H138" s="96"/>
      <c r="I138" s="96"/>
      <c r="J138" s="97"/>
      <c r="K138" s="32" t="str">
        <f ca="1">(IF(C142=0,"Work not yet Started.",IF(D142=25%,"Piling work in process",IF(D142=50%,"Excavation work in process",IF(D142=100%,"Excavation work completed, ","0")))&amp;(IF(C143=0%,"",IF(C143=M144,"Footing work is process",IF(C143=M145,"Footing work Completed",IF(C143=M146,"1st Basement Completed",IF(C143=M147,"1st &amp; 2nd Basement Completed",IF(C143=M148,"1st to 3rd Basement Completed",IF(C143=M149,"1st to 4th Basement Completed",IF(C143=M150,"Plinth work is process",IF(C143=M151,"Plinth work completed","0")))))))))))&amp;(IF(C144&gt;0,", RCC upto "&amp;C144&amp;" Slab completed",""))&amp;(IF(C145&gt;0,", Brickwork upto "&amp;C145&amp;" Floor completed"," "))&amp;(IF(C146&gt;0,", Internal Plaster upto "&amp;C146&amp;" Floor completed"," "))&amp;(IF(C147&gt;0,", External Plaster upto "&amp;C147&amp;" Floor completed"," "))&amp;(IF(C148&gt;0,", Flooring upto "&amp;C148&amp;" Floor completed"," "))&amp;(IF(C149&gt;0,", Painting upto "&amp;C149&amp;" Floor completed"," "))&amp;(IF(C150&gt;0,", Finishing upto "&amp;C150&amp;" Floor completed"," ")))</f>
        <v xml:space="preserve">Excavation work completed, Plinth work completed      </v>
      </c>
      <c r="L138" s="32"/>
      <c r="M138" s="68"/>
    </row>
    <row r="139" spans="1:13" ht="15.6" x14ac:dyDescent="0.3">
      <c r="A139" s="46" t="s">
        <v>241</v>
      </c>
      <c r="B139" s="44">
        <v>0</v>
      </c>
      <c r="C139" s="44" t="s">
        <v>242</v>
      </c>
      <c r="D139" s="44">
        <v>1</v>
      </c>
      <c r="E139" s="44" t="s">
        <v>243</v>
      </c>
      <c r="F139" s="87">
        <v>0</v>
      </c>
      <c r="G139" s="87"/>
      <c r="H139" s="44" t="s">
        <v>244</v>
      </c>
      <c r="I139" s="87">
        <f ca="1">--TRIM(RIGHT(SUBSTITUTE(LEFT(C138,_xlfn.AGGREGATE(16,6,FIND({0,1,2,3,4,5,6,7,8,9},C138,ROW(INDIRECT("1:"&amp;LEN(C138)))),1))," ",REPT(" ",LEN(C138))),LEN(C138)))</f>
        <v>4</v>
      </c>
      <c r="J139" s="98"/>
      <c r="K139" s="33" t="s">
        <v>245</v>
      </c>
      <c r="L139" s="33"/>
      <c r="M139" s="69"/>
    </row>
    <row r="140" spans="1:13" ht="15.75" customHeight="1" x14ac:dyDescent="0.3">
      <c r="A140" s="99" t="s">
        <v>246</v>
      </c>
      <c r="B140" s="100"/>
      <c r="C140" s="101" t="str">
        <f ca="1">K138</f>
        <v xml:space="preserve">Excavation work completed, Plinth work completed      </v>
      </c>
      <c r="D140" s="101"/>
      <c r="E140" s="101"/>
      <c r="F140" s="101"/>
      <c r="G140" s="101"/>
      <c r="H140" s="101"/>
      <c r="I140" s="101"/>
      <c r="J140" s="102"/>
      <c r="K140" s="33" t="s">
        <v>247</v>
      </c>
      <c r="L140" s="33"/>
      <c r="M140" s="69"/>
    </row>
    <row r="141" spans="1:13" ht="15.6" x14ac:dyDescent="0.3">
      <c r="A141" s="86" t="s">
        <v>34</v>
      </c>
      <c r="B141" s="87"/>
      <c r="C141" s="45" t="s">
        <v>248</v>
      </c>
      <c r="D141" s="103" t="s">
        <v>249</v>
      </c>
      <c r="E141" s="103"/>
      <c r="F141" s="103" t="s">
        <v>250</v>
      </c>
      <c r="G141" s="103"/>
      <c r="H141" s="103" t="s">
        <v>251</v>
      </c>
      <c r="I141" s="103"/>
      <c r="J141" s="104"/>
      <c r="K141" s="34" t="s">
        <v>252</v>
      </c>
      <c r="L141" s="70"/>
      <c r="M141" s="71">
        <f ca="1">I139*25%</f>
        <v>1</v>
      </c>
    </row>
    <row r="142" spans="1:13" ht="15.6" x14ac:dyDescent="0.3">
      <c r="A142" s="86" t="s">
        <v>253</v>
      </c>
      <c r="B142" s="87"/>
      <c r="C142" s="56">
        <f ca="1">M143</f>
        <v>4</v>
      </c>
      <c r="D142" s="88">
        <f ca="1">((100/I139)*C142)/100</f>
        <v>1</v>
      </c>
      <c r="E142" s="88"/>
      <c r="F142" s="88">
        <f ca="1">(IF(C140=K139,"100%",IF(C140=K140,"100%",(((C143/I139*10)+(40/(D139+F139+I139)*C144)+(7.5/(I139)*C145)+(7.5/(I139)*C146)+(10/I139*C147)+(10/I139*C148)+(5/I139*C149)+(5/I139*C150)+(5/I139*C151))/100))))</f>
        <v>0.1</v>
      </c>
      <c r="G142" s="88"/>
      <c r="H142" s="88">
        <f ca="1">((((C142/I139)*20)+((C143/I139)*25)+(30/(I139+F139+D139)*C144)+(5/I139*C145)+(5/I139*C146)+(5/I139*C147)+(5/I139*C148)+(0/I139*C149)+(0/I139*C150)+(5/I139*C151))/100)</f>
        <v>0.45</v>
      </c>
      <c r="I142" s="88"/>
      <c r="J142" s="90"/>
      <c r="K142" s="34" t="s">
        <v>233</v>
      </c>
      <c r="L142" s="72"/>
      <c r="M142" s="73">
        <f ca="1">I139*50%</f>
        <v>2</v>
      </c>
    </row>
    <row r="143" spans="1:13" ht="15.6" x14ac:dyDescent="0.3">
      <c r="A143" s="86" t="s">
        <v>35</v>
      </c>
      <c r="B143" s="87"/>
      <c r="C143" s="59">
        <f ca="1">M151</f>
        <v>4</v>
      </c>
      <c r="D143" s="88">
        <f ca="1">((100/I139)*C143)/100</f>
        <v>1</v>
      </c>
      <c r="E143" s="88"/>
      <c r="F143" s="88"/>
      <c r="G143" s="88"/>
      <c r="H143" s="88"/>
      <c r="I143" s="88"/>
      <c r="J143" s="90"/>
      <c r="K143" s="34" t="s">
        <v>234</v>
      </c>
      <c r="L143" s="72"/>
      <c r="M143" s="73">
        <f ca="1">I139</f>
        <v>4</v>
      </c>
    </row>
    <row r="144" spans="1:13" ht="15.6" x14ac:dyDescent="0.3">
      <c r="A144" s="86" t="s">
        <v>254</v>
      </c>
      <c r="B144" s="87"/>
      <c r="C144" s="59">
        <v>0</v>
      </c>
      <c r="D144" s="88">
        <f ca="1">((100/(D139+F139+I139))*C144)/100</f>
        <v>0</v>
      </c>
      <c r="E144" s="88"/>
      <c r="F144" s="88"/>
      <c r="G144" s="88"/>
      <c r="H144" s="88"/>
      <c r="I144" s="88"/>
      <c r="J144" s="90"/>
      <c r="K144" s="34" t="s">
        <v>235</v>
      </c>
      <c r="L144" s="72"/>
      <c r="M144" s="74">
        <f ca="1">(IF(B139=0,I139/4,(I139/(B139+4))))</f>
        <v>1</v>
      </c>
    </row>
    <row r="145" spans="1:13" ht="15.6" x14ac:dyDescent="0.3">
      <c r="A145" s="86" t="s">
        <v>255</v>
      </c>
      <c r="B145" s="87" t="s">
        <v>256</v>
      </c>
      <c r="C145" s="56">
        <v>0</v>
      </c>
      <c r="D145" s="88">
        <f ca="1">((100/I139)*C145)/100</f>
        <v>0</v>
      </c>
      <c r="E145" s="88"/>
      <c r="F145" s="88"/>
      <c r="G145" s="88"/>
      <c r="H145" s="88"/>
      <c r="I145" s="88"/>
      <c r="J145" s="90"/>
      <c r="K145" s="34" t="s">
        <v>236</v>
      </c>
      <c r="L145" s="72"/>
      <c r="M145" s="74">
        <f ca="1">(IF(B139=0,I139/4+M144,(I139/(B139+4)+M144)))</f>
        <v>2</v>
      </c>
    </row>
    <row r="146" spans="1:13" ht="15.6" x14ac:dyDescent="0.3">
      <c r="A146" s="86" t="s">
        <v>257</v>
      </c>
      <c r="B146" s="87" t="s">
        <v>256</v>
      </c>
      <c r="C146" s="56">
        <v>0</v>
      </c>
      <c r="D146" s="88">
        <f ca="1">((100/I139)*C146)/100</f>
        <v>0</v>
      </c>
      <c r="E146" s="88"/>
      <c r="F146" s="88"/>
      <c r="G146" s="88"/>
      <c r="H146" s="88"/>
      <c r="I146" s="88"/>
      <c r="J146" s="90"/>
      <c r="K146" s="34" t="s">
        <v>258</v>
      </c>
      <c r="L146" s="75"/>
      <c r="M146" s="74">
        <f>(IF(B139=0,0,(I139/(B139+4)+M145)))</f>
        <v>0</v>
      </c>
    </row>
    <row r="147" spans="1:13" ht="15.6" x14ac:dyDescent="0.3">
      <c r="A147" s="86" t="s">
        <v>259</v>
      </c>
      <c r="B147" s="87" t="s">
        <v>260</v>
      </c>
      <c r="C147" s="56">
        <v>0</v>
      </c>
      <c r="D147" s="88">
        <f ca="1">((100/(I139))*C147)/100</f>
        <v>0</v>
      </c>
      <c r="E147" s="88"/>
      <c r="F147" s="88"/>
      <c r="G147" s="88"/>
      <c r="H147" s="88"/>
      <c r="I147" s="88"/>
      <c r="J147" s="90"/>
      <c r="K147" s="34" t="s">
        <v>261</v>
      </c>
      <c r="L147" s="75"/>
      <c r="M147" s="74">
        <f>(IF(B139&gt;1,(I139/(B139+4)+M146),0))</f>
        <v>0</v>
      </c>
    </row>
    <row r="148" spans="1:13" ht="15.6" x14ac:dyDescent="0.3">
      <c r="A148" s="86" t="s">
        <v>262</v>
      </c>
      <c r="B148" s="87" t="s">
        <v>262</v>
      </c>
      <c r="C148" s="56">
        <v>0</v>
      </c>
      <c r="D148" s="88">
        <f ca="1">((100/I139)*C148)/100</f>
        <v>0</v>
      </c>
      <c r="E148" s="88"/>
      <c r="F148" s="88"/>
      <c r="G148" s="88"/>
      <c r="H148" s="88"/>
      <c r="I148" s="88"/>
      <c r="J148" s="90"/>
      <c r="K148" s="34" t="s">
        <v>263</v>
      </c>
      <c r="L148" s="76"/>
      <c r="M148" s="77">
        <f>(IF(B139&gt;2,(I139/(B139+4)+M147),0))</f>
        <v>0</v>
      </c>
    </row>
    <row r="149" spans="1:13" ht="15.6" x14ac:dyDescent="0.3">
      <c r="A149" s="86" t="s">
        <v>264</v>
      </c>
      <c r="B149" s="87"/>
      <c r="C149" s="56">
        <v>0</v>
      </c>
      <c r="D149" s="88">
        <f ca="1">((100/I139)*C149)/100</f>
        <v>0</v>
      </c>
      <c r="E149" s="88"/>
      <c r="F149" s="88"/>
      <c r="G149" s="88"/>
      <c r="H149" s="88"/>
      <c r="I149" s="88"/>
      <c r="J149" s="90"/>
      <c r="K149" s="34" t="s">
        <v>265</v>
      </c>
      <c r="M149" s="78">
        <f>(IF(B139&gt;3,(I139/(B139+4)+M148),0))</f>
        <v>0</v>
      </c>
    </row>
    <row r="150" spans="1:13" ht="15.6" x14ac:dyDescent="0.3">
      <c r="A150" s="105" t="s">
        <v>266</v>
      </c>
      <c r="B150" s="103" t="s">
        <v>266</v>
      </c>
      <c r="C150" s="56">
        <v>0</v>
      </c>
      <c r="D150" s="88">
        <f ca="1">((100/(I139))*C150)/100</f>
        <v>0</v>
      </c>
      <c r="E150" s="88"/>
      <c r="F150" s="88"/>
      <c r="G150" s="88"/>
      <c r="H150" s="88"/>
      <c r="I150" s="88"/>
      <c r="J150" s="90"/>
      <c r="K150" s="34" t="s">
        <v>237</v>
      </c>
      <c r="L150" s="72"/>
      <c r="M150" s="74">
        <f ca="1">(IF(B139=0,I139/4+M145,(I139/(B139+4)+M145+MAX(0,M146-M145)+MAX(0,M147-M146)+MAX(0,M148-M147)+MAX(0,M149-M148))))</f>
        <v>3</v>
      </c>
    </row>
    <row r="151" spans="1:13" ht="16.2" thickBot="1" x14ac:dyDescent="0.35">
      <c r="A151" s="92" t="s">
        <v>267</v>
      </c>
      <c r="B151" s="93"/>
      <c r="C151" s="65">
        <v>0</v>
      </c>
      <c r="D151" s="89">
        <f ca="1">((100/(I139))*C151)/100</f>
        <v>0</v>
      </c>
      <c r="E151" s="89"/>
      <c r="F151" s="89"/>
      <c r="G151" s="89"/>
      <c r="H151" s="89"/>
      <c r="I151" s="89"/>
      <c r="J151" s="91"/>
      <c r="K151" s="35" t="s">
        <v>238</v>
      </c>
      <c r="L151" s="79"/>
      <c r="M151" s="80">
        <f ca="1">(IF(B139=0,I139/4+M150,(I139/(B139+4)+M150)))</f>
        <v>4</v>
      </c>
    </row>
    <row r="152" spans="1:13" x14ac:dyDescent="0.3">
      <c r="A152" s="152" t="s">
        <v>59</v>
      </c>
      <c r="B152" s="153"/>
      <c r="C152" s="153"/>
      <c r="D152" s="153"/>
      <c r="E152" s="153"/>
      <c r="F152" s="153"/>
      <c r="G152" s="153"/>
      <c r="H152" s="153"/>
      <c r="I152" s="153"/>
      <c r="J152" s="154"/>
    </row>
    <row r="153" spans="1:13" x14ac:dyDescent="0.3">
      <c r="A153" s="152" t="s">
        <v>50</v>
      </c>
      <c r="B153" s="153"/>
      <c r="C153" s="153"/>
      <c r="D153" s="153"/>
      <c r="E153" s="153"/>
      <c r="F153" s="153"/>
      <c r="G153" s="153"/>
      <c r="H153" s="153"/>
      <c r="I153" s="153"/>
      <c r="J153" s="154"/>
    </row>
    <row r="154" spans="1:13" ht="15" customHeight="1" x14ac:dyDescent="0.3">
      <c r="A154" s="200" t="s">
        <v>78</v>
      </c>
      <c r="B154" s="201"/>
      <c r="C154" s="201"/>
      <c r="D154" s="201"/>
      <c r="E154" s="201"/>
      <c r="F154" s="201"/>
      <c r="G154" s="201"/>
      <c r="H154" s="201"/>
      <c r="I154" s="201"/>
      <c r="J154" s="202"/>
    </row>
    <row r="155" spans="1:13" x14ac:dyDescent="0.3">
      <c r="A155" s="203"/>
      <c r="B155" s="204"/>
      <c r="C155" s="204"/>
      <c r="D155" s="204"/>
      <c r="E155" s="204"/>
      <c r="F155" s="204"/>
      <c r="G155" s="204"/>
      <c r="H155" s="204"/>
      <c r="I155" s="204"/>
      <c r="J155" s="205"/>
    </row>
    <row r="156" spans="1:13" x14ac:dyDescent="0.3">
      <c r="A156" s="206" t="s">
        <v>23</v>
      </c>
      <c r="B156" s="189"/>
      <c r="C156" s="189"/>
      <c r="D156" s="189"/>
      <c r="E156" s="189"/>
      <c r="F156" s="189"/>
      <c r="G156" s="189"/>
      <c r="H156" s="189"/>
      <c r="I156" s="189"/>
      <c r="J156" s="190"/>
    </row>
    <row r="157" spans="1:13" s="50" customFormat="1" x14ac:dyDescent="0.3">
      <c r="A157" s="152" t="s">
        <v>188</v>
      </c>
      <c r="B157" s="153"/>
      <c r="C157" s="153"/>
      <c r="D157" s="153"/>
      <c r="E157" s="153"/>
      <c r="F157" s="154"/>
      <c r="G157" s="152">
        <v>2500</v>
      </c>
      <c r="H157" s="153"/>
      <c r="I157" s="153"/>
      <c r="J157" s="154"/>
    </row>
    <row r="158" spans="1:13" x14ac:dyDescent="0.3">
      <c r="A158" s="152" t="s">
        <v>198</v>
      </c>
      <c r="B158" s="153"/>
      <c r="C158" s="153"/>
      <c r="D158" s="153"/>
      <c r="E158" s="153"/>
      <c r="F158" s="154"/>
      <c r="G158" s="122">
        <v>5000</v>
      </c>
      <c r="H158" s="123"/>
      <c r="I158" s="123"/>
      <c r="J158" s="124"/>
    </row>
    <row r="159" spans="1:13" hidden="1" x14ac:dyDescent="0.3">
      <c r="A159" s="122" t="s">
        <v>77</v>
      </c>
      <c r="B159" s="125"/>
      <c r="C159" s="125"/>
      <c r="D159" s="125"/>
      <c r="E159" s="125"/>
      <c r="F159" s="126"/>
      <c r="G159" s="119" t="s">
        <v>51</v>
      </c>
      <c r="H159" s="120"/>
      <c r="I159" s="120"/>
      <c r="J159" s="121"/>
    </row>
    <row r="160" spans="1:13" hidden="1" x14ac:dyDescent="0.3">
      <c r="A160" s="122" t="s">
        <v>112</v>
      </c>
      <c r="B160" s="123"/>
      <c r="C160" s="123"/>
      <c r="D160" s="123"/>
      <c r="E160" s="123"/>
      <c r="F160" s="124"/>
      <c r="G160" s="119" t="s">
        <v>51</v>
      </c>
      <c r="H160" s="120"/>
      <c r="I160" s="120"/>
      <c r="J160" s="121"/>
    </row>
    <row r="161" spans="1:11" hidden="1" x14ac:dyDescent="0.3">
      <c r="A161" s="122" t="s">
        <v>113</v>
      </c>
      <c r="B161" s="123"/>
      <c r="C161" s="123"/>
      <c r="D161" s="123"/>
      <c r="E161" s="123"/>
      <c r="F161" s="124"/>
      <c r="G161" s="119" t="s">
        <v>51</v>
      </c>
      <c r="H161" s="120"/>
      <c r="I161" s="120"/>
      <c r="J161" s="121"/>
    </row>
    <row r="162" spans="1:11" hidden="1" x14ac:dyDescent="0.3">
      <c r="A162" s="119" t="s">
        <v>114</v>
      </c>
      <c r="B162" s="120"/>
      <c r="C162" s="120"/>
      <c r="D162" s="120"/>
      <c r="E162" s="120"/>
      <c r="F162" s="121"/>
      <c r="G162" s="119" t="s">
        <v>51</v>
      </c>
      <c r="H162" s="120"/>
      <c r="I162" s="120"/>
      <c r="J162" s="121"/>
    </row>
    <row r="163" spans="1:11" x14ac:dyDescent="0.3">
      <c r="A163" s="122" t="s">
        <v>80</v>
      </c>
      <c r="B163" s="123"/>
      <c r="C163" s="123"/>
      <c r="D163" s="123"/>
      <c r="E163" s="123"/>
      <c r="F163" s="124"/>
      <c r="G163" s="119" t="s">
        <v>199</v>
      </c>
      <c r="H163" s="120"/>
      <c r="I163" s="120"/>
      <c r="J163" s="121"/>
    </row>
    <row r="164" spans="1:11" x14ac:dyDescent="0.3">
      <c r="A164" s="122" t="s">
        <v>102</v>
      </c>
      <c r="B164" s="125"/>
      <c r="C164" s="125"/>
      <c r="D164" s="125"/>
      <c r="E164" s="125"/>
      <c r="F164" s="126"/>
      <c r="G164" s="119" t="s">
        <v>239</v>
      </c>
      <c r="H164" s="120"/>
      <c r="I164" s="120"/>
      <c r="J164" s="121"/>
    </row>
    <row r="165" spans="1:11" x14ac:dyDescent="0.3">
      <c r="A165" s="122" t="s">
        <v>201</v>
      </c>
      <c r="B165" s="123"/>
      <c r="C165" s="123"/>
      <c r="D165" s="123"/>
      <c r="E165" s="123"/>
      <c r="F165" s="124"/>
      <c r="G165" s="119" t="s">
        <v>200</v>
      </c>
      <c r="H165" s="120"/>
      <c r="I165" s="120"/>
      <c r="J165" s="121"/>
    </row>
    <row r="166" spans="1:11" hidden="1" x14ac:dyDescent="0.3">
      <c r="A166" s="122" t="s">
        <v>24</v>
      </c>
      <c r="B166" s="123"/>
      <c r="C166" s="123"/>
      <c r="D166" s="123"/>
      <c r="E166" s="123"/>
      <c r="F166" s="124"/>
      <c r="G166" s="119" t="s">
        <v>51</v>
      </c>
      <c r="H166" s="120"/>
      <c r="I166" s="120"/>
      <c r="J166" s="121"/>
    </row>
    <row r="167" spans="1:11" s="81" customFormat="1" ht="14.4" customHeight="1" x14ac:dyDescent="0.3">
      <c r="A167" s="160" t="s">
        <v>115</v>
      </c>
      <c r="B167" s="189"/>
      <c r="C167" s="189"/>
      <c r="D167" s="189"/>
      <c r="E167" s="189"/>
      <c r="F167" s="190"/>
      <c r="G167" s="122">
        <f>G157*0.8</f>
        <v>2000</v>
      </c>
      <c r="H167" s="123"/>
      <c r="I167" s="123"/>
      <c r="J167" s="124"/>
    </row>
    <row r="168" spans="1:11" s="81" customFormat="1" ht="21" customHeight="1" x14ac:dyDescent="0.3">
      <c r="A168" s="191" t="s">
        <v>116</v>
      </c>
      <c r="B168" s="192"/>
      <c r="C168" s="192"/>
      <c r="D168" s="192"/>
      <c r="E168" s="192"/>
      <c r="F168" s="192"/>
      <c r="G168" s="192"/>
      <c r="H168" s="192"/>
      <c r="I168" s="192"/>
      <c r="J168" s="193"/>
    </row>
    <row r="169" spans="1:11" x14ac:dyDescent="0.3">
      <c r="A169" s="194" t="s">
        <v>46</v>
      </c>
      <c r="B169" s="195"/>
      <c r="C169" s="195"/>
      <c r="D169" s="195"/>
      <c r="E169" s="195"/>
      <c r="F169" s="195"/>
      <c r="G169" s="195"/>
      <c r="H169" s="195"/>
      <c r="I169" s="195"/>
      <c r="J169" s="196"/>
    </row>
    <row r="170" spans="1:11" ht="46.8" x14ac:dyDescent="0.3">
      <c r="A170" s="127" t="s">
        <v>32</v>
      </c>
      <c r="B170" s="128"/>
      <c r="C170" s="4" t="s">
        <v>29</v>
      </c>
      <c r="D170" s="129" t="s">
        <v>145</v>
      </c>
      <c r="E170" s="130"/>
      <c r="F170" s="10" t="s">
        <v>30</v>
      </c>
      <c r="G170" s="4" t="s">
        <v>202</v>
      </c>
      <c r="H170" s="4" t="s">
        <v>31</v>
      </c>
      <c r="I170" s="127" t="s">
        <v>117</v>
      </c>
      <c r="J170" s="128"/>
    </row>
    <row r="171" spans="1:11" ht="15.6" x14ac:dyDescent="0.3">
      <c r="A171" s="110" t="s">
        <v>167</v>
      </c>
      <c r="B171" s="111"/>
      <c r="C171" s="111"/>
      <c r="D171" s="111"/>
      <c r="E171" s="111"/>
      <c r="F171" s="111"/>
      <c r="G171" s="111"/>
      <c r="H171" s="111"/>
      <c r="I171" s="111"/>
      <c r="J171" s="112"/>
    </row>
    <row r="172" spans="1:11" ht="15.6" x14ac:dyDescent="0.3">
      <c r="A172" s="110" t="s">
        <v>169</v>
      </c>
      <c r="B172" s="111"/>
      <c r="C172" s="111"/>
      <c r="D172" s="111"/>
      <c r="E172" s="111"/>
      <c r="F172" s="111"/>
      <c r="G172" s="111"/>
      <c r="H172" s="111"/>
      <c r="I172" s="111"/>
      <c r="J172" s="112"/>
    </row>
    <row r="173" spans="1:11" ht="15.6" x14ac:dyDescent="0.3">
      <c r="A173" s="110" t="s">
        <v>189</v>
      </c>
      <c r="B173" s="111"/>
      <c r="C173" s="111"/>
      <c r="D173" s="111"/>
      <c r="E173" s="111"/>
      <c r="F173" s="111"/>
      <c r="G173" s="111"/>
      <c r="H173" s="111"/>
      <c r="I173" s="111"/>
      <c r="J173" s="112"/>
    </row>
    <row r="174" spans="1:11" ht="15.75" customHeight="1" x14ac:dyDescent="0.3">
      <c r="A174" s="108">
        <v>1</v>
      </c>
      <c r="B174" s="109"/>
      <c r="C174" s="40" t="s">
        <v>164</v>
      </c>
      <c r="D174" s="108">
        <f>31.19*10.764</f>
        <v>335.72915999999998</v>
      </c>
      <c r="E174" s="109"/>
      <c r="F174" s="40">
        <v>0</v>
      </c>
      <c r="G174" s="40">
        <v>560</v>
      </c>
      <c r="H174" s="40" t="s">
        <v>160</v>
      </c>
      <c r="I174" s="113" t="s">
        <v>161</v>
      </c>
      <c r="J174" s="114"/>
      <c r="K174" s="76">
        <f>G174/D174</f>
        <v>1.6680112028398131</v>
      </c>
    </row>
    <row r="175" spans="1:11" ht="15.6" x14ac:dyDescent="0.3">
      <c r="A175" s="108">
        <v>2</v>
      </c>
      <c r="B175" s="109"/>
      <c r="C175" s="40" t="s">
        <v>164</v>
      </c>
      <c r="D175" s="108">
        <f>28.74*10.764</f>
        <v>309.35735999999997</v>
      </c>
      <c r="E175" s="109"/>
      <c r="F175" s="40">
        <v>0</v>
      </c>
      <c r="G175" s="40">
        <v>515</v>
      </c>
      <c r="H175" s="40" t="s">
        <v>160</v>
      </c>
      <c r="I175" s="115"/>
      <c r="J175" s="116"/>
    </row>
    <row r="176" spans="1:11" ht="15.75" customHeight="1" x14ac:dyDescent="0.3">
      <c r="A176" s="108">
        <v>3</v>
      </c>
      <c r="B176" s="109"/>
      <c r="C176" s="40" t="s">
        <v>163</v>
      </c>
      <c r="D176" s="108">
        <f>26.95*10.764</f>
        <v>290.08979999999997</v>
      </c>
      <c r="E176" s="109"/>
      <c r="F176" s="40">
        <v>0</v>
      </c>
      <c r="G176" s="40">
        <v>481</v>
      </c>
      <c r="H176" s="40" t="s">
        <v>160</v>
      </c>
      <c r="I176" s="115"/>
      <c r="J176" s="116"/>
    </row>
    <row r="177" spans="1:10" ht="15.6" x14ac:dyDescent="0.3">
      <c r="A177" s="108">
        <v>4</v>
      </c>
      <c r="B177" s="109"/>
      <c r="C177" s="40" t="s">
        <v>163</v>
      </c>
      <c r="D177" s="108">
        <f>26.95*10.764</f>
        <v>290.08979999999997</v>
      </c>
      <c r="E177" s="109"/>
      <c r="F177" s="40">
        <v>0</v>
      </c>
      <c r="G177" s="40">
        <v>481</v>
      </c>
      <c r="H177" s="40" t="s">
        <v>160</v>
      </c>
      <c r="I177" s="115"/>
      <c r="J177" s="116"/>
    </row>
    <row r="178" spans="1:10" ht="15.75" customHeight="1" x14ac:dyDescent="0.3">
      <c r="A178" s="108">
        <v>5</v>
      </c>
      <c r="B178" s="109"/>
      <c r="C178" s="40" t="s">
        <v>164</v>
      </c>
      <c r="D178" s="108">
        <f>28.74*10.764</f>
        <v>309.35735999999997</v>
      </c>
      <c r="E178" s="109"/>
      <c r="F178" s="40">
        <v>0</v>
      </c>
      <c r="G178" s="40">
        <v>515</v>
      </c>
      <c r="H178" s="40" t="s">
        <v>160</v>
      </c>
      <c r="I178" s="115"/>
      <c r="J178" s="116"/>
    </row>
    <row r="179" spans="1:10" ht="15.6" x14ac:dyDescent="0.3">
      <c r="A179" s="108">
        <v>6</v>
      </c>
      <c r="B179" s="109"/>
      <c r="C179" s="40" t="s">
        <v>164</v>
      </c>
      <c r="D179" s="108">
        <f>34.98*10.764</f>
        <v>376.52471999999995</v>
      </c>
      <c r="E179" s="109"/>
      <c r="F179" s="40">
        <v>0</v>
      </c>
      <c r="G179" s="40">
        <v>621</v>
      </c>
      <c r="H179" s="40" t="s">
        <v>160</v>
      </c>
      <c r="I179" s="117"/>
      <c r="J179" s="118"/>
    </row>
    <row r="180" spans="1:10" ht="15.6" x14ac:dyDescent="0.3">
      <c r="A180" s="110" t="s">
        <v>165</v>
      </c>
      <c r="B180" s="111"/>
      <c r="C180" s="111"/>
      <c r="D180" s="111"/>
      <c r="E180" s="111"/>
      <c r="F180" s="111"/>
      <c r="G180" s="111"/>
      <c r="H180" s="111"/>
      <c r="I180" s="111"/>
      <c r="J180" s="112"/>
    </row>
    <row r="181" spans="1:10" ht="15.6" x14ac:dyDescent="0.3">
      <c r="A181" s="108">
        <v>1</v>
      </c>
      <c r="B181" s="109"/>
      <c r="C181" s="40" t="s">
        <v>163</v>
      </c>
      <c r="D181" s="108">
        <f>31.19*10.764</f>
        <v>335.72915999999998</v>
      </c>
      <c r="E181" s="109"/>
      <c r="F181" s="40">
        <v>0</v>
      </c>
      <c r="G181" s="40">
        <v>560</v>
      </c>
      <c r="H181" s="40" t="s">
        <v>160</v>
      </c>
      <c r="I181" s="113" t="str">
        <f>A180</f>
        <v>1st to 3rd Floor</v>
      </c>
      <c r="J181" s="114"/>
    </row>
    <row r="182" spans="1:10" ht="15.6" x14ac:dyDescent="0.3">
      <c r="A182" s="108">
        <v>2</v>
      </c>
      <c r="B182" s="109"/>
      <c r="C182" s="40" t="s">
        <v>163</v>
      </c>
      <c r="D182" s="108">
        <f>28.74*10.764</f>
        <v>309.35735999999997</v>
      </c>
      <c r="E182" s="109"/>
      <c r="F182" s="40">
        <v>0</v>
      </c>
      <c r="G182" s="40">
        <v>515</v>
      </c>
      <c r="H182" s="40" t="s">
        <v>160</v>
      </c>
      <c r="I182" s="115"/>
      <c r="J182" s="116"/>
    </row>
    <row r="183" spans="1:10" ht="15.6" x14ac:dyDescent="0.3">
      <c r="A183" s="108">
        <v>3</v>
      </c>
      <c r="B183" s="109"/>
      <c r="C183" s="40" t="s">
        <v>163</v>
      </c>
      <c r="D183" s="108">
        <f>26.95*10.764</f>
        <v>290.08979999999997</v>
      </c>
      <c r="E183" s="109"/>
      <c r="F183" s="40">
        <v>0</v>
      </c>
      <c r="G183" s="40">
        <v>481</v>
      </c>
      <c r="H183" s="40" t="s">
        <v>160</v>
      </c>
      <c r="I183" s="115"/>
      <c r="J183" s="116"/>
    </row>
    <row r="184" spans="1:10" ht="15.6" x14ac:dyDescent="0.3">
      <c r="A184" s="108">
        <v>4</v>
      </c>
      <c r="B184" s="109"/>
      <c r="C184" s="40" t="s">
        <v>163</v>
      </c>
      <c r="D184" s="108">
        <f>26.95*10.764</f>
        <v>290.08979999999997</v>
      </c>
      <c r="E184" s="109"/>
      <c r="F184" s="40">
        <v>0</v>
      </c>
      <c r="G184" s="40">
        <v>481</v>
      </c>
      <c r="H184" s="40" t="s">
        <v>160</v>
      </c>
      <c r="I184" s="115"/>
      <c r="J184" s="116"/>
    </row>
    <row r="185" spans="1:10" ht="15.6" x14ac:dyDescent="0.3">
      <c r="A185" s="108">
        <v>5</v>
      </c>
      <c r="B185" s="109"/>
      <c r="C185" s="40" t="s">
        <v>163</v>
      </c>
      <c r="D185" s="108">
        <f>28.74*10.764</f>
        <v>309.35735999999997</v>
      </c>
      <c r="E185" s="109"/>
      <c r="F185" s="40">
        <v>0</v>
      </c>
      <c r="G185" s="40">
        <v>515</v>
      </c>
      <c r="H185" s="40" t="s">
        <v>160</v>
      </c>
      <c r="I185" s="115"/>
      <c r="J185" s="116"/>
    </row>
    <row r="186" spans="1:10" ht="15.6" x14ac:dyDescent="0.3">
      <c r="A186" s="108">
        <v>6</v>
      </c>
      <c r="B186" s="109"/>
      <c r="C186" s="40" t="s">
        <v>163</v>
      </c>
      <c r="D186" s="108">
        <f>28.74*10.764</f>
        <v>309.35735999999997</v>
      </c>
      <c r="E186" s="109"/>
      <c r="F186" s="40">
        <v>0</v>
      </c>
      <c r="G186" s="40">
        <v>515</v>
      </c>
      <c r="H186" s="40" t="s">
        <v>160</v>
      </c>
      <c r="I186" s="115"/>
      <c r="J186" s="116"/>
    </row>
    <row r="187" spans="1:10" ht="15.6" x14ac:dyDescent="0.3">
      <c r="A187" s="108">
        <v>7</v>
      </c>
      <c r="B187" s="109"/>
      <c r="C187" s="40" t="s">
        <v>164</v>
      </c>
      <c r="D187" s="108">
        <f>34.98*10.764</f>
        <v>376.52471999999995</v>
      </c>
      <c r="E187" s="109"/>
      <c r="F187" s="40">
        <v>0</v>
      </c>
      <c r="G187" s="40">
        <v>621</v>
      </c>
      <c r="H187" s="40" t="s">
        <v>160</v>
      </c>
      <c r="I187" s="117"/>
      <c r="J187" s="118"/>
    </row>
    <row r="188" spans="1:10" ht="15.6" x14ac:dyDescent="0.3">
      <c r="A188" s="110" t="s">
        <v>168</v>
      </c>
      <c r="B188" s="111"/>
      <c r="C188" s="111"/>
      <c r="D188" s="111"/>
      <c r="E188" s="111"/>
      <c r="F188" s="111"/>
      <c r="G188" s="111"/>
      <c r="H188" s="111"/>
      <c r="I188" s="111"/>
      <c r="J188" s="112"/>
    </row>
    <row r="189" spans="1:10" ht="15.75" customHeight="1" x14ac:dyDescent="0.3">
      <c r="A189" s="110" t="s">
        <v>189</v>
      </c>
      <c r="B189" s="111"/>
      <c r="C189" s="111"/>
      <c r="D189" s="111"/>
      <c r="E189" s="111"/>
      <c r="F189" s="111"/>
      <c r="G189" s="111"/>
      <c r="H189" s="111"/>
      <c r="I189" s="111"/>
      <c r="J189" s="112"/>
    </row>
    <row r="190" spans="1:10" ht="15.6" x14ac:dyDescent="0.3">
      <c r="A190" s="108">
        <v>1</v>
      </c>
      <c r="B190" s="109"/>
      <c r="C190" s="40" t="s">
        <v>164</v>
      </c>
      <c r="D190" s="108">
        <f>34.38*10.764</f>
        <v>370.06632000000002</v>
      </c>
      <c r="E190" s="109"/>
      <c r="F190" s="40">
        <v>0</v>
      </c>
      <c r="G190" s="40">
        <v>616</v>
      </c>
      <c r="H190" s="40" t="s">
        <v>160</v>
      </c>
      <c r="I190" s="113" t="str">
        <f>A189</f>
        <v>Ground Floor for Residential &amp; Parking</v>
      </c>
      <c r="J190" s="114"/>
    </row>
    <row r="191" spans="1:10" ht="15.6" x14ac:dyDescent="0.3">
      <c r="A191" s="108">
        <v>2</v>
      </c>
      <c r="B191" s="109"/>
      <c r="C191" s="40" t="s">
        <v>163</v>
      </c>
      <c r="D191" s="108">
        <f>27.42*10.764</f>
        <v>295.14888000000002</v>
      </c>
      <c r="E191" s="109"/>
      <c r="F191" s="40">
        <v>0</v>
      </c>
      <c r="G191" s="40">
        <v>490</v>
      </c>
      <c r="H191" s="40" t="s">
        <v>160</v>
      </c>
      <c r="I191" s="115"/>
      <c r="J191" s="116"/>
    </row>
    <row r="192" spans="1:10" ht="15.6" x14ac:dyDescent="0.3">
      <c r="A192" s="108">
        <v>3</v>
      </c>
      <c r="B192" s="109"/>
      <c r="C192" s="40" t="s">
        <v>163</v>
      </c>
      <c r="D192" s="108">
        <f>27.42*10.764</f>
        <v>295.14888000000002</v>
      </c>
      <c r="E192" s="109"/>
      <c r="F192" s="40">
        <v>0</v>
      </c>
      <c r="G192" s="40">
        <v>490</v>
      </c>
      <c r="H192" s="40" t="s">
        <v>160</v>
      </c>
      <c r="I192" s="115"/>
      <c r="J192" s="116"/>
    </row>
    <row r="193" spans="1:10" ht="15.6" x14ac:dyDescent="0.3">
      <c r="A193" s="108">
        <v>4</v>
      </c>
      <c r="B193" s="109"/>
      <c r="C193" s="40" t="s">
        <v>163</v>
      </c>
      <c r="D193" s="108">
        <f>27.42*10.764</f>
        <v>295.14888000000002</v>
      </c>
      <c r="E193" s="109"/>
      <c r="F193" s="40">
        <v>0</v>
      </c>
      <c r="G193" s="40">
        <v>490</v>
      </c>
      <c r="H193" s="40" t="s">
        <v>160</v>
      </c>
      <c r="I193" s="115"/>
      <c r="J193" s="116"/>
    </row>
    <row r="194" spans="1:10" ht="15.6" x14ac:dyDescent="0.3">
      <c r="A194" s="108">
        <v>5</v>
      </c>
      <c r="B194" s="109"/>
      <c r="C194" s="40" t="s">
        <v>164</v>
      </c>
      <c r="D194" s="108">
        <f>31.54*10.764</f>
        <v>339.49655999999999</v>
      </c>
      <c r="E194" s="109"/>
      <c r="F194" s="40">
        <v>0</v>
      </c>
      <c r="G194" s="40">
        <v>565</v>
      </c>
      <c r="H194" s="40" t="s">
        <v>160</v>
      </c>
      <c r="I194" s="117"/>
      <c r="J194" s="118"/>
    </row>
    <row r="195" spans="1:10" ht="15.6" x14ac:dyDescent="0.3">
      <c r="A195" s="110" t="s">
        <v>165</v>
      </c>
      <c r="B195" s="111"/>
      <c r="C195" s="111"/>
      <c r="D195" s="111"/>
      <c r="E195" s="111"/>
      <c r="F195" s="111"/>
      <c r="G195" s="111"/>
      <c r="H195" s="111"/>
      <c r="I195" s="111"/>
      <c r="J195" s="112"/>
    </row>
    <row r="196" spans="1:10" ht="15.6" x14ac:dyDescent="0.3">
      <c r="A196" s="108">
        <v>1</v>
      </c>
      <c r="B196" s="109"/>
      <c r="C196" s="40" t="s">
        <v>163</v>
      </c>
      <c r="D196" s="108">
        <f>34.38*10.764</f>
        <v>370.06632000000002</v>
      </c>
      <c r="E196" s="109"/>
      <c r="F196" s="40">
        <v>0</v>
      </c>
      <c r="G196" s="40">
        <v>616</v>
      </c>
      <c r="H196" s="40" t="s">
        <v>160</v>
      </c>
      <c r="I196" s="113" t="str">
        <f>A195</f>
        <v>1st to 3rd Floor</v>
      </c>
      <c r="J196" s="114"/>
    </row>
    <row r="197" spans="1:10" ht="15.6" x14ac:dyDescent="0.3">
      <c r="A197" s="108">
        <v>2</v>
      </c>
      <c r="B197" s="109"/>
      <c r="C197" s="40" t="s">
        <v>163</v>
      </c>
      <c r="D197" s="108">
        <f>27.42*10.764</f>
        <v>295.14888000000002</v>
      </c>
      <c r="E197" s="109"/>
      <c r="F197" s="40">
        <v>0</v>
      </c>
      <c r="G197" s="40">
        <v>490</v>
      </c>
      <c r="H197" s="40" t="s">
        <v>160</v>
      </c>
      <c r="I197" s="115"/>
      <c r="J197" s="116"/>
    </row>
    <row r="198" spans="1:10" ht="15.6" x14ac:dyDescent="0.3">
      <c r="A198" s="108">
        <v>3</v>
      </c>
      <c r="B198" s="109"/>
      <c r="C198" s="40" t="s">
        <v>163</v>
      </c>
      <c r="D198" s="108">
        <f>27.42*10.764</f>
        <v>295.14888000000002</v>
      </c>
      <c r="E198" s="109"/>
      <c r="F198" s="40">
        <v>0</v>
      </c>
      <c r="G198" s="40">
        <v>490</v>
      </c>
      <c r="H198" s="40" t="s">
        <v>160</v>
      </c>
      <c r="I198" s="115"/>
      <c r="J198" s="116"/>
    </row>
    <row r="199" spans="1:10" ht="15.6" x14ac:dyDescent="0.3">
      <c r="A199" s="108">
        <v>4</v>
      </c>
      <c r="B199" s="109"/>
      <c r="C199" s="40" t="s">
        <v>163</v>
      </c>
      <c r="D199" s="108">
        <f>27.42*10.764</f>
        <v>295.14888000000002</v>
      </c>
      <c r="E199" s="109"/>
      <c r="F199" s="40">
        <v>0</v>
      </c>
      <c r="G199" s="40">
        <v>490</v>
      </c>
      <c r="H199" s="40" t="s">
        <v>160</v>
      </c>
      <c r="I199" s="115"/>
      <c r="J199" s="116"/>
    </row>
    <row r="200" spans="1:10" ht="15.6" x14ac:dyDescent="0.3">
      <c r="A200" s="108">
        <v>5</v>
      </c>
      <c r="B200" s="109"/>
      <c r="C200" s="40" t="s">
        <v>163</v>
      </c>
      <c r="D200" s="108">
        <f>27.42*10.764</f>
        <v>295.14888000000002</v>
      </c>
      <c r="E200" s="109"/>
      <c r="F200" s="40">
        <v>0</v>
      </c>
      <c r="G200" s="40">
        <v>490</v>
      </c>
      <c r="H200" s="40" t="s">
        <v>160</v>
      </c>
      <c r="I200" s="115"/>
      <c r="J200" s="116"/>
    </row>
    <row r="201" spans="1:10" ht="15.6" x14ac:dyDescent="0.3">
      <c r="A201" s="108">
        <v>6</v>
      </c>
      <c r="B201" s="109"/>
      <c r="C201" s="40" t="s">
        <v>163</v>
      </c>
      <c r="D201" s="108">
        <f>31.54*10.764</f>
        <v>339.49655999999999</v>
      </c>
      <c r="E201" s="109"/>
      <c r="F201" s="40">
        <v>0</v>
      </c>
      <c r="G201" s="40">
        <v>565</v>
      </c>
      <c r="H201" s="40" t="s">
        <v>160</v>
      </c>
      <c r="I201" s="117"/>
      <c r="J201" s="118"/>
    </row>
    <row r="202" spans="1:10" ht="15.6" x14ac:dyDescent="0.3">
      <c r="A202" s="110" t="s">
        <v>170</v>
      </c>
      <c r="B202" s="111"/>
      <c r="C202" s="111"/>
      <c r="D202" s="111"/>
      <c r="E202" s="111"/>
      <c r="F202" s="111"/>
      <c r="G202" s="111"/>
      <c r="H202" s="111"/>
      <c r="I202" s="111"/>
      <c r="J202" s="112"/>
    </row>
    <row r="203" spans="1:10" ht="15.6" x14ac:dyDescent="0.3">
      <c r="A203" s="208" t="s">
        <v>171</v>
      </c>
      <c r="B203" s="209"/>
      <c r="C203" s="209"/>
      <c r="D203" s="209"/>
      <c r="E203" s="209"/>
      <c r="F203" s="209"/>
      <c r="G203" s="209"/>
      <c r="H203" s="209"/>
      <c r="I203" s="209"/>
      <c r="J203" s="210"/>
    </row>
    <row r="204" spans="1:10" ht="15.75" customHeight="1" x14ac:dyDescent="0.3">
      <c r="A204" s="110" t="s">
        <v>189</v>
      </c>
      <c r="B204" s="111"/>
      <c r="C204" s="111"/>
      <c r="D204" s="111"/>
      <c r="E204" s="111"/>
      <c r="F204" s="111"/>
      <c r="G204" s="111"/>
      <c r="H204" s="111"/>
      <c r="I204" s="111"/>
      <c r="J204" s="112"/>
    </row>
    <row r="205" spans="1:10" ht="15.6" x14ac:dyDescent="0.3">
      <c r="A205" s="108">
        <v>1</v>
      </c>
      <c r="B205" s="109"/>
      <c r="C205" s="40" t="s">
        <v>159</v>
      </c>
      <c r="D205" s="108">
        <f>8.09*10.764</f>
        <v>87.080759999999998</v>
      </c>
      <c r="E205" s="109"/>
      <c r="F205" s="40">
        <v>0</v>
      </c>
      <c r="G205" s="40">
        <v>164</v>
      </c>
      <c r="H205" s="40" t="s">
        <v>160</v>
      </c>
      <c r="I205" s="242" t="str">
        <f>A204</f>
        <v>Ground Floor for Residential &amp; Parking</v>
      </c>
      <c r="J205" s="243"/>
    </row>
    <row r="206" spans="1:10" ht="15.6" x14ac:dyDescent="0.3">
      <c r="A206" s="108">
        <v>2</v>
      </c>
      <c r="B206" s="109"/>
      <c r="C206" s="40" t="s">
        <v>159</v>
      </c>
      <c r="D206" s="108">
        <f>12.38*10.764</f>
        <v>133.25832</v>
      </c>
      <c r="E206" s="109"/>
      <c r="F206" s="40">
        <v>0</v>
      </c>
      <c r="G206" s="40">
        <v>294</v>
      </c>
      <c r="H206" s="40" t="s">
        <v>160</v>
      </c>
      <c r="I206" s="244"/>
      <c r="J206" s="245"/>
    </row>
    <row r="207" spans="1:10" ht="15.6" x14ac:dyDescent="0.3">
      <c r="A207" s="108">
        <v>3</v>
      </c>
      <c r="B207" s="109"/>
      <c r="C207" s="40" t="s">
        <v>159</v>
      </c>
      <c r="D207" s="108">
        <f>11.03*10.764</f>
        <v>118.72691999999999</v>
      </c>
      <c r="E207" s="109"/>
      <c r="F207" s="40">
        <v>0</v>
      </c>
      <c r="G207" s="40">
        <v>221</v>
      </c>
      <c r="H207" s="40" t="s">
        <v>160</v>
      </c>
      <c r="I207" s="244"/>
      <c r="J207" s="245"/>
    </row>
    <row r="208" spans="1:10" ht="15.6" x14ac:dyDescent="0.3">
      <c r="A208" s="108">
        <v>4</v>
      </c>
      <c r="B208" s="109"/>
      <c r="C208" s="40" t="s">
        <v>159</v>
      </c>
      <c r="D208" s="108">
        <f>12.38*10.764</f>
        <v>133.25832</v>
      </c>
      <c r="E208" s="109"/>
      <c r="F208" s="40">
        <v>0</v>
      </c>
      <c r="G208" s="40">
        <v>248</v>
      </c>
      <c r="H208" s="40" t="s">
        <v>160</v>
      </c>
      <c r="I208" s="244"/>
      <c r="J208" s="245"/>
    </row>
    <row r="209" spans="1:10" ht="15.6" x14ac:dyDescent="0.3">
      <c r="A209" s="108">
        <v>5</v>
      </c>
      <c r="B209" s="109"/>
      <c r="C209" s="40" t="s">
        <v>159</v>
      </c>
      <c r="D209" s="108">
        <f>15.68*10.764</f>
        <v>168.77951999999999</v>
      </c>
      <c r="E209" s="109"/>
      <c r="F209" s="40">
        <v>0</v>
      </c>
      <c r="G209" s="40">
        <v>316</v>
      </c>
      <c r="H209" s="40" t="s">
        <v>160</v>
      </c>
      <c r="I209" s="244"/>
      <c r="J209" s="245"/>
    </row>
    <row r="210" spans="1:10" ht="15.6" x14ac:dyDescent="0.3">
      <c r="A210" s="108">
        <v>6</v>
      </c>
      <c r="B210" s="109"/>
      <c r="C210" s="40" t="s">
        <v>159</v>
      </c>
      <c r="D210" s="108">
        <f>19.86*10.764</f>
        <v>213.77303999999998</v>
      </c>
      <c r="E210" s="109"/>
      <c r="F210" s="40">
        <v>0</v>
      </c>
      <c r="G210" s="40">
        <v>402</v>
      </c>
      <c r="H210" s="40" t="s">
        <v>160</v>
      </c>
      <c r="I210" s="244"/>
      <c r="J210" s="245"/>
    </row>
    <row r="211" spans="1:10" ht="15.6" x14ac:dyDescent="0.3">
      <c r="A211" s="108">
        <v>1</v>
      </c>
      <c r="B211" s="109"/>
      <c r="C211" s="40" t="s">
        <v>163</v>
      </c>
      <c r="D211" s="108">
        <f>27.42*10.764</f>
        <v>295.14888000000002</v>
      </c>
      <c r="E211" s="109"/>
      <c r="F211" s="40">
        <v>0</v>
      </c>
      <c r="G211" s="40">
        <v>490</v>
      </c>
      <c r="H211" s="40" t="s">
        <v>160</v>
      </c>
      <c r="I211" s="244"/>
      <c r="J211" s="245"/>
    </row>
    <row r="212" spans="1:10" ht="15.6" x14ac:dyDescent="0.3">
      <c r="A212" s="108">
        <v>2</v>
      </c>
      <c r="B212" s="109"/>
      <c r="C212" s="40" t="s">
        <v>163</v>
      </c>
      <c r="D212" s="108">
        <f>27.42*10.764</f>
        <v>295.14888000000002</v>
      </c>
      <c r="E212" s="109"/>
      <c r="F212" s="40">
        <v>0</v>
      </c>
      <c r="G212" s="40">
        <v>490</v>
      </c>
      <c r="H212" s="40" t="s">
        <v>160</v>
      </c>
      <c r="I212" s="244"/>
      <c r="J212" s="245"/>
    </row>
    <row r="213" spans="1:10" ht="15.6" x14ac:dyDescent="0.3">
      <c r="A213" s="108">
        <v>3</v>
      </c>
      <c r="B213" s="109"/>
      <c r="C213" s="40" t="s">
        <v>163</v>
      </c>
      <c r="D213" s="108">
        <f>23.49*10.764</f>
        <v>252.84635999999998</v>
      </c>
      <c r="E213" s="109"/>
      <c r="F213" s="40">
        <v>0</v>
      </c>
      <c r="G213" s="40">
        <v>420</v>
      </c>
      <c r="H213" s="40" t="s">
        <v>160</v>
      </c>
      <c r="I213" s="246"/>
      <c r="J213" s="247"/>
    </row>
    <row r="214" spans="1:10" ht="15.6" x14ac:dyDescent="0.3">
      <c r="A214" s="110" t="s">
        <v>183</v>
      </c>
      <c r="B214" s="111"/>
      <c r="C214" s="111"/>
      <c r="D214" s="111"/>
      <c r="E214" s="111"/>
      <c r="F214" s="111"/>
      <c r="G214" s="111"/>
      <c r="H214" s="111"/>
      <c r="I214" s="111"/>
      <c r="J214" s="112"/>
    </row>
    <row r="215" spans="1:10" ht="15.6" x14ac:dyDescent="0.3">
      <c r="A215" s="108">
        <v>1</v>
      </c>
      <c r="B215" s="109"/>
      <c r="C215" s="40" t="s">
        <v>163</v>
      </c>
      <c r="D215" s="108">
        <f>34.38*10.764</f>
        <v>370.06632000000002</v>
      </c>
      <c r="E215" s="109"/>
      <c r="F215" s="40">
        <v>0</v>
      </c>
      <c r="G215" s="40">
        <v>766</v>
      </c>
      <c r="H215" s="40" t="s">
        <v>160</v>
      </c>
      <c r="I215" s="113" t="str">
        <f>A214</f>
        <v>1st Floor</v>
      </c>
      <c r="J215" s="114"/>
    </row>
    <row r="216" spans="1:10" ht="15.6" x14ac:dyDescent="0.3">
      <c r="A216" s="108">
        <v>2</v>
      </c>
      <c r="B216" s="109"/>
      <c r="C216" s="40" t="s">
        <v>163</v>
      </c>
      <c r="D216" s="108">
        <f>27.42*10.764</f>
        <v>295.14888000000002</v>
      </c>
      <c r="E216" s="109"/>
      <c r="F216" s="40">
        <v>0</v>
      </c>
      <c r="G216" s="40">
        <v>614</v>
      </c>
      <c r="H216" s="40" t="s">
        <v>160</v>
      </c>
      <c r="I216" s="115"/>
      <c r="J216" s="116"/>
    </row>
    <row r="217" spans="1:10" ht="15.6" x14ac:dyDescent="0.3">
      <c r="A217" s="108">
        <v>3</v>
      </c>
      <c r="B217" s="109"/>
      <c r="C217" s="40" t="s">
        <v>163</v>
      </c>
      <c r="D217" s="108">
        <f>27.42*10.764</f>
        <v>295.14888000000002</v>
      </c>
      <c r="E217" s="109"/>
      <c r="F217" s="40">
        <v>0</v>
      </c>
      <c r="G217" s="40">
        <v>490</v>
      </c>
      <c r="H217" s="40" t="s">
        <v>160</v>
      </c>
      <c r="I217" s="115"/>
      <c r="J217" s="116"/>
    </row>
    <row r="218" spans="1:10" ht="15.6" x14ac:dyDescent="0.3">
      <c r="A218" s="108">
        <v>4</v>
      </c>
      <c r="B218" s="109"/>
      <c r="C218" s="40" t="s">
        <v>163</v>
      </c>
      <c r="D218" s="108">
        <f>27.42*10.764</f>
        <v>295.14888000000002</v>
      </c>
      <c r="E218" s="109"/>
      <c r="F218" s="40">
        <v>0</v>
      </c>
      <c r="G218" s="40">
        <v>490</v>
      </c>
      <c r="H218" s="40" t="s">
        <v>160</v>
      </c>
      <c r="I218" s="115"/>
      <c r="J218" s="116"/>
    </row>
    <row r="219" spans="1:10" ht="15.6" x14ac:dyDescent="0.3">
      <c r="A219" s="108">
        <v>5</v>
      </c>
      <c r="B219" s="109"/>
      <c r="C219" s="40" t="s">
        <v>163</v>
      </c>
      <c r="D219" s="108">
        <f>27.42*10.764</f>
        <v>295.14888000000002</v>
      </c>
      <c r="E219" s="109"/>
      <c r="F219" s="40">
        <v>0</v>
      </c>
      <c r="G219" s="40">
        <v>490</v>
      </c>
      <c r="H219" s="40" t="s">
        <v>160</v>
      </c>
      <c r="I219" s="115"/>
      <c r="J219" s="116"/>
    </row>
    <row r="220" spans="1:10" ht="15.6" x14ac:dyDescent="0.3">
      <c r="A220" s="108">
        <v>6</v>
      </c>
      <c r="B220" s="109"/>
      <c r="C220" s="40" t="s">
        <v>163</v>
      </c>
      <c r="D220" s="108">
        <f>31.54*10.764</f>
        <v>339.49655999999999</v>
      </c>
      <c r="E220" s="109"/>
      <c r="F220" s="40">
        <v>0</v>
      </c>
      <c r="G220" s="40">
        <v>565</v>
      </c>
      <c r="H220" s="40" t="s">
        <v>160</v>
      </c>
      <c r="I220" s="117"/>
      <c r="J220" s="118"/>
    </row>
    <row r="221" spans="1:10" ht="15.6" x14ac:dyDescent="0.3">
      <c r="A221" s="110" t="s">
        <v>184</v>
      </c>
      <c r="B221" s="111"/>
      <c r="C221" s="111"/>
      <c r="D221" s="111"/>
      <c r="E221" s="111"/>
      <c r="F221" s="111"/>
      <c r="G221" s="111"/>
      <c r="H221" s="111"/>
      <c r="I221" s="111"/>
      <c r="J221" s="112"/>
    </row>
    <row r="222" spans="1:10" ht="15.6" x14ac:dyDescent="0.3">
      <c r="A222" s="108">
        <v>1</v>
      </c>
      <c r="B222" s="109"/>
      <c r="C222" s="40" t="s">
        <v>163</v>
      </c>
      <c r="D222" s="108">
        <f>34.38*10.764</f>
        <v>370.06632000000002</v>
      </c>
      <c r="E222" s="109"/>
      <c r="F222" s="40">
        <v>0</v>
      </c>
      <c r="G222" s="40">
        <v>616</v>
      </c>
      <c r="H222" s="40" t="s">
        <v>160</v>
      </c>
      <c r="I222" s="113" t="str">
        <f>A221</f>
        <v>2nd to 4th Floor</v>
      </c>
      <c r="J222" s="114"/>
    </row>
    <row r="223" spans="1:10" ht="15.6" x14ac:dyDescent="0.3">
      <c r="A223" s="108">
        <v>2</v>
      </c>
      <c r="B223" s="109"/>
      <c r="C223" s="40" t="s">
        <v>163</v>
      </c>
      <c r="D223" s="108">
        <f>27.42*10.764</f>
        <v>295.14888000000002</v>
      </c>
      <c r="E223" s="109"/>
      <c r="F223" s="40">
        <v>0</v>
      </c>
      <c r="G223" s="40">
        <v>490</v>
      </c>
      <c r="H223" s="40" t="s">
        <v>160</v>
      </c>
      <c r="I223" s="115"/>
      <c r="J223" s="116"/>
    </row>
    <row r="224" spans="1:10" ht="15.6" x14ac:dyDescent="0.3">
      <c r="A224" s="108">
        <v>3</v>
      </c>
      <c r="B224" s="109"/>
      <c r="C224" s="40" t="s">
        <v>163</v>
      </c>
      <c r="D224" s="108">
        <f>27.42*10.764</f>
        <v>295.14888000000002</v>
      </c>
      <c r="E224" s="109"/>
      <c r="F224" s="40">
        <v>0</v>
      </c>
      <c r="G224" s="40">
        <v>490</v>
      </c>
      <c r="H224" s="40" t="s">
        <v>160</v>
      </c>
      <c r="I224" s="115"/>
      <c r="J224" s="116"/>
    </row>
    <row r="225" spans="1:10" ht="15.6" x14ac:dyDescent="0.3">
      <c r="A225" s="108">
        <v>4</v>
      </c>
      <c r="B225" s="109"/>
      <c r="C225" s="40" t="s">
        <v>163</v>
      </c>
      <c r="D225" s="108">
        <f>27.42*10.764</f>
        <v>295.14888000000002</v>
      </c>
      <c r="E225" s="109"/>
      <c r="F225" s="40">
        <v>0</v>
      </c>
      <c r="G225" s="40">
        <v>490</v>
      </c>
      <c r="H225" s="40" t="s">
        <v>160</v>
      </c>
      <c r="I225" s="115"/>
      <c r="J225" s="116"/>
    </row>
    <row r="226" spans="1:10" ht="15.6" x14ac:dyDescent="0.3">
      <c r="A226" s="108">
        <v>5</v>
      </c>
      <c r="B226" s="109"/>
      <c r="C226" s="40" t="s">
        <v>163</v>
      </c>
      <c r="D226" s="108">
        <f>27.42*10.764</f>
        <v>295.14888000000002</v>
      </c>
      <c r="E226" s="109"/>
      <c r="F226" s="40">
        <v>0</v>
      </c>
      <c r="G226" s="40">
        <v>490</v>
      </c>
      <c r="H226" s="40" t="s">
        <v>160</v>
      </c>
      <c r="I226" s="115"/>
      <c r="J226" s="116"/>
    </row>
    <row r="227" spans="1:10" ht="15.6" x14ac:dyDescent="0.3">
      <c r="A227" s="108">
        <v>6</v>
      </c>
      <c r="B227" s="109"/>
      <c r="C227" s="40" t="s">
        <v>163</v>
      </c>
      <c r="D227" s="108">
        <f>31.54*10.764</f>
        <v>339.49655999999999</v>
      </c>
      <c r="E227" s="109"/>
      <c r="F227" s="40">
        <v>0</v>
      </c>
      <c r="G227" s="40">
        <v>565</v>
      </c>
      <c r="H227" s="40" t="s">
        <v>160</v>
      </c>
      <c r="I227" s="117"/>
      <c r="J227" s="118"/>
    </row>
    <row r="228" spans="1:10" ht="15.6" x14ac:dyDescent="0.3">
      <c r="A228" s="110" t="s">
        <v>172</v>
      </c>
      <c r="B228" s="111"/>
      <c r="C228" s="111"/>
      <c r="D228" s="111"/>
      <c r="E228" s="111"/>
      <c r="F228" s="111"/>
      <c r="G228" s="111"/>
      <c r="H228" s="111"/>
      <c r="I228" s="111"/>
      <c r="J228" s="112"/>
    </row>
    <row r="229" spans="1:10" ht="15.6" x14ac:dyDescent="0.3">
      <c r="A229" s="110" t="s">
        <v>161</v>
      </c>
      <c r="B229" s="111"/>
      <c r="C229" s="111"/>
      <c r="D229" s="111"/>
      <c r="E229" s="111"/>
      <c r="F229" s="111"/>
      <c r="G229" s="111"/>
      <c r="H229" s="111"/>
      <c r="I229" s="111"/>
      <c r="J229" s="112"/>
    </row>
    <row r="230" spans="1:10" ht="15.6" x14ac:dyDescent="0.3">
      <c r="A230" s="108">
        <v>1</v>
      </c>
      <c r="B230" s="109"/>
      <c r="C230" s="40" t="s">
        <v>159</v>
      </c>
      <c r="D230" s="108">
        <f>12.51*10.764</f>
        <v>134.65763999999999</v>
      </c>
      <c r="E230" s="109"/>
      <c r="F230" s="40">
        <v>0</v>
      </c>
      <c r="G230" s="40">
        <v>253</v>
      </c>
      <c r="H230" s="40" t="s">
        <v>160</v>
      </c>
      <c r="I230" s="113" t="str">
        <f>A229</f>
        <v>Ground Floor</v>
      </c>
      <c r="J230" s="114"/>
    </row>
    <row r="231" spans="1:10" ht="15.6" x14ac:dyDescent="0.3">
      <c r="A231" s="108">
        <v>2</v>
      </c>
      <c r="B231" s="109"/>
      <c r="C231" s="40" t="s">
        <v>159</v>
      </c>
      <c r="D231" s="108">
        <f>11.14*10.764</f>
        <v>119.91096</v>
      </c>
      <c r="E231" s="109"/>
      <c r="F231" s="40">
        <v>0</v>
      </c>
      <c r="G231" s="40">
        <v>229</v>
      </c>
      <c r="H231" s="40" t="s">
        <v>160</v>
      </c>
      <c r="I231" s="115"/>
      <c r="J231" s="116"/>
    </row>
    <row r="232" spans="1:10" ht="15.6" x14ac:dyDescent="0.3">
      <c r="A232" s="108">
        <v>3</v>
      </c>
      <c r="B232" s="109"/>
      <c r="C232" s="40" t="s">
        <v>159</v>
      </c>
      <c r="D232" s="108">
        <f>14.58*10.764</f>
        <v>156.93912</v>
      </c>
      <c r="E232" s="109"/>
      <c r="F232" s="40">
        <v>0</v>
      </c>
      <c r="G232" s="40">
        <v>295</v>
      </c>
      <c r="H232" s="40" t="s">
        <v>160</v>
      </c>
      <c r="I232" s="115"/>
      <c r="J232" s="116"/>
    </row>
    <row r="233" spans="1:10" ht="15.6" x14ac:dyDescent="0.3">
      <c r="A233" s="108">
        <v>4</v>
      </c>
      <c r="B233" s="109"/>
      <c r="C233" s="40" t="s">
        <v>159</v>
      </c>
      <c r="D233" s="108">
        <f>5.74*10.764</f>
        <v>61.785359999999997</v>
      </c>
      <c r="E233" s="109"/>
      <c r="F233" s="40">
        <v>0</v>
      </c>
      <c r="G233" s="40">
        <v>114</v>
      </c>
      <c r="H233" s="40" t="s">
        <v>160</v>
      </c>
      <c r="I233" s="115"/>
      <c r="J233" s="116"/>
    </row>
    <row r="234" spans="1:10" ht="15.6" x14ac:dyDescent="0.3">
      <c r="A234" s="108">
        <v>5</v>
      </c>
      <c r="B234" s="109"/>
      <c r="C234" s="40" t="s">
        <v>159</v>
      </c>
      <c r="D234" s="108">
        <f>14.58*10.764</f>
        <v>156.93912</v>
      </c>
      <c r="E234" s="109"/>
      <c r="F234" s="40">
        <v>0</v>
      </c>
      <c r="G234" s="40">
        <v>295</v>
      </c>
      <c r="H234" s="40" t="s">
        <v>160</v>
      </c>
      <c r="I234" s="115"/>
      <c r="J234" s="116"/>
    </row>
    <row r="235" spans="1:10" ht="15.6" x14ac:dyDescent="0.3">
      <c r="A235" s="108">
        <v>6</v>
      </c>
      <c r="B235" s="109"/>
      <c r="C235" s="40" t="s">
        <v>159</v>
      </c>
      <c r="D235" s="108">
        <f>11.14*10.764</f>
        <v>119.91096</v>
      </c>
      <c r="E235" s="109"/>
      <c r="F235" s="40">
        <v>0</v>
      </c>
      <c r="G235" s="40">
        <v>229</v>
      </c>
      <c r="H235" s="40" t="s">
        <v>160</v>
      </c>
      <c r="I235" s="115"/>
      <c r="J235" s="116"/>
    </row>
    <row r="236" spans="1:10" ht="15.6" x14ac:dyDescent="0.3">
      <c r="A236" s="108">
        <v>7</v>
      </c>
      <c r="B236" s="109"/>
      <c r="C236" s="40" t="s">
        <v>159</v>
      </c>
      <c r="D236" s="108">
        <f>12.51*10.764</f>
        <v>134.65763999999999</v>
      </c>
      <c r="E236" s="109"/>
      <c r="F236" s="40">
        <v>0</v>
      </c>
      <c r="G236" s="40">
        <v>253</v>
      </c>
      <c r="H236" s="40" t="s">
        <v>160</v>
      </c>
      <c r="I236" s="115"/>
      <c r="J236" s="116"/>
    </row>
    <row r="237" spans="1:10" ht="15.6" x14ac:dyDescent="0.3">
      <c r="A237" s="108">
        <v>8</v>
      </c>
      <c r="B237" s="109"/>
      <c r="C237" s="40" t="s">
        <v>159</v>
      </c>
      <c r="D237" s="108">
        <f>13.52*10.764</f>
        <v>145.52928</v>
      </c>
      <c r="E237" s="109"/>
      <c r="F237" s="40">
        <v>0</v>
      </c>
      <c r="G237" s="40">
        <v>270</v>
      </c>
      <c r="H237" s="40" t="s">
        <v>160</v>
      </c>
      <c r="I237" s="115"/>
      <c r="J237" s="116"/>
    </row>
    <row r="238" spans="1:10" ht="15.6" x14ac:dyDescent="0.3">
      <c r="A238" s="108">
        <v>9</v>
      </c>
      <c r="B238" s="109"/>
      <c r="C238" s="40" t="s">
        <v>159</v>
      </c>
      <c r="D238" s="108">
        <f>9.88*10.764</f>
        <v>106.34832</v>
      </c>
      <c r="E238" s="109"/>
      <c r="F238" s="40">
        <v>0</v>
      </c>
      <c r="G238" s="40">
        <v>201</v>
      </c>
      <c r="H238" s="40" t="s">
        <v>160</v>
      </c>
      <c r="I238" s="115"/>
      <c r="J238" s="116"/>
    </row>
    <row r="239" spans="1:10" ht="15.6" x14ac:dyDescent="0.3">
      <c r="A239" s="108">
        <v>1</v>
      </c>
      <c r="B239" s="109"/>
      <c r="C239" s="40" t="s">
        <v>164</v>
      </c>
      <c r="D239" s="108">
        <f>33.38*10.764</f>
        <v>359.30232000000001</v>
      </c>
      <c r="E239" s="109"/>
      <c r="F239" s="40">
        <v>0</v>
      </c>
      <c r="G239" s="40">
        <v>594</v>
      </c>
      <c r="H239" s="40" t="s">
        <v>160</v>
      </c>
      <c r="I239" s="115"/>
      <c r="J239" s="116"/>
    </row>
    <row r="240" spans="1:10" ht="15.6" x14ac:dyDescent="0.3">
      <c r="A240" s="108">
        <v>2</v>
      </c>
      <c r="B240" s="109"/>
      <c r="C240" s="40" t="s">
        <v>164</v>
      </c>
      <c r="D240" s="108">
        <f>33.38*10.764</f>
        <v>359.30232000000001</v>
      </c>
      <c r="E240" s="109"/>
      <c r="F240" s="40">
        <v>0</v>
      </c>
      <c r="G240" s="40">
        <v>594</v>
      </c>
      <c r="H240" s="40" t="s">
        <v>160</v>
      </c>
      <c r="I240" s="115"/>
      <c r="J240" s="116"/>
    </row>
    <row r="241" spans="1:10" ht="15.6" x14ac:dyDescent="0.3">
      <c r="A241" s="110" t="s">
        <v>183</v>
      </c>
      <c r="B241" s="111"/>
      <c r="C241" s="111"/>
      <c r="D241" s="111"/>
      <c r="E241" s="111"/>
      <c r="F241" s="111"/>
      <c r="G241" s="111"/>
      <c r="H241" s="111"/>
      <c r="I241" s="111"/>
      <c r="J241" s="112"/>
    </row>
    <row r="242" spans="1:10" ht="15.6" x14ac:dyDescent="0.3">
      <c r="A242" s="108">
        <v>1</v>
      </c>
      <c r="B242" s="109"/>
      <c r="C242" s="40" t="s">
        <v>164</v>
      </c>
      <c r="D242" s="108">
        <f>33.38*10.764</f>
        <v>359.30232000000001</v>
      </c>
      <c r="E242" s="109"/>
      <c r="F242" s="40">
        <v>0</v>
      </c>
      <c r="G242" s="40">
        <v>594</v>
      </c>
      <c r="H242" s="40" t="s">
        <v>160</v>
      </c>
      <c r="I242" s="113" t="str">
        <f>A241</f>
        <v>1st Floor</v>
      </c>
      <c r="J242" s="114"/>
    </row>
    <row r="243" spans="1:10" ht="15.6" x14ac:dyDescent="0.3">
      <c r="A243" s="108">
        <v>2</v>
      </c>
      <c r="B243" s="109"/>
      <c r="C243" s="40" t="s">
        <v>164</v>
      </c>
      <c r="D243" s="108">
        <f>33.38*10.764</f>
        <v>359.30232000000001</v>
      </c>
      <c r="E243" s="109"/>
      <c r="F243" s="40">
        <v>0</v>
      </c>
      <c r="G243" s="40">
        <v>716</v>
      </c>
      <c r="H243" s="40" t="s">
        <v>160</v>
      </c>
      <c r="I243" s="115"/>
      <c r="J243" s="116"/>
    </row>
    <row r="244" spans="1:10" ht="15.6" x14ac:dyDescent="0.3">
      <c r="A244" s="108">
        <v>3</v>
      </c>
      <c r="B244" s="109"/>
      <c r="C244" s="40" t="s">
        <v>164</v>
      </c>
      <c r="D244" s="108">
        <f>33.38*10.764</f>
        <v>359.30232000000001</v>
      </c>
      <c r="E244" s="109"/>
      <c r="F244" s="40">
        <v>0</v>
      </c>
      <c r="G244" s="40">
        <v>1032</v>
      </c>
      <c r="H244" s="40" t="s">
        <v>160</v>
      </c>
      <c r="I244" s="115"/>
      <c r="J244" s="116"/>
    </row>
    <row r="245" spans="1:10" ht="15.6" x14ac:dyDescent="0.3">
      <c r="A245" s="108">
        <v>4</v>
      </c>
      <c r="B245" s="109"/>
      <c r="C245" s="40" t="s">
        <v>164</v>
      </c>
      <c r="D245" s="108">
        <f>33.38*10.764</f>
        <v>359.30232000000001</v>
      </c>
      <c r="E245" s="109"/>
      <c r="F245" s="40">
        <v>0</v>
      </c>
      <c r="G245" s="40">
        <v>594</v>
      </c>
      <c r="H245" s="40" t="s">
        <v>160</v>
      </c>
      <c r="I245" s="117"/>
      <c r="J245" s="118"/>
    </row>
    <row r="246" spans="1:10" ht="15.6" x14ac:dyDescent="0.3">
      <c r="A246" s="110" t="s">
        <v>184</v>
      </c>
      <c r="B246" s="111"/>
      <c r="C246" s="111"/>
      <c r="D246" s="111"/>
      <c r="E246" s="111"/>
      <c r="F246" s="111"/>
      <c r="G246" s="111"/>
      <c r="H246" s="111"/>
      <c r="I246" s="111"/>
      <c r="J246" s="112"/>
    </row>
    <row r="247" spans="1:10" ht="15.6" x14ac:dyDescent="0.3">
      <c r="A247" s="108">
        <v>1</v>
      </c>
      <c r="B247" s="109"/>
      <c r="C247" s="40" t="s">
        <v>164</v>
      </c>
      <c r="D247" s="108">
        <f>33.38*10.764</f>
        <v>359.30232000000001</v>
      </c>
      <c r="E247" s="109"/>
      <c r="F247" s="40">
        <v>0</v>
      </c>
      <c r="G247" s="40">
        <v>594</v>
      </c>
      <c r="H247" s="40" t="s">
        <v>160</v>
      </c>
      <c r="I247" s="113" t="str">
        <f>A246</f>
        <v>2nd to 4th Floor</v>
      </c>
      <c r="J247" s="114"/>
    </row>
    <row r="248" spans="1:10" ht="15.6" x14ac:dyDescent="0.3">
      <c r="A248" s="108">
        <v>2</v>
      </c>
      <c r="B248" s="109"/>
      <c r="C248" s="40" t="s">
        <v>164</v>
      </c>
      <c r="D248" s="108">
        <f>33.38*10.764</f>
        <v>359.30232000000001</v>
      </c>
      <c r="E248" s="109"/>
      <c r="F248" s="40">
        <v>0</v>
      </c>
      <c r="G248" s="40">
        <v>594</v>
      </c>
      <c r="H248" s="40" t="s">
        <v>160</v>
      </c>
      <c r="I248" s="115"/>
      <c r="J248" s="116"/>
    </row>
    <row r="249" spans="1:10" ht="15.6" x14ac:dyDescent="0.3">
      <c r="A249" s="108">
        <v>3</v>
      </c>
      <c r="B249" s="109"/>
      <c r="C249" s="40" t="s">
        <v>164</v>
      </c>
      <c r="D249" s="108">
        <f>33.38*10.764</f>
        <v>359.30232000000001</v>
      </c>
      <c r="E249" s="109"/>
      <c r="F249" s="40">
        <v>0</v>
      </c>
      <c r="G249" s="40">
        <v>594</v>
      </c>
      <c r="H249" s="40" t="s">
        <v>160</v>
      </c>
      <c r="I249" s="115"/>
      <c r="J249" s="116"/>
    </row>
    <row r="250" spans="1:10" ht="15.6" x14ac:dyDescent="0.3">
      <c r="A250" s="108">
        <v>4</v>
      </c>
      <c r="B250" s="109"/>
      <c r="C250" s="40" t="s">
        <v>164</v>
      </c>
      <c r="D250" s="108">
        <f>33.38*10.764</f>
        <v>359.30232000000001</v>
      </c>
      <c r="E250" s="109"/>
      <c r="F250" s="40">
        <v>0</v>
      </c>
      <c r="G250" s="40">
        <v>594</v>
      </c>
      <c r="H250" s="40" t="s">
        <v>160</v>
      </c>
      <c r="I250" s="117"/>
      <c r="J250" s="118"/>
    </row>
    <row r="251" spans="1:10" ht="15.6" x14ac:dyDescent="0.3">
      <c r="A251" s="110" t="s">
        <v>173</v>
      </c>
      <c r="B251" s="111"/>
      <c r="C251" s="111"/>
      <c r="D251" s="111"/>
      <c r="E251" s="111"/>
      <c r="F251" s="111"/>
      <c r="G251" s="111"/>
      <c r="H251" s="111"/>
      <c r="I251" s="111"/>
      <c r="J251" s="112"/>
    </row>
    <row r="252" spans="1:10" ht="15.6" x14ac:dyDescent="0.3">
      <c r="A252" s="110" t="s">
        <v>174</v>
      </c>
      <c r="B252" s="111"/>
      <c r="C252" s="111"/>
      <c r="D252" s="111"/>
      <c r="E252" s="111"/>
      <c r="F252" s="111"/>
      <c r="G252" s="111"/>
      <c r="H252" s="111"/>
      <c r="I252" s="111"/>
      <c r="J252" s="112"/>
    </row>
    <row r="253" spans="1:10" ht="15.6" x14ac:dyDescent="0.3">
      <c r="A253" s="110" t="s">
        <v>161</v>
      </c>
      <c r="B253" s="111"/>
      <c r="C253" s="111"/>
      <c r="D253" s="111"/>
      <c r="E253" s="111"/>
      <c r="F253" s="111"/>
      <c r="G253" s="111"/>
      <c r="H253" s="111"/>
      <c r="I253" s="111"/>
      <c r="J253" s="112"/>
    </row>
    <row r="254" spans="1:10" ht="15.75" customHeight="1" x14ac:dyDescent="0.3">
      <c r="A254" s="108">
        <v>1</v>
      </c>
      <c r="B254" s="109"/>
      <c r="C254" s="40" t="s">
        <v>159</v>
      </c>
      <c r="D254" s="108">
        <f>12.51*10.764</f>
        <v>134.65763999999999</v>
      </c>
      <c r="E254" s="109"/>
      <c r="F254" s="40">
        <v>0</v>
      </c>
      <c r="G254" s="40">
        <v>201</v>
      </c>
      <c r="H254" s="40" t="s">
        <v>160</v>
      </c>
      <c r="I254" s="113" t="str">
        <f>A253</f>
        <v>Ground Floor</v>
      </c>
      <c r="J254" s="114"/>
    </row>
    <row r="255" spans="1:10" ht="15.6" x14ac:dyDescent="0.3">
      <c r="A255" s="108">
        <v>2</v>
      </c>
      <c r="B255" s="109"/>
      <c r="C255" s="40" t="s">
        <v>159</v>
      </c>
      <c r="D255" s="108">
        <f>11.14*10.764</f>
        <v>119.91096</v>
      </c>
      <c r="E255" s="109"/>
      <c r="F255" s="40">
        <v>0</v>
      </c>
      <c r="G255" s="40">
        <v>270</v>
      </c>
      <c r="H255" s="40" t="s">
        <v>160</v>
      </c>
      <c r="I255" s="115"/>
      <c r="J255" s="116"/>
    </row>
    <row r="256" spans="1:10" ht="15.6" x14ac:dyDescent="0.3">
      <c r="A256" s="108">
        <v>3</v>
      </c>
      <c r="B256" s="109"/>
      <c r="C256" s="40" t="s">
        <v>159</v>
      </c>
      <c r="D256" s="108">
        <f>14.58*10.764</f>
        <v>156.93912</v>
      </c>
      <c r="E256" s="109"/>
      <c r="F256" s="40">
        <v>0</v>
      </c>
      <c r="G256" s="40">
        <v>253</v>
      </c>
      <c r="H256" s="40" t="s">
        <v>160</v>
      </c>
      <c r="I256" s="115"/>
      <c r="J256" s="116"/>
    </row>
    <row r="257" spans="1:10" ht="15.6" x14ac:dyDescent="0.3">
      <c r="A257" s="108">
        <v>4</v>
      </c>
      <c r="B257" s="109"/>
      <c r="C257" s="40" t="s">
        <v>159</v>
      </c>
      <c r="D257" s="108">
        <f>5.74*10.764</f>
        <v>61.785359999999997</v>
      </c>
      <c r="E257" s="109"/>
      <c r="F257" s="40">
        <v>0</v>
      </c>
      <c r="G257" s="40">
        <v>229</v>
      </c>
      <c r="H257" s="40" t="s">
        <v>160</v>
      </c>
      <c r="I257" s="115"/>
      <c r="J257" s="116"/>
    </row>
    <row r="258" spans="1:10" ht="15.6" x14ac:dyDescent="0.3">
      <c r="A258" s="108">
        <v>5</v>
      </c>
      <c r="B258" s="109"/>
      <c r="C258" s="40" t="s">
        <v>159</v>
      </c>
      <c r="D258" s="108">
        <f>14.58*10.764</f>
        <v>156.93912</v>
      </c>
      <c r="E258" s="109"/>
      <c r="F258" s="40">
        <v>0</v>
      </c>
      <c r="G258" s="40">
        <v>295</v>
      </c>
      <c r="H258" s="40" t="s">
        <v>160</v>
      </c>
      <c r="I258" s="115"/>
      <c r="J258" s="116"/>
    </row>
    <row r="259" spans="1:10" ht="15.6" x14ac:dyDescent="0.3">
      <c r="A259" s="108">
        <v>6</v>
      </c>
      <c r="B259" s="109"/>
      <c r="C259" s="40" t="s">
        <v>159</v>
      </c>
      <c r="D259" s="108">
        <f>11.14*10.764</f>
        <v>119.91096</v>
      </c>
      <c r="E259" s="109"/>
      <c r="F259" s="40">
        <v>0</v>
      </c>
      <c r="G259" s="40">
        <v>114</v>
      </c>
      <c r="H259" s="40" t="s">
        <v>160</v>
      </c>
      <c r="I259" s="115"/>
      <c r="J259" s="116"/>
    </row>
    <row r="260" spans="1:10" ht="15.75" customHeight="1" x14ac:dyDescent="0.3">
      <c r="A260" s="108">
        <v>7</v>
      </c>
      <c r="B260" s="109"/>
      <c r="C260" s="40" t="s">
        <v>159</v>
      </c>
      <c r="D260" s="108">
        <f>12.51*10.764</f>
        <v>134.65763999999999</v>
      </c>
      <c r="E260" s="109"/>
      <c r="F260" s="40">
        <v>0</v>
      </c>
      <c r="G260" s="40">
        <v>295</v>
      </c>
      <c r="H260" s="40" t="s">
        <v>160</v>
      </c>
      <c r="I260" s="115"/>
      <c r="J260" s="116"/>
    </row>
    <row r="261" spans="1:10" ht="15.6" x14ac:dyDescent="0.3">
      <c r="A261" s="108">
        <v>8</v>
      </c>
      <c r="B261" s="109"/>
      <c r="C261" s="40" t="s">
        <v>159</v>
      </c>
      <c r="D261" s="108">
        <f>13.52*10.764</f>
        <v>145.52928</v>
      </c>
      <c r="E261" s="109"/>
      <c r="F261" s="40">
        <v>0</v>
      </c>
      <c r="G261" s="40">
        <v>229</v>
      </c>
      <c r="H261" s="40" t="s">
        <v>160</v>
      </c>
      <c r="I261" s="115"/>
      <c r="J261" s="116"/>
    </row>
    <row r="262" spans="1:10" ht="15.75" customHeight="1" x14ac:dyDescent="0.3">
      <c r="A262" s="108">
        <v>9</v>
      </c>
      <c r="B262" s="109"/>
      <c r="C262" s="40" t="s">
        <v>159</v>
      </c>
      <c r="D262" s="108">
        <f>9.88*10.764</f>
        <v>106.34832</v>
      </c>
      <c r="E262" s="109"/>
      <c r="F262" s="40">
        <v>0</v>
      </c>
      <c r="G262" s="40">
        <v>253</v>
      </c>
      <c r="H262" s="40" t="s">
        <v>160</v>
      </c>
      <c r="I262" s="115"/>
      <c r="J262" s="116"/>
    </row>
    <row r="263" spans="1:10" ht="15.6" x14ac:dyDescent="0.3">
      <c r="A263" s="108">
        <v>1</v>
      </c>
      <c r="B263" s="109"/>
      <c r="C263" s="40" t="s">
        <v>164</v>
      </c>
      <c r="D263" s="108">
        <f>33.38*10.764</f>
        <v>359.30232000000001</v>
      </c>
      <c r="E263" s="109"/>
      <c r="F263" s="40">
        <v>0</v>
      </c>
      <c r="G263" s="40">
        <v>594</v>
      </c>
      <c r="H263" s="40" t="s">
        <v>160</v>
      </c>
      <c r="I263" s="115"/>
      <c r="J263" s="116"/>
    </row>
    <row r="264" spans="1:10" ht="15.6" x14ac:dyDescent="0.3">
      <c r="A264" s="108">
        <v>2</v>
      </c>
      <c r="B264" s="109"/>
      <c r="C264" s="40" t="s">
        <v>164</v>
      </c>
      <c r="D264" s="108">
        <f>33.38*10.764</f>
        <v>359.30232000000001</v>
      </c>
      <c r="E264" s="109"/>
      <c r="F264" s="40">
        <v>0</v>
      </c>
      <c r="G264" s="40">
        <v>594</v>
      </c>
      <c r="H264" s="40" t="s">
        <v>160</v>
      </c>
      <c r="I264" s="117"/>
      <c r="J264" s="118"/>
    </row>
    <row r="265" spans="1:10" ht="15.6" x14ac:dyDescent="0.3">
      <c r="A265" s="110" t="s">
        <v>183</v>
      </c>
      <c r="B265" s="111"/>
      <c r="C265" s="111"/>
      <c r="D265" s="111"/>
      <c r="E265" s="111"/>
      <c r="F265" s="111"/>
      <c r="G265" s="111"/>
      <c r="H265" s="111"/>
      <c r="I265" s="111"/>
      <c r="J265" s="112"/>
    </row>
    <row r="266" spans="1:10" ht="15.6" x14ac:dyDescent="0.3">
      <c r="A266" s="108">
        <v>1</v>
      </c>
      <c r="B266" s="109"/>
      <c r="C266" s="40" t="s">
        <v>164</v>
      </c>
      <c r="D266" s="108">
        <f>33.38*10.764</f>
        <v>359.30232000000001</v>
      </c>
      <c r="E266" s="109"/>
      <c r="F266" s="40">
        <v>0</v>
      </c>
      <c r="G266" s="40">
        <v>594</v>
      </c>
      <c r="H266" s="40" t="s">
        <v>160</v>
      </c>
      <c r="I266" s="113" t="str">
        <f>A265</f>
        <v>1st Floor</v>
      </c>
      <c r="J266" s="114"/>
    </row>
    <row r="267" spans="1:10" ht="15.6" x14ac:dyDescent="0.3">
      <c r="A267" s="108">
        <v>2</v>
      </c>
      <c r="B267" s="109"/>
      <c r="C267" s="40" t="s">
        <v>164</v>
      </c>
      <c r="D267" s="108">
        <f>33.38*10.764</f>
        <v>359.30232000000001</v>
      </c>
      <c r="E267" s="109"/>
      <c r="F267" s="40">
        <v>0</v>
      </c>
      <c r="G267" s="40">
        <v>1032</v>
      </c>
      <c r="H267" s="40" t="s">
        <v>160</v>
      </c>
      <c r="I267" s="115"/>
      <c r="J267" s="116"/>
    </row>
    <row r="268" spans="1:10" ht="15.6" x14ac:dyDescent="0.3">
      <c r="A268" s="108">
        <v>3</v>
      </c>
      <c r="B268" s="109"/>
      <c r="C268" s="40" t="s">
        <v>164</v>
      </c>
      <c r="D268" s="108">
        <f>33.38*10.764</f>
        <v>359.30232000000001</v>
      </c>
      <c r="E268" s="109"/>
      <c r="F268" s="40">
        <v>0</v>
      </c>
      <c r="G268" s="40">
        <v>716</v>
      </c>
      <c r="H268" s="40" t="s">
        <v>160</v>
      </c>
      <c r="I268" s="115"/>
      <c r="J268" s="116"/>
    </row>
    <row r="269" spans="1:10" ht="15.6" x14ac:dyDescent="0.3">
      <c r="A269" s="108">
        <v>4</v>
      </c>
      <c r="B269" s="109"/>
      <c r="C269" s="40" t="s">
        <v>164</v>
      </c>
      <c r="D269" s="108">
        <f>33.38*10.764</f>
        <v>359.30232000000001</v>
      </c>
      <c r="E269" s="109"/>
      <c r="F269" s="40">
        <v>0</v>
      </c>
      <c r="G269" s="40">
        <v>594</v>
      </c>
      <c r="H269" s="40" t="s">
        <v>160</v>
      </c>
      <c r="I269" s="117"/>
      <c r="J269" s="118"/>
    </row>
    <row r="270" spans="1:10" ht="15.6" x14ac:dyDescent="0.3">
      <c r="A270" s="110" t="s">
        <v>184</v>
      </c>
      <c r="B270" s="111"/>
      <c r="C270" s="111"/>
      <c r="D270" s="111"/>
      <c r="E270" s="111"/>
      <c r="F270" s="111"/>
      <c r="G270" s="111"/>
      <c r="H270" s="111"/>
      <c r="I270" s="111"/>
      <c r="J270" s="112"/>
    </row>
    <row r="271" spans="1:10" ht="15.6" x14ac:dyDescent="0.3">
      <c r="A271" s="108">
        <v>1</v>
      </c>
      <c r="B271" s="109"/>
      <c r="C271" s="40" t="s">
        <v>164</v>
      </c>
      <c r="D271" s="108">
        <f>33.38*10.764</f>
        <v>359.30232000000001</v>
      </c>
      <c r="E271" s="109"/>
      <c r="F271" s="40">
        <v>0</v>
      </c>
      <c r="G271" s="40">
        <v>594</v>
      </c>
      <c r="H271" s="40" t="s">
        <v>160</v>
      </c>
      <c r="I271" s="113" t="str">
        <f>A270</f>
        <v>2nd to 4th Floor</v>
      </c>
      <c r="J271" s="114"/>
    </row>
    <row r="272" spans="1:10" ht="15.6" x14ac:dyDescent="0.3">
      <c r="A272" s="108">
        <v>2</v>
      </c>
      <c r="B272" s="109"/>
      <c r="C272" s="40" t="s">
        <v>164</v>
      </c>
      <c r="D272" s="108">
        <f>33.38*10.764</f>
        <v>359.30232000000001</v>
      </c>
      <c r="E272" s="109"/>
      <c r="F272" s="40">
        <v>0</v>
      </c>
      <c r="G272" s="40">
        <v>594</v>
      </c>
      <c r="H272" s="40" t="s">
        <v>160</v>
      </c>
      <c r="I272" s="115"/>
      <c r="J272" s="116"/>
    </row>
    <row r="273" spans="1:10" ht="15.6" x14ac:dyDescent="0.3">
      <c r="A273" s="108">
        <v>3</v>
      </c>
      <c r="B273" s="109"/>
      <c r="C273" s="40" t="s">
        <v>164</v>
      </c>
      <c r="D273" s="108">
        <f>33.38*10.764</f>
        <v>359.30232000000001</v>
      </c>
      <c r="E273" s="109"/>
      <c r="F273" s="40">
        <v>0</v>
      </c>
      <c r="G273" s="40">
        <v>594</v>
      </c>
      <c r="H273" s="40" t="s">
        <v>160</v>
      </c>
      <c r="I273" s="115"/>
      <c r="J273" s="116"/>
    </row>
    <row r="274" spans="1:10" ht="15.6" x14ac:dyDescent="0.3">
      <c r="A274" s="108">
        <v>4</v>
      </c>
      <c r="B274" s="109"/>
      <c r="C274" s="40" t="s">
        <v>164</v>
      </c>
      <c r="D274" s="108">
        <f>33.38*10.764</f>
        <v>359.30232000000001</v>
      </c>
      <c r="E274" s="109"/>
      <c r="F274" s="40">
        <v>0</v>
      </c>
      <c r="G274" s="40">
        <v>594</v>
      </c>
      <c r="H274" s="40" t="s">
        <v>160</v>
      </c>
      <c r="I274" s="117"/>
      <c r="J274" s="118"/>
    </row>
    <row r="275" spans="1:10" ht="15.6" x14ac:dyDescent="0.3">
      <c r="A275" s="208" t="s">
        <v>175</v>
      </c>
      <c r="B275" s="209"/>
      <c r="C275" s="209"/>
      <c r="D275" s="209"/>
      <c r="E275" s="209"/>
      <c r="F275" s="209"/>
      <c r="G275" s="209"/>
      <c r="H275" s="209"/>
      <c r="I275" s="209"/>
      <c r="J275" s="210"/>
    </row>
    <row r="276" spans="1:10" ht="15.75" customHeight="1" x14ac:dyDescent="0.3">
      <c r="A276" s="110" t="s">
        <v>190</v>
      </c>
      <c r="B276" s="111"/>
      <c r="C276" s="111"/>
      <c r="D276" s="111"/>
      <c r="E276" s="111"/>
      <c r="F276" s="111"/>
      <c r="G276" s="111"/>
      <c r="H276" s="111"/>
      <c r="I276" s="111"/>
      <c r="J276" s="112"/>
    </row>
    <row r="277" spans="1:10" ht="15.6" x14ac:dyDescent="0.3">
      <c r="A277" s="108">
        <v>1</v>
      </c>
      <c r="B277" s="109"/>
      <c r="C277" s="40" t="s">
        <v>159</v>
      </c>
      <c r="D277" s="108">
        <f>8.29*10.764</f>
        <v>89.233559999999983</v>
      </c>
      <c r="E277" s="109"/>
      <c r="F277" s="40">
        <v>0</v>
      </c>
      <c r="G277" s="40">
        <v>252</v>
      </c>
      <c r="H277" s="40" t="s">
        <v>160</v>
      </c>
      <c r="I277" s="113" t="str">
        <f>A276</f>
        <v>Ground Floor for Commercial, Residential &amp; Parking</v>
      </c>
      <c r="J277" s="114"/>
    </row>
    <row r="278" spans="1:10" ht="15.6" x14ac:dyDescent="0.3">
      <c r="A278" s="108">
        <v>2</v>
      </c>
      <c r="B278" s="109"/>
      <c r="C278" s="40" t="s">
        <v>159</v>
      </c>
      <c r="D278" s="108">
        <f>14.95*10.764</f>
        <v>160.92179999999999</v>
      </c>
      <c r="E278" s="109"/>
      <c r="F278" s="40">
        <v>0</v>
      </c>
      <c r="G278" s="40">
        <v>231</v>
      </c>
      <c r="H278" s="40" t="s">
        <v>160</v>
      </c>
      <c r="I278" s="115"/>
      <c r="J278" s="116"/>
    </row>
    <row r="279" spans="1:10" ht="15.6" x14ac:dyDescent="0.3">
      <c r="A279" s="108">
        <v>3</v>
      </c>
      <c r="B279" s="109"/>
      <c r="C279" s="40" t="s">
        <v>159</v>
      </c>
      <c r="D279" s="108">
        <f>11.27*10.764</f>
        <v>121.31027999999999</v>
      </c>
      <c r="E279" s="109"/>
      <c r="F279" s="40">
        <v>0</v>
      </c>
      <c r="G279" s="40">
        <v>249</v>
      </c>
      <c r="H279" s="40" t="s">
        <v>160</v>
      </c>
      <c r="I279" s="115"/>
      <c r="J279" s="116"/>
    </row>
    <row r="280" spans="1:10" ht="15.6" x14ac:dyDescent="0.3">
      <c r="A280" s="108">
        <v>4</v>
      </c>
      <c r="B280" s="109"/>
      <c r="C280" s="40" t="s">
        <v>159</v>
      </c>
      <c r="D280" s="108">
        <f>12.65*10.764</f>
        <v>136.16460000000001</v>
      </c>
      <c r="E280" s="109"/>
      <c r="F280" s="40">
        <v>0</v>
      </c>
      <c r="G280" s="40">
        <v>320</v>
      </c>
      <c r="H280" s="40" t="s">
        <v>160</v>
      </c>
      <c r="I280" s="115"/>
      <c r="J280" s="116"/>
    </row>
    <row r="281" spans="1:10" ht="15.6" x14ac:dyDescent="0.3">
      <c r="A281" s="108">
        <v>5</v>
      </c>
      <c r="B281" s="109"/>
      <c r="C281" s="40" t="s">
        <v>159</v>
      </c>
      <c r="D281" s="108">
        <f>15.95*10.764</f>
        <v>171.68579999999997</v>
      </c>
      <c r="E281" s="109"/>
      <c r="F281" s="40">
        <v>0</v>
      </c>
      <c r="G281" s="40">
        <v>253</v>
      </c>
      <c r="H281" s="40" t="s">
        <v>160</v>
      </c>
      <c r="I281" s="115"/>
      <c r="J281" s="116"/>
    </row>
    <row r="282" spans="1:10" ht="15.6" x14ac:dyDescent="0.3">
      <c r="A282" s="108">
        <v>6</v>
      </c>
      <c r="B282" s="109"/>
      <c r="C282" s="40" t="s">
        <v>159</v>
      </c>
      <c r="D282" s="108">
        <f>12.47*10.764</f>
        <v>134.22708</v>
      </c>
      <c r="E282" s="109"/>
      <c r="F282" s="40">
        <v>0</v>
      </c>
      <c r="G282" s="40">
        <v>225</v>
      </c>
      <c r="H282" s="40" t="s">
        <v>160</v>
      </c>
      <c r="I282" s="115"/>
      <c r="J282" s="116"/>
    </row>
    <row r="283" spans="1:10" ht="15.6" x14ac:dyDescent="0.3">
      <c r="A283" s="108">
        <v>7</v>
      </c>
      <c r="B283" s="109"/>
      <c r="C283" s="40" t="s">
        <v>159</v>
      </c>
      <c r="D283" s="108">
        <f>11.44*10.764</f>
        <v>123.14015999999998</v>
      </c>
      <c r="E283" s="109"/>
      <c r="F283" s="40">
        <v>0</v>
      </c>
      <c r="G283" s="40">
        <v>298</v>
      </c>
      <c r="H283" s="40" t="s">
        <v>160</v>
      </c>
      <c r="I283" s="115"/>
      <c r="J283" s="116"/>
    </row>
    <row r="284" spans="1:10" ht="15.6" x14ac:dyDescent="0.3">
      <c r="A284" s="108">
        <v>8</v>
      </c>
      <c r="B284" s="109"/>
      <c r="C284" s="40" t="s">
        <v>159</v>
      </c>
      <c r="D284" s="108">
        <f>12.1*10.764</f>
        <v>130.24439999999998</v>
      </c>
      <c r="E284" s="109"/>
      <c r="F284" s="40">
        <v>0</v>
      </c>
      <c r="G284" s="40">
        <v>171</v>
      </c>
      <c r="H284" s="40" t="s">
        <v>160</v>
      </c>
      <c r="I284" s="115"/>
      <c r="J284" s="116"/>
    </row>
    <row r="285" spans="1:10" ht="15.6" x14ac:dyDescent="0.3">
      <c r="A285" s="108">
        <v>1</v>
      </c>
      <c r="B285" s="109"/>
      <c r="C285" s="40" t="s">
        <v>163</v>
      </c>
      <c r="D285" s="108">
        <f>23.5*10.764</f>
        <v>252.95399999999998</v>
      </c>
      <c r="E285" s="109"/>
      <c r="F285" s="40">
        <v>0</v>
      </c>
      <c r="G285" s="40">
        <v>420</v>
      </c>
      <c r="H285" s="40" t="s">
        <v>160</v>
      </c>
      <c r="I285" s="115"/>
      <c r="J285" s="116"/>
    </row>
    <row r="286" spans="1:10" ht="15.6" x14ac:dyDescent="0.3">
      <c r="A286" s="108">
        <v>2</v>
      </c>
      <c r="B286" s="109"/>
      <c r="C286" s="40" t="s">
        <v>164</v>
      </c>
      <c r="D286" s="108">
        <f>28.74*10.764</f>
        <v>309.35735999999997</v>
      </c>
      <c r="E286" s="109"/>
      <c r="F286" s="40">
        <v>0</v>
      </c>
      <c r="G286" s="40">
        <v>515</v>
      </c>
      <c r="H286" s="40" t="s">
        <v>160</v>
      </c>
      <c r="I286" s="117"/>
      <c r="J286" s="118"/>
    </row>
    <row r="287" spans="1:10" ht="15.6" x14ac:dyDescent="0.3">
      <c r="A287" s="208" t="s">
        <v>183</v>
      </c>
      <c r="B287" s="209"/>
      <c r="C287" s="209"/>
      <c r="D287" s="209"/>
      <c r="E287" s="209"/>
      <c r="F287" s="209"/>
      <c r="G287" s="209"/>
      <c r="H287" s="209"/>
      <c r="I287" s="209"/>
      <c r="J287" s="210"/>
    </row>
    <row r="288" spans="1:10" ht="15.6" x14ac:dyDescent="0.3">
      <c r="A288" s="108">
        <v>1</v>
      </c>
      <c r="B288" s="109"/>
      <c r="C288" s="40" t="s">
        <v>164</v>
      </c>
      <c r="D288" s="108">
        <f>31.54*10.764</f>
        <v>339.49655999999999</v>
      </c>
      <c r="E288" s="109"/>
      <c r="F288" s="40">
        <v>0</v>
      </c>
      <c r="G288" s="40">
        <v>565</v>
      </c>
      <c r="H288" s="40" t="s">
        <v>160</v>
      </c>
      <c r="I288" s="113" t="str">
        <f>A287</f>
        <v>1st Floor</v>
      </c>
      <c r="J288" s="114"/>
    </row>
    <row r="289" spans="1:10" ht="15.6" x14ac:dyDescent="0.3">
      <c r="A289" s="108">
        <v>2</v>
      </c>
      <c r="B289" s="109"/>
      <c r="C289" s="40" t="s">
        <v>163</v>
      </c>
      <c r="D289" s="108">
        <f>28.74*10.764</f>
        <v>309.35735999999997</v>
      </c>
      <c r="E289" s="109"/>
      <c r="F289" s="40">
        <v>0</v>
      </c>
      <c r="G289" s="40">
        <v>515</v>
      </c>
      <c r="H289" s="40" t="s">
        <v>160</v>
      </c>
      <c r="I289" s="115"/>
      <c r="J289" s="116"/>
    </row>
    <row r="290" spans="1:10" ht="15.6" x14ac:dyDescent="0.3">
      <c r="A290" s="108">
        <v>3</v>
      </c>
      <c r="B290" s="109"/>
      <c r="C290" s="40" t="s">
        <v>163</v>
      </c>
      <c r="D290" s="108">
        <f>28.74*10.764</f>
        <v>309.35735999999997</v>
      </c>
      <c r="E290" s="109"/>
      <c r="F290" s="40">
        <v>0</v>
      </c>
      <c r="G290" s="40">
        <v>515</v>
      </c>
      <c r="H290" s="40" t="s">
        <v>160</v>
      </c>
      <c r="I290" s="115"/>
      <c r="J290" s="116"/>
    </row>
    <row r="291" spans="1:10" ht="15.6" x14ac:dyDescent="0.3">
      <c r="A291" s="108">
        <v>4</v>
      </c>
      <c r="B291" s="109"/>
      <c r="C291" s="40" t="s">
        <v>162</v>
      </c>
      <c r="D291" s="108">
        <f>48.25*10.764</f>
        <v>519.36299999999994</v>
      </c>
      <c r="E291" s="109"/>
      <c r="F291" s="40">
        <v>0</v>
      </c>
      <c r="G291" s="40">
        <v>860</v>
      </c>
      <c r="H291" s="40" t="s">
        <v>160</v>
      </c>
      <c r="I291" s="115"/>
      <c r="J291" s="116"/>
    </row>
    <row r="292" spans="1:10" ht="15.6" x14ac:dyDescent="0.3">
      <c r="A292" s="108">
        <v>5</v>
      </c>
      <c r="B292" s="109"/>
      <c r="C292" s="40" t="s">
        <v>162</v>
      </c>
      <c r="D292" s="108">
        <f>48.25*10.764</f>
        <v>519.36299999999994</v>
      </c>
      <c r="E292" s="109"/>
      <c r="F292" s="40">
        <v>0</v>
      </c>
      <c r="G292" s="40">
        <v>944</v>
      </c>
      <c r="H292" s="40" t="s">
        <v>160</v>
      </c>
      <c r="I292" s="115"/>
      <c r="J292" s="116"/>
    </row>
    <row r="293" spans="1:10" ht="15.6" x14ac:dyDescent="0.3">
      <c r="A293" s="108">
        <v>6</v>
      </c>
      <c r="B293" s="109"/>
      <c r="C293" s="40" t="s">
        <v>164</v>
      </c>
      <c r="D293" s="108">
        <f>34.15*10.764</f>
        <v>367.59059999999994</v>
      </c>
      <c r="E293" s="109"/>
      <c r="F293" s="40">
        <v>0</v>
      </c>
      <c r="G293" s="40">
        <v>737</v>
      </c>
      <c r="H293" s="40" t="s">
        <v>160</v>
      </c>
      <c r="I293" s="117"/>
      <c r="J293" s="118"/>
    </row>
    <row r="294" spans="1:10" ht="15.6" x14ac:dyDescent="0.3">
      <c r="A294" s="110" t="s">
        <v>184</v>
      </c>
      <c r="B294" s="111"/>
      <c r="C294" s="111"/>
      <c r="D294" s="111"/>
      <c r="E294" s="111"/>
      <c r="F294" s="111"/>
      <c r="G294" s="111"/>
      <c r="H294" s="111"/>
      <c r="I294" s="111"/>
      <c r="J294" s="112"/>
    </row>
    <row r="295" spans="1:10" ht="15.6" x14ac:dyDescent="0.3">
      <c r="A295" s="108">
        <v>1</v>
      </c>
      <c r="B295" s="109"/>
      <c r="C295" s="40" t="s">
        <v>164</v>
      </c>
      <c r="D295" s="108">
        <f>31.54*10.764</f>
        <v>339.49655999999999</v>
      </c>
      <c r="E295" s="109"/>
      <c r="F295" s="40">
        <v>0</v>
      </c>
      <c r="G295" s="40">
        <v>565</v>
      </c>
      <c r="H295" s="40" t="s">
        <v>160</v>
      </c>
      <c r="I295" s="113" t="str">
        <f>A294</f>
        <v>2nd to 4th Floor</v>
      </c>
      <c r="J295" s="114"/>
    </row>
    <row r="296" spans="1:10" ht="15.6" x14ac:dyDescent="0.3">
      <c r="A296" s="108">
        <v>2</v>
      </c>
      <c r="B296" s="109"/>
      <c r="C296" s="40" t="s">
        <v>163</v>
      </c>
      <c r="D296" s="108">
        <f>28.74*10.764</f>
        <v>309.35735999999997</v>
      </c>
      <c r="E296" s="109"/>
      <c r="F296" s="40">
        <v>0</v>
      </c>
      <c r="G296" s="40">
        <v>515</v>
      </c>
      <c r="H296" s="40" t="s">
        <v>160</v>
      </c>
      <c r="I296" s="115"/>
      <c r="J296" s="116"/>
    </row>
    <row r="297" spans="1:10" ht="15.6" x14ac:dyDescent="0.3">
      <c r="A297" s="108">
        <v>3</v>
      </c>
      <c r="B297" s="109"/>
      <c r="C297" s="40" t="s">
        <v>163</v>
      </c>
      <c r="D297" s="108">
        <f>28.74*10.764</f>
        <v>309.35735999999997</v>
      </c>
      <c r="E297" s="109"/>
      <c r="F297" s="40">
        <v>0</v>
      </c>
      <c r="G297" s="40">
        <v>515</v>
      </c>
      <c r="H297" s="40" t="s">
        <v>160</v>
      </c>
      <c r="I297" s="115"/>
      <c r="J297" s="116"/>
    </row>
    <row r="298" spans="1:10" ht="15.6" x14ac:dyDescent="0.3">
      <c r="A298" s="108">
        <v>4</v>
      </c>
      <c r="B298" s="109"/>
      <c r="C298" s="40" t="s">
        <v>162</v>
      </c>
      <c r="D298" s="108">
        <f>48.25*10.764</f>
        <v>519.36299999999994</v>
      </c>
      <c r="E298" s="109"/>
      <c r="F298" s="40">
        <v>0</v>
      </c>
      <c r="G298" s="40">
        <v>860</v>
      </c>
      <c r="H298" s="40" t="s">
        <v>160</v>
      </c>
      <c r="I298" s="115"/>
      <c r="J298" s="116"/>
    </row>
    <row r="299" spans="1:10" ht="15.6" x14ac:dyDescent="0.3">
      <c r="A299" s="108">
        <v>5</v>
      </c>
      <c r="B299" s="109"/>
      <c r="C299" s="40" t="s">
        <v>162</v>
      </c>
      <c r="D299" s="108">
        <f>48.25*10.764</f>
        <v>519.36299999999994</v>
      </c>
      <c r="E299" s="109"/>
      <c r="F299" s="40">
        <v>0</v>
      </c>
      <c r="G299" s="40">
        <v>860</v>
      </c>
      <c r="H299" s="40" t="s">
        <v>160</v>
      </c>
      <c r="I299" s="115"/>
      <c r="J299" s="116"/>
    </row>
    <row r="300" spans="1:10" ht="15.6" x14ac:dyDescent="0.3">
      <c r="A300" s="108">
        <v>6</v>
      </c>
      <c r="B300" s="109"/>
      <c r="C300" s="40" t="s">
        <v>164</v>
      </c>
      <c r="D300" s="108">
        <f>34.15*10.764</f>
        <v>367.59059999999994</v>
      </c>
      <c r="E300" s="109"/>
      <c r="F300" s="40">
        <v>0</v>
      </c>
      <c r="G300" s="40">
        <v>616</v>
      </c>
      <c r="H300" s="40" t="s">
        <v>160</v>
      </c>
      <c r="I300" s="117"/>
      <c r="J300" s="118"/>
    </row>
    <row r="301" spans="1:10" ht="15.6" x14ac:dyDescent="0.3">
      <c r="A301" s="207" t="s">
        <v>185</v>
      </c>
      <c r="B301" s="207"/>
      <c r="C301" s="207"/>
      <c r="D301" s="207"/>
      <c r="E301" s="207"/>
      <c r="F301" s="207"/>
      <c r="G301" s="207"/>
      <c r="H301" s="207"/>
      <c r="I301" s="207"/>
      <c r="J301" s="207"/>
    </row>
    <row r="302" spans="1:10" ht="15.75" customHeight="1" x14ac:dyDescent="0.3">
      <c r="A302" s="110" t="s">
        <v>189</v>
      </c>
      <c r="B302" s="111"/>
      <c r="C302" s="111"/>
      <c r="D302" s="111"/>
      <c r="E302" s="111"/>
      <c r="F302" s="111"/>
      <c r="G302" s="111"/>
      <c r="H302" s="111"/>
      <c r="I302" s="111"/>
      <c r="J302" s="112"/>
    </row>
    <row r="303" spans="1:10" ht="15.75" customHeight="1" x14ac:dyDescent="0.3">
      <c r="A303" s="108">
        <v>1</v>
      </c>
      <c r="B303" s="109"/>
      <c r="C303" s="40" t="s">
        <v>162</v>
      </c>
      <c r="D303" s="108">
        <f>49.25*10.764</f>
        <v>530.12699999999995</v>
      </c>
      <c r="E303" s="109"/>
      <c r="F303" s="40">
        <v>0</v>
      </c>
      <c r="G303" s="40">
        <v>881</v>
      </c>
      <c r="H303" s="40" t="s">
        <v>160</v>
      </c>
      <c r="I303" s="113" t="s">
        <v>161</v>
      </c>
      <c r="J303" s="114"/>
    </row>
    <row r="304" spans="1:10" ht="15.75" customHeight="1" x14ac:dyDescent="0.3">
      <c r="A304" s="108">
        <v>2</v>
      </c>
      <c r="B304" s="109"/>
      <c r="C304" s="40" t="s">
        <v>163</v>
      </c>
      <c r="D304" s="108">
        <f>26.95*10.764</f>
        <v>290.08979999999997</v>
      </c>
      <c r="E304" s="109"/>
      <c r="F304" s="40">
        <v>0</v>
      </c>
      <c r="G304" s="40">
        <v>481</v>
      </c>
      <c r="H304" s="40" t="s">
        <v>160</v>
      </c>
      <c r="I304" s="115"/>
      <c r="J304" s="116"/>
    </row>
    <row r="305" spans="1:10" ht="15.6" x14ac:dyDescent="0.3">
      <c r="A305" s="108">
        <v>3</v>
      </c>
      <c r="B305" s="109"/>
      <c r="C305" s="40" t="s">
        <v>163</v>
      </c>
      <c r="D305" s="108">
        <f>26.95*10.764</f>
        <v>290.08979999999997</v>
      </c>
      <c r="E305" s="109"/>
      <c r="F305" s="40">
        <v>0</v>
      </c>
      <c r="G305" s="40">
        <v>481</v>
      </c>
      <c r="H305" s="40" t="s">
        <v>160</v>
      </c>
      <c r="I305" s="115"/>
      <c r="J305" s="116"/>
    </row>
    <row r="306" spans="1:10" ht="15.6" x14ac:dyDescent="0.3">
      <c r="A306" s="108">
        <v>4</v>
      </c>
      <c r="B306" s="109"/>
      <c r="C306" s="40" t="s">
        <v>164</v>
      </c>
      <c r="D306" s="108">
        <f>34.98*10.764</f>
        <v>376.52471999999995</v>
      </c>
      <c r="E306" s="109"/>
      <c r="F306" s="40">
        <v>0</v>
      </c>
      <c r="G306" s="40">
        <v>624</v>
      </c>
      <c r="H306" s="40" t="s">
        <v>160</v>
      </c>
      <c r="I306" s="115"/>
      <c r="J306" s="116"/>
    </row>
    <row r="307" spans="1:10" ht="15.6" x14ac:dyDescent="0.3">
      <c r="A307" s="108">
        <v>5</v>
      </c>
      <c r="B307" s="109"/>
      <c r="C307" s="40" t="s">
        <v>164</v>
      </c>
      <c r="D307" s="108">
        <f>34.98*10.764</f>
        <v>376.52471999999995</v>
      </c>
      <c r="E307" s="109"/>
      <c r="F307" s="40">
        <v>0</v>
      </c>
      <c r="G307" s="40">
        <v>624</v>
      </c>
      <c r="H307" s="40" t="s">
        <v>160</v>
      </c>
      <c r="I307" s="115"/>
      <c r="J307" s="116"/>
    </row>
    <row r="308" spans="1:10" ht="15.6" x14ac:dyDescent="0.3">
      <c r="A308" s="108">
        <v>6</v>
      </c>
      <c r="B308" s="109"/>
      <c r="C308" s="40" t="s">
        <v>164</v>
      </c>
      <c r="D308" s="108">
        <f>34.98*10.764</f>
        <v>376.52471999999995</v>
      </c>
      <c r="E308" s="109"/>
      <c r="F308" s="40">
        <v>0</v>
      </c>
      <c r="G308" s="40">
        <v>621</v>
      </c>
      <c r="H308" s="40" t="s">
        <v>160</v>
      </c>
      <c r="I308" s="117"/>
      <c r="J308" s="118"/>
    </row>
    <row r="309" spans="1:10" ht="15.6" x14ac:dyDescent="0.3">
      <c r="A309" s="110" t="s">
        <v>165</v>
      </c>
      <c r="B309" s="111"/>
      <c r="C309" s="111"/>
      <c r="D309" s="111"/>
      <c r="E309" s="111"/>
      <c r="F309" s="111"/>
      <c r="G309" s="111"/>
      <c r="H309" s="111"/>
      <c r="I309" s="111"/>
      <c r="J309" s="112"/>
    </row>
    <row r="310" spans="1:10" ht="15.75" customHeight="1" x14ac:dyDescent="0.3">
      <c r="A310" s="108">
        <v>1</v>
      </c>
      <c r="B310" s="109"/>
      <c r="C310" s="40" t="s">
        <v>162</v>
      </c>
      <c r="D310" s="108">
        <f>49.53*10.764</f>
        <v>533.14091999999994</v>
      </c>
      <c r="E310" s="109"/>
      <c r="F310" s="40">
        <v>0</v>
      </c>
      <c r="G310" s="40">
        <v>881</v>
      </c>
      <c r="H310" s="40" t="s">
        <v>160</v>
      </c>
      <c r="I310" s="113" t="str">
        <f>A309</f>
        <v>1st to 3rd Floor</v>
      </c>
      <c r="J310" s="114"/>
    </row>
    <row r="311" spans="1:10" ht="15.6" x14ac:dyDescent="0.3">
      <c r="A311" s="108">
        <v>2</v>
      </c>
      <c r="B311" s="109"/>
      <c r="C311" s="40" t="s">
        <v>162</v>
      </c>
      <c r="D311" s="108">
        <f>47.44*10.764</f>
        <v>510.64415999999994</v>
      </c>
      <c r="E311" s="109"/>
      <c r="F311" s="40">
        <v>0</v>
      </c>
      <c r="G311" s="40">
        <v>843</v>
      </c>
      <c r="H311" s="40" t="s">
        <v>160</v>
      </c>
      <c r="I311" s="115"/>
      <c r="J311" s="116"/>
    </row>
    <row r="312" spans="1:10" ht="15.6" x14ac:dyDescent="0.3">
      <c r="A312" s="108">
        <v>3</v>
      </c>
      <c r="B312" s="109"/>
      <c r="C312" s="40" t="s">
        <v>163</v>
      </c>
      <c r="D312" s="108">
        <f>26.95*10.764</f>
        <v>290.08979999999997</v>
      </c>
      <c r="E312" s="109"/>
      <c r="F312" s="40">
        <v>0</v>
      </c>
      <c r="G312" s="40">
        <v>481</v>
      </c>
      <c r="H312" s="40" t="s">
        <v>160</v>
      </c>
      <c r="I312" s="115"/>
      <c r="J312" s="116"/>
    </row>
    <row r="313" spans="1:10" ht="15.6" x14ac:dyDescent="0.3">
      <c r="A313" s="108">
        <v>4</v>
      </c>
      <c r="B313" s="109"/>
      <c r="C313" s="40" t="s">
        <v>163</v>
      </c>
      <c r="D313" s="108">
        <f>26.95*10.764</f>
        <v>290.08979999999997</v>
      </c>
      <c r="E313" s="109"/>
      <c r="F313" s="40">
        <v>0</v>
      </c>
      <c r="G313" s="40">
        <v>481</v>
      </c>
      <c r="H313" s="40" t="s">
        <v>160</v>
      </c>
      <c r="I313" s="115"/>
      <c r="J313" s="116"/>
    </row>
    <row r="314" spans="1:10" ht="15.75" customHeight="1" x14ac:dyDescent="0.3">
      <c r="A314" s="108">
        <v>5</v>
      </c>
      <c r="B314" s="109"/>
      <c r="C314" s="40" t="s">
        <v>164</v>
      </c>
      <c r="D314" s="108">
        <f>34.98*10.764</f>
        <v>376.52471999999995</v>
      </c>
      <c r="E314" s="109"/>
      <c r="F314" s="40">
        <v>0</v>
      </c>
      <c r="G314" s="40">
        <v>624</v>
      </c>
      <c r="H314" s="40" t="s">
        <v>160</v>
      </c>
      <c r="I314" s="115"/>
      <c r="J314" s="116"/>
    </row>
    <row r="315" spans="1:10" ht="15.6" x14ac:dyDescent="0.3">
      <c r="A315" s="108">
        <v>6</v>
      </c>
      <c r="B315" s="109"/>
      <c r="C315" s="40" t="s">
        <v>164</v>
      </c>
      <c r="D315" s="108">
        <f>34.98*10.764</f>
        <v>376.52471999999995</v>
      </c>
      <c r="E315" s="109"/>
      <c r="F315" s="40">
        <v>0</v>
      </c>
      <c r="G315" s="40">
        <v>624</v>
      </c>
      <c r="H315" s="40" t="s">
        <v>160</v>
      </c>
      <c r="I315" s="115"/>
      <c r="J315" s="116"/>
    </row>
    <row r="316" spans="1:10" ht="15.6" x14ac:dyDescent="0.3">
      <c r="A316" s="108">
        <v>7</v>
      </c>
      <c r="B316" s="109"/>
      <c r="C316" s="40" t="s">
        <v>164</v>
      </c>
      <c r="D316" s="108">
        <f>34.98*10.764</f>
        <v>376.52471999999995</v>
      </c>
      <c r="E316" s="109"/>
      <c r="F316" s="40">
        <v>0</v>
      </c>
      <c r="G316" s="40">
        <v>621</v>
      </c>
      <c r="H316" s="40" t="s">
        <v>160</v>
      </c>
      <c r="I316" s="117"/>
      <c r="J316" s="118"/>
    </row>
    <row r="317" spans="1:10" ht="15.6" x14ac:dyDescent="0.3">
      <c r="A317" s="110" t="s">
        <v>176</v>
      </c>
      <c r="B317" s="111"/>
      <c r="C317" s="111"/>
      <c r="D317" s="111"/>
      <c r="E317" s="111"/>
      <c r="F317" s="111"/>
      <c r="G317" s="111"/>
      <c r="H317" s="111"/>
      <c r="I317" s="111"/>
      <c r="J317" s="112"/>
    </row>
    <row r="318" spans="1:10" ht="15.6" x14ac:dyDescent="0.3">
      <c r="A318" s="110" t="s">
        <v>177</v>
      </c>
      <c r="B318" s="111"/>
      <c r="C318" s="111"/>
      <c r="D318" s="111"/>
      <c r="E318" s="111"/>
      <c r="F318" s="111"/>
      <c r="G318" s="111"/>
      <c r="H318" s="111"/>
      <c r="I318" s="111"/>
      <c r="J318" s="112"/>
    </row>
    <row r="319" spans="1:10" ht="15.75" customHeight="1" x14ac:dyDescent="0.3">
      <c r="A319" s="110" t="s">
        <v>190</v>
      </c>
      <c r="B319" s="111"/>
      <c r="C319" s="111"/>
      <c r="D319" s="111"/>
      <c r="E319" s="111"/>
      <c r="F319" s="111"/>
      <c r="G319" s="111"/>
      <c r="H319" s="111"/>
      <c r="I319" s="111"/>
      <c r="J319" s="112"/>
    </row>
    <row r="320" spans="1:10" ht="15.6" x14ac:dyDescent="0.3">
      <c r="A320" s="108">
        <v>1</v>
      </c>
      <c r="B320" s="109"/>
      <c r="C320" s="40" t="s">
        <v>159</v>
      </c>
      <c r="D320" s="108">
        <f>8.25*10.764</f>
        <v>88.802999999999997</v>
      </c>
      <c r="E320" s="109"/>
      <c r="F320" s="40">
        <v>0</v>
      </c>
      <c r="G320" s="40">
        <v>156</v>
      </c>
      <c r="H320" s="40" t="s">
        <v>160</v>
      </c>
      <c r="I320" s="113" t="str">
        <f>A319</f>
        <v>Ground Floor for Commercial, Residential &amp; Parking</v>
      </c>
      <c r="J320" s="114"/>
    </row>
    <row r="321" spans="1:10" ht="15.6" x14ac:dyDescent="0.3">
      <c r="A321" s="108">
        <v>2</v>
      </c>
      <c r="B321" s="109"/>
      <c r="C321" s="40" t="s">
        <v>159</v>
      </c>
      <c r="D321" s="108">
        <f>11.31*10.764</f>
        <v>121.74083999999999</v>
      </c>
      <c r="E321" s="109"/>
      <c r="F321" s="40">
        <v>0</v>
      </c>
      <c r="G321" s="40">
        <v>216</v>
      </c>
      <c r="H321" s="40" t="s">
        <v>160</v>
      </c>
      <c r="I321" s="115"/>
      <c r="J321" s="116"/>
    </row>
    <row r="322" spans="1:10" ht="15.6" x14ac:dyDescent="0.3">
      <c r="A322" s="108">
        <v>3</v>
      </c>
      <c r="B322" s="109"/>
      <c r="C322" s="40" t="s">
        <v>159</v>
      </c>
      <c r="D322" s="108">
        <f>12.36*10.764</f>
        <v>133.04303999999999</v>
      </c>
      <c r="E322" s="109"/>
      <c r="F322" s="40">
        <v>0</v>
      </c>
      <c r="G322" s="40">
        <v>234</v>
      </c>
      <c r="H322" s="40" t="s">
        <v>160</v>
      </c>
      <c r="I322" s="115"/>
      <c r="J322" s="116"/>
    </row>
    <row r="323" spans="1:10" ht="15.6" x14ac:dyDescent="0.3">
      <c r="A323" s="108">
        <v>4</v>
      </c>
      <c r="B323" s="109"/>
      <c r="C323" s="40" t="s">
        <v>159</v>
      </c>
      <c r="D323" s="108">
        <f>15.81*10.764</f>
        <v>170.17884000000001</v>
      </c>
      <c r="E323" s="109"/>
      <c r="F323" s="40">
        <v>0</v>
      </c>
      <c r="G323" s="40">
        <v>300</v>
      </c>
      <c r="H323" s="40" t="s">
        <v>160</v>
      </c>
      <c r="I323" s="115"/>
      <c r="J323" s="116"/>
    </row>
    <row r="324" spans="1:10" ht="15.6" x14ac:dyDescent="0.3">
      <c r="A324" s="108">
        <v>5</v>
      </c>
      <c r="B324" s="109"/>
      <c r="C324" s="40" t="s">
        <v>159</v>
      </c>
      <c r="D324" s="108">
        <f>13.94*10.764</f>
        <v>150.05015999999998</v>
      </c>
      <c r="E324" s="109"/>
      <c r="F324" s="40">
        <v>0</v>
      </c>
      <c r="G324" s="40">
        <v>271</v>
      </c>
      <c r="H324" s="40" t="s">
        <v>160</v>
      </c>
      <c r="I324" s="115"/>
      <c r="J324" s="116"/>
    </row>
    <row r="325" spans="1:10" ht="15.6" x14ac:dyDescent="0.3">
      <c r="A325" s="108">
        <v>6</v>
      </c>
      <c r="B325" s="109"/>
      <c r="C325" s="40" t="s">
        <v>159</v>
      </c>
      <c r="D325" s="108">
        <f>8.8*10.764</f>
        <v>94.723200000000006</v>
      </c>
      <c r="E325" s="109"/>
      <c r="F325" s="40">
        <v>0</v>
      </c>
      <c r="G325" s="40">
        <v>168</v>
      </c>
      <c r="H325" s="40" t="s">
        <v>160</v>
      </c>
      <c r="I325" s="115"/>
      <c r="J325" s="116"/>
    </row>
    <row r="326" spans="1:10" ht="15.6" x14ac:dyDescent="0.3">
      <c r="A326" s="108">
        <v>7</v>
      </c>
      <c r="B326" s="109"/>
      <c r="C326" s="40" t="s">
        <v>159</v>
      </c>
      <c r="D326" s="108">
        <f>12.1*10.764</f>
        <v>130.24439999999998</v>
      </c>
      <c r="E326" s="109"/>
      <c r="F326" s="40">
        <v>0</v>
      </c>
      <c r="G326" s="40">
        <v>232</v>
      </c>
      <c r="H326" s="40" t="s">
        <v>160</v>
      </c>
      <c r="I326" s="115"/>
      <c r="J326" s="116"/>
    </row>
    <row r="327" spans="1:10" ht="15.6" x14ac:dyDescent="0.3">
      <c r="A327" s="108">
        <v>8</v>
      </c>
      <c r="B327" s="109"/>
      <c r="C327" s="40" t="s">
        <v>159</v>
      </c>
      <c r="D327" s="108">
        <f>12.1*10.764</f>
        <v>130.24439999999998</v>
      </c>
      <c r="E327" s="109"/>
      <c r="F327" s="40">
        <v>0</v>
      </c>
      <c r="G327" s="40">
        <v>483</v>
      </c>
      <c r="H327" s="40" t="s">
        <v>160</v>
      </c>
      <c r="I327" s="115"/>
      <c r="J327" s="116"/>
    </row>
    <row r="328" spans="1:10" ht="15.6" x14ac:dyDescent="0.3">
      <c r="A328" s="108">
        <v>9</v>
      </c>
      <c r="B328" s="109"/>
      <c r="C328" s="40" t="s">
        <v>159</v>
      </c>
      <c r="D328" s="108">
        <f>8.8*10.764</f>
        <v>94.723200000000006</v>
      </c>
      <c r="E328" s="109"/>
      <c r="F328" s="40">
        <v>0</v>
      </c>
      <c r="G328" s="40">
        <v>168</v>
      </c>
      <c r="H328" s="40" t="s">
        <v>160</v>
      </c>
      <c r="I328" s="115"/>
      <c r="J328" s="116"/>
    </row>
    <row r="329" spans="1:10" ht="15.6" x14ac:dyDescent="0.3">
      <c r="A329" s="108">
        <v>10</v>
      </c>
      <c r="B329" s="109"/>
      <c r="C329" s="40" t="s">
        <v>159</v>
      </c>
      <c r="D329" s="108">
        <f>14*10.764</f>
        <v>150.696</v>
      </c>
      <c r="E329" s="109"/>
      <c r="F329" s="40">
        <v>0</v>
      </c>
      <c r="G329" s="40">
        <v>271</v>
      </c>
      <c r="H329" s="40" t="s">
        <v>160</v>
      </c>
      <c r="I329" s="115"/>
      <c r="J329" s="116"/>
    </row>
    <row r="330" spans="1:10" ht="15.6" x14ac:dyDescent="0.3">
      <c r="A330" s="108">
        <v>11</v>
      </c>
      <c r="B330" s="109"/>
      <c r="C330" s="40" t="s">
        <v>159</v>
      </c>
      <c r="D330" s="108">
        <f>15.95*10.764</f>
        <v>171.68579999999997</v>
      </c>
      <c r="E330" s="109"/>
      <c r="F330" s="40">
        <v>0</v>
      </c>
      <c r="G330" s="40">
        <v>304</v>
      </c>
      <c r="H330" s="40" t="s">
        <v>160</v>
      </c>
      <c r="I330" s="115"/>
      <c r="J330" s="116"/>
    </row>
    <row r="331" spans="1:10" ht="15.6" x14ac:dyDescent="0.3">
      <c r="A331" s="108">
        <v>12</v>
      </c>
      <c r="B331" s="109"/>
      <c r="C331" s="40" t="s">
        <v>159</v>
      </c>
      <c r="D331" s="108">
        <f>12.47*10.764</f>
        <v>134.22708</v>
      </c>
      <c r="E331" s="109"/>
      <c r="F331" s="40">
        <v>0</v>
      </c>
      <c r="G331" s="40">
        <v>237</v>
      </c>
      <c r="H331" s="40" t="s">
        <v>160</v>
      </c>
      <c r="I331" s="115"/>
      <c r="J331" s="116"/>
    </row>
    <row r="332" spans="1:10" ht="15.6" x14ac:dyDescent="0.3">
      <c r="A332" s="108">
        <v>13</v>
      </c>
      <c r="B332" s="109"/>
      <c r="C332" s="40" t="s">
        <v>159</v>
      </c>
      <c r="D332" s="108">
        <f>11.44*10.764</f>
        <v>123.14015999999998</v>
      </c>
      <c r="E332" s="109"/>
      <c r="F332" s="40">
        <v>0</v>
      </c>
      <c r="G332" s="40">
        <v>219</v>
      </c>
      <c r="H332" s="40" t="s">
        <v>160</v>
      </c>
      <c r="I332" s="115"/>
      <c r="J332" s="116"/>
    </row>
    <row r="333" spans="1:10" ht="15.6" x14ac:dyDescent="0.3">
      <c r="A333" s="108">
        <v>14</v>
      </c>
      <c r="B333" s="109"/>
      <c r="C333" s="40" t="s">
        <v>159</v>
      </c>
      <c r="D333" s="108">
        <f>12.1*10.764</f>
        <v>130.24439999999998</v>
      </c>
      <c r="E333" s="109"/>
      <c r="F333" s="40">
        <v>0</v>
      </c>
      <c r="G333" s="40">
        <v>232</v>
      </c>
      <c r="H333" s="40" t="s">
        <v>160</v>
      </c>
      <c r="I333" s="115"/>
      <c r="J333" s="116"/>
    </row>
    <row r="334" spans="1:10" ht="15.6" x14ac:dyDescent="0.3">
      <c r="A334" s="108">
        <v>1</v>
      </c>
      <c r="B334" s="109"/>
      <c r="C334" s="40" t="s">
        <v>162</v>
      </c>
      <c r="D334" s="108">
        <f>47.44*10.764</f>
        <v>510.64415999999994</v>
      </c>
      <c r="E334" s="109"/>
      <c r="F334" s="40">
        <v>0</v>
      </c>
      <c r="G334" s="40">
        <v>843</v>
      </c>
      <c r="H334" s="40" t="s">
        <v>160</v>
      </c>
      <c r="I334" s="117"/>
      <c r="J334" s="118"/>
    </row>
    <row r="335" spans="1:10" ht="15.6" x14ac:dyDescent="0.3">
      <c r="A335" s="208" t="s">
        <v>183</v>
      </c>
      <c r="B335" s="209"/>
      <c r="C335" s="209"/>
      <c r="D335" s="209"/>
      <c r="E335" s="209"/>
      <c r="F335" s="209"/>
      <c r="G335" s="209"/>
      <c r="H335" s="209"/>
      <c r="I335" s="209"/>
      <c r="J335" s="210"/>
    </row>
    <row r="336" spans="1:10" ht="15.6" x14ac:dyDescent="0.3">
      <c r="A336" s="108">
        <v>1</v>
      </c>
      <c r="B336" s="109"/>
      <c r="C336" s="40" t="s">
        <v>162</v>
      </c>
      <c r="D336" s="108">
        <f>47.44*10.764</f>
        <v>510.64415999999994</v>
      </c>
      <c r="E336" s="109"/>
      <c r="F336" s="40">
        <v>0</v>
      </c>
      <c r="G336" s="40">
        <v>843</v>
      </c>
      <c r="H336" s="40" t="s">
        <v>160</v>
      </c>
      <c r="I336" s="113" t="str">
        <f>A335</f>
        <v>1st Floor</v>
      </c>
      <c r="J336" s="114"/>
    </row>
    <row r="337" spans="1:10" ht="15.6" x14ac:dyDescent="0.3">
      <c r="A337" s="108">
        <v>2</v>
      </c>
      <c r="B337" s="109"/>
      <c r="C337" s="40" t="s">
        <v>162</v>
      </c>
      <c r="D337" s="108">
        <f>47.44*10.764</f>
        <v>510.64415999999994</v>
      </c>
      <c r="E337" s="109"/>
      <c r="F337" s="40">
        <v>0</v>
      </c>
      <c r="G337" s="40">
        <v>947</v>
      </c>
      <c r="H337" s="40" t="s">
        <v>160</v>
      </c>
      <c r="I337" s="115"/>
      <c r="J337" s="116"/>
    </row>
    <row r="338" spans="1:10" ht="15.6" x14ac:dyDescent="0.3">
      <c r="A338" s="108">
        <v>3</v>
      </c>
      <c r="B338" s="109"/>
      <c r="C338" s="40" t="s">
        <v>164</v>
      </c>
      <c r="D338" s="108">
        <f>31.54*10.764</f>
        <v>339.49655999999999</v>
      </c>
      <c r="E338" s="109"/>
      <c r="F338" s="40">
        <v>0</v>
      </c>
      <c r="G338" s="40">
        <v>662</v>
      </c>
      <c r="H338" s="40" t="s">
        <v>160</v>
      </c>
      <c r="I338" s="115"/>
      <c r="J338" s="116"/>
    </row>
    <row r="339" spans="1:10" ht="15.6" x14ac:dyDescent="0.3">
      <c r="A339" s="108">
        <v>4</v>
      </c>
      <c r="B339" s="109"/>
      <c r="C339" s="40" t="s">
        <v>164</v>
      </c>
      <c r="D339" s="108">
        <f>31.54*10.764</f>
        <v>339.49655999999999</v>
      </c>
      <c r="E339" s="109"/>
      <c r="F339" s="40">
        <v>0</v>
      </c>
      <c r="G339" s="40">
        <v>662</v>
      </c>
      <c r="H339" s="40" t="s">
        <v>160</v>
      </c>
      <c r="I339" s="115"/>
      <c r="J339" s="116"/>
    </row>
    <row r="340" spans="1:10" ht="15.6" x14ac:dyDescent="0.3">
      <c r="A340" s="108">
        <v>5</v>
      </c>
      <c r="B340" s="109"/>
      <c r="C340" s="40" t="s">
        <v>162</v>
      </c>
      <c r="D340" s="108">
        <f>47.44*10.764</f>
        <v>510.64415999999994</v>
      </c>
      <c r="E340" s="109"/>
      <c r="F340" s="40">
        <v>0</v>
      </c>
      <c r="G340" s="40">
        <v>947</v>
      </c>
      <c r="H340" s="40" t="s">
        <v>160</v>
      </c>
      <c r="I340" s="115"/>
      <c r="J340" s="116"/>
    </row>
    <row r="341" spans="1:10" ht="15.6" x14ac:dyDescent="0.3">
      <c r="A341" s="108">
        <v>6</v>
      </c>
      <c r="B341" s="109"/>
      <c r="C341" s="40" t="s">
        <v>162</v>
      </c>
      <c r="D341" s="108">
        <f>47.44*10.764</f>
        <v>510.64415999999994</v>
      </c>
      <c r="E341" s="109"/>
      <c r="F341" s="40">
        <v>0</v>
      </c>
      <c r="G341" s="40">
        <v>843</v>
      </c>
      <c r="H341" s="40" t="s">
        <v>160</v>
      </c>
      <c r="I341" s="117"/>
      <c r="J341" s="118"/>
    </row>
    <row r="342" spans="1:10" ht="15.6" x14ac:dyDescent="0.3">
      <c r="A342" s="110" t="s">
        <v>184</v>
      </c>
      <c r="B342" s="111"/>
      <c r="C342" s="111"/>
      <c r="D342" s="111"/>
      <c r="E342" s="111"/>
      <c r="F342" s="111"/>
      <c r="G342" s="111"/>
      <c r="H342" s="111"/>
      <c r="I342" s="111"/>
      <c r="J342" s="112"/>
    </row>
    <row r="343" spans="1:10" ht="15.75" customHeight="1" x14ac:dyDescent="0.3">
      <c r="A343" s="108">
        <v>1</v>
      </c>
      <c r="B343" s="109"/>
      <c r="C343" s="40" t="s">
        <v>162</v>
      </c>
      <c r="D343" s="108">
        <f>47.44*10.764</f>
        <v>510.64415999999994</v>
      </c>
      <c r="E343" s="109"/>
      <c r="F343" s="40">
        <v>0</v>
      </c>
      <c r="G343" s="40">
        <v>843</v>
      </c>
      <c r="H343" s="40" t="s">
        <v>160</v>
      </c>
      <c r="I343" s="113" t="str">
        <f>A342</f>
        <v>2nd to 4th Floor</v>
      </c>
      <c r="J343" s="114"/>
    </row>
    <row r="344" spans="1:10" ht="15.75" customHeight="1" x14ac:dyDescent="0.3">
      <c r="A344" s="108">
        <v>2</v>
      </c>
      <c r="B344" s="109"/>
      <c r="C344" s="40" t="s">
        <v>162</v>
      </c>
      <c r="D344" s="108">
        <f>47.44*10.764</f>
        <v>510.64415999999994</v>
      </c>
      <c r="E344" s="109"/>
      <c r="F344" s="40">
        <v>0</v>
      </c>
      <c r="G344" s="40">
        <v>843</v>
      </c>
      <c r="H344" s="40" t="s">
        <v>160</v>
      </c>
      <c r="I344" s="115"/>
      <c r="J344" s="116"/>
    </row>
    <row r="345" spans="1:10" ht="15.6" x14ac:dyDescent="0.3">
      <c r="A345" s="108">
        <v>3</v>
      </c>
      <c r="B345" s="109"/>
      <c r="C345" s="40" t="s">
        <v>164</v>
      </c>
      <c r="D345" s="108">
        <f>31.54*10.764</f>
        <v>339.49655999999999</v>
      </c>
      <c r="E345" s="109"/>
      <c r="F345" s="40">
        <v>0</v>
      </c>
      <c r="G345" s="40">
        <v>565</v>
      </c>
      <c r="H345" s="40" t="s">
        <v>160</v>
      </c>
      <c r="I345" s="115"/>
      <c r="J345" s="116"/>
    </row>
    <row r="346" spans="1:10" ht="15.75" customHeight="1" x14ac:dyDescent="0.3">
      <c r="A346" s="108">
        <v>4</v>
      </c>
      <c r="B346" s="109"/>
      <c r="C346" s="40" t="s">
        <v>164</v>
      </c>
      <c r="D346" s="108">
        <f>31.54*10.764</f>
        <v>339.49655999999999</v>
      </c>
      <c r="E346" s="109"/>
      <c r="F346" s="40">
        <v>0</v>
      </c>
      <c r="G346" s="40">
        <v>565</v>
      </c>
      <c r="H346" s="40" t="s">
        <v>160</v>
      </c>
      <c r="I346" s="115"/>
      <c r="J346" s="116"/>
    </row>
    <row r="347" spans="1:10" ht="15.6" x14ac:dyDescent="0.3">
      <c r="A347" s="108">
        <v>5</v>
      </c>
      <c r="B347" s="109"/>
      <c r="C347" s="40" t="s">
        <v>162</v>
      </c>
      <c r="D347" s="108">
        <f>47.44*10.764</f>
        <v>510.64415999999994</v>
      </c>
      <c r="E347" s="109"/>
      <c r="F347" s="40">
        <v>0</v>
      </c>
      <c r="G347" s="40">
        <v>843</v>
      </c>
      <c r="H347" s="40" t="s">
        <v>160</v>
      </c>
      <c r="I347" s="115"/>
      <c r="J347" s="116"/>
    </row>
    <row r="348" spans="1:10" ht="15.6" x14ac:dyDescent="0.3">
      <c r="A348" s="108">
        <v>6</v>
      </c>
      <c r="B348" s="109"/>
      <c r="C348" s="40" t="s">
        <v>162</v>
      </c>
      <c r="D348" s="108">
        <f>47.44*10.764</f>
        <v>510.64415999999994</v>
      </c>
      <c r="E348" s="109"/>
      <c r="F348" s="40">
        <v>0</v>
      </c>
      <c r="G348" s="40">
        <v>843</v>
      </c>
      <c r="H348" s="40" t="s">
        <v>160</v>
      </c>
      <c r="I348" s="117"/>
      <c r="J348" s="118"/>
    </row>
    <row r="349" spans="1:10" ht="15.6" x14ac:dyDescent="0.3">
      <c r="A349" s="110" t="s">
        <v>178</v>
      </c>
      <c r="B349" s="111"/>
      <c r="C349" s="111"/>
      <c r="D349" s="111"/>
      <c r="E349" s="111"/>
      <c r="F349" s="111"/>
      <c r="G349" s="111"/>
      <c r="H349" s="111"/>
      <c r="I349" s="111"/>
      <c r="J349" s="112"/>
    </row>
    <row r="350" spans="1:10" ht="15.75" customHeight="1" x14ac:dyDescent="0.3">
      <c r="A350" s="110" t="s">
        <v>190</v>
      </c>
      <c r="B350" s="111"/>
      <c r="C350" s="111"/>
      <c r="D350" s="111"/>
      <c r="E350" s="111"/>
      <c r="F350" s="111"/>
      <c r="G350" s="111"/>
      <c r="H350" s="111"/>
      <c r="I350" s="111"/>
      <c r="J350" s="112"/>
    </row>
    <row r="351" spans="1:10" ht="15.6" x14ac:dyDescent="0.3">
      <c r="A351" s="108">
        <v>1</v>
      </c>
      <c r="B351" s="109"/>
      <c r="C351" s="40" t="s">
        <v>159</v>
      </c>
      <c r="D351" s="108">
        <f>14.16*10.764</f>
        <v>152.41824</v>
      </c>
      <c r="E351" s="109"/>
      <c r="F351" s="40">
        <v>0</v>
      </c>
      <c r="G351" s="40">
        <v>285</v>
      </c>
      <c r="H351" s="40" t="s">
        <v>160</v>
      </c>
      <c r="I351" s="113" t="str">
        <f>A350</f>
        <v>Ground Floor for Commercial, Residential &amp; Parking</v>
      </c>
      <c r="J351" s="114"/>
    </row>
    <row r="352" spans="1:10" ht="15.6" x14ac:dyDescent="0.3">
      <c r="A352" s="108">
        <v>2</v>
      </c>
      <c r="B352" s="109"/>
      <c r="C352" s="40" t="s">
        <v>159</v>
      </c>
      <c r="D352" s="108">
        <f>12.49*10.764</f>
        <v>134.44236000000001</v>
      </c>
      <c r="E352" s="109"/>
      <c r="F352" s="40">
        <v>0</v>
      </c>
      <c r="G352" s="40">
        <v>256</v>
      </c>
      <c r="H352" s="40" t="s">
        <v>160</v>
      </c>
      <c r="I352" s="115"/>
      <c r="J352" s="116"/>
    </row>
    <row r="353" spans="1:10" ht="15.6" x14ac:dyDescent="0.3">
      <c r="A353" s="108">
        <v>3</v>
      </c>
      <c r="B353" s="109"/>
      <c r="C353" s="40" t="s">
        <v>159</v>
      </c>
      <c r="D353" s="108">
        <f>16.23*10.764</f>
        <v>174.69971999999999</v>
      </c>
      <c r="E353" s="109"/>
      <c r="F353" s="40">
        <v>0</v>
      </c>
      <c r="G353" s="40">
        <v>323</v>
      </c>
      <c r="H353" s="40" t="s">
        <v>160</v>
      </c>
      <c r="I353" s="115"/>
      <c r="J353" s="116"/>
    </row>
    <row r="354" spans="1:10" ht="15.6" x14ac:dyDescent="0.3">
      <c r="A354" s="108">
        <v>4</v>
      </c>
      <c r="B354" s="109"/>
      <c r="C354" s="40" t="s">
        <v>159</v>
      </c>
      <c r="D354" s="108">
        <f>12.38*10.764</f>
        <v>133.25832</v>
      </c>
      <c r="E354" s="109"/>
      <c r="F354" s="40">
        <v>0</v>
      </c>
      <c r="G354" s="40">
        <v>247</v>
      </c>
      <c r="H354" s="40" t="s">
        <v>160</v>
      </c>
      <c r="I354" s="115"/>
      <c r="J354" s="116"/>
    </row>
    <row r="355" spans="1:10" ht="15.6" x14ac:dyDescent="0.3">
      <c r="A355" s="108">
        <v>5</v>
      </c>
      <c r="B355" s="109"/>
      <c r="C355" s="40" t="s">
        <v>159</v>
      </c>
      <c r="D355" s="108">
        <f>10.13*10.764</f>
        <v>109.03932</v>
      </c>
      <c r="E355" s="109"/>
      <c r="F355" s="40">
        <v>0</v>
      </c>
      <c r="G355" s="40">
        <v>206</v>
      </c>
      <c r="H355" s="40" t="s">
        <v>160</v>
      </c>
      <c r="I355" s="115"/>
      <c r="J355" s="116"/>
    </row>
    <row r="356" spans="1:10" ht="15.6" x14ac:dyDescent="0.3">
      <c r="A356" s="108">
        <v>6</v>
      </c>
      <c r="B356" s="109"/>
      <c r="C356" s="40" t="s">
        <v>159</v>
      </c>
      <c r="D356" s="108">
        <f>15.11*10.764</f>
        <v>162.64403999999999</v>
      </c>
      <c r="E356" s="109"/>
      <c r="F356" s="40">
        <v>0</v>
      </c>
      <c r="G356" s="40">
        <v>303</v>
      </c>
      <c r="H356" s="40" t="s">
        <v>160</v>
      </c>
      <c r="I356" s="115"/>
      <c r="J356" s="116"/>
    </row>
    <row r="357" spans="1:10" ht="15.6" x14ac:dyDescent="0.3">
      <c r="A357" s="108">
        <v>7</v>
      </c>
      <c r="B357" s="109"/>
      <c r="C357" s="40" t="s">
        <v>159</v>
      </c>
      <c r="D357" s="108">
        <f>15.54*10.764</f>
        <v>167.27255999999997</v>
      </c>
      <c r="E357" s="109"/>
      <c r="F357" s="40">
        <v>0</v>
      </c>
      <c r="G357" s="40">
        <v>310</v>
      </c>
      <c r="H357" s="40" t="s">
        <v>160</v>
      </c>
      <c r="I357" s="115"/>
      <c r="J357" s="116"/>
    </row>
    <row r="358" spans="1:10" ht="15.6" x14ac:dyDescent="0.3">
      <c r="A358" s="108">
        <v>8</v>
      </c>
      <c r="B358" s="109"/>
      <c r="C358" s="40" t="s">
        <v>159</v>
      </c>
      <c r="D358" s="108">
        <f>12.15*10.764</f>
        <v>130.7826</v>
      </c>
      <c r="E358" s="109"/>
      <c r="F358" s="40">
        <v>0</v>
      </c>
      <c r="G358" s="40">
        <v>241</v>
      </c>
      <c r="H358" s="40" t="s">
        <v>160</v>
      </c>
      <c r="I358" s="115"/>
      <c r="J358" s="116"/>
    </row>
    <row r="359" spans="1:10" ht="15.6" x14ac:dyDescent="0.3">
      <c r="A359" s="108">
        <v>9</v>
      </c>
      <c r="B359" s="109"/>
      <c r="C359" s="40" t="s">
        <v>159</v>
      </c>
      <c r="D359" s="108">
        <f>110.5*10.764</f>
        <v>1189.422</v>
      </c>
      <c r="E359" s="109"/>
      <c r="F359" s="40">
        <v>0</v>
      </c>
      <c r="G359" s="40">
        <v>222</v>
      </c>
      <c r="H359" s="40" t="s">
        <v>160</v>
      </c>
      <c r="I359" s="115"/>
      <c r="J359" s="116"/>
    </row>
    <row r="360" spans="1:10" ht="15.6" x14ac:dyDescent="0.3">
      <c r="A360" s="108">
        <v>10</v>
      </c>
      <c r="B360" s="109"/>
      <c r="C360" s="40" t="s">
        <v>159</v>
      </c>
      <c r="D360" s="108">
        <f>7.98*10.764</f>
        <v>85.896720000000002</v>
      </c>
      <c r="E360" s="109"/>
      <c r="F360" s="40">
        <v>0</v>
      </c>
      <c r="G360" s="40">
        <v>159</v>
      </c>
      <c r="H360" s="40" t="s">
        <v>160</v>
      </c>
      <c r="I360" s="115"/>
      <c r="J360" s="116"/>
    </row>
    <row r="361" spans="1:10" ht="15.6" x14ac:dyDescent="0.3">
      <c r="A361" s="108">
        <v>1</v>
      </c>
      <c r="B361" s="109"/>
      <c r="C361" s="40" t="s">
        <v>162</v>
      </c>
      <c r="D361" s="108">
        <f>47.44*10.764</f>
        <v>510.64415999999994</v>
      </c>
      <c r="E361" s="109"/>
      <c r="F361" s="40">
        <v>0</v>
      </c>
      <c r="G361" s="40">
        <v>843</v>
      </c>
      <c r="H361" s="40" t="s">
        <v>160</v>
      </c>
      <c r="I361" s="117"/>
      <c r="J361" s="118"/>
    </row>
    <row r="362" spans="1:10" ht="15.6" x14ac:dyDescent="0.3">
      <c r="A362" s="110" t="s">
        <v>183</v>
      </c>
      <c r="B362" s="111"/>
      <c r="C362" s="111"/>
      <c r="D362" s="111"/>
      <c r="E362" s="111"/>
      <c r="F362" s="111"/>
      <c r="G362" s="111"/>
      <c r="H362" s="111"/>
      <c r="I362" s="111"/>
      <c r="J362" s="112"/>
    </row>
    <row r="363" spans="1:10" ht="15.6" x14ac:dyDescent="0.3">
      <c r="A363" s="108">
        <v>1</v>
      </c>
      <c r="B363" s="109"/>
      <c r="C363" s="40" t="s">
        <v>162</v>
      </c>
      <c r="D363" s="108">
        <f>49.53*10.764</f>
        <v>533.14091999999994</v>
      </c>
      <c r="E363" s="109"/>
      <c r="F363" s="40">
        <v>0</v>
      </c>
      <c r="G363" s="40">
        <v>986</v>
      </c>
      <c r="H363" s="40" t="s">
        <v>160</v>
      </c>
      <c r="I363" s="113" t="str">
        <f>A362</f>
        <v>1st Floor</v>
      </c>
      <c r="J363" s="114"/>
    </row>
    <row r="364" spans="1:10" ht="15.6" x14ac:dyDescent="0.3">
      <c r="A364" s="108">
        <v>2</v>
      </c>
      <c r="B364" s="109"/>
      <c r="C364" s="40" t="s">
        <v>162</v>
      </c>
      <c r="D364" s="108">
        <f>47.44*10.764</f>
        <v>510.64415999999994</v>
      </c>
      <c r="E364" s="109"/>
      <c r="F364" s="40">
        <v>0</v>
      </c>
      <c r="G364" s="40">
        <v>843</v>
      </c>
      <c r="H364" s="40" t="s">
        <v>160</v>
      </c>
      <c r="I364" s="115"/>
      <c r="J364" s="116"/>
    </row>
    <row r="365" spans="1:10" ht="15.6" x14ac:dyDescent="0.3">
      <c r="A365" s="108">
        <v>3</v>
      </c>
      <c r="B365" s="109"/>
      <c r="C365" s="40" t="s">
        <v>163</v>
      </c>
      <c r="D365" s="108">
        <f>26.95*10.764</f>
        <v>290.08979999999997</v>
      </c>
      <c r="E365" s="109"/>
      <c r="F365" s="40">
        <v>0</v>
      </c>
      <c r="G365" s="40">
        <v>481</v>
      </c>
      <c r="H365" s="40" t="s">
        <v>160</v>
      </c>
      <c r="I365" s="115"/>
      <c r="J365" s="116"/>
    </row>
    <row r="366" spans="1:10" ht="15.6" x14ac:dyDescent="0.3">
      <c r="A366" s="108">
        <v>4</v>
      </c>
      <c r="B366" s="109"/>
      <c r="C366" s="40" t="s">
        <v>163</v>
      </c>
      <c r="D366" s="108">
        <f>26.95*10.764</f>
        <v>290.08979999999997</v>
      </c>
      <c r="E366" s="109"/>
      <c r="F366" s="40">
        <v>0</v>
      </c>
      <c r="G366" s="40">
        <v>481</v>
      </c>
      <c r="H366" s="40" t="s">
        <v>160</v>
      </c>
      <c r="I366" s="115"/>
      <c r="J366" s="116"/>
    </row>
    <row r="367" spans="1:10" ht="15.6" x14ac:dyDescent="0.3">
      <c r="A367" s="108">
        <v>5</v>
      </c>
      <c r="B367" s="109"/>
      <c r="C367" s="40" t="s">
        <v>164</v>
      </c>
      <c r="D367" s="108">
        <f>34.98*10.764</f>
        <v>376.52471999999995</v>
      </c>
      <c r="E367" s="109"/>
      <c r="F367" s="40">
        <v>0</v>
      </c>
      <c r="G367" s="40">
        <v>624</v>
      </c>
      <c r="H367" s="40" t="s">
        <v>160</v>
      </c>
      <c r="I367" s="115"/>
      <c r="J367" s="116"/>
    </row>
    <row r="368" spans="1:10" ht="15.6" x14ac:dyDescent="0.3">
      <c r="A368" s="108">
        <v>6</v>
      </c>
      <c r="B368" s="109"/>
      <c r="C368" s="40" t="s">
        <v>164</v>
      </c>
      <c r="D368" s="108">
        <f>34.98*10.764</f>
        <v>376.52471999999995</v>
      </c>
      <c r="E368" s="109"/>
      <c r="F368" s="40">
        <v>0</v>
      </c>
      <c r="G368" s="40">
        <v>722</v>
      </c>
      <c r="H368" s="40" t="s">
        <v>160</v>
      </c>
      <c r="I368" s="115"/>
      <c r="J368" s="116"/>
    </row>
    <row r="369" spans="1:10" ht="15.6" x14ac:dyDescent="0.3">
      <c r="A369" s="108">
        <v>7</v>
      </c>
      <c r="B369" s="109"/>
      <c r="C369" s="40" t="s">
        <v>164</v>
      </c>
      <c r="D369" s="108">
        <f>34.98*10.764</f>
        <v>376.52471999999995</v>
      </c>
      <c r="E369" s="109"/>
      <c r="F369" s="40">
        <v>0</v>
      </c>
      <c r="G369" s="40">
        <v>683</v>
      </c>
      <c r="H369" s="40" t="s">
        <v>160</v>
      </c>
      <c r="I369" s="117"/>
      <c r="J369" s="118"/>
    </row>
    <row r="370" spans="1:10" ht="15.6" x14ac:dyDescent="0.3">
      <c r="A370" s="110" t="s">
        <v>184</v>
      </c>
      <c r="B370" s="111"/>
      <c r="C370" s="111"/>
      <c r="D370" s="111"/>
      <c r="E370" s="111"/>
      <c r="F370" s="111"/>
      <c r="G370" s="111"/>
      <c r="H370" s="111"/>
      <c r="I370" s="111"/>
      <c r="J370" s="112"/>
    </row>
    <row r="371" spans="1:10" ht="15.6" x14ac:dyDescent="0.3">
      <c r="A371" s="108">
        <v>1</v>
      </c>
      <c r="B371" s="109"/>
      <c r="C371" s="40" t="s">
        <v>162</v>
      </c>
      <c r="D371" s="108">
        <f>49.53*10.764</f>
        <v>533.14091999999994</v>
      </c>
      <c r="E371" s="109"/>
      <c r="F371" s="40">
        <v>0</v>
      </c>
      <c r="G371" s="40">
        <v>881</v>
      </c>
      <c r="H371" s="40" t="s">
        <v>160</v>
      </c>
      <c r="I371" s="113" t="str">
        <f>A370</f>
        <v>2nd to 4th Floor</v>
      </c>
      <c r="J371" s="114"/>
    </row>
    <row r="372" spans="1:10" ht="15.6" x14ac:dyDescent="0.3">
      <c r="A372" s="108">
        <v>2</v>
      </c>
      <c r="B372" s="109"/>
      <c r="C372" s="40" t="s">
        <v>162</v>
      </c>
      <c r="D372" s="108">
        <f>47.44*10.764</f>
        <v>510.64415999999994</v>
      </c>
      <c r="E372" s="109"/>
      <c r="F372" s="40">
        <v>0</v>
      </c>
      <c r="G372" s="40">
        <v>843</v>
      </c>
      <c r="H372" s="40" t="s">
        <v>160</v>
      </c>
      <c r="I372" s="115"/>
      <c r="J372" s="116"/>
    </row>
    <row r="373" spans="1:10" ht="15.6" x14ac:dyDescent="0.3">
      <c r="A373" s="108">
        <v>3</v>
      </c>
      <c r="B373" s="109"/>
      <c r="C373" s="40" t="s">
        <v>163</v>
      </c>
      <c r="D373" s="108">
        <f>26.95*10.764</f>
        <v>290.08979999999997</v>
      </c>
      <c r="E373" s="109"/>
      <c r="F373" s="40">
        <v>0</v>
      </c>
      <c r="G373" s="40">
        <v>481</v>
      </c>
      <c r="H373" s="40" t="s">
        <v>160</v>
      </c>
      <c r="I373" s="115"/>
      <c r="J373" s="116"/>
    </row>
    <row r="374" spans="1:10" ht="15.6" x14ac:dyDescent="0.3">
      <c r="A374" s="108">
        <v>4</v>
      </c>
      <c r="B374" s="109"/>
      <c r="C374" s="40" t="s">
        <v>163</v>
      </c>
      <c r="D374" s="108">
        <f>26.95*10.764</f>
        <v>290.08979999999997</v>
      </c>
      <c r="E374" s="109"/>
      <c r="F374" s="40">
        <v>0</v>
      </c>
      <c r="G374" s="40">
        <v>481</v>
      </c>
      <c r="H374" s="40" t="s">
        <v>160</v>
      </c>
      <c r="I374" s="115"/>
      <c r="J374" s="116"/>
    </row>
    <row r="375" spans="1:10" ht="15.6" x14ac:dyDescent="0.3">
      <c r="A375" s="108">
        <v>5</v>
      </c>
      <c r="B375" s="109"/>
      <c r="C375" s="40" t="s">
        <v>164</v>
      </c>
      <c r="D375" s="108">
        <f>34.98*10.764</f>
        <v>376.52471999999995</v>
      </c>
      <c r="E375" s="109"/>
      <c r="F375" s="40">
        <v>0</v>
      </c>
      <c r="G375" s="40">
        <v>624</v>
      </c>
      <c r="H375" s="40" t="s">
        <v>160</v>
      </c>
      <c r="I375" s="115"/>
      <c r="J375" s="116"/>
    </row>
    <row r="376" spans="1:10" ht="15.6" x14ac:dyDescent="0.3">
      <c r="A376" s="108">
        <v>6</v>
      </c>
      <c r="B376" s="109"/>
      <c r="C376" s="40" t="s">
        <v>164</v>
      </c>
      <c r="D376" s="108">
        <f>34.98*10.764</f>
        <v>376.52471999999995</v>
      </c>
      <c r="E376" s="109"/>
      <c r="F376" s="40">
        <v>0</v>
      </c>
      <c r="G376" s="40">
        <v>624</v>
      </c>
      <c r="H376" s="40" t="s">
        <v>160</v>
      </c>
      <c r="I376" s="115"/>
      <c r="J376" s="116"/>
    </row>
    <row r="377" spans="1:10" ht="15.6" x14ac:dyDescent="0.3">
      <c r="A377" s="108">
        <v>7</v>
      </c>
      <c r="B377" s="109"/>
      <c r="C377" s="40" t="s">
        <v>164</v>
      </c>
      <c r="D377" s="108">
        <f>34.98*10.764</f>
        <v>376.52471999999995</v>
      </c>
      <c r="E377" s="109"/>
      <c r="F377" s="40">
        <v>0</v>
      </c>
      <c r="G377" s="40">
        <v>621</v>
      </c>
      <c r="H377" s="40" t="s">
        <v>160</v>
      </c>
      <c r="I377" s="117"/>
      <c r="J377" s="118"/>
    </row>
    <row r="378" spans="1:10" ht="15.6" x14ac:dyDescent="0.3">
      <c r="A378" s="110" t="s">
        <v>204</v>
      </c>
      <c r="B378" s="111"/>
      <c r="C378" s="111"/>
      <c r="D378" s="111"/>
      <c r="E378" s="111"/>
      <c r="F378" s="111"/>
      <c r="G378" s="111"/>
      <c r="H378" s="111"/>
      <c r="I378" s="111"/>
      <c r="J378" s="112"/>
    </row>
    <row r="379" spans="1:10" ht="15.6" x14ac:dyDescent="0.3">
      <c r="A379" s="110" t="s">
        <v>161</v>
      </c>
      <c r="B379" s="111"/>
      <c r="C379" s="111"/>
      <c r="D379" s="111"/>
      <c r="E379" s="111"/>
      <c r="F379" s="111"/>
      <c r="G379" s="111"/>
      <c r="H379" s="111"/>
      <c r="I379" s="111"/>
      <c r="J379" s="112"/>
    </row>
    <row r="380" spans="1:10" ht="15.6" x14ac:dyDescent="0.3">
      <c r="A380" s="108">
        <v>1</v>
      </c>
      <c r="B380" s="109"/>
      <c r="C380" s="40" t="s">
        <v>164</v>
      </c>
      <c r="D380" s="108">
        <f>34.98*10.764</f>
        <v>376.52471999999995</v>
      </c>
      <c r="E380" s="109"/>
      <c r="F380" s="40">
        <v>0</v>
      </c>
      <c r="G380" s="40">
        <v>624</v>
      </c>
      <c r="H380" s="40" t="s">
        <v>160</v>
      </c>
      <c r="I380" s="241" t="str">
        <f>A379</f>
        <v>Ground Floor</v>
      </c>
      <c r="J380" s="241"/>
    </row>
    <row r="381" spans="1:10" ht="15.6" x14ac:dyDescent="0.3">
      <c r="A381" s="108">
        <v>2</v>
      </c>
      <c r="B381" s="109"/>
      <c r="C381" s="40" t="s">
        <v>164</v>
      </c>
      <c r="D381" s="108">
        <f>28.74*10.764</f>
        <v>309.35735999999997</v>
      </c>
      <c r="E381" s="109"/>
      <c r="F381" s="40">
        <v>0</v>
      </c>
      <c r="G381" s="40">
        <v>515</v>
      </c>
      <c r="H381" s="40" t="s">
        <v>160</v>
      </c>
      <c r="I381" s="241"/>
      <c r="J381" s="241"/>
    </row>
    <row r="382" spans="1:10" ht="15.6" x14ac:dyDescent="0.3">
      <c r="A382" s="108">
        <v>3</v>
      </c>
      <c r="B382" s="109"/>
      <c r="C382" s="40" t="s">
        <v>163</v>
      </c>
      <c r="D382" s="108">
        <f>26.95*10.764</f>
        <v>290.08979999999997</v>
      </c>
      <c r="E382" s="109"/>
      <c r="F382" s="40">
        <v>0</v>
      </c>
      <c r="G382" s="40">
        <v>481</v>
      </c>
      <c r="H382" s="40" t="s">
        <v>160</v>
      </c>
      <c r="I382" s="241"/>
      <c r="J382" s="241"/>
    </row>
    <row r="383" spans="1:10" ht="15.6" x14ac:dyDescent="0.3">
      <c r="A383" s="108">
        <v>4</v>
      </c>
      <c r="B383" s="109"/>
      <c r="C383" s="40" t="s">
        <v>163</v>
      </c>
      <c r="D383" s="108">
        <f>26.95*10.764</f>
        <v>290.08979999999997</v>
      </c>
      <c r="E383" s="109"/>
      <c r="F383" s="40">
        <v>0</v>
      </c>
      <c r="G383" s="40">
        <v>481</v>
      </c>
      <c r="H383" s="40" t="s">
        <v>160</v>
      </c>
      <c r="I383" s="241"/>
      <c r="J383" s="241"/>
    </row>
    <row r="384" spans="1:10" ht="15.6" x14ac:dyDescent="0.3">
      <c r="A384" s="108">
        <v>5</v>
      </c>
      <c r="B384" s="109"/>
      <c r="C384" s="40" t="s">
        <v>164</v>
      </c>
      <c r="D384" s="108">
        <f>28.74*10.764</f>
        <v>309.35735999999997</v>
      </c>
      <c r="E384" s="109"/>
      <c r="F384" s="40">
        <v>0</v>
      </c>
      <c r="G384" s="40">
        <v>515</v>
      </c>
      <c r="H384" s="40" t="s">
        <v>160</v>
      </c>
      <c r="I384" s="241"/>
      <c r="J384" s="241"/>
    </row>
    <row r="385" spans="1:10" ht="15.6" x14ac:dyDescent="0.3">
      <c r="A385" s="108">
        <v>6</v>
      </c>
      <c r="B385" s="109"/>
      <c r="C385" s="40" t="s">
        <v>164</v>
      </c>
      <c r="D385" s="108">
        <f>30.99*10.764</f>
        <v>333.57635999999997</v>
      </c>
      <c r="E385" s="109"/>
      <c r="F385" s="40">
        <v>0</v>
      </c>
      <c r="G385" s="40">
        <v>560</v>
      </c>
      <c r="H385" s="40" t="s">
        <v>160</v>
      </c>
      <c r="I385" s="241"/>
      <c r="J385" s="241"/>
    </row>
    <row r="386" spans="1:10" ht="15.6" x14ac:dyDescent="0.3">
      <c r="A386" s="110" t="s">
        <v>205</v>
      </c>
      <c r="B386" s="111"/>
      <c r="C386" s="111"/>
      <c r="D386" s="111"/>
      <c r="E386" s="111"/>
      <c r="F386" s="111"/>
      <c r="G386" s="111"/>
      <c r="H386" s="111"/>
      <c r="I386" s="111"/>
      <c r="J386" s="112"/>
    </row>
    <row r="387" spans="1:10" ht="15.6" x14ac:dyDescent="0.3">
      <c r="A387" s="108">
        <v>1</v>
      </c>
      <c r="B387" s="109"/>
      <c r="C387" s="40" t="s">
        <v>164</v>
      </c>
      <c r="D387" s="108">
        <f>34.98*10.764</f>
        <v>376.52471999999995</v>
      </c>
      <c r="E387" s="109"/>
      <c r="F387" s="40">
        <v>0</v>
      </c>
      <c r="G387" s="40">
        <v>624</v>
      </c>
      <c r="H387" s="40" t="s">
        <v>160</v>
      </c>
      <c r="I387" s="113" t="str">
        <f>A386</f>
        <v>1st to 4th Floor</v>
      </c>
      <c r="J387" s="114"/>
    </row>
    <row r="388" spans="1:10" ht="15.6" x14ac:dyDescent="0.3">
      <c r="A388" s="108">
        <v>2</v>
      </c>
      <c r="B388" s="109"/>
      <c r="C388" s="40" t="s">
        <v>163</v>
      </c>
      <c r="D388" s="108">
        <f>28.74*10.764</f>
        <v>309.35735999999997</v>
      </c>
      <c r="E388" s="109"/>
      <c r="F388" s="40">
        <v>0</v>
      </c>
      <c r="G388" s="40">
        <v>515</v>
      </c>
      <c r="H388" s="40" t="s">
        <v>160</v>
      </c>
      <c r="I388" s="115"/>
      <c r="J388" s="116"/>
    </row>
    <row r="389" spans="1:10" ht="15.6" x14ac:dyDescent="0.3">
      <c r="A389" s="108">
        <v>3</v>
      </c>
      <c r="B389" s="109"/>
      <c r="C389" s="40" t="s">
        <v>163</v>
      </c>
      <c r="D389" s="108">
        <f>28.74*10.764</f>
        <v>309.35735999999997</v>
      </c>
      <c r="E389" s="109"/>
      <c r="F389" s="40">
        <v>0</v>
      </c>
      <c r="G389" s="40">
        <v>515</v>
      </c>
      <c r="H389" s="40" t="s">
        <v>160</v>
      </c>
      <c r="I389" s="115"/>
      <c r="J389" s="116"/>
    </row>
    <row r="390" spans="1:10" ht="15.6" x14ac:dyDescent="0.3">
      <c r="A390" s="108">
        <v>4</v>
      </c>
      <c r="B390" s="109"/>
      <c r="C390" s="40" t="s">
        <v>163</v>
      </c>
      <c r="D390" s="108">
        <f>26.95*10.764</f>
        <v>290.08979999999997</v>
      </c>
      <c r="E390" s="109"/>
      <c r="F390" s="40">
        <v>0</v>
      </c>
      <c r="G390" s="40">
        <v>481</v>
      </c>
      <c r="H390" s="40" t="s">
        <v>160</v>
      </c>
      <c r="I390" s="115"/>
      <c r="J390" s="116"/>
    </row>
    <row r="391" spans="1:10" ht="15.6" x14ac:dyDescent="0.3">
      <c r="A391" s="108">
        <v>5</v>
      </c>
      <c r="B391" s="109"/>
      <c r="C391" s="40" t="s">
        <v>163</v>
      </c>
      <c r="D391" s="108">
        <f>26.95*10.764</f>
        <v>290.08979999999997</v>
      </c>
      <c r="E391" s="109"/>
      <c r="F391" s="40">
        <v>0</v>
      </c>
      <c r="G391" s="40">
        <v>481</v>
      </c>
      <c r="H391" s="40" t="s">
        <v>160</v>
      </c>
      <c r="I391" s="115"/>
      <c r="J391" s="116"/>
    </row>
    <row r="392" spans="1:10" ht="15.6" x14ac:dyDescent="0.3">
      <c r="A392" s="108">
        <v>6</v>
      </c>
      <c r="B392" s="109"/>
      <c r="C392" s="40" t="s">
        <v>163</v>
      </c>
      <c r="D392" s="108">
        <f>28.74*10.764</f>
        <v>309.35735999999997</v>
      </c>
      <c r="E392" s="109"/>
      <c r="F392" s="40">
        <v>0</v>
      </c>
      <c r="G392" s="40">
        <v>515</v>
      </c>
      <c r="H392" s="40" t="s">
        <v>160</v>
      </c>
      <c r="I392" s="115"/>
      <c r="J392" s="116"/>
    </row>
    <row r="393" spans="1:10" ht="15.6" x14ac:dyDescent="0.3">
      <c r="A393" s="108">
        <v>7</v>
      </c>
      <c r="B393" s="109"/>
      <c r="C393" s="40" t="s">
        <v>163</v>
      </c>
      <c r="D393" s="108">
        <f>30.99*10.764</f>
        <v>333.57635999999997</v>
      </c>
      <c r="E393" s="109"/>
      <c r="F393" s="40">
        <v>0</v>
      </c>
      <c r="G393" s="40">
        <v>560</v>
      </c>
      <c r="H393" s="40" t="s">
        <v>160</v>
      </c>
      <c r="I393" s="117"/>
      <c r="J393" s="118"/>
    </row>
    <row r="394" spans="1:10" ht="15.6" x14ac:dyDescent="0.3">
      <c r="A394" s="110" t="s">
        <v>179</v>
      </c>
      <c r="B394" s="111"/>
      <c r="C394" s="111"/>
      <c r="D394" s="111"/>
      <c r="E394" s="111"/>
      <c r="F394" s="111"/>
      <c r="G394" s="111"/>
      <c r="H394" s="111"/>
      <c r="I394" s="111"/>
      <c r="J394" s="112"/>
    </row>
    <row r="395" spans="1:10" ht="15.6" x14ac:dyDescent="0.3">
      <c r="A395" s="208" t="s">
        <v>180</v>
      </c>
      <c r="B395" s="209"/>
      <c r="C395" s="209"/>
      <c r="D395" s="209"/>
      <c r="E395" s="209"/>
      <c r="F395" s="209"/>
      <c r="G395" s="209"/>
      <c r="H395" s="209"/>
      <c r="I395" s="209"/>
      <c r="J395" s="210"/>
    </row>
    <row r="396" spans="1:10" ht="15.75" customHeight="1" x14ac:dyDescent="0.3">
      <c r="A396" s="208" t="s">
        <v>189</v>
      </c>
      <c r="B396" s="209"/>
      <c r="C396" s="209"/>
      <c r="D396" s="209"/>
      <c r="E396" s="209"/>
      <c r="F396" s="209"/>
      <c r="G396" s="209"/>
      <c r="H396" s="209"/>
      <c r="I396" s="209"/>
      <c r="J396" s="210"/>
    </row>
    <row r="397" spans="1:10" ht="15.6" x14ac:dyDescent="0.3">
      <c r="A397" s="108">
        <v>1</v>
      </c>
      <c r="B397" s="109"/>
      <c r="C397" s="40" t="s">
        <v>164</v>
      </c>
      <c r="D397" s="108">
        <f>31.54*10.764</f>
        <v>339.49655999999999</v>
      </c>
      <c r="E397" s="109"/>
      <c r="F397" s="40">
        <v>0</v>
      </c>
      <c r="G397" s="40">
        <v>565</v>
      </c>
      <c r="H397" s="40" t="s">
        <v>160</v>
      </c>
      <c r="I397" s="113" t="str">
        <f>A396</f>
        <v>Ground Floor for Residential &amp; Parking</v>
      </c>
      <c r="J397" s="114"/>
    </row>
    <row r="398" spans="1:10" ht="15.6" x14ac:dyDescent="0.3">
      <c r="A398" s="108">
        <v>2</v>
      </c>
      <c r="B398" s="109"/>
      <c r="C398" s="40" t="s">
        <v>164</v>
      </c>
      <c r="D398" s="108">
        <f>33.93*10.764</f>
        <v>365.22251999999997</v>
      </c>
      <c r="E398" s="109"/>
      <c r="F398" s="40">
        <v>0</v>
      </c>
      <c r="G398" s="40">
        <v>611</v>
      </c>
      <c r="H398" s="40" t="s">
        <v>160</v>
      </c>
      <c r="I398" s="115"/>
      <c r="J398" s="116"/>
    </row>
    <row r="399" spans="1:10" ht="15.6" x14ac:dyDescent="0.3">
      <c r="A399" s="108">
        <v>3</v>
      </c>
      <c r="B399" s="109"/>
      <c r="C399" s="40" t="s">
        <v>163</v>
      </c>
      <c r="D399" s="108">
        <f>27.42*10.764</f>
        <v>295.14888000000002</v>
      </c>
      <c r="E399" s="109"/>
      <c r="F399" s="40">
        <v>0</v>
      </c>
      <c r="G399" s="40">
        <v>490</v>
      </c>
      <c r="H399" s="40" t="s">
        <v>160</v>
      </c>
      <c r="I399" s="115"/>
      <c r="J399" s="116"/>
    </row>
    <row r="400" spans="1:10" ht="15.6" x14ac:dyDescent="0.3">
      <c r="A400" s="108">
        <v>4</v>
      </c>
      <c r="B400" s="109"/>
      <c r="C400" s="40" t="s">
        <v>163</v>
      </c>
      <c r="D400" s="108">
        <f>27.42*10.764</f>
        <v>295.14888000000002</v>
      </c>
      <c r="E400" s="109"/>
      <c r="F400" s="40">
        <v>0</v>
      </c>
      <c r="G400" s="40">
        <v>490</v>
      </c>
      <c r="H400" s="40" t="s">
        <v>160</v>
      </c>
      <c r="I400" s="115"/>
      <c r="J400" s="116"/>
    </row>
    <row r="401" spans="1:10" ht="15.6" x14ac:dyDescent="0.3">
      <c r="A401" s="108">
        <v>5</v>
      </c>
      <c r="B401" s="109"/>
      <c r="C401" s="40" t="s">
        <v>164</v>
      </c>
      <c r="D401" s="108">
        <f>34.38*10.764</f>
        <v>370.06632000000002</v>
      </c>
      <c r="E401" s="109"/>
      <c r="F401" s="40">
        <v>0</v>
      </c>
      <c r="G401" s="40">
        <v>616</v>
      </c>
      <c r="H401" s="40" t="s">
        <v>160</v>
      </c>
      <c r="I401" s="117"/>
      <c r="J401" s="118"/>
    </row>
    <row r="402" spans="1:10" ht="15.6" x14ac:dyDescent="0.3">
      <c r="A402" s="110" t="s">
        <v>165</v>
      </c>
      <c r="B402" s="111"/>
      <c r="C402" s="111"/>
      <c r="D402" s="111"/>
      <c r="E402" s="111"/>
      <c r="F402" s="111"/>
      <c r="G402" s="111"/>
      <c r="H402" s="111"/>
      <c r="I402" s="111"/>
      <c r="J402" s="112"/>
    </row>
    <row r="403" spans="1:10" ht="15.6" x14ac:dyDescent="0.3">
      <c r="A403" s="108">
        <v>1</v>
      </c>
      <c r="B403" s="109"/>
      <c r="C403" s="40" t="s">
        <v>164</v>
      </c>
      <c r="D403" s="108">
        <f>31.54*10.764</f>
        <v>339.49655999999999</v>
      </c>
      <c r="E403" s="109"/>
      <c r="F403" s="40">
        <v>0</v>
      </c>
      <c r="G403" s="40">
        <v>565</v>
      </c>
      <c r="H403" s="40" t="s">
        <v>160</v>
      </c>
      <c r="I403" s="113" t="str">
        <f>A402</f>
        <v>1st to 3rd Floor</v>
      </c>
      <c r="J403" s="114"/>
    </row>
    <row r="404" spans="1:10" ht="15.6" x14ac:dyDescent="0.3">
      <c r="A404" s="108">
        <v>2</v>
      </c>
      <c r="B404" s="109"/>
      <c r="C404" s="40" t="s">
        <v>164</v>
      </c>
      <c r="D404" s="108">
        <f>33.93*10.764</f>
        <v>365.22251999999997</v>
      </c>
      <c r="E404" s="109"/>
      <c r="F404" s="40">
        <v>0</v>
      </c>
      <c r="G404" s="40">
        <v>611</v>
      </c>
      <c r="H404" s="40" t="s">
        <v>160</v>
      </c>
      <c r="I404" s="115"/>
      <c r="J404" s="116"/>
    </row>
    <row r="405" spans="1:10" ht="15.6" x14ac:dyDescent="0.3">
      <c r="A405" s="108">
        <v>3</v>
      </c>
      <c r="B405" s="109"/>
      <c r="C405" s="40" t="s">
        <v>164</v>
      </c>
      <c r="D405" s="108">
        <f>33.93*10.764</f>
        <v>365.22251999999997</v>
      </c>
      <c r="E405" s="109"/>
      <c r="F405" s="40">
        <v>0</v>
      </c>
      <c r="G405" s="40">
        <v>600</v>
      </c>
      <c r="H405" s="40" t="s">
        <v>160</v>
      </c>
      <c r="I405" s="115"/>
      <c r="J405" s="116"/>
    </row>
    <row r="406" spans="1:10" ht="15.6" x14ac:dyDescent="0.3">
      <c r="A406" s="108">
        <v>4</v>
      </c>
      <c r="B406" s="109"/>
      <c r="C406" s="40" t="s">
        <v>163</v>
      </c>
      <c r="D406" s="108">
        <f>27.42*10.764</f>
        <v>295.14888000000002</v>
      </c>
      <c r="E406" s="109"/>
      <c r="F406" s="40">
        <v>0</v>
      </c>
      <c r="G406" s="40">
        <v>490</v>
      </c>
      <c r="H406" s="40" t="s">
        <v>160</v>
      </c>
      <c r="I406" s="115"/>
      <c r="J406" s="116"/>
    </row>
    <row r="407" spans="1:10" ht="15.6" x14ac:dyDescent="0.3">
      <c r="A407" s="108">
        <v>5</v>
      </c>
      <c r="B407" s="109"/>
      <c r="C407" s="40" t="s">
        <v>163</v>
      </c>
      <c r="D407" s="108">
        <f>27.42*10.764</f>
        <v>295.14888000000002</v>
      </c>
      <c r="E407" s="109"/>
      <c r="F407" s="40">
        <v>0</v>
      </c>
      <c r="G407" s="40">
        <v>490</v>
      </c>
      <c r="H407" s="40" t="s">
        <v>160</v>
      </c>
      <c r="I407" s="115"/>
      <c r="J407" s="116"/>
    </row>
    <row r="408" spans="1:10" ht="15.6" x14ac:dyDescent="0.3">
      <c r="A408" s="108">
        <v>6</v>
      </c>
      <c r="B408" s="109"/>
      <c r="C408" s="40" t="s">
        <v>163</v>
      </c>
      <c r="D408" s="108">
        <f>34.38*10.764</f>
        <v>370.06632000000002</v>
      </c>
      <c r="E408" s="109"/>
      <c r="F408" s="40">
        <v>0</v>
      </c>
      <c r="G408" s="40">
        <v>616</v>
      </c>
      <c r="H408" s="40" t="s">
        <v>160</v>
      </c>
      <c r="I408" s="117"/>
      <c r="J408" s="118"/>
    </row>
    <row r="409" spans="1:10" ht="15.6" x14ac:dyDescent="0.3">
      <c r="A409" s="110" t="s">
        <v>182</v>
      </c>
      <c r="B409" s="111"/>
      <c r="C409" s="111"/>
      <c r="D409" s="111"/>
      <c r="E409" s="111"/>
      <c r="F409" s="111"/>
      <c r="G409" s="111"/>
      <c r="H409" s="111"/>
      <c r="I409" s="111"/>
      <c r="J409" s="112"/>
    </row>
    <row r="410" spans="1:10" ht="15.75" customHeight="1" x14ac:dyDescent="0.3">
      <c r="A410" s="110" t="s">
        <v>189</v>
      </c>
      <c r="B410" s="111"/>
      <c r="C410" s="111"/>
      <c r="D410" s="111"/>
      <c r="E410" s="111"/>
      <c r="F410" s="111"/>
      <c r="G410" s="111"/>
      <c r="H410" s="111"/>
      <c r="I410" s="111"/>
      <c r="J410" s="112"/>
    </row>
    <row r="411" spans="1:10" ht="15.6" x14ac:dyDescent="0.3">
      <c r="A411" s="108">
        <v>1</v>
      </c>
      <c r="B411" s="109"/>
      <c r="C411" s="40" t="s">
        <v>164</v>
      </c>
      <c r="D411" s="108">
        <f>34.38*10.764</f>
        <v>370.06632000000002</v>
      </c>
      <c r="E411" s="109"/>
      <c r="F411" s="40">
        <v>0</v>
      </c>
      <c r="G411" s="40">
        <v>616</v>
      </c>
      <c r="H411" s="40" t="s">
        <v>160</v>
      </c>
      <c r="I411" s="113" t="str">
        <f>A410</f>
        <v>Ground Floor for Residential &amp; Parking</v>
      </c>
      <c r="J411" s="114"/>
    </row>
    <row r="412" spans="1:10" ht="15.6" x14ac:dyDescent="0.3">
      <c r="A412" s="108">
        <v>2</v>
      </c>
      <c r="B412" s="109"/>
      <c r="C412" s="40" t="s">
        <v>163</v>
      </c>
      <c r="D412" s="108">
        <f>27.42*10.764</f>
        <v>295.14888000000002</v>
      </c>
      <c r="E412" s="109"/>
      <c r="F412" s="40">
        <v>0</v>
      </c>
      <c r="G412" s="40">
        <v>490</v>
      </c>
      <c r="H412" s="40" t="s">
        <v>160</v>
      </c>
      <c r="I412" s="115"/>
      <c r="J412" s="116"/>
    </row>
    <row r="413" spans="1:10" ht="15.6" x14ac:dyDescent="0.3">
      <c r="A413" s="108">
        <v>3</v>
      </c>
      <c r="B413" s="109"/>
      <c r="C413" s="40" t="s">
        <v>163</v>
      </c>
      <c r="D413" s="108">
        <f>27.42*10.764</f>
        <v>295.14888000000002</v>
      </c>
      <c r="E413" s="109"/>
      <c r="F413" s="40">
        <v>0</v>
      </c>
      <c r="G413" s="40">
        <v>490</v>
      </c>
      <c r="H413" s="40" t="s">
        <v>160</v>
      </c>
      <c r="I413" s="115"/>
      <c r="J413" s="116"/>
    </row>
    <row r="414" spans="1:10" ht="15.6" x14ac:dyDescent="0.3">
      <c r="A414" s="108">
        <v>4</v>
      </c>
      <c r="B414" s="109"/>
      <c r="C414" s="40" t="s">
        <v>164</v>
      </c>
      <c r="D414" s="108">
        <f>33.93*10.764</f>
        <v>365.22251999999997</v>
      </c>
      <c r="E414" s="109"/>
      <c r="F414" s="40">
        <v>0</v>
      </c>
      <c r="G414" s="40">
        <v>611</v>
      </c>
      <c r="H414" s="40" t="s">
        <v>160</v>
      </c>
      <c r="I414" s="115"/>
      <c r="J414" s="116"/>
    </row>
    <row r="415" spans="1:10" ht="15.6" x14ac:dyDescent="0.3">
      <c r="A415" s="108">
        <v>5</v>
      </c>
      <c r="B415" s="109"/>
      <c r="C415" s="40" t="s">
        <v>164</v>
      </c>
      <c r="D415" s="108">
        <f>31.54*10.764</f>
        <v>339.49655999999999</v>
      </c>
      <c r="E415" s="109"/>
      <c r="F415" s="40">
        <v>0</v>
      </c>
      <c r="G415" s="40">
        <v>565</v>
      </c>
      <c r="H415" s="40" t="s">
        <v>160</v>
      </c>
      <c r="I415" s="117"/>
      <c r="J415" s="118"/>
    </row>
    <row r="416" spans="1:10" ht="15.6" x14ac:dyDescent="0.3">
      <c r="A416" s="110" t="s">
        <v>165</v>
      </c>
      <c r="B416" s="111"/>
      <c r="C416" s="111"/>
      <c r="D416" s="111"/>
      <c r="E416" s="111"/>
      <c r="F416" s="111"/>
      <c r="G416" s="111"/>
      <c r="H416" s="111"/>
      <c r="I416" s="111"/>
      <c r="J416" s="112"/>
    </row>
    <row r="417" spans="1:10" ht="15.6" x14ac:dyDescent="0.3">
      <c r="A417" s="108">
        <v>1</v>
      </c>
      <c r="B417" s="109"/>
      <c r="C417" s="40" t="s">
        <v>164</v>
      </c>
      <c r="D417" s="108">
        <f>34.38*10.764</f>
        <v>370.06632000000002</v>
      </c>
      <c r="E417" s="109"/>
      <c r="F417" s="40">
        <v>0</v>
      </c>
      <c r="G417" s="40">
        <v>616</v>
      </c>
      <c r="H417" s="40" t="s">
        <v>160</v>
      </c>
      <c r="I417" s="113" t="str">
        <f>A416</f>
        <v>1st to 3rd Floor</v>
      </c>
      <c r="J417" s="114"/>
    </row>
    <row r="418" spans="1:10" ht="15.6" x14ac:dyDescent="0.3">
      <c r="A418" s="108">
        <v>2</v>
      </c>
      <c r="B418" s="109"/>
      <c r="C418" s="40" t="s">
        <v>163</v>
      </c>
      <c r="D418" s="108">
        <f>27.42*10.764</f>
        <v>295.14888000000002</v>
      </c>
      <c r="E418" s="109"/>
      <c r="F418" s="40">
        <v>0</v>
      </c>
      <c r="G418" s="40">
        <v>490</v>
      </c>
      <c r="H418" s="40" t="s">
        <v>160</v>
      </c>
      <c r="I418" s="115"/>
      <c r="J418" s="116"/>
    </row>
    <row r="419" spans="1:10" ht="15.6" x14ac:dyDescent="0.3">
      <c r="A419" s="108">
        <v>3</v>
      </c>
      <c r="B419" s="109"/>
      <c r="C419" s="40" t="s">
        <v>163</v>
      </c>
      <c r="D419" s="108">
        <f>27.42*10.764</f>
        <v>295.14888000000002</v>
      </c>
      <c r="E419" s="109"/>
      <c r="F419" s="40">
        <v>0</v>
      </c>
      <c r="G419" s="40">
        <v>490</v>
      </c>
      <c r="H419" s="40" t="s">
        <v>160</v>
      </c>
      <c r="I419" s="115"/>
      <c r="J419" s="116"/>
    </row>
    <row r="420" spans="1:10" ht="15.6" x14ac:dyDescent="0.3">
      <c r="A420" s="108">
        <v>4</v>
      </c>
      <c r="B420" s="109"/>
      <c r="C420" s="40" t="s">
        <v>164</v>
      </c>
      <c r="D420" s="108">
        <f>33.63*10.764</f>
        <v>361.99331999999998</v>
      </c>
      <c r="E420" s="109"/>
      <c r="F420" s="40">
        <v>0</v>
      </c>
      <c r="G420" s="40">
        <v>600</v>
      </c>
      <c r="H420" s="40" t="s">
        <v>160</v>
      </c>
      <c r="I420" s="115"/>
      <c r="J420" s="116"/>
    </row>
    <row r="421" spans="1:10" ht="15.6" x14ac:dyDescent="0.3">
      <c r="A421" s="108">
        <v>5</v>
      </c>
      <c r="B421" s="109"/>
      <c r="C421" s="40" t="s">
        <v>164</v>
      </c>
      <c r="D421" s="108">
        <f>33.93*10.764</f>
        <v>365.22251999999997</v>
      </c>
      <c r="E421" s="109"/>
      <c r="F421" s="40">
        <v>0</v>
      </c>
      <c r="G421" s="40">
        <v>611</v>
      </c>
      <c r="H421" s="40" t="s">
        <v>160</v>
      </c>
      <c r="I421" s="115"/>
      <c r="J421" s="116"/>
    </row>
    <row r="422" spans="1:10" ht="15.6" x14ac:dyDescent="0.3">
      <c r="A422" s="108">
        <v>6</v>
      </c>
      <c r="B422" s="109"/>
      <c r="C422" s="40" t="s">
        <v>164</v>
      </c>
      <c r="D422" s="108">
        <f>31.54*10.764</f>
        <v>339.49655999999999</v>
      </c>
      <c r="E422" s="109"/>
      <c r="F422" s="40">
        <v>0</v>
      </c>
      <c r="G422" s="40">
        <v>565</v>
      </c>
      <c r="H422" s="40" t="s">
        <v>160</v>
      </c>
      <c r="I422" s="117"/>
      <c r="J422" s="118"/>
    </row>
    <row r="423" spans="1:10" ht="198.6" customHeight="1" x14ac:dyDescent="0.3">
      <c r="A423" s="211" t="s">
        <v>281</v>
      </c>
      <c r="B423" s="212"/>
      <c r="C423" s="212"/>
      <c r="D423" s="212"/>
      <c r="E423" s="212"/>
      <c r="F423" s="212"/>
      <c r="G423" s="212"/>
      <c r="H423" s="212"/>
      <c r="I423" s="212"/>
      <c r="J423" s="213"/>
    </row>
    <row r="424" spans="1:10" x14ac:dyDescent="0.3">
      <c r="A424" s="197" t="s">
        <v>25</v>
      </c>
      <c r="B424" s="198"/>
      <c r="C424" s="198"/>
      <c r="D424" s="198"/>
      <c r="E424" s="198"/>
      <c r="F424" s="198"/>
      <c r="G424" s="198"/>
      <c r="H424" s="198"/>
      <c r="I424" s="198"/>
      <c r="J424" s="199"/>
    </row>
    <row r="425" spans="1:10" x14ac:dyDescent="0.3">
      <c r="A425" s="151" t="s">
        <v>33</v>
      </c>
      <c r="B425" s="125"/>
      <c r="C425" s="125"/>
      <c r="D425" s="125"/>
      <c r="E425" s="125"/>
      <c r="F425" s="125"/>
      <c r="G425" s="125"/>
      <c r="H425" s="125"/>
      <c r="I425" s="125"/>
      <c r="J425" s="126"/>
    </row>
    <row r="426" spans="1:10" x14ac:dyDescent="0.3">
      <c r="A426" s="197" t="s">
        <v>27</v>
      </c>
      <c r="B426" s="198"/>
      <c r="C426" s="198"/>
      <c r="D426" s="198"/>
      <c r="E426" s="198"/>
      <c r="F426" s="198"/>
      <c r="G426" s="198"/>
      <c r="H426" s="198"/>
      <c r="I426" s="198"/>
      <c r="J426" s="199"/>
    </row>
    <row r="427" spans="1:10" x14ac:dyDescent="0.3">
      <c r="A427" s="122" t="s">
        <v>38</v>
      </c>
      <c r="B427" s="123"/>
      <c r="C427" s="123"/>
      <c r="D427" s="123"/>
      <c r="E427" s="123"/>
      <c r="F427" s="123"/>
      <c r="G427" s="123"/>
      <c r="H427" s="123"/>
      <c r="I427" s="123"/>
      <c r="J427" s="124"/>
    </row>
    <row r="428" spans="1:10" ht="16.5" customHeight="1" x14ac:dyDescent="0.3">
      <c r="A428" s="155" t="s">
        <v>60</v>
      </c>
      <c r="B428" s="156"/>
      <c r="C428" s="156"/>
      <c r="D428" s="156"/>
      <c r="E428" s="156"/>
      <c r="F428" s="156"/>
      <c r="G428" s="156"/>
      <c r="H428" s="156"/>
      <c r="I428" s="156"/>
      <c r="J428" s="157"/>
    </row>
    <row r="429" spans="1:10" x14ac:dyDescent="0.3">
      <c r="A429" s="122" t="s">
        <v>39</v>
      </c>
      <c r="B429" s="123"/>
      <c r="C429" s="123"/>
      <c r="D429" s="123"/>
      <c r="E429" s="123"/>
      <c r="F429" s="123"/>
      <c r="G429" s="123"/>
      <c r="H429" s="123"/>
      <c r="I429" s="123"/>
      <c r="J429" s="124"/>
    </row>
    <row r="430" spans="1:10" x14ac:dyDescent="0.3">
      <c r="A430" s="122" t="s">
        <v>40</v>
      </c>
      <c r="B430" s="123"/>
      <c r="C430" s="123"/>
      <c r="D430" s="123"/>
      <c r="E430" s="123"/>
      <c r="F430" s="123"/>
      <c r="G430" s="123"/>
      <c r="H430" s="123"/>
      <c r="I430" s="123"/>
      <c r="J430" s="124"/>
    </row>
    <row r="431" spans="1:10" x14ac:dyDescent="0.3">
      <c r="A431" s="119" t="s">
        <v>41</v>
      </c>
      <c r="B431" s="120"/>
      <c r="C431" s="120"/>
      <c r="D431" s="120"/>
      <c r="E431" s="120"/>
      <c r="F431" s="120"/>
      <c r="G431" s="120"/>
      <c r="H431" s="120"/>
      <c r="I431" s="120"/>
      <c r="J431" s="121"/>
    </row>
    <row r="432" spans="1:10" ht="15" customHeight="1" x14ac:dyDescent="0.3">
      <c r="A432" s="180" t="s">
        <v>26</v>
      </c>
      <c r="B432" s="181"/>
      <c r="C432" s="181"/>
      <c r="D432" s="181"/>
      <c r="E432" s="181"/>
      <c r="F432" s="181"/>
      <c r="G432" s="181"/>
      <c r="H432" s="181"/>
      <c r="I432" s="181"/>
      <c r="J432" s="182"/>
    </row>
    <row r="433" spans="1:10" x14ac:dyDescent="0.3">
      <c r="A433" s="183"/>
      <c r="B433" s="184"/>
      <c r="C433" s="184"/>
      <c r="D433" s="184"/>
      <c r="E433" s="184"/>
      <c r="F433" s="184"/>
      <c r="G433" s="184"/>
      <c r="H433" s="184"/>
      <c r="I433" s="184"/>
      <c r="J433" s="185"/>
    </row>
    <row r="434" spans="1:10" x14ac:dyDescent="0.3">
      <c r="A434" s="183"/>
      <c r="B434" s="184"/>
      <c r="C434" s="184"/>
      <c r="D434" s="184"/>
      <c r="E434" s="184"/>
      <c r="F434" s="184"/>
      <c r="G434" s="184"/>
      <c r="H434" s="184"/>
      <c r="I434" s="184"/>
      <c r="J434" s="185"/>
    </row>
    <row r="435" spans="1:10" x14ac:dyDescent="0.3">
      <c r="A435" s="186"/>
      <c r="B435" s="187"/>
      <c r="C435" s="187"/>
      <c r="D435" s="187"/>
      <c r="E435" s="187"/>
      <c r="F435" s="187"/>
      <c r="G435" s="187"/>
      <c r="H435" s="187"/>
      <c r="I435" s="187"/>
      <c r="J435" s="188"/>
    </row>
    <row r="436" spans="1:10" x14ac:dyDescent="0.3">
      <c r="A436" s="82" t="s">
        <v>208</v>
      </c>
      <c r="B436" s="83"/>
      <c r="C436" s="83"/>
      <c r="D436" s="83"/>
      <c r="F436" s="84" t="str">
        <f>F8</f>
        <v>S S Dream City</v>
      </c>
      <c r="G436" s="83"/>
      <c r="H436" s="83"/>
      <c r="I436" s="83"/>
      <c r="J436" s="83"/>
    </row>
    <row r="437" spans="1:10" x14ac:dyDescent="0.3">
      <c r="A437" s="83"/>
      <c r="B437" s="83"/>
      <c r="C437" s="83"/>
      <c r="D437" s="83"/>
      <c r="E437" s="83"/>
      <c r="F437" s="83"/>
      <c r="G437" s="83"/>
      <c r="H437" s="83"/>
      <c r="I437" s="83"/>
      <c r="J437" s="83"/>
    </row>
    <row r="438" spans="1:10" x14ac:dyDescent="0.3">
      <c r="A438" s="83"/>
      <c r="B438" s="83"/>
      <c r="C438" s="83"/>
      <c r="D438" s="83"/>
      <c r="E438" s="83"/>
      <c r="F438" s="83"/>
      <c r="G438" s="83"/>
      <c r="H438" s="83"/>
      <c r="I438" s="83"/>
      <c r="J438" s="83"/>
    </row>
    <row r="482" spans="1:1" x14ac:dyDescent="0.3">
      <c r="A482" s="85" t="s">
        <v>141</v>
      </c>
    </row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</sheetData>
  <mergeCells count="865">
    <mergeCell ref="A409:J409"/>
    <mergeCell ref="I181:J187"/>
    <mergeCell ref="A251:J251"/>
    <mergeCell ref="A221:J221"/>
    <mergeCell ref="A222:B222"/>
    <mergeCell ref="I242:J245"/>
    <mergeCell ref="A171:J171"/>
    <mergeCell ref="D184:E184"/>
    <mergeCell ref="A185:B185"/>
    <mergeCell ref="D185:E185"/>
    <mergeCell ref="A202:J202"/>
    <mergeCell ref="A174:B174"/>
    <mergeCell ref="D174:E174"/>
    <mergeCell ref="A175:B175"/>
    <mergeCell ref="A186:B186"/>
    <mergeCell ref="D182:E182"/>
    <mergeCell ref="A183:B183"/>
    <mergeCell ref="D183:E183"/>
    <mergeCell ref="A181:B181"/>
    <mergeCell ref="D181:E181"/>
    <mergeCell ref="D205:E205"/>
    <mergeCell ref="I215:J220"/>
    <mergeCell ref="A184:B184"/>
    <mergeCell ref="D186:E186"/>
    <mergeCell ref="D239:E239"/>
    <mergeCell ref="A256:B256"/>
    <mergeCell ref="A410:J410"/>
    <mergeCell ref="A344:B344"/>
    <mergeCell ref="D344:E344"/>
    <mergeCell ref="A345:B345"/>
    <mergeCell ref="D345:E345"/>
    <mergeCell ref="A394:J394"/>
    <mergeCell ref="A347:B347"/>
    <mergeCell ref="A346:B346"/>
    <mergeCell ref="D346:E346"/>
    <mergeCell ref="D347:E347"/>
    <mergeCell ref="D348:E348"/>
    <mergeCell ref="A370:J370"/>
    <mergeCell ref="A348:B348"/>
    <mergeCell ref="I371:J377"/>
    <mergeCell ref="A374:B374"/>
    <mergeCell ref="D374:E374"/>
    <mergeCell ref="A375:B375"/>
    <mergeCell ref="D375:E375"/>
    <mergeCell ref="A376:B376"/>
    <mergeCell ref="A372:B372"/>
    <mergeCell ref="D372:E372"/>
    <mergeCell ref="I343:J348"/>
    <mergeCell ref="A317:J317"/>
    <mergeCell ref="I222:J227"/>
    <mergeCell ref="A223:B223"/>
    <mergeCell ref="D223:E223"/>
    <mergeCell ref="A224:B224"/>
    <mergeCell ref="D224:E224"/>
    <mergeCell ref="A225:B225"/>
    <mergeCell ref="D225:E225"/>
    <mergeCell ref="D222:E222"/>
    <mergeCell ref="A247:B247"/>
    <mergeCell ref="D247:E247"/>
    <mergeCell ref="A226:B226"/>
    <mergeCell ref="D226:E226"/>
    <mergeCell ref="I247:J250"/>
    <mergeCell ref="A248:B248"/>
    <mergeCell ref="A240:B240"/>
    <mergeCell ref="A245:B245"/>
    <mergeCell ref="A232:B232"/>
    <mergeCell ref="D232:E232"/>
    <mergeCell ref="A255:B255"/>
    <mergeCell ref="D237:E237"/>
    <mergeCell ref="A237:B237"/>
    <mergeCell ref="D230:E230"/>
    <mergeCell ref="A228:J228"/>
    <mergeCell ref="A176:B176"/>
    <mergeCell ref="D207:E207"/>
    <mergeCell ref="A208:B208"/>
    <mergeCell ref="A178:B178"/>
    <mergeCell ref="D178:E178"/>
    <mergeCell ref="A179:B179"/>
    <mergeCell ref="D179:E179"/>
    <mergeCell ref="A180:J180"/>
    <mergeCell ref="A182:B182"/>
    <mergeCell ref="I174:J179"/>
    <mergeCell ref="D176:E176"/>
    <mergeCell ref="A177:B177"/>
    <mergeCell ref="D177:E177"/>
    <mergeCell ref="D175:E175"/>
    <mergeCell ref="A187:B187"/>
    <mergeCell ref="D187:E187"/>
    <mergeCell ref="A193:B193"/>
    <mergeCell ref="D198:E198"/>
    <mergeCell ref="A199:B199"/>
    <mergeCell ref="I205:J213"/>
    <mergeCell ref="A211:B211"/>
    <mergeCell ref="A213:B213"/>
    <mergeCell ref="D213:E213"/>
    <mergeCell ref="I196:J201"/>
    <mergeCell ref="A191:B191"/>
    <mergeCell ref="D191:E191"/>
    <mergeCell ref="A192:B192"/>
    <mergeCell ref="D192:E192"/>
    <mergeCell ref="D190:E190"/>
    <mergeCell ref="A190:B190"/>
    <mergeCell ref="D199:E199"/>
    <mergeCell ref="A196:B196"/>
    <mergeCell ref="A207:B207"/>
    <mergeCell ref="D193:E193"/>
    <mergeCell ref="A194:B194"/>
    <mergeCell ref="D194:E194"/>
    <mergeCell ref="A195:J195"/>
    <mergeCell ref="I190:J194"/>
    <mergeCell ref="A231:B231"/>
    <mergeCell ref="D208:E208"/>
    <mergeCell ref="A205:B205"/>
    <mergeCell ref="A206:B206"/>
    <mergeCell ref="D206:E206"/>
    <mergeCell ref="A264:B264"/>
    <mergeCell ref="D264:E264"/>
    <mergeCell ref="D260:E260"/>
    <mergeCell ref="A257:B257"/>
    <mergeCell ref="D257:E257"/>
    <mergeCell ref="A246:J246"/>
    <mergeCell ref="A260:B260"/>
    <mergeCell ref="A254:B254"/>
    <mergeCell ref="D254:E254"/>
    <mergeCell ref="A253:J253"/>
    <mergeCell ref="D256:E256"/>
    <mergeCell ref="D255:E255"/>
    <mergeCell ref="I254:J264"/>
    <mergeCell ref="A249:B249"/>
    <mergeCell ref="D249:E249"/>
    <mergeCell ref="A252:J252"/>
    <mergeCell ref="D240:E240"/>
    <mergeCell ref="A218:B218"/>
    <mergeCell ref="D244:E244"/>
    <mergeCell ref="A229:J229"/>
    <mergeCell ref="A217:B217"/>
    <mergeCell ref="D217:E217"/>
    <mergeCell ref="A230:B230"/>
    <mergeCell ref="A200:B200"/>
    <mergeCell ref="D200:E200"/>
    <mergeCell ref="A201:B201"/>
    <mergeCell ref="D201:E201"/>
    <mergeCell ref="D196:E196"/>
    <mergeCell ref="A197:B197"/>
    <mergeCell ref="D197:E197"/>
    <mergeCell ref="A220:B220"/>
    <mergeCell ref="D220:E220"/>
    <mergeCell ref="A198:B198"/>
    <mergeCell ref="A214:J214"/>
    <mergeCell ref="D219:E219"/>
    <mergeCell ref="D215:E215"/>
    <mergeCell ref="A215:B215"/>
    <mergeCell ref="D218:E218"/>
    <mergeCell ref="A219:B219"/>
    <mergeCell ref="A209:B209"/>
    <mergeCell ref="D211:E211"/>
    <mergeCell ref="A212:B212"/>
    <mergeCell ref="D212:E212"/>
    <mergeCell ref="A300:B300"/>
    <mergeCell ref="D300:E300"/>
    <mergeCell ref="A258:B258"/>
    <mergeCell ref="D258:E258"/>
    <mergeCell ref="A274:B274"/>
    <mergeCell ref="D274:E274"/>
    <mergeCell ref="A273:B273"/>
    <mergeCell ref="A270:J270"/>
    <mergeCell ref="A271:B271"/>
    <mergeCell ref="D271:E271"/>
    <mergeCell ref="A298:B298"/>
    <mergeCell ref="D298:E298"/>
    <mergeCell ref="A265:J265"/>
    <mergeCell ref="A266:B266"/>
    <mergeCell ref="D266:E266"/>
    <mergeCell ref="A294:J294"/>
    <mergeCell ref="A295:B295"/>
    <mergeCell ref="D295:E295"/>
    <mergeCell ref="I295:J300"/>
    <mergeCell ref="A296:B296"/>
    <mergeCell ref="A297:B297"/>
    <mergeCell ref="D297:E297"/>
    <mergeCell ref="D296:E296"/>
    <mergeCell ref="D262:E262"/>
    <mergeCell ref="D267:E267"/>
    <mergeCell ref="A242:B242"/>
    <mergeCell ref="A269:B269"/>
    <mergeCell ref="D269:E269"/>
    <mergeCell ref="D248:E248"/>
    <mergeCell ref="D283:E283"/>
    <mergeCell ref="D272:E272"/>
    <mergeCell ref="D273:E273"/>
    <mergeCell ref="A250:B250"/>
    <mergeCell ref="D250:E250"/>
    <mergeCell ref="A261:B261"/>
    <mergeCell ref="D261:E261"/>
    <mergeCell ref="A262:B262"/>
    <mergeCell ref="D259:E259"/>
    <mergeCell ref="A263:B263"/>
    <mergeCell ref="D263:E263"/>
    <mergeCell ref="A172:J172"/>
    <mergeCell ref="A173:J173"/>
    <mergeCell ref="A235:B235"/>
    <mergeCell ref="D235:E235"/>
    <mergeCell ref="A236:B236"/>
    <mergeCell ref="A259:B259"/>
    <mergeCell ref="I230:J240"/>
    <mergeCell ref="A241:J241"/>
    <mergeCell ref="A227:B227"/>
    <mergeCell ref="D227:E227"/>
    <mergeCell ref="A238:B238"/>
    <mergeCell ref="D238:E238"/>
    <mergeCell ref="A233:B233"/>
    <mergeCell ref="D233:E233"/>
    <mergeCell ref="A234:B234"/>
    <mergeCell ref="D234:E234"/>
    <mergeCell ref="D236:E236"/>
    <mergeCell ref="D242:E242"/>
    <mergeCell ref="D231:E231"/>
    <mergeCell ref="D209:E209"/>
    <mergeCell ref="A210:B210"/>
    <mergeCell ref="D210:E210"/>
    <mergeCell ref="A216:B216"/>
    <mergeCell ref="D216:E216"/>
    <mergeCell ref="I387:J393"/>
    <mergeCell ref="A388:B388"/>
    <mergeCell ref="D243:E243"/>
    <mergeCell ref="A244:B244"/>
    <mergeCell ref="A280:B280"/>
    <mergeCell ref="D280:E280"/>
    <mergeCell ref="D343:E343"/>
    <mergeCell ref="D289:E289"/>
    <mergeCell ref="A290:B290"/>
    <mergeCell ref="D245:E245"/>
    <mergeCell ref="D288:E288"/>
    <mergeCell ref="D290:E290"/>
    <mergeCell ref="A286:B286"/>
    <mergeCell ref="D286:E286"/>
    <mergeCell ref="D285:E285"/>
    <mergeCell ref="A282:B282"/>
    <mergeCell ref="D282:E282"/>
    <mergeCell ref="A283:B283"/>
    <mergeCell ref="A342:J342"/>
    <mergeCell ref="A343:B343"/>
    <mergeCell ref="I277:J286"/>
    <mergeCell ref="A288:B288"/>
    <mergeCell ref="A315:B315"/>
    <mergeCell ref="A287:J287"/>
    <mergeCell ref="A371:B371"/>
    <mergeCell ref="D371:E371"/>
    <mergeCell ref="D279:E279"/>
    <mergeCell ref="A373:B373"/>
    <mergeCell ref="D373:E373"/>
    <mergeCell ref="A407:B407"/>
    <mergeCell ref="D407:E407"/>
    <mergeCell ref="D403:E403"/>
    <mergeCell ref="A404:B404"/>
    <mergeCell ref="D404:E404"/>
    <mergeCell ref="A400:B400"/>
    <mergeCell ref="D400:E400"/>
    <mergeCell ref="A401:B401"/>
    <mergeCell ref="D401:E401"/>
    <mergeCell ref="A402:J402"/>
    <mergeCell ref="D376:E376"/>
    <mergeCell ref="A377:B377"/>
    <mergeCell ref="D377:E377"/>
    <mergeCell ref="A378:J378"/>
    <mergeCell ref="A379:J379"/>
    <mergeCell ref="A380:B380"/>
    <mergeCell ref="D380:E380"/>
    <mergeCell ref="I380:J385"/>
    <mergeCell ref="A381:B381"/>
    <mergeCell ref="A299:B299"/>
    <mergeCell ref="D299:E299"/>
    <mergeCell ref="A243:B243"/>
    <mergeCell ref="A408:B408"/>
    <mergeCell ref="D408:E408"/>
    <mergeCell ref="I403:J408"/>
    <mergeCell ref="A203:J203"/>
    <mergeCell ref="A405:B405"/>
    <mergeCell ref="D405:E405"/>
    <mergeCell ref="A406:B406"/>
    <mergeCell ref="D406:E406"/>
    <mergeCell ref="A204:J204"/>
    <mergeCell ref="A403:B403"/>
    <mergeCell ref="I397:J401"/>
    <mergeCell ref="A398:B398"/>
    <mergeCell ref="D398:E398"/>
    <mergeCell ref="A399:B399"/>
    <mergeCell ref="D399:E399"/>
    <mergeCell ref="A397:B397"/>
    <mergeCell ref="D397:E397"/>
    <mergeCell ref="A395:J395"/>
    <mergeCell ref="A396:J396"/>
    <mergeCell ref="A293:B293"/>
    <mergeCell ref="D293:E293"/>
    <mergeCell ref="A188:J188"/>
    <mergeCell ref="A189:J189"/>
    <mergeCell ref="A291:B291"/>
    <mergeCell ref="D291:E291"/>
    <mergeCell ref="A292:B292"/>
    <mergeCell ref="D292:E292"/>
    <mergeCell ref="A289:B289"/>
    <mergeCell ref="A279:B279"/>
    <mergeCell ref="A281:B281"/>
    <mergeCell ref="D281:E281"/>
    <mergeCell ref="A278:B278"/>
    <mergeCell ref="D278:E278"/>
    <mergeCell ref="A275:J275"/>
    <mergeCell ref="A276:J276"/>
    <mergeCell ref="A284:B284"/>
    <mergeCell ref="D284:E284"/>
    <mergeCell ref="A285:B285"/>
    <mergeCell ref="I271:J274"/>
    <mergeCell ref="A272:B272"/>
    <mergeCell ref="A268:B268"/>
    <mergeCell ref="D268:E268"/>
    <mergeCell ref="A239:B239"/>
    <mergeCell ref="I266:J269"/>
    <mergeCell ref="A267:B267"/>
    <mergeCell ref="A368:B368"/>
    <mergeCell ref="D368:E368"/>
    <mergeCell ref="A363:B363"/>
    <mergeCell ref="D363:E363"/>
    <mergeCell ref="A364:B364"/>
    <mergeCell ref="A359:B359"/>
    <mergeCell ref="D341:E341"/>
    <mergeCell ref="A338:B338"/>
    <mergeCell ref="D338:E338"/>
    <mergeCell ref="A339:B339"/>
    <mergeCell ref="D339:E339"/>
    <mergeCell ref="A304:B304"/>
    <mergeCell ref="D304:E304"/>
    <mergeCell ref="A305:B305"/>
    <mergeCell ref="D305:E305"/>
    <mergeCell ref="D311:E311"/>
    <mergeCell ref="A314:B314"/>
    <mergeCell ref="D314:E314"/>
    <mergeCell ref="A309:J309"/>
    <mergeCell ref="D308:E308"/>
    <mergeCell ref="D359:E359"/>
    <mergeCell ref="A360:B360"/>
    <mergeCell ref="D360:E360"/>
    <mergeCell ref="A367:B367"/>
    <mergeCell ref="D367:E367"/>
    <mergeCell ref="D333:E333"/>
    <mergeCell ref="A334:B334"/>
    <mergeCell ref="D334:E334"/>
    <mergeCell ref="D336:E336"/>
    <mergeCell ref="A333:B333"/>
    <mergeCell ref="A29:B29"/>
    <mergeCell ref="C29:D29"/>
    <mergeCell ref="G27:H27"/>
    <mergeCell ref="C28:D28"/>
    <mergeCell ref="F26:J26"/>
    <mergeCell ref="H18:J18"/>
    <mergeCell ref="A24:E24"/>
    <mergeCell ref="A12:E12"/>
    <mergeCell ref="C14:J14"/>
    <mergeCell ref="A18:B18"/>
    <mergeCell ref="A2:J2"/>
    <mergeCell ref="A3:E3"/>
    <mergeCell ref="F3:J3"/>
    <mergeCell ref="A4:E4"/>
    <mergeCell ref="F4:J4"/>
    <mergeCell ref="F9:J9"/>
    <mergeCell ref="A6:E6"/>
    <mergeCell ref="F6:J6"/>
    <mergeCell ref="A5:E5"/>
    <mergeCell ref="F5:J5"/>
    <mergeCell ref="A7:E7"/>
    <mergeCell ref="F7:J7"/>
    <mergeCell ref="F8:J8"/>
    <mergeCell ref="A8:E8"/>
    <mergeCell ref="A9:E9"/>
    <mergeCell ref="F11:G11"/>
    <mergeCell ref="F10:G10"/>
    <mergeCell ref="A10:E11"/>
    <mergeCell ref="I10:J10"/>
    <mergeCell ref="I11:J11"/>
    <mergeCell ref="C18:E18"/>
    <mergeCell ref="F24:J24"/>
    <mergeCell ref="F12:J12"/>
    <mergeCell ref="B16:E16"/>
    <mergeCell ref="A14:B14"/>
    <mergeCell ref="A13:E13"/>
    <mergeCell ref="F13:J13"/>
    <mergeCell ref="G16:J16"/>
    <mergeCell ref="F19:J20"/>
    <mergeCell ref="F23:J23"/>
    <mergeCell ref="A23:E23"/>
    <mergeCell ref="A425:J425"/>
    <mergeCell ref="A426:J426"/>
    <mergeCell ref="A423:J423"/>
    <mergeCell ref="E15:F15"/>
    <mergeCell ref="I15:J15"/>
    <mergeCell ref="A41:E41"/>
    <mergeCell ref="C44:F44"/>
    <mergeCell ref="D50:E50"/>
    <mergeCell ref="H48:J48"/>
    <mergeCell ref="A45:B45"/>
    <mergeCell ref="F50:H50"/>
    <mergeCell ref="A50:C50"/>
    <mergeCell ref="H45:J45"/>
    <mergeCell ref="A31:J31"/>
    <mergeCell ref="A38:E38"/>
    <mergeCell ref="F38:J38"/>
    <mergeCell ref="F37:J37"/>
    <mergeCell ref="A32:B32"/>
    <mergeCell ref="A40:E40"/>
    <mergeCell ref="B15:D15"/>
    <mergeCell ref="G17:J17"/>
    <mergeCell ref="A37:E37"/>
    <mergeCell ref="A34:J34"/>
    <mergeCell ref="A44:B44"/>
    <mergeCell ref="A427:J427"/>
    <mergeCell ref="A424:J424"/>
    <mergeCell ref="A152:J152"/>
    <mergeCell ref="A153:J153"/>
    <mergeCell ref="A154:J155"/>
    <mergeCell ref="A156:J156"/>
    <mergeCell ref="G157:J157"/>
    <mergeCell ref="A362:J362"/>
    <mergeCell ref="I363:J369"/>
    <mergeCell ref="A301:J301"/>
    <mergeCell ref="A361:B361"/>
    <mergeCell ref="D361:E361"/>
    <mergeCell ref="I351:J361"/>
    <mergeCell ref="D352:E352"/>
    <mergeCell ref="A353:B353"/>
    <mergeCell ref="D353:E353"/>
    <mergeCell ref="D355:E355"/>
    <mergeCell ref="A329:B329"/>
    <mergeCell ref="D329:E329"/>
    <mergeCell ref="A335:J335"/>
    <mergeCell ref="A356:B356"/>
    <mergeCell ref="G161:J161"/>
    <mergeCell ref="G163:J163"/>
    <mergeCell ref="G159:J159"/>
    <mergeCell ref="A432:J435"/>
    <mergeCell ref="A167:F167"/>
    <mergeCell ref="G167:J167"/>
    <mergeCell ref="A168:J168"/>
    <mergeCell ref="A169:J169"/>
    <mergeCell ref="A428:J428"/>
    <mergeCell ref="A429:J429"/>
    <mergeCell ref="A430:J430"/>
    <mergeCell ref="A431:J431"/>
    <mergeCell ref="A352:B352"/>
    <mergeCell ref="A354:B354"/>
    <mergeCell ref="D354:E354"/>
    <mergeCell ref="D356:E356"/>
    <mergeCell ref="A357:B357"/>
    <mergeCell ref="D357:E357"/>
    <mergeCell ref="A355:B355"/>
    <mergeCell ref="I303:J308"/>
    <mergeCell ref="A327:B327"/>
    <mergeCell ref="D327:E327"/>
    <mergeCell ref="A328:B328"/>
    <mergeCell ref="D328:E328"/>
    <mergeCell ref="I417:J422"/>
    <mergeCell ref="A318:J318"/>
    <mergeCell ref="A319:J319"/>
    <mergeCell ref="F42:J42"/>
    <mergeCell ref="F41:J41"/>
    <mergeCell ref="A39:E39"/>
    <mergeCell ref="B17:E17"/>
    <mergeCell ref="A33:B33"/>
    <mergeCell ref="C33:J33"/>
    <mergeCell ref="C32:J32"/>
    <mergeCell ref="G29:H29"/>
    <mergeCell ref="A21:E22"/>
    <mergeCell ref="F21:J22"/>
    <mergeCell ref="F18:G18"/>
    <mergeCell ref="A19:E20"/>
    <mergeCell ref="E28:F28"/>
    <mergeCell ref="G28:H28"/>
    <mergeCell ref="A27:B27"/>
    <mergeCell ref="C27:D27"/>
    <mergeCell ref="E27:F27"/>
    <mergeCell ref="E29:F29"/>
    <mergeCell ref="A30:J30"/>
    <mergeCell ref="I27:J27"/>
    <mergeCell ref="A25:E25"/>
    <mergeCell ref="A26:E26"/>
    <mergeCell ref="F25:J25"/>
    <mergeCell ref="I28:J28"/>
    <mergeCell ref="C46:F46"/>
    <mergeCell ref="A48:C48"/>
    <mergeCell ref="H44:J44"/>
    <mergeCell ref="I50:J50"/>
    <mergeCell ref="A43:J43"/>
    <mergeCell ref="D48:E48"/>
    <mergeCell ref="C45:F45"/>
    <mergeCell ref="A53:J53"/>
    <mergeCell ref="A51:B51"/>
    <mergeCell ref="H51:J51"/>
    <mergeCell ref="C51:G51"/>
    <mergeCell ref="H46:J46"/>
    <mergeCell ref="A159:F159"/>
    <mergeCell ref="A160:F160"/>
    <mergeCell ref="G162:J162"/>
    <mergeCell ref="A337:B337"/>
    <mergeCell ref="D337:E337"/>
    <mergeCell ref="A1:J1"/>
    <mergeCell ref="A52:E52"/>
    <mergeCell ref="F52:J52"/>
    <mergeCell ref="A47:E47"/>
    <mergeCell ref="F47:H47"/>
    <mergeCell ref="I47:J47"/>
    <mergeCell ref="F48:G48"/>
    <mergeCell ref="A46:B46"/>
    <mergeCell ref="I29:J29"/>
    <mergeCell ref="F40:J40"/>
    <mergeCell ref="F39:J39"/>
    <mergeCell ref="A28:B28"/>
    <mergeCell ref="A35:J36"/>
    <mergeCell ref="A49:J49"/>
    <mergeCell ref="A42:E42"/>
    <mergeCell ref="A157:F157"/>
    <mergeCell ref="A158:F158"/>
    <mergeCell ref="G158:J158"/>
    <mergeCell ref="A161:F161"/>
    <mergeCell ref="D307:E307"/>
    <mergeCell ref="A308:B308"/>
    <mergeCell ref="A303:B303"/>
    <mergeCell ref="D303:E303"/>
    <mergeCell ref="G166:J166"/>
    <mergeCell ref="I170:J170"/>
    <mergeCell ref="A350:J350"/>
    <mergeCell ref="A330:B330"/>
    <mergeCell ref="A310:B310"/>
    <mergeCell ref="D310:E310"/>
    <mergeCell ref="A311:B311"/>
    <mergeCell ref="A302:J302"/>
    <mergeCell ref="D330:E330"/>
    <mergeCell ref="A306:B306"/>
    <mergeCell ref="D306:E306"/>
    <mergeCell ref="A307:B307"/>
    <mergeCell ref="I336:J341"/>
    <mergeCell ref="A277:B277"/>
    <mergeCell ref="D277:E277"/>
    <mergeCell ref="A340:B340"/>
    <mergeCell ref="D340:E340"/>
    <mergeCell ref="A336:B336"/>
    <mergeCell ref="A341:B341"/>
    <mergeCell ref="I288:J293"/>
    <mergeCell ref="G165:J165"/>
    <mergeCell ref="G160:J160"/>
    <mergeCell ref="A162:F162"/>
    <mergeCell ref="A163:F163"/>
    <mergeCell ref="A164:F164"/>
    <mergeCell ref="G164:J164"/>
    <mergeCell ref="A165:F165"/>
    <mergeCell ref="A351:B351"/>
    <mergeCell ref="D351:E351"/>
    <mergeCell ref="A170:B170"/>
    <mergeCell ref="D170:E170"/>
    <mergeCell ref="I320:J334"/>
    <mergeCell ref="A331:B331"/>
    <mergeCell ref="D331:E331"/>
    <mergeCell ref="A166:F166"/>
    <mergeCell ref="A332:B332"/>
    <mergeCell ref="D332:E332"/>
    <mergeCell ref="I310:J316"/>
    <mergeCell ref="A312:B312"/>
    <mergeCell ref="D312:E312"/>
    <mergeCell ref="A313:B313"/>
    <mergeCell ref="D313:E313"/>
    <mergeCell ref="D315:E315"/>
    <mergeCell ref="A349:J349"/>
    <mergeCell ref="D415:E415"/>
    <mergeCell ref="A316:B316"/>
    <mergeCell ref="D316:E316"/>
    <mergeCell ref="A411:B411"/>
    <mergeCell ref="D411:E411"/>
    <mergeCell ref="A412:B412"/>
    <mergeCell ref="D412:E412"/>
    <mergeCell ref="D320:E320"/>
    <mergeCell ref="A369:B369"/>
    <mergeCell ref="D369:E369"/>
    <mergeCell ref="D364:E364"/>
    <mergeCell ref="A365:B365"/>
    <mergeCell ref="D365:E365"/>
    <mergeCell ref="A366:B366"/>
    <mergeCell ref="D366:E366"/>
    <mergeCell ref="A358:B358"/>
    <mergeCell ref="D358:E358"/>
    <mergeCell ref="D413:E413"/>
    <mergeCell ref="A414:B414"/>
    <mergeCell ref="D414:E414"/>
    <mergeCell ref="A415:B415"/>
    <mergeCell ref="A391:B391"/>
    <mergeCell ref="D391:E391"/>
    <mergeCell ref="D387:E387"/>
    <mergeCell ref="A416:J416"/>
    <mergeCell ref="I411:J415"/>
    <mergeCell ref="D417:E417"/>
    <mergeCell ref="A418:B418"/>
    <mergeCell ref="D418:E418"/>
    <mergeCell ref="A420:B420"/>
    <mergeCell ref="D420:E420"/>
    <mergeCell ref="A321:B321"/>
    <mergeCell ref="D321:E321"/>
    <mergeCell ref="A322:B322"/>
    <mergeCell ref="D322:E322"/>
    <mergeCell ref="D324:E324"/>
    <mergeCell ref="A325:B325"/>
    <mergeCell ref="D325:E325"/>
    <mergeCell ref="A417:B417"/>
    <mergeCell ref="D388:E388"/>
    <mergeCell ref="A392:B392"/>
    <mergeCell ref="D392:E392"/>
    <mergeCell ref="A393:B393"/>
    <mergeCell ref="D393:E393"/>
    <mergeCell ref="A389:B389"/>
    <mergeCell ref="D389:E389"/>
    <mergeCell ref="A390:B390"/>
    <mergeCell ref="D390:E390"/>
    <mergeCell ref="A419:B419"/>
    <mergeCell ref="D419:E419"/>
    <mergeCell ref="A413:B413"/>
    <mergeCell ref="A421:B421"/>
    <mergeCell ref="D421:E421"/>
    <mergeCell ref="A422:B422"/>
    <mergeCell ref="D422:E422"/>
    <mergeCell ref="A320:B320"/>
    <mergeCell ref="A326:B326"/>
    <mergeCell ref="D326:E326"/>
    <mergeCell ref="A323:B323"/>
    <mergeCell ref="D323:E323"/>
    <mergeCell ref="A324:B324"/>
    <mergeCell ref="D381:E381"/>
    <mergeCell ref="A382:B382"/>
    <mergeCell ref="D382:E382"/>
    <mergeCell ref="A383:B383"/>
    <mergeCell ref="D383:E383"/>
    <mergeCell ref="A384:B384"/>
    <mergeCell ref="D384:E384"/>
    <mergeCell ref="A385:B385"/>
    <mergeCell ref="D385:E385"/>
    <mergeCell ref="A386:J386"/>
    <mergeCell ref="A387:B387"/>
    <mergeCell ref="A54:B54"/>
    <mergeCell ref="C54:J54"/>
    <mergeCell ref="F55:G55"/>
    <mergeCell ref="I55:J55"/>
    <mergeCell ref="A56:B56"/>
    <mergeCell ref="C56:J56"/>
    <mergeCell ref="A57:B57"/>
    <mergeCell ref="D57:E57"/>
    <mergeCell ref="F57:G57"/>
    <mergeCell ref="H57:J57"/>
    <mergeCell ref="A58:B58"/>
    <mergeCell ref="D58:E58"/>
    <mergeCell ref="F58:G67"/>
    <mergeCell ref="H58:J67"/>
    <mergeCell ref="A59:B59"/>
    <mergeCell ref="D59:E59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C68:J68"/>
    <mergeCell ref="F69:G69"/>
    <mergeCell ref="I69:J69"/>
    <mergeCell ref="A70:B70"/>
    <mergeCell ref="C70:J70"/>
    <mergeCell ref="A71:B71"/>
    <mergeCell ref="D71:E71"/>
    <mergeCell ref="F71:G71"/>
    <mergeCell ref="H71:J71"/>
    <mergeCell ref="A72:B72"/>
    <mergeCell ref="D72:E72"/>
    <mergeCell ref="F72:G81"/>
    <mergeCell ref="H72:J81"/>
    <mergeCell ref="A73:B73"/>
    <mergeCell ref="D73:E73"/>
    <mergeCell ref="A74:B74"/>
    <mergeCell ref="D74:E74"/>
    <mergeCell ref="A75:B75"/>
    <mergeCell ref="D75:E7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C82:J82"/>
    <mergeCell ref="F83:G83"/>
    <mergeCell ref="I83:J83"/>
    <mergeCell ref="A84:B84"/>
    <mergeCell ref="C84:J84"/>
    <mergeCell ref="A85:B85"/>
    <mergeCell ref="D85:E85"/>
    <mergeCell ref="F85:G85"/>
    <mergeCell ref="H85:J85"/>
    <mergeCell ref="A86:B86"/>
    <mergeCell ref="D86:E86"/>
    <mergeCell ref="F86:G95"/>
    <mergeCell ref="H86:J95"/>
    <mergeCell ref="A87:B87"/>
    <mergeCell ref="D87:E87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C96:J96"/>
    <mergeCell ref="F97:G97"/>
    <mergeCell ref="I97:J97"/>
    <mergeCell ref="A98:B98"/>
    <mergeCell ref="C98:J98"/>
    <mergeCell ref="A99:B99"/>
    <mergeCell ref="D99:E99"/>
    <mergeCell ref="F99:G99"/>
    <mergeCell ref="H99:J99"/>
    <mergeCell ref="A100:B100"/>
    <mergeCell ref="D100:E100"/>
    <mergeCell ref="F100:G109"/>
    <mergeCell ref="H100:J109"/>
    <mergeCell ref="A101:B101"/>
    <mergeCell ref="D101:E101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C110:J110"/>
    <mergeCell ref="F111:G111"/>
    <mergeCell ref="I111:J111"/>
    <mergeCell ref="A112:B112"/>
    <mergeCell ref="C112:J112"/>
    <mergeCell ref="A113:B113"/>
    <mergeCell ref="D113:E113"/>
    <mergeCell ref="F113:G113"/>
    <mergeCell ref="H113:J113"/>
    <mergeCell ref="A114:B114"/>
    <mergeCell ref="D114:E114"/>
    <mergeCell ref="F114:G123"/>
    <mergeCell ref="H114:J123"/>
    <mergeCell ref="A115:B115"/>
    <mergeCell ref="D115:E115"/>
    <mergeCell ref="A116:B116"/>
    <mergeCell ref="D116:E116"/>
    <mergeCell ref="A117:B117"/>
    <mergeCell ref="D117:E117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2:B122"/>
    <mergeCell ref="D122:E122"/>
    <mergeCell ref="A123:B123"/>
    <mergeCell ref="D123:E123"/>
    <mergeCell ref="A138:B138"/>
    <mergeCell ref="C138:J138"/>
    <mergeCell ref="F139:G139"/>
    <mergeCell ref="I139:J139"/>
    <mergeCell ref="A140:B140"/>
    <mergeCell ref="C140:J140"/>
    <mergeCell ref="A141:B141"/>
    <mergeCell ref="D141:E141"/>
    <mergeCell ref="F141:G141"/>
    <mergeCell ref="H141:J141"/>
    <mergeCell ref="A142:B142"/>
    <mergeCell ref="D142:E142"/>
    <mergeCell ref="F142:G151"/>
    <mergeCell ref="H142:J151"/>
    <mergeCell ref="A143:B143"/>
    <mergeCell ref="D143:E143"/>
    <mergeCell ref="A144:B144"/>
    <mergeCell ref="D144:E144"/>
    <mergeCell ref="A145:B145"/>
    <mergeCell ref="D145:E145"/>
    <mergeCell ref="A146:B146"/>
    <mergeCell ref="D146:E146"/>
    <mergeCell ref="A147:B147"/>
    <mergeCell ref="D147:E147"/>
    <mergeCell ref="A148:B148"/>
    <mergeCell ref="D148:E148"/>
    <mergeCell ref="A149:B149"/>
    <mergeCell ref="D149:E149"/>
    <mergeCell ref="A150:B150"/>
    <mergeCell ref="D150:E150"/>
    <mergeCell ref="A151:B151"/>
    <mergeCell ref="D151:E151"/>
    <mergeCell ref="A124:B124"/>
    <mergeCell ref="C124:J124"/>
    <mergeCell ref="F125:G125"/>
    <mergeCell ref="I125:J125"/>
    <mergeCell ref="A126:B126"/>
    <mergeCell ref="C126:J126"/>
    <mergeCell ref="A127:B127"/>
    <mergeCell ref="D127:E127"/>
    <mergeCell ref="F127:G127"/>
    <mergeCell ref="H127:J127"/>
    <mergeCell ref="A128:B128"/>
    <mergeCell ref="D128:E128"/>
    <mergeCell ref="F128:G137"/>
    <mergeCell ref="H128:J137"/>
    <mergeCell ref="A129:B129"/>
    <mergeCell ref="D129:E129"/>
    <mergeCell ref="A130:B130"/>
    <mergeCell ref="D130:E130"/>
    <mergeCell ref="A131:B131"/>
    <mergeCell ref="D131:E131"/>
    <mergeCell ref="A132:B132"/>
    <mergeCell ref="D132:E132"/>
    <mergeCell ref="A133:B133"/>
    <mergeCell ref="D133:E133"/>
    <mergeCell ref="A134:B134"/>
    <mergeCell ref="D134:E134"/>
    <mergeCell ref="A135:B135"/>
    <mergeCell ref="D135:E135"/>
    <mergeCell ref="A136:B136"/>
    <mergeCell ref="D136:E136"/>
    <mergeCell ref="A137:B137"/>
    <mergeCell ref="D137:E137"/>
  </mergeCells>
  <phoneticPr fontId="0" type="noConversion"/>
  <hyperlinks>
    <hyperlink ref="C33" r:id="rId1" xr:uid="{00000000-0004-0000-0000-000000000000}"/>
  </hyperlinks>
  <pageMargins left="0.70866141732283472" right="0.70866141732283472" top="0.98425196850393704" bottom="0.59055118110236227" header="0.19685039370078741" footer="0.19685039370078741"/>
  <pageSetup scale="88" fitToHeight="0" orientation="portrait" r:id="rId2"/>
  <headerFooter>
    <oddHeader>&amp;C&amp;G</oddHeader>
    <oddFooter>&amp;L&amp;"Times New Roman,Bold"Ref No: &amp;F&amp;C&amp;G&amp;R&amp;P</oddFooter>
  </headerFooter>
  <rowBreaks count="4" manualBreakCount="4">
    <brk id="81" max="16383" man="1"/>
    <brk id="123" max="9" man="1"/>
    <brk id="435" max="16383" man="1"/>
    <brk id="481" max="16383" man="1"/>
  </rowBreaks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0"/>
  <sheetViews>
    <sheetView workbookViewId="0">
      <selection activeCell="J16" sqref="J16"/>
    </sheetView>
  </sheetViews>
  <sheetFormatPr defaultRowHeight="14.4" x14ac:dyDescent="0.3"/>
  <cols>
    <col min="2" max="2" width="11.6640625" customWidth="1"/>
  </cols>
  <sheetData>
    <row r="2" spans="1:15" x14ac:dyDescent="0.3">
      <c r="A2" t="s">
        <v>118</v>
      </c>
      <c r="B2" s="11" t="s">
        <v>138</v>
      </c>
      <c r="C2" s="11">
        <v>4</v>
      </c>
    </row>
    <row r="3" spans="1:15" x14ac:dyDescent="0.3">
      <c r="B3" t="s">
        <v>119</v>
      </c>
      <c r="C3" t="s">
        <v>120</v>
      </c>
    </row>
    <row r="4" spans="1:15" x14ac:dyDescent="0.3">
      <c r="A4" t="s">
        <v>121</v>
      </c>
      <c r="B4" s="5">
        <v>10</v>
      </c>
      <c r="C4" s="5">
        <v>5</v>
      </c>
      <c r="E4">
        <f>(100/B4)*C4</f>
        <v>50</v>
      </c>
    </row>
    <row r="5" spans="1:15" x14ac:dyDescent="0.3">
      <c r="A5" t="s">
        <v>122</v>
      </c>
      <c r="B5" t="s">
        <v>123</v>
      </c>
      <c r="C5" t="s">
        <v>124</v>
      </c>
      <c r="E5">
        <f>(100/B6)*C6</f>
        <v>0</v>
      </c>
      <c r="I5" s="5" t="s">
        <v>125</v>
      </c>
      <c r="J5" s="5" t="s">
        <v>126</v>
      </c>
      <c r="K5" s="5" t="s">
        <v>127</v>
      </c>
      <c r="L5" s="5" t="s">
        <v>37</v>
      </c>
      <c r="M5" s="5" t="s">
        <v>43</v>
      </c>
      <c r="N5" s="5" t="s">
        <v>128</v>
      </c>
      <c r="O5" s="5" t="s">
        <v>44</v>
      </c>
    </row>
    <row r="6" spans="1:15" x14ac:dyDescent="0.3">
      <c r="B6" s="5">
        <f>C2+1</f>
        <v>5</v>
      </c>
      <c r="C6" s="5">
        <v>0</v>
      </c>
      <c r="E6">
        <f>(100/B8)*C8</f>
        <v>0</v>
      </c>
      <c r="F6" s="12" t="s">
        <v>129</v>
      </c>
      <c r="I6" s="12">
        <f>C4</f>
        <v>5</v>
      </c>
      <c r="J6" s="12">
        <f>40/B6*C6</f>
        <v>0</v>
      </c>
      <c r="K6" s="12">
        <f>15/B8*C8</f>
        <v>0</v>
      </c>
      <c r="L6" s="12">
        <f>10/B10*C10</f>
        <v>0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3">
      <c r="A7" t="s">
        <v>130</v>
      </c>
      <c r="B7" t="s">
        <v>131</v>
      </c>
      <c r="C7" t="s">
        <v>132</v>
      </c>
      <c r="E7">
        <f>(100/B10)*C10</f>
        <v>0</v>
      </c>
      <c r="F7" s="5" t="s">
        <v>133</v>
      </c>
      <c r="G7" s="5"/>
      <c r="H7" s="5"/>
      <c r="I7" s="5">
        <f>I6+20</f>
        <v>25</v>
      </c>
      <c r="J7" s="5">
        <f>30/B6*C6</f>
        <v>0</v>
      </c>
      <c r="K7" s="5">
        <f>15/B8*C8</f>
        <v>0</v>
      </c>
      <c r="L7" s="5">
        <f>10/B10*C10</f>
        <v>0</v>
      </c>
      <c r="M7" s="5">
        <f>5/B12*C12</f>
        <v>0</v>
      </c>
      <c r="N7" s="5">
        <f>5/B14*C14</f>
        <v>0</v>
      </c>
      <c r="O7" s="5">
        <f>5/B16*C16</f>
        <v>0</v>
      </c>
    </row>
    <row r="8" spans="1:15" x14ac:dyDescent="0.3">
      <c r="B8" s="5">
        <f>C2</f>
        <v>4</v>
      </c>
      <c r="C8" s="5">
        <v>0</v>
      </c>
      <c r="E8">
        <f>(100/B12)*C12</f>
        <v>0</v>
      </c>
    </row>
    <row r="9" spans="1:15" x14ac:dyDescent="0.3">
      <c r="A9" t="s">
        <v>134</v>
      </c>
      <c r="B9" t="s">
        <v>131</v>
      </c>
      <c r="C9" t="s">
        <v>132</v>
      </c>
      <c r="E9">
        <f>(100/B14)*C14</f>
        <v>0</v>
      </c>
    </row>
    <row r="10" spans="1:15" x14ac:dyDescent="0.3">
      <c r="B10" s="5">
        <f>C2</f>
        <v>4</v>
      </c>
      <c r="C10" s="5">
        <v>0</v>
      </c>
      <c r="E10">
        <f>(100/B16)*C16</f>
        <v>0</v>
      </c>
    </row>
    <row r="11" spans="1:15" x14ac:dyDescent="0.3">
      <c r="A11" t="s">
        <v>43</v>
      </c>
      <c r="B11" t="s">
        <v>131</v>
      </c>
      <c r="C11" t="s">
        <v>132</v>
      </c>
    </row>
    <row r="12" spans="1:15" x14ac:dyDescent="0.3">
      <c r="B12" s="5">
        <f>C2</f>
        <v>4</v>
      </c>
      <c r="C12" s="5">
        <v>0</v>
      </c>
      <c r="F12" s="5"/>
      <c r="G12" s="5" t="s">
        <v>129</v>
      </c>
      <c r="H12" s="5" t="s">
        <v>135</v>
      </c>
      <c r="L12" t="s">
        <v>136</v>
      </c>
    </row>
    <row r="13" spans="1:15" ht="28.8" x14ac:dyDescent="0.3">
      <c r="A13" s="13" t="s">
        <v>128</v>
      </c>
      <c r="B13" t="s">
        <v>131</v>
      </c>
      <c r="C13" t="s">
        <v>132</v>
      </c>
      <c r="F13" s="5" t="s">
        <v>35</v>
      </c>
      <c r="G13" s="5">
        <f>I6</f>
        <v>5</v>
      </c>
      <c r="H13" s="5">
        <f>I7</f>
        <v>25</v>
      </c>
      <c r="L13" t="s">
        <v>136</v>
      </c>
    </row>
    <row r="14" spans="1:15" x14ac:dyDescent="0.3">
      <c r="B14" s="5">
        <f>C2</f>
        <v>4</v>
      </c>
      <c r="C14" s="5">
        <v>0</v>
      </c>
      <c r="F14" s="5" t="s">
        <v>36</v>
      </c>
      <c r="G14" s="5">
        <f>J6</f>
        <v>0</v>
      </c>
      <c r="H14" s="5">
        <f>J7</f>
        <v>0</v>
      </c>
    </row>
    <row r="15" spans="1:15" x14ac:dyDescent="0.3">
      <c r="A15" t="s">
        <v>44</v>
      </c>
      <c r="B15" t="s">
        <v>131</v>
      </c>
      <c r="C15" t="s">
        <v>132</v>
      </c>
      <c r="F15" s="5" t="s">
        <v>127</v>
      </c>
      <c r="G15" s="5">
        <f>K6</f>
        <v>0</v>
      </c>
      <c r="H15" s="5">
        <f>K7</f>
        <v>0</v>
      </c>
    </row>
    <row r="16" spans="1:15" x14ac:dyDescent="0.3">
      <c r="B16" s="5">
        <f>C2</f>
        <v>4</v>
      </c>
      <c r="C16" s="5">
        <v>0</v>
      </c>
      <c r="F16" s="5" t="s">
        <v>37</v>
      </c>
      <c r="G16" s="5">
        <f>L6</f>
        <v>0</v>
      </c>
      <c r="H16" s="5">
        <f>L7</f>
        <v>0</v>
      </c>
    </row>
    <row r="17" spans="6:8" x14ac:dyDescent="0.3">
      <c r="F17" s="5" t="s">
        <v>43</v>
      </c>
      <c r="G17" s="5">
        <f>M6</f>
        <v>0</v>
      </c>
      <c r="H17" s="5">
        <f>M7</f>
        <v>0</v>
      </c>
    </row>
    <row r="18" spans="6:8" ht="28.8" x14ac:dyDescent="0.3">
      <c r="F18" s="14" t="s">
        <v>128</v>
      </c>
      <c r="G18" s="5">
        <f>N6</f>
        <v>0</v>
      </c>
      <c r="H18" s="5">
        <f>N7</f>
        <v>0</v>
      </c>
    </row>
    <row r="19" spans="6:8" x14ac:dyDescent="0.3">
      <c r="F19" s="5" t="s">
        <v>44</v>
      </c>
      <c r="G19" s="5">
        <f>O6</f>
        <v>0</v>
      </c>
      <c r="H19" s="5">
        <f>O7</f>
        <v>0</v>
      </c>
    </row>
    <row r="20" spans="6:8" x14ac:dyDescent="0.3">
      <c r="F20" s="5" t="s">
        <v>137</v>
      </c>
      <c r="G20" s="5">
        <f>G13+G14+G15+G16+G17+G18+G19</f>
        <v>5</v>
      </c>
      <c r="H20" s="5">
        <f>H13+H14+H15+H16+H17+H18+H19</f>
        <v>25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20"/>
  <sheetViews>
    <sheetView workbookViewId="0">
      <selection activeCell="K13" sqref="K13"/>
    </sheetView>
  </sheetViews>
  <sheetFormatPr defaultRowHeight="14.4" x14ac:dyDescent="0.3"/>
  <cols>
    <col min="2" max="2" width="11.6640625" customWidth="1"/>
  </cols>
  <sheetData>
    <row r="2" spans="1:15" x14ac:dyDescent="0.3">
      <c r="A2" t="s">
        <v>118</v>
      </c>
      <c r="B2" s="11" t="s">
        <v>138</v>
      </c>
      <c r="C2" s="11">
        <v>4</v>
      </c>
    </row>
    <row r="3" spans="1:15" x14ac:dyDescent="0.3">
      <c r="B3" t="s">
        <v>119</v>
      </c>
      <c r="C3" t="s">
        <v>120</v>
      </c>
    </row>
    <row r="4" spans="1:15" x14ac:dyDescent="0.3">
      <c r="A4" t="s">
        <v>121</v>
      </c>
      <c r="B4" s="5">
        <v>10</v>
      </c>
      <c r="C4" s="5">
        <v>10</v>
      </c>
      <c r="E4">
        <f>(100/B4)*C4</f>
        <v>100</v>
      </c>
    </row>
    <row r="5" spans="1:15" x14ac:dyDescent="0.3">
      <c r="A5" t="s">
        <v>122</v>
      </c>
      <c r="B5" t="s">
        <v>123</v>
      </c>
      <c r="C5" t="s">
        <v>124</v>
      </c>
      <c r="E5">
        <f>(100/B6)*C6</f>
        <v>0</v>
      </c>
      <c r="I5" s="5" t="s">
        <v>125</v>
      </c>
      <c r="J5" s="5" t="s">
        <v>126</v>
      </c>
      <c r="K5" s="5" t="s">
        <v>127</v>
      </c>
      <c r="L5" s="5" t="s">
        <v>37</v>
      </c>
      <c r="M5" s="5" t="s">
        <v>43</v>
      </c>
      <c r="N5" s="5" t="s">
        <v>128</v>
      </c>
      <c r="O5" s="5" t="s">
        <v>44</v>
      </c>
    </row>
    <row r="6" spans="1:15" x14ac:dyDescent="0.3">
      <c r="B6" s="5">
        <f>C2+1</f>
        <v>5</v>
      </c>
      <c r="C6" s="5">
        <v>0</v>
      </c>
      <c r="E6">
        <f>(100/B8)*C8</f>
        <v>0</v>
      </c>
      <c r="F6" s="12" t="s">
        <v>129</v>
      </c>
      <c r="I6" s="12">
        <f>C4</f>
        <v>10</v>
      </c>
      <c r="J6" s="12">
        <f>40/B6*C6</f>
        <v>0</v>
      </c>
      <c r="K6" s="12">
        <f>15/B8*C8</f>
        <v>0</v>
      </c>
      <c r="L6" s="12">
        <f>10/B10*C10</f>
        <v>0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3">
      <c r="A7" t="s">
        <v>130</v>
      </c>
      <c r="B7" t="s">
        <v>131</v>
      </c>
      <c r="C7" t="s">
        <v>132</v>
      </c>
      <c r="E7">
        <f>(100/B10)*C10</f>
        <v>0</v>
      </c>
      <c r="F7" s="5" t="s">
        <v>133</v>
      </c>
      <c r="G7" s="5"/>
      <c r="H7" s="5"/>
      <c r="I7" s="5">
        <f>I6+20</f>
        <v>30</v>
      </c>
      <c r="J7" s="5">
        <f>30/B6*C6</f>
        <v>0</v>
      </c>
      <c r="K7" s="5">
        <f>15/B8*C8</f>
        <v>0</v>
      </c>
      <c r="L7" s="5">
        <f>10/B10*C10</f>
        <v>0</v>
      </c>
      <c r="M7" s="5">
        <f>5/B12*C12</f>
        <v>0</v>
      </c>
      <c r="N7" s="5">
        <f>5/B14*C14</f>
        <v>0</v>
      </c>
      <c r="O7" s="5">
        <f>5/B16*C16</f>
        <v>0</v>
      </c>
    </row>
    <row r="8" spans="1:15" x14ac:dyDescent="0.3">
      <c r="B8" s="5">
        <f>C2</f>
        <v>4</v>
      </c>
      <c r="C8" s="5">
        <v>0</v>
      </c>
      <c r="E8">
        <f>(100/B12)*C12</f>
        <v>0</v>
      </c>
    </row>
    <row r="9" spans="1:15" x14ac:dyDescent="0.3">
      <c r="A9" t="s">
        <v>134</v>
      </c>
      <c r="B9" t="s">
        <v>131</v>
      </c>
      <c r="C9" t="s">
        <v>132</v>
      </c>
      <c r="E9">
        <f>(100/B14)*C14</f>
        <v>0</v>
      </c>
    </row>
    <row r="10" spans="1:15" x14ac:dyDescent="0.3">
      <c r="B10" s="5">
        <f>C2</f>
        <v>4</v>
      </c>
      <c r="C10" s="5">
        <v>0</v>
      </c>
      <c r="E10">
        <f>(100/B16)*C16</f>
        <v>0</v>
      </c>
    </row>
    <row r="11" spans="1:15" x14ac:dyDescent="0.3">
      <c r="A11" t="s">
        <v>43</v>
      </c>
      <c r="B11" t="s">
        <v>131</v>
      </c>
      <c r="C11" t="s">
        <v>132</v>
      </c>
    </row>
    <row r="12" spans="1:15" x14ac:dyDescent="0.3">
      <c r="B12" s="5">
        <f>C2</f>
        <v>4</v>
      </c>
      <c r="C12" s="5">
        <v>0</v>
      </c>
      <c r="F12" s="5"/>
      <c r="G12" s="5" t="s">
        <v>129</v>
      </c>
      <c r="H12" s="5" t="s">
        <v>135</v>
      </c>
      <c r="L12" t="s">
        <v>136</v>
      </c>
    </row>
    <row r="13" spans="1:15" ht="28.8" x14ac:dyDescent="0.3">
      <c r="A13" s="13" t="s">
        <v>128</v>
      </c>
      <c r="B13" t="s">
        <v>131</v>
      </c>
      <c r="C13" t="s">
        <v>132</v>
      </c>
      <c r="F13" s="5" t="s">
        <v>35</v>
      </c>
      <c r="G13" s="5">
        <f>I6</f>
        <v>10</v>
      </c>
      <c r="H13" s="5">
        <f>I7</f>
        <v>30</v>
      </c>
      <c r="L13" t="s">
        <v>136</v>
      </c>
    </row>
    <row r="14" spans="1:15" x14ac:dyDescent="0.3">
      <c r="B14" s="5">
        <f>C2</f>
        <v>4</v>
      </c>
      <c r="C14" s="5">
        <v>0</v>
      </c>
      <c r="F14" s="5" t="s">
        <v>36</v>
      </c>
      <c r="G14" s="5">
        <f>J6</f>
        <v>0</v>
      </c>
      <c r="H14" s="5">
        <f>J7</f>
        <v>0</v>
      </c>
    </row>
    <row r="15" spans="1:15" x14ac:dyDescent="0.3">
      <c r="A15" t="s">
        <v>44</v>
      </c>
      <c r="B15" t="s">
        <v>131</v>
      </c>
      <c r="C15" t="s">
        <v>132</v>
      </c>
      <c r="F15" s="5" t="s">
        <v>127</v>
      </c>
      <c r="G15" s="5">
        <f>K6</f>
        <v>0</v>
      </c>
      <c r="H15" s="5">
        <f>K7</f>
        <v>0</v>
      </c>
    </row>
    <row r="16" spans="1:15" x14ac:dyDescent="0.3">
      <c r="B16" s="5">
        <f>C2</f>
        <v>4</v>
      </c>
      <c r="C16" s="5">
        <v>0</v>
      </c>
      <c r="F16" s="5" t="s">
        <v>37</v>
      </c>
      <c r="G16" s="5">
        <f>L6</f>
        <v>0</v>
      </c>
      <c r="H16" s="5">
        <f>L7</f>
        <v>0</v>
      </c>
    </row>
    <row r="17" spans="6:8" x14ac:dyDescent="0.3">
      <c r="F17" s="5" t="s">
        <v>43</v>
      </c>
      <c r="G17" s="5">
        <f>M6</f>
        <v>0</v>
      </c>
      <c r="H17" s="5">
        <f>M7</f>
        <v>0</v>
      </c>
    </row>
    <row r="18" spans="6:8" ht="28.8" x14ac:dyDescent="0.3">
      <c r="F18" s="14" t="s">
        <v>128</v>
      </c>
      <c r="G18" s="5">
        <f>N6</f>
        <v>0</v>
      </c>
      <c r="H18" s="5">
        <f>N7</f>
        <v>0</v>
      </c>
    </row>
    <row r="19" spans="6:8" x14ac:dyDescent="0.3">
      <c r="F19" s="5" t="s">
        <v>44</v>
      </c>
      <c r="G19" s="5">
        <f>O6</f>
        <v>0</v>
      </c>
      <c r="H19" s="5">
        <f>O7</f>
        <v>0</v>
      </c>
    </row>
    <row r="20" spans="6:8" x14ac:dyDescent="0.3">
      <c r="F20" s="5" t="s">
        <v>137</v>
      </c>
      <c r="G20" s="5">
        <f>G13+G14+G15+G16+G17+G18+G19</f>
        <v>10</v>
      </c>
      <c r="H20" s="5">
        <f>H13+H14+H15+H16+H17+H18+H19</f>
        <v>30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34"/>
  <sheetViews>
    <sheetView topLeftCell="A10" workbookViewId="0">
      <selection activeCell="Q17" sqref="Q17"/>
    </sheetView>
  </sheetViews>
  <sheetFormatPr defaultRowHeight="14.4" x14ac:dyDescent="0.3"/>
  <sheetData>
    <row r="2" spans="2:13" x14ac:dyDescent="0.3">
      <c r="C2" s="8" t="s">
        <v>100</v>
      </c>
      <c r="D2" s="251"/>
      <c r="E2" s="251"/>
    </row>
    <row r="3" spans="2:13" x14ac:dyDescent="0.3">
      <c r="E3" s="7"/>
      <c r="F3" s="7"/>
      <c r="G3" s="7"/>
      <c r="H3" s="7"/>
      <c r="I3" s="7"/>
      <c r="J3" s="7"/>
    </row>
    <row r="4" spans="2:13" x14ac:dyDescent="0.3">
      <c r="B4" s="8" t="s">
        <v>101</v>
      </c>
      <c r="C4" s="6" t="s">
        <v>81</v>
      </c>
      <c r="D4" s="252" t="s">
        <v>82</v>
      </c>
      <c r="E4" s="252"/>
      <c r="F4" s="252"/>
      <c r="G4" s="9"/>
      <c r="H4" s="252" t="s">
        <v>83</v>
      </c>
      <c r="I4" s="252"/>
      <c r="J4" s="252"/>
      <c r="K4" s="252" t="s">
        <v>84</v>
      </c>
      <c r="L4" s="252"/>
      <c r="M4" s="252"/>
    </row>
    <row r="5" spans="2:13" x14ac:dyDescent="0.3">
      <c r="B5" s="8">
        <v>1</v>
      </c>
      <c r="C5" s="6"/>
      <c r="D5" s="6" t="s">
        <v>85</v>
      </c>
      <c r="E5" s="6" t="s">
        <v>86</v>
      </c>
      <c r="F5" s="6" t="s">
        <v>87</v>
      </c>
      <c r="G5" s="6"/>
      <c r="H5" s="6" t="s">
        <v>85</v>
      </c>
      <c r="I5" s="6" t="s">
        <v>86</v>
      </c>
      <c r="J5" s="6" t="s">
        <v>87</v>
      </c>
      <c r="K5" s="6" t="s">
        <v>85</v>
      </c>
      <c r="L5" s="6" t="s">
        <v>86</v>
      </c>
      <c r="M5" s="6" t="s">
        <v>87</v>
      </c>
    </row>
    <row r="6" spans="2:13" x14ac:dyDescent="0.3">
      <c r="C6" s="5" t="s">
        <v>88</v>
      </c>
      <c r="D6" s="5"/>
      <c r="E6" s="5"/>
      <c r="F6" s="5">
        <f>D6*E6</f>
        <v>0</v>
      </c>
      <c r="G6" s="5" t="s">
        <v>103</v>
      </c>
      <c r="H6" s="5"/>
      <c r="I6" s="5"/>
      <c r="J6" s="5">
        <f>H6*I6</f>
        <v>0</v>
      </c>
      <c r="K6" s="5"/>
      <c r="L6" s="5"/>
      <c r="M6" s="5">
        <f>K6*L6</f>
        <v>0</v>
      </c>
    </row>
    <row r="7" spans="2:13" x14ac:dyDescent="0.3">
      <c r="C7" s="5"/>
      <c r="D7" s="5"/>
      <c r="E7" s="5"/>
      <c r="F7" s="5">
        <f t="shared" ref="F7:F33" si="0">D7*E7</f>
        <v>0</v>
      </c>
      <c r="G7" s="5" t="s">
        <v>104</v>
      </c>
      <c r="H7" s="5"/>
      <c r="I7" s="5"/>
      <c r="J7" s="5">
        <f t="shared" ref="J7:J29" si="1">H7*I7</f>
        <v>0</v>
      </c>
      <c r="K7" s="5"/>
      <c r="L7" s="5"/>
      <c r="M7" s="5">
        <f t="shared" ref="M7:M29" si="2">K7*L7</f>
        <v>0</v>
      </c>
    </row>
    <row r="8" spans="2:13" x14ac:dyDescent="0.3">
      <c r="C8" s="5"/>
      <c r="D8" s="5"/>
      <c r="E8" s="5"/>
      <c r="F8" s="5">
        <f t="shared" si="0"/>
        <v>0</v>
      </c>
      <c r="G8" s="5"/>
      <c r="H8" s="5"/>
      <c r="I8" s="5"/>
      <c r="J8" s="5">
        <f t="shared" si="1"/>
        <v>0</v>
      </c>
      <c r="K8" s="5"/>
      <c r="L8" s="5"/>
      <c r="M8" s="5">
        <f t="shared" si="2"/>
        <v>0</v>
      </c>
    </row>
    <row r="9" spans="2:13" x14ac:dyDescent="0.3">
      <c r="C9" s="5" t="s">
        <v>91</v>
      </c>
      <c r="D9" s="5"/>
      <c r="E9" s="5"/>
      <c r="F9" s="5">
        <f t="shared" si="0"/>
        <v>0</v>
      </c>
      <c r="G9" s="5" t="s">
        <v>103</v>
      </c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x14ac:dyDescent="0.3">
      <c r="C10" s="5"/>
      <c r="D10" s="5"/>
      <c r="E10" s="5"/>
      <c r="F10" s="5">
        <f t="shared" si="0"/>
        <v>0</v>
      </c>
      <c r="G10" s="5" t="s">
        <v>104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x14ac:dyDescent="0.3">
      <c r="C11" s="5"/>
      <c r="D11" s="5"/>
      <c r="E11" s="5"/>
      <c r="F11" s="5">
        <f t="shared" si="0"/>
        <v>0</v>
      </c>
      <c r="G11" s="5"/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x14ac:dyDescent="0.3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x14ac:dyDescent="0.3">
      <c r="C13" s="5" t="s">
        <v>89</v>
      </c>
      <c r="D13" s="5"/>
      <c r="E13" s="5"/>
      <c r="F13" s="5">
        <f t="shared" si="0"/>
        <v>0</v>
      </c>
      <c r="G13" s="5" t="s">
        <v>103</v>
      </c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x14ac:dyDescent="0.3">
      <c r="C14" s="5"/>
      <c r="D14" s="5"/>
      <c r="E14" s="5"/>
      <c r="F14" s="5">
        <f t="shared" si="0"/>
        <v>0</v>
      </c>
      <c r="G14" s="5" t="s">
        <v>104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x14ac:dyDescent="0.3">
      <c r="C15" s="5"/>
      <c r="D15" s="5"/>
      <c r="E15" s="5"/>
      <c r="F15" s="5">
        <f t="shared" si="0"/>
        <v>0</v>
      </c>
      <c r="G15" s="5"/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x14ac:dyDescent="0.3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x14ac:dyDescent="0.3">
      <c r="C17" s="5" t="s">
        <v>90</v>
      </c>
      <c r="D17" s="5"/>
      <c r="E17" s="5"/>
      <c r="F17" s="5">
        <f t="shared" si="0"/>
        <v>0</v>
      </c>
      <c r="G17" s="5" t="s">
        <v>103</v>
      </c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x14ac:dyDescent="0.3">
      <c r="C18" s="5"/>
      <c r="D18" s="5"/>
      <c r="E18" s="5"/>
      <c r="F18" s="5">
        <f t="shared" si="0"/>
        <v>0</v>
      </c>
      <c r="G18" s="5" t="s">
        <v>104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x14ac:dyDescent="0.3">
      <c r="C19" s="5"/>
      <c r="D19" s="5"/>
      <c r="E19" s="5"/>
      <c r="F19" s="5">
        <f t="shared" si="0"/>
        <v>0</v>
      </c>
      <c r="G19" s="5"/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3">
      <c r="C20" s="5" t="s">
        <v>90</v>
      </c>
      <c r="D20" s="5"/>
      <c r="E20" s="5"/>
      <c r="F20" s="5">
        <f t="shared" si="0"/>
        <v>0</v>
      </c>
      <c r="G20" s="5" t="s">
        <v>103</v>
      </c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3">
      <c r="C21" s="5"/>
      <c r="D21" s="5"/>
      <c r="E21" s="5"/>
      <c r="F21" s="5">
        <f t="shared" si="0"/>
        <v>0</v>
      </c>
      <c r="G21" s="5" t="s">
        <v>104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3">
      <c r="C22" s="5"/>
      <c r="D22" s="5"/>
      <c r="E22" s="5"/>
      <c r="F22" s="5">
        <f t="shared" si="0"/>
        <v>0</v>
      </c>
      <c r="G22" s="5"/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3">
      <c r="C23" s="5" t="s">
        <v>96</v>
      </c>
      <c r="D23" s="5"/>
      <c r="E23" s="5"/>
      <c r="F23" s="5">
        <f t="shared" si="0"/>
        <v>0</v>
      </c>
      <c r="G23" s="5" t="s">
        <v>105</v>
      </c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3">
      <c r="C24" s="5" t="s">
        <v>97</v>
      </c>
      <c r="D24" s="5"/>
      <c r="E24" s="5"/>
      <c r="F24" s="5">
        <f t="shared" si="0"/>
        <v>0</v>
      </c>
      <c r="G24" s="5" t="s">
        <v>105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3">
      <c r="C25" s="5" t="s">
        <v>98</v>
      </c>
      <c r="D25" s="5"/>
      <c r="E25" s="5"/>
      <c r="F25" s="5">
        <f t="shared" si="0"/>
        <v>0</v>
      </c>
      <c r="G25" s="5" t="s">
        <v>105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3">
      <c r="C26" s="5"/>
      <c r="D26" s="5"/>
      <c r="E26" s="5"/>
      <c r="F26" s="5">
        <f t="shared" si="0"/>
        <v>0</v>
      </c>
      <c r="G26" s="5"/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3">
      <c r="C27" s="5" t="s">
        <v>92</v>
      </c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3">
      <c r="C28" s="5" t="s">
        <v>93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3">
      <c r="C29" s="5" t="s">
        <v>94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3">
      <c r="C30" s="5" t="s">
        <v>95</v>
      </c>
      <c r="D30" s="5"/>
      <c r="E30" s="5"/>
      <c r="F30" s="5">
        <f t="shared" si="0"/>
        <v>0</v>
      </c>
      <c r="G30" s="5"/>
      <c r="H30" s="5"/>
      <c r="I30" s="5"/>
      <c r="J30" s="5">
        <f>H30*I30</f>
        <v>0</v>
      </c>
      <c r="K30" s="5"/>
      <c r="L30" s="5"/>
      <c r="M30" s="5">
        <f>K30*L30</f>
        <v>0</v>
      </c>
    </row>
    <row r="31" spans="3:13" x14ac:dyDescent="0.3">
      <c r="C31" s="5"/>
      <c r="D31" s="5"/>
      <c r="E31" s="5"/>
      <c r="F31" s="5">
        <f t="shared" si="0"/>
        <v>0</v>
      </c>
      <c r="G31" s="5"/>
      <c r="H31" s="5"/>
      <c r="I31" s="5"/>
      <c r="J31" s="5">
        <f>H31*I31</f>
        <v>0</v>
      </c>
      <c r="K31" s="5"/>
      <c r="L31" s="5"/>
      <c r="M31" s="5">
        <f>K31*L31</f>
        <v>0</v>
      </c>
    </row>
    <row r="32" spans="3:13" x14ac:dyDescent="0.3">
      <c r="C32" s="5"/>
      <c r="D32" s="5"/>
      <c r="E32" s="5"/>
      <c r="F32" s="5">
        <f t="shared" si="0"/>
        <v>0</v>
      </c>
      <c r="G32" s="5"/>
      <c r="H32" s="5"/>
      <c r="I32" s="5"/>
      <c r="J32" s="5">
        <f>H32*I32</f>
        <v>0</v>
      </c>
      <c r="K32" s="5"/>
      <c r="L32" s="5"/>
      <c r="M32" s="5">
        <f>K32*L32</f>
        <v>0</v>
      </c>
    </row>
    <row r="33" spans="3:13" x14ac:dyDescent="0.3">
      <c r="C33" s="5"/>
      <c r="D33" s="5"/>
      <c r="E33" s="5"/>
      <c r="F33" s="5">
        <f t="shared" si="0"/>
        <v>0</v>
      </c>
      <c r="G33" s="5"/>
      <c r="H33" s="5"/>
      <c r="I33" s="5"/>
      <c r="J33" s="5">
        <f>H33*I33</f>
        <v>0</v>
      </c>
      <c r="K33" s="5"/>
      <c r="L33" s="5"/>
      <c r="M33" s="5">
        <f>K33*L33</f>
        <v>0</v>
      </c>
    </row>
    <row r="34" spans="3:13" x14ac:dyDescent="0.3">
      <c r="C34" s="5" t="s">
        <v>99</v>
      </c>
      <c r="D34" s="5"/>
      <c r="E34" s="5">
        <f>F34*10.764</f>
        <v>0</v>
      </c>
      <c r="F34" s="5">
        <f>SUM(F6:F33)</f>
        <v>0</v>
      </c>
      <c r="G34" s="5"/>
      <c r="H34" s="5"/>
      <c r="I34" s="5">
        <f>J34*10.764</f>
        <v>0</v>
      </c>
      <c r="J34" s="5">
        <f>SUM(J6:J33)</f>
        <v>0</v>
      </c>
      <c r="K34" s="5"/>
      <c r="L34" s="5">
        <f>M34*10.764</f>
        <v>0</v>
      </c>
      <c r="M34" s="5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M35"/>
  <sheetViews>
    <sheetView workbookViewId="0">
      <selection activeCell="G7" sqref="G7:G8"/>
    </sheetView>
  </sheetViews>
  <sheetFormatPr defaultRowHeight="14.4" x14ac:dyDescent="0.3"/>
  <sheetData>
    <row r="3" spans="2:13" x14ac:dyDescent="0.3">
      <c r="C3" s="8" t="s">
        <v>100</v>
      </c>
      <c r="D3" s="251"/>
      <c r="E3" s="251"/>
    </row>
    <row r="4" spans="2:13" x14ac:dyDescent="0.3">
      <c r="E4" s="7"/>
      <c r="F4" s="7"/>
      <c r="G4" s="7"/>
      <c r="H4" s="7"/>
      <c r="I4" s="7"/>
      <c r="J4" s="7"/>
    </row>
    <row r="5" spans="2:13" x14ac:dyDescent="0.3">
      <c r="B5" s="8" t="s">
        <v>101</v>
      </c>
      <c r="C5" s="6" t="s">
        <v>81</v>
      </c>
      <c r="D5" s="252" t="s">
        <v>82</v>
      </c>
      <c r="E5" s="252"/>
      <c r="F5" s="252"/>
      <c r="G5" s="9"/>
      <c r="H5" s="252" t="s">
        <v>83</v>
      </c>
      <c r="I5" s="252"/>
      <c r="J5" s="252"/>
      <c r="K5" s="252" t="s">
        <v>84</v>
      </c>
      <c r="L5" s="252"/>
      <c r="M5" s="252"/>
    </row>
    <row r="6" spans="2:13" x14ac:dyDescent="0.3">
      <c r="B6" s="8">
        <v>1</v>
      </c>
      <c r="C6" s="6"/>
      <c r="D6" s="6" t="s">
        <v>85</v>
      </c>
      <c r="E6" s="6" t="s">
        <v>86</v>
      </c>
      <c r="F6" s="6" t="s">
        <v>87</v>
      </c>
      <c r="G6" s="6"/>
      <c r="H6" s="6" t="s">
        <v>85</v>
      </c>
      <c r="I6" s="6" t="s">
        <v>86</v>
      </c>
      <c r="J6" s="6" t="s">
        <v>87</v>
      </c>
      <c r="K6" s="6" t="s">
        <v>85</v>
      </c>
      <c r="L6" s="6" t="s">
        <v>86</v>
      </c>
      <c r="M6" s="6" t="s">
        <v>87</v>
      </c>
    </row>
    <row r="7" spans="2:13" x14ac:dyDescent="0.3">
      <c r="C7" s="5" t="s">
        <v>88</v>
      </c>
      <c r="D7" s="5"/>
      <c r="E7" s="5"/>
      <c r="F7" s="5">
        <f>D7*E7</f>
        <v>0</v>
      </c>
      <c r="G7" s="5" t="s">
        <v>103</v>
      </c>
      <c r="H7" s="5"/>
      <c r="I7" s="5"/>
      <c r="J7" s="5">
        <f>H7*I7</f>
        <v>0</v>
      </c>
      <c r="K7" s="5"/>
      <c r="L7" s="5"/>
      <c r="M7" s="5">
        <f>K7*L7</f>
        <v>0</v>
      </c>
    </row>
    <row r="8" spans="2:13" x14ac:dyDescent="0.3">
      <c r="C8" s="5"/>
      <c r="D8" s="5"/>
      <c r="E8" s="5"/>
      <c r="F8" s="5">
        <f t="shared" ref="F8:F34" si="0">D8*E8</f>
        <v>0</v>
      </c>
      <c r="G8" s="5" t="s">
        <v>104</v>
      </c>
      <c r="H8" s="5"/>
      <c r="I8" s="5"/>
      <c r="J8" s="5">
        <f t="shared" ref="J8:J34" si="1">H8*I8</f>
        <v>0</v>
      </c>
      <c r="K8" s="5"/>
      <c r="L8" s="5"/>
      <c r="M8" s="5">
        <f t="shared" ref="M8:M34" si="2">K8*L8</f>
        <v>0</v>
      </c>
    </row>
    <row r="9" spans="2:13" x14ac:dyDescent="0.3">
      <c r="C9" s="5"/>
      <c r="D9" s="5"/>
      <c r="E9" s="5"/>
      <c r="F9" s="5">
        <f t="shared" si="0"/>
        <v>0</v>
      </c>
      <c r="G9" s="5"/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x14ac:dyDescent="0.3">
      <c r="C10" s="5" t="s">
        <v>91</v>
      </c>
      <c r="D10" s="5"/>
      <c r="E10" s="5"/>
      <c r="F10" s="5">
        <f t="shared" si="0"/>
        <v>0</v>
      </c>
      <c r="G10" s="5" t="s">
        <v>103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x14ac:dyDescent="0.3">
      <c r="C11" s="5"/>
      <c r="D11" s="5"/>
      <c r="E11" s="5"/>
      <c r="F11" s="5">
        <f t="shared" si="0"/>
        <v>0</v>
      </c>
      <c r="G11" s="5" t="s">
        <v>104</v>
      </c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x14ac:dyDescent="0.3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x14ac:dyDescent="0.3">
      <c r="C13" s="5"/>
      <c r="D13" s="5"/>
      <c r="E13" s="5"/>
      <c r="F13" s="5">
        <f t="shared" si="0"/>
        <v>0</v>
      </c>
      <c r="G13" s="5"/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x14ac:dyDescent="0.3">
      <c r="C14" s="5" t="s">
        <v>89</v>
      </c>
      <c r="D14" s="5"/>
      <c r="E14" s="5"/>
      <c r="F14" s="5">
        <f t="shared" si="0"/>
        <v>0</v>
      </c>
      <c r="G14" s="5" t="s">
        <v>103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x14ac:dyDescent="0.3">
      <c r="C15" s="5"/>
      <c r="D15" s="5"/>
      <c r="E15" s="5"/>
      <c r="F15" s="5">
        <f t="shared" si="0"/>
        <v>0</v>
      </c>
      <c r="G15" s="5" t="s">
        <v>104</v>
      </c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x14ac:dyDescent="0.3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x14ac:dyDescent="0.3">
      <c r="C17" s="5"/>
      <c r="D17" s="5"/>
      <c r="E17" s="5"/>
      <c r="F17" s="5">
        <f t="shared" si="0"/>
        <v>0</v>
      </c>
      <c r="G17" s="5"/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x14ac:dyDescent="0.3">
      <c r="C18" s="5" t="s">
        <v>90</v>
      </c>
      <c r="D18" s="5"/>
      <c r="E18" s="5"/>
      <c r="F18" s="5">
        <f t="shared" si="0"/>
        <v>0</v>
      </c>
      <c r="G18" s="5" t="s">
        <v>103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x14ac:dyDescent="0.3">
      <c r="C19" s="5"/>
      <c r="D19" s="5"/>
      <c r="E19" s="5"/>
      <c r="F19" s="5">
        <f t="shared" si="0"/>
        <v>0</v>
      </c>
      <c r="G19" s="5" t="s">
        <v>104</v>
      </c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3">
      <c r="C20" s="5"/>
      <c r="D20" s="5"/>
      <c r="E20" s="5"/>
      <c r="F20" s="5">
        <f t="shared" si="0"/>
        <v>0</v>
      </c>
      <c r="G20" s="5"/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3">
      <c r="C21" s="5" t="s">
        <v>90</v>
      </c>
      <c r="D21" s="5"/>
      <c r="E21" s="5"/>
      <c r="F21" s="5">
        <f t="shared" si="0"/>
        <v>0</v>
      </c>
      <c r="G21" s="5" t="s">
        <v>103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3">
      <c r="C22" s="5"/>
      <c r="D22" s="5"/>
      <c r="E22" s="5"/>
      <c r="F22" s="5">
        <f t="shared" si="0"/>
        <v>0</v>
      </c>
      <c r="G22" s="5" t="s">
        <v>104</v>
      </c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3">
      <c r="C23" s="5"/>
      <c r="D23" s="5"/>
      <c r="E23" s="5"/>
      <c r="F23" s="5">
        <f t="shared" si="0"/>
        <v>0</v>
      </c>
      <c r="G23" s="5"/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3">
      <c r="C24" s="5" t="s">
        <v>96</v>
      </c>
      <c r="D24" s="5"/>
      <c r="E24" s="5"/>
      <c r="F24" s="5">
        <f t="shared" si="0"/>
        <v>0</v>
      </c>
      <c r="G24" s="5" t="s">
        <v>105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3">
      <c r="C25" s="5" t="s">
        <v>97</v>
      </c>
      <c r="D25" s="5"/>
      <c r="E25" s="5"/>
      <c r="F25" s="5">
        <f t="shared" si="0"/>
        <v>0</v>
      </c>
      <c r="G25" s="5" t="s">
        <v>105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3">
      <c r="C26" s="5" t="s">
        <v>98</v>
      </c>
      <c r="D26" s="5"/>
      <c r="E26" s="5"/>
      <c r="F26" s="5">
        <f t="shared" si="0"/>
        <v>0</v>
      </c>
      <c r="G26" s="5" t="s">
        <v>105</v>
      </c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3">
      <c r="C27" s="5"/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3">
      <c r="C28" s="5" t="s">
        <v>92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3">
      <c r="C29" s="5" t="s">
        <v>93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3">
      <c r="C30" s="5" t="s">
        <v>94</v>
      </c>
      <c r="D30" s="5"/>
      <c r="E30" s="5"/>
      <c r="F30" s="5">
        <f t="shared" si="0"/>
        <v>0</v>
      </c>
      <c r="G30" s="5"/>
      <c r="H30" s="5"/>
      <c r="I30" s="5"/>
      <c r="J30" s="5">
        <f t="shared" si="1"/>
        <v>0</v>
      </c>
      <c r="K30" s="5"/>
      <c r="L30" s="5"/>
      <c r="M30" s="5">
        <f t="shared" si="2"/>
        <v>0</v>
      </c>
    </row>
    <row r="31" spans="3:13" x14ac:dyDescent="0.3">
      <c r="C31" s="5" t="s">
        <v>95</v>
      </c>
      <c r="D31" s="5"/>
      <c r="E31" s="5"/>
      <c r="F31" s="5">
        <f t="shared" si="0"/>
        <v>0</v>
      </c>
      <c r="G31" s="5"/>
      <c r="H31" s="5"/>
      <c r="I31" s="5"/>
      <c r="J31" s="5">
        <f t="shared" si="1"/>
        <v>0</v>
      </c>
      <c r="K31" s="5"/>
      <c r="L31" s="5"/>
      <c r="M31" s="5">
        <f t="shared" si="2"/>
        <v>0</v>
      </c>
    </row>
    <row r="32" spans="3:13" x14ac:dyDescent="0.3">
      <c r="C32" s="5"/>
      <c r="D32" s="5"/>
      <c r="E32" s="5"/>
      <c r="F32" s="5">
        <f t="shared" si="0"/>
        <v>0</v>
      </c>
      <c r="G32" s="5"/>
      <c r="H32" s="5"/>
      <c r="I32" s="5"/>
      <c r="J32" s="5">
        <f t="shared" si="1"/>
        <v>0</v>
      </c>
      <c r="K32" s="5"/>
      <c r="L32" s="5"/>
      <c r="M32" s="5">
        <f t="shared" si="2"/>
        <v>0</v>
      </c>
    </row>
    <row r="33" spans="3:13" x14ac:dyDescent="0.3">
      <c r="C33" s="5"/>
      <c r="D33" s="5"/>
      <c r="E33" s="5"/>
      <c r="F33" s="5">
        <f t="shared" si="0"/>
        <v>0</v>
      </c>
      <c r="G33" s="5"/>
      <c r="H33" s="5"/>
      <c r="I33" s="5"/>
      <c r="J33" s="5">
        <f t="shared" si="1"/>
        <v>0</v>
      </c>
      <c r="K33" s="5"/>
      <c r="L33" s="5"/>
      <c r="M33" s="5">
        <f t="shared" si="2"/>
        <v>0</v>
      </c>
    </row>
    <row r="34" spans="3:13" x14ac:dyDescent="0.3">
      <c r="C34" s="5"/>
      <c r="D34" s="5"/>
      <c r="E34" s="5"/>
      <c r="F34" s="5">
        <f t="shared" si="0"/>
        <v>0</v>
      </c>
      <c r="G34" s="5"/>
      <c r="H34" s="5"/>
      <c r="I34" s="5"/>
      <c r="J34" s="5">
        <f t="shared" si="1"/>
        <v>0</v>
      </c>
      <c r="K34" s="5"/>
      <c r="L34" s="5"/>
      <c r="M34" s="5">
        <f t="shared" si="2"/>
        <v>0</v>
      </c>
    </row>
    <row r="35" spans="3:13" x14ac:dyDescent="0.3">
      <c r="C35" s="5" t="s">
        <v>99</v>
      </c>
      <c r="D35" s="5"/>
      <c r="E35" s="5">
        <f>F35*10.764</f>
        <v>0</v>
      </c>
      <c r="F35" s="5">
        <f>SUM(F7:F34)</f>
        <v>0</v>
      </c>
      <c r="G35" s="5"/>
      <c r="H35" s="5"/>
      <c r="I35" s="5">
        <f>J35*10.764</f>
        <v>0</v>
      </c>
      <c r="J35" s="5">
        <f>SUM(J7:J34)</f>
        <v>0</v>
      </c>
      <c r="K35" s="5"/>
      <c r="L35" s="5">
        <f>M35*10.764</f>
        <v>0</v>
      </c>
      <c r="M35" s="5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3:N35"/>
  <sheetViews>
    <sheetView workbookViewId="0">
      <selection activeCell="H7" sqref="H7:H8"/>
    </sheetView>
  </sheetViews>
  <sheetFormatPr defaultRowHeight="14.4" x14ac:dyDescent="0.3"/>
  <sheetData>
    <row r="3" spans="3:14" x14ac:dyDescent="0.3">
      <c r="D3" s="8" t="s">
        <v>100</v>
      </c>
      <c r="E3" s="251"/>
      <c r="F3" s="251"/>
    </row>
    <row r="4" spans="3:14" x14ac:dyDescent="0.3">
      <c r="F4" s="7"/>
      <c r="G4" s="7"/>
      <c r="H4" s="7"/>
      <c r="I4" s="7"/>
      <c r="J4" s="7"/>
      <c r="K4" s="7"/>
    </row>
    <row r="5" spans="3:14" x14ac:dyDescent="0.3">
      <c r="C5" s="8" t="s">
        <v>101</v>
      </c>
      <c r="D5" s="6" t="s">
        <v>81</v>
      </c>
      <c r="E5" s="252" t="s">
        <v>82</v>
      </c>
      <c r="F5" s="252"/>
      <c r="G5" s="252"/>
      <c r="H5" s="9"/>
      <c r="I5" s="252" t="s">
        <v>83</v>
      </c>
      <c r="J5" s="252"/>
      <c r="K5" s="252"/>
      <c r="L5" s="252" t="s">
        <v>84</v>
      </c>
      <c r="M5" s="252"/>
      <c r="N5" s="252"/>
    </row>
    <row r="6" spans="3:14" x14ac:dyDescent="0.3">
      <c r="C6" s="8">
        <v>1</v>
      </c>
      <c r="D6" s="6"/>
      <c r="E6" s="6" t="s">
        <v>85</v>
      </c>
      <c r="F6" s="6" t="s">
        <v>86</v>
      </c>
      <c r="G6" s="6" t="s">
        <v>87</v>
      </c>
      <c r="H6" s="6"/>
      <c r="I6" s="6" t="s">
        <v>85</v>
      </c>
      <c r="J6" s="6" t="s">
        <v>86</v>
      </c>
      <c r="K6" s="6" t="s">
        <v>87</v>
      </c>
      <c r="L6" s="6" t="s">
        <v>85</v>
      </c>
      <c r="M6" s="6" t="s">
        <v>86</v>
      </c>
      <c r="N6" s="6" t="s">
        <v>87</v>
      </c>
    </row>
    <row r="7" spans="3:14" x14ac:dyDescent="0.3">
      <c r="D7" s="5" t="s">
        <v>88</v>
      </c>
      <c r="E7" s="5"/>
      <c r="F7" s="5"/>
      <c r="G7" s="5">
        <f>E7*F7</f>
        <v>0</v>
      </c>
      <c r="H7" s="5" t="s">
        <v>103</v>
      </c>
      <c r="I7" s="5"/>
      <c r="J7" s="5"/>
      <c r="K7" s="5">
        <f>I7*J7</f>
        <v>0</v>
      </c>
      <c r="L7" s="5"/>
      <c r="M7" s="5"/>
      <c r="N7" s="5">
        <f>L7*M7</f>
        <v>0</v>
      </c>
    </row>
    <row r="8" spans="3:14" x14ac:dyDescent="0.3">
      <c r="D8" s="5"/>
      <c r="E8" s="5"/>
      <c r="F8" s="5"/>
      <c r="G8" s="5">
        <f t="shared" ref="G8:G34" si="0">E8*F8</f>
        <v>0</v>
      </c>
      <c r="H8" s="5" t="s">
        <v>104</v>
      </c>
      <c r="I8" s="5"/>
      <c r="J8" s="5"/>
      <c r="K8" s="5">
        <f t="shared" ref="K8:K34" si="1">I8*J8</f>
        <v>0</v>
      </c>
      <c r="L8" s="5"/>
      <c r="M8" s="5"/>
      <c r="N8" s="5">
        <f t="shared" ref="N8:N34" si="2">L8*M8</f>
        <v>0</v>
      </c>
    </row>
    <row r="9" spans="3:14" x14ac:dyDescent="0.3">
      <c r="D9" s="5"/>
      <c r="E9" s="5"/>
      <c r="F9" s="5"/>
      <c r="G9" s="5">
        <f t="shared" si="0"/>
        <v>0</v>
      </c>
      <c r="H9" s="5"/>
      <c r="I9" s="5"/>
      <c r="J9" s="5"/>
      <c r="K9" s="5">
        <f t="shared" si="1"/>
        <v>0</v>
      </c>
      <c r="L9" s="5"/>
      <c r="M9" s="5"/>
      <c r="N9" s="5">
        <f t="shared" si="2"/>
        <v>0</v>
      </c>
    </row>
    <row r="10" spans="3:14" x14ac:dyDescent="0.3">
      <c r="D10" s="5" t="s">
        <v>91</v>
      </c>
      <c r="E10" s="5"/>
      <c r="F10" s="5"/>
      <c r="G10" s="5">
        <f t="shared" si="0"/>
        <v>0</v>
      </c>
      <c r="H10" s="5" t="s">
        <v>103</v>
      </c>
      <c r="I10" s="5"/>
      <c r="J10" s="5"/>
      <c r="K10" s="5">
        <f t="shared" si="1"/>
        <v>0</v>
      </c>
      <c r="L10" s="5"/>
      <c r="M10" s="5"/>
      <c r="N10" s="5">
        <f t="shared" si="2"/>
        <v>0</v>
      </c>
    </row>
    <row r="11" spans="3:14" x14ac:dyDescent="0.3">
      <c r="D11" s="5"/>
      <c r="E11" s="5"/>
      <c r="F11" s="5"/>
      <c r="G11" s="5">
        <f t="shared" si="0"/>
        <v>0</v>
      </c>
      <c r="H11" s="5" t="s">
        <v>104</v>
      </c>
      <c r="I11" s="5"/>
      <c r="J11" s="5"/>
      <c r="K11" s="5">
        <f t="shared" si="1"/>
        <v>0</v>
      </c>
      <c r="L11" s="5"/>
      <c r="M11" s="5"/>
      <c r="N11" s="5">
        <f t="shared" si="2"/>
        <v>0</v>
      </c>
    </row>
    <row r="12" spans="3:14" x14ac:dyDescent="0.3">
      <c r="D12" s="5"/>
      <c r="E12" s="5"/>
      <c r="F12" s="5"/>
      <c r="G12" s="5">
        <f t="shared" si="0"/>
        <v>0</v>
      </c>
      <c r="H12" s="5"/>
      <c r="I12" s="5"/>
      <c r="J12" s="5"/>
      <c r="K12" s="5">
        <f t="shared" si="1"/>
        <v>0</v>
      </c>
      <c r="L12" s="5"/>
      <c r="M12" s="5"/>
      <c r="N12" s="5">
        <f t="shared" si="2"/>
        <v>0</v>
      </c>
    </row>
    <row r="13" spans="3:14" x14ac:dyDescent="0.3">
      <c r="D13" s="5"/>
      <c r="E13" s="5"/>
      <c r="F13" s="5"/>
      <c r="G13" s="5">
        <f t="shared" si="0"/>
        <v>0</v>
      </c>
      <c r="H13" s="5"/>
      <c r="I13" s="5"/>
      <c r="J13" s="5"/>
      <c r="K13" s="5">
        <f t="shared" si="1"/>
        <v>0</v>
      </c>
      <c r="L13" s="5"/>
      <c r="M13" s="5"/>
      <c r="N13" s="5">
        <f t="shared" si="2"/>
        <v>0</v>
      </c>
    </row>
    <row r="14" spans="3:14" x14ac:dyDescent="0.3">
      <c r="D14" s="5" t="s">
        <v>89</v>
      </c>
      <c r="E14" s="5"/>
      <c r="F14" s="5"/>
      <c r="G14" s="5">
        <f t="shared" si="0"/>
        <v>0</v>
      </c>
      <c r="H14" s="5" t="s">
        <v>103</v>
      </c>
      <c r="I14" s="5"/>
      <c r="J14" s="5"/>
      <c r="K14" s="5">
        <f t="shared" si="1"/>
        <v>0</v>
      </c>
      <c r="L14" s="5"/>
      <c r="M14" s="5"/>
      <c r="N14" s="5">
        <f t="shared" si="2"/>
        <v>0</v>
      </c>
    </row>
    <row r="15" spans="3:14" x14ac:dyDescent="0.3">
      <c r="D15" s="5"/>
      <c r="E15" s="5"/>
      <c r="F15" s="5"/>
      <c r="G15" s="5">
        <f t="shared" si="0"/>
        <v>0</v>
      </c>
      <c r="H15" s="5" t="s">
        <v>104</v>
      </c>
      <c r="I15" s="5"/>
      <c r="J15" s="5"/>
      <c r="K15" s="5">
        <f t="shared" si="1"/>
        <v>0</v>
      </c>
      <c r="L15" s="5"/>
      <c r="M15" s="5"/>
      <c r="N15" s="5">
        <f t="shared" si="2"/>
        <v>0</v>
      </c>
    </row>
    <row r="16" spans="3:14" x14ac:dyDescent="0.3">
      <c r="D16" s="5"/>
      <c r="E16" s="5"/>
      <c r="F16" s="5"/>
      <c r="G16" s="5">
        <f t="shared" si="0"/>
        <v>0</v>
      </c>
      <c r="H16" s="5"/>
      <c r="I16" s="5"/>
      <c r="J16" s="5"/>
      <c r="K16" s="5">
        <f t="shared" si="1"/>
        <v>0</v>
      </c>
      <c r="L16" s="5"/>
      <c r="M16" s="5"/>
      <c r="N16" s="5">
        <f t="shared" si="2"/>
        <v>0</v>
      </c>
    </row>
    <row r="17" spans="4:14" x14ac:dyDescent="0.3">
      <c r="D17" s="5"/>
      <c r="E17" s="5"/>
      <c r="F17" s="5"/>
      <c r="G17" s="5">
        <f t="shared" si="0"/>
        <v>0</v>
      </c>
      <c r="H17" s="5"/>
      <c r="I17" s="5"/>
      <c r="J17" s="5"/>
      <c r="K17" s="5">
        <f t="shared" si="1"/>
        <v>0</v>
      </c>
      <c r="L17" s="5"/>
      <c r="M17" s="5"/>
      <c r="N17" s="5">
        <f t="shared" si="2"/>
        <v>0</v>
      </c>
    </row>
    <row r="18" spans="4:14" x14ac:dyDescent="0.3">
      <c r="D18" s="5" t="s">
        <v>90</v>
      </c>
      <c r="E18" s="5"/>
      <c r="F18" s="5"/>
      <c r="G18" s="5">
        <f t="shared" si="0"/>
        <v>0</v>
      </c>
      <c r="H18" s="5" t="s">
        <v>103</v>
      </c>
      <c r="I18" s="5"/>
      <c r="J18" s="5"/>
      <c r="K18" s="5">
        <f t="shared" si="1"/>
        <v>0</v>
      </c>
      <c r="L18" s="5"/>
      <c r="M18" s="5"/>
      <c r="N18" s="5">
        <f t="shared" si="2"/>
        <v>0</v>
      </c>
    </row>
    <row r="19" spans="4:14" x14ac:dyDescent="0.3">
      <c r="D19" s="5"/>
      <c r="E19" s="5"/>
      <c r="F19" s="5"/>
      <c r="G19" s="5">
        <f t="shared" si="0"/>
        <v>0</v>
      </c>
      <c r="H19" s="5" t="s">
        <v>104</v>
      </c>
      <c r="I19" s="5"/>
      <c r="J19" s="5"/>
      <c r="K19" s="5">
        <f t="shared" si="1"/>
        <v>0</v>
      </c>
      <c r="L19" s="5"/>
      <c r="M19" s="5"/>
      <c r="N19" s="5">
        <f t="shared" si="2"/>
        <v>0</v>
      </c>
    </row>
    <row r="20" spans="4:14" x14ac:dyDescent="0.3">
      <c r="D20" s="5"/>
      <c r="E20" s="5"/>
      <c r="F20" s="5"/>
      <c r="G20" s="5">
        <f t="shared" si="0"/>
        <v>0</v>
      </c>
      <c r="H20" s="5"/>
      <c r="I20" s="5"/>
      <c r="J20" s="5"/>
      <c r="K20" s="5">
        <f t="shared" si="1"/>
        <v>0</v>
      </c>
      <c r="L20" s="5"/>
      <c r="M20" s="5"/>
      <c r="N20" s="5">
        <f t="shared" si="2"/>
        <v>0</v>
      </c>
    </row>
    <row r="21" spans="4:14" x14ac:dyDescent="0.3">
      <c r="D21" s="5" t="s">
        <v>90</v>
      </c>
      <c r="E21" s="5"/>
      <c r="F21" s="5"/>
      <c r="G21" s="5">
        <f t="shared" si="0"/>
        <v>0</v>
      </c>
      <c r="H21" s="5" t="s">
        <v>103</v>
      </c>
      <c r="I21" s="5"/>
      <c r="J21" s="5"/>
      <c r="K21" s="5">
        <f t="shared" si="1"/>
        <v>0</v>
      </c>
      <c r="L21" s="5"/>
      <c r="M21" s="5"/>
      <c r="N21" s="5">
        <f t="shared" si="2"/>
        <v>0</v>
      </c>
    </row>
    <row r="22" spans="4:14" x14ac:dyDescent="0.3">
      <c r="D22" s="5"/>
      <c r="E22" s="5"/>
      <c r="F22" s="5"/>
      <c r="G22" s="5">
        <f t="shared" si="0"/>
        <v>0</v>
      </c>
      <c r="H22" s="5" t="s">
        <v>104</v>
      </c>
      <c r="I22" s="5"/>
      <c r="J22" s="5"/>
      <c r="K22" s="5">
        <f t="shared" si="1"/>
        <v>0</v>
      </c>
      <c r="L22" s="5"/>
      <c r="M22" s="5"/>
      <c r="N22" s="5">
        <f t="shared" si="2"/>
        <v>0</v>
      </c>
    </row>
    <row r="23" spans="4:14" x14ac:dyDescent="0.3">
      <c r="D23" s="5"/>
      <c r="E23" s="5"/>
      <c r="F23" s="5"/>
      <c r="G23" s="5">
        <f t="shared" si="0"/>
        <v>0</v>
      </c>
      <c r="H23" s="5"/>
      <c r="I23" s="5"/>
      <c r="J23" s="5"/>
      <c r="K23" s="5">
        <f t="shared" si="1"/>
        <v>0</v>
      </c>
      <c r="L23" s="5"/>
      <c r="M23" s="5"/>
      <c r="N23" s="5">
        <f t="shared" si="2"/>
        <v>0</v>
      </c>
    </row>
    <row r="24" spans="4:14" x14ac:dyDescent="0.3">
      <c r="D24" s="5" t="s">
        <v>96</v>
      </c>
      <c r="E24" s="5"/>
      <c r="F24" s="5"/>
      <c r="G24" s="5">
        <f t="shared" si="0"/>
        <v>0</v>
      </c>
      <c r="H24" s="5" t="s">
        <v>105</v>
      </c>
      <c r="I24" s="5"/>
      <c r="J24" s="5"/>
      <c r="K24" s="5">
        <f t="shared" si="1"/>
        <v>0</v>
      </c>
      <c r="L24" s="5"/>
      <c r="M24" s="5"/>
      <c r="N24" s="5">
        <f t="shared" si="2"/>
        <v>0</v>
      </c>
    </row>
    <row r="25" spans="4:14" x14ac:dyDescent="0.3">
      <c r="D25" s="5" t="s">
        <v>97</v>
      </c>
      <c r="E25" s="5"/>
      <c r="F25" s="5"/>
      <c r="G25" s="5">
        <f t="shared" si="0"/>
        <v>0</v>
      </c>
      <c r="H25" s="5" t="s">
        <v>105</v>
      </c>
      <c r="I25" s="5"/>
      <c r="J25" s="5"/>
      <c r="K25" s="5">
        <f t="shared" si="1"/>
        <v>0</v>
      </c>
      <c r="L25" s="5"/>
      <c r="M25" s="5"/>
      <c r="N25" s="5">
        <f t="shared" si="2"/>
        <v>0</v>
      </c>
    </row>
    <row r="26" spans="4:14" x14ac:dyDescent="0.3">
      <c r="D26" s="5" t="s">
        <v>98</v>
      </c>
      <c r="E26" s="5"/>
      <c r="F26" s="5"/>
      <c r="G26" s="5">
        <f t="shared" si="0"/>
        <v>0</v>
      </c>
      <c r="H26" s="5" t="s">
        <v>105</v>
      </c>
      <c r="I26" s="5"/>
      <c r="J26" s="5"/>
      <c r="K26" s="5">
        <f t="shared" si="1"/>
        <v>0</v>
      </c>
      <c r="L26" s="5"/>
      <c r="M26" s="5"/>
      <c r="N26" s="5">
        <f t="shared" si="2"/>
        <v>0</v>
      </c>
    </row>
    <row r="27" spans="4:14" x14ac:dyDescent="0.3">
      <c r="D27" s="5"/>
      <c r="E27" s="5"/>
      <c r="F27" s="5"/>
      <c r="G27" s="5">
        <f t="shared" si="0"/>
        <v>0</v>
      </c>
      <c r="H27" s="5"/>
      <c r="I27" s="5"/>
      <c r="J27" s="5"/>
      <c r="K27" s="5">
        <f t="shared" si="1"/>
        <v>0</v>
      </c>
      <c r="L27" s="5"/>
      <c r="M27" s="5"/>
      <c r="N27" s="5">
        <f t="shared" si="2"/>
        <v>0</v>
      </c>
    </row>
    <row r="28" spans="4:14" x14ac:dyDescent="0.3">
      <c r="D28" s="5" t="s">
        <v>92</v>
      </c>
      <c r="E28" s="5"/>
      <c r="F28" s="5"/>
      <c r="G28" s="5">
        <f t="shared" si="0"/>
        <v>0</v>
      </c>
      <c r="H28" s="5"/>
      <c r="I28" s="5"/>
      <c r="J28" s="5"/>
      <c r="K28" s="5">
        <f t="shared" si="1"/>
        <v>0</v>
      </c>
      <c r="L28" s="5"/>
      <c r="M28" s="5"/>
      <c r="N28" s="5">
        <f t="shared" si="2"/>
        <v>0</v>
      </c>
    </row>
    <row r="29" spans="4:14" x14ac:dyDescent="0.3">
      <c r="D29" s="5" t="s">
        <v>93</v>
      </c>
      <c r="E29" s="5"/>
      <c r="F29" s="5"/>
      <c r="G29" s="5">
        <f t="shared" si="0"/>
        <v>0</v>
      </c>
      <c r="H29" s="5"/>
      <c r="I29" s="5"/>
      <c r="J29" s="5"/>
      <c r="K29" s="5">
        <f t="shared" si="1"/>
        <v>0</v>
      </c>
      <c r="L29" s="5"/>
      <c r="M29" s="5"/>
      <c r="N29" s="5">
        <f t="shared" si="2"/>
        <v>0</v>
      </c>
    </row>
    <row r="30" spans="4:14" x14ac:dyDescent="0.3">
      <c r="D30" s="5" t="s">
        <v>94</v>
      </c>
      <c r="E30" s="5"/>
      <c r="F30" s="5"/>
      <c r="G30" s="5">
        <f t="shared" si="0"/>
        <v>0</v>
      </c>
      <c r="H30" s="5"/>
      <c r="I30" s="5"/>
      <c r="J30" s="5"/>
      <c r="K30" s="5">
        <f t="shared" si="1"/>
        <v>0</v>
      </c>
      <c r="L30" s="5"/>
      <c r="M30" s="5"/>
      <c r="N30" s="5">
        <f t="shared" si="2"/>
        <v>0</v>
      </c>
    </row>
    <row r="31" spans="4:14" x14ac:dyDescent="0.3">
      <c r="D31" s="5" t="s">
        <v>95</v>
      </c>
      <c r="E31" s="5"/>
      <c r="F31" s="5"/>
      <c r="G31" s="5">
        <f t="shared" si="0"/>
        <v>0</v>
      </c>
      <c r="H31" s="5"/>
      <c r="I31" s="5"/>
      <c r="J31" s="5"/>
      <c r="K31" s="5">
        <f t="shared" si="1"/>
        <v>0</v>
      </c>
      <c r="L31" s="5"/>
      <c r="M31" s="5"/>
      <c r="N31" s="5">
        <f t="shared" si="2"/>
        <v>0</v>
      </c>
    </row>
    <row r="32" spans="4:14" x14ac:dyDescent="0.3">
      <c r="D32" s="5"/>
      <c r="E32" s="5"/>
      <c r="F32" s="5"/>
      <c r="G32" s="5">
        <f t="shared" si="0"/>
        <v>0</v>
      </c>
      <c r="H32" s="5"/>
      <c r="I32" s="5"/>
      <c r="J32" s="5"/>
      <c r="K32" s="5">
        <f t="shared" si="1"/>
        <v>0</v>
      </c>
      <c r="L32" s="5"/>
      <c r="M32" s="5"/>
      <c r="N32" s="5">
        <f t="shared" si="2"/>
        <v>0</v>
      </c>
    </row>
    <row r="33" spans="4:14" x14ac:dyDescent="0.3">
      <c r="D33" s="5"/>
      <c r="E33" s="5"/>
      <c r="F33" s="5"/>
      <c r="G33" s="5">
        <f t="shared" si="0"/>
        <v>0</v>
      </c>
      <c r="H33" s="5"/>
      <c r="I33" s="5"/>
      <c r="J33" s="5"/>
      <c r="K33" s="5">
        <f t="shared" si="1"/>
        <v>0</v>
      </c>
      <c r="L33" s="5"/>
      <c r="M33" s="5"/>
      <c r="N33" s="5">
        <f t="shared" si="2"/>
        <v>0</v>
      </c>
    </row>
    <row r="34" spans="4:14" x14ac:dyDescent="0.3">
      <c r="D34" s="5"/>
      <c r="E34" s="5"/>
      <c r="F34" s="5"/>
      <c r="G34" s="5">
        <f t="shared" si="0"/>
        <v>0</v>
      </c>
      <c r="H34" s="5"/>
      <c r="I34" s="5"/>
      <c r="J34" s="5"/>
      <c r="K34" s="5">
        <f t="shared" si="1"/>
        <v>0</v>
      </c>
      <c r="L34" s="5"/>
      <c r="M34" s="5"/>
      <c r="N34" s="5">
        <f t="shared" si="2"/>
        <v>0</v>
      </c>
    </row>
    <row r="35" spans="4:14" x14ac:dyDescent="0.3">
      <c r="D35" s="5" t="s">
        <v>99</v>
      </c>
      <c r="E35" s="5"/>
      <c r="F35" s="5">
        <f>G35*10.764</f>
        <v>0</v>
      </c>
      <c r="G35" s="5">
        <f>SUM(G7:G34)</f>
        <v>0</v>
      </c>
      <c r="H35" s="5"/>
      <c r="I35" s="5"/>
      <c r="J35" s="5">
        <f>K35*10.764</f>
        <v>0</v>
      </c>
      <c r="K35" s="5">
        <f>SUM(K7:K34)</f>
        <v>0</v>
      </c>
      <c r="L35" s="5"/>
      <c r="M35" s="5">
        <f>N35*10.764</f>
        <v>0</v>
      </c>
      <c r="N35" s="5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25" workbookViewId="0">
      <selection activeCell="G40" sqref="G40"/>
    </sheetView>
  </sheetViews>
  <sheetFormatPr defaultColWidth="8.6640625" defaultRowHeight="14.4" x14ac:dyDescent="0.3"/>
  <cols>
    <col min="1" max="1" width="8.6640625" style="15"/>
    <col min="2" max="2" width="22.109375" style="15" customWidth="1"/>
    <col min="3" max="3" width="37" style="15" customWidth="1"/>
    <col min="4" max="5" width="11.44140625" style="15" customWidth="1"/>
    <col min="6" max="6" width="14" style="15" customWidth="1"/>
    <col min="7" max="7" width="20" style="15" customWidth="1"/>
    <col min="8" max="8" width="16.44140625" style="15" customWidth="1"/>
    <col min="9" max="16384" width="8.6640625" style="15"/>
  </cols>
  <sheetData>
    <row r="1" spans="1:9" ht="15" customHeight="1" x14ac:dyDescent="0.3"/>
    <row r="2" spans="1:9" ht="15" customHeight="1" x14ac:dyDescent="0.3">
      <c r="A2" s="16"/>
      <c r="B2" s="16"/>
      <c r="C2" s="16"/>
      <c r="D2" s="16"/>
      <c r="E2" s="16"/>
      <c r="F2" s="16"/>
      <c r="G2" s="16"/>
      <c r="H2" s="16"/>
    </row>
    <row r="3" spans="1:9" ht="15.75" customHeight="1" x14ac:dyDescent="0.3">
      <c r="A3" s="16"/>
      <c r="B3" s="248" t="s">
        <v>217</v>
      </c>
      <c r="C3" s="248"/>
      <c r="D3" s="248"/>
      <c r="E3" s="248"/>
      <c r="F3" s="248"/>
      <c r="G3" s="248"/>
      <c r="H3" s="248"/>
    </row>
    <row r="4" spans="1:9" x14ac:dyDescent="0.3">
      <c r="A4" s="16"/>
      <c r="B4" s="17" t="s">
        <v>218</v>
      </c>
      <c r="C4" s="17" t="s">
        <v>219</v>
      </c>
      <c r="D4" s="17" t="s">
        <v>101</v>
      </c>
      <c r="E4" s="17" t="s">
        <v>220</v>
      </c>
      <c r="F4" s="17" t="s">
        <v>221</v>
      </c>
      <c r="G4" s="17" t="s">
        <v>222</v>
      </c>
      <c r="H4" s="17" t="s">
        <v>223</v>
      </c>
    </row>
    <row r="5" spans="1:9" ht="15" customHeight="1" x14ac:dyDescent="0.3">
      <c r="A5" s="16"/>
      <c r="B5" s="18" t="s">
        <v>224</v>
      </c>
      <c r="C5" s="19" t="s">
        <v>209</v>
      </c>
      <c r="D5" s="18" t="s">
        <v>164</v>
      </c>
      <c r="E5" s="18">
        <v>0</v>
      </c>
      <c r="F5" s="20">
        <v>565</v>
      </c>
      <c r="G5" s="20">
        <f>H5/F5</f>
        <v>2467.2566371681414</v>
      </c>
      <c r="H5" s="21">
        <v>1394000</v>
      </c>
    </row>
    <row r="6" spans="1:9" x14ac:dyDescent="0.3">
      <c r="A6" s="16"/>
      <c r="B6" s="18" t="s">
        <v>225</v>
      </c>
      <c r="C6" s="19" t="s">
        <v>209</v>
      </c>
      <c r="D6" s="18" t="s">
        <v>162</v>
      </c>
      <c r="E6" s="18">
        <v>0</v>
      </c>
      <c r="F6" s="20">
        <v>860</v>
      </c>
      <c r="G6" s="20">
        <f>H6/F6</f>
        <v>2556.9767441860463</v>
      </c>
      <c r="H6" s="21">
        <v>2199000</v>
      </c>
    </row>
    <row r="7" spans="1:9" ht="15" customHeight="1" x14ac:dyDescent="0.3">
      <c r="A7" s="16"/>
      <c r="B7" s="18" t="s">
        <v>226</v>
      </c>
      <c r="C7" s="19" t="s">
        <v>209</v>
      </c>
      <c r="D7" s="18" t="s">
        <v>164</v>
      </c>
      <c r="E7" s="18">
        <v>0</v>
      </c>
      <c r="F7" s="20">
        <v>565</v>
      </c>
      <c r="G7" s="20">
        <f>H7/F7</f>
        <v>2467.2566371681414</v>
      </c>
      <c r="H7" s="21">
        <v>1394000</v>
      </c>
    </row>
    <row r="8" spans="1:9" ht="15" customHeight="1" x14ac:dyDescent="0.3">
      <c r="A8" s="16"/>
      <c r="B8" s="18" t="s">
        <v>227</v>
      </c>
      <c r="C8" s="19" t="s">
        <v>209</v>
      </c>
      <c r="D8" s="18" t="s">
        <v>164</v>
      </c>
      <c r="E8" s="18">
        <v>0</v>
      </c>
      <c r="F8" s="20">
        <v>565</v>
      </c>
      <c r="G8" s="20">
        <f>H8/F8</f>
        <v>2477.8761061946902</v>
      </c>
      <c r="H8" s="21">
        <v>1400000</v>
      </c>
    </row>
    <row r="9" spans="1:9" ht="15" customHeight="1" x14ac:dyDescent="0.3">
      <c r="A9" s="16"/>
      <c r="B9" s="18" t="s">
        <v>227</v>
      </c>
      <c r="C9" s="19" t="s">
        <v>209</v>
      </c>
      <c r="D9" s="18" t="s">
        <v>162</v>
      </c>
      <c r="E9" s="18">
        <v>0</v>
      </c>
      <c r="F9" s="20">
        <v>860</v>
      </c>
      <c r="G9" s="20">
        <f>H9/F9</f>
        <v>2558.1395348837209</v>
      </c>
      <c r="H9" s="21">
        <v>2200000</v>
      </c>
    </row>
    <row r="10" spans="1:9" ht="15" customHeight="1" x14ac:dyDescent="0.3">
      <c r="A10" s="16"/>
      <c r="B10" s="22" t="s">
        <v>228</v>
      </c>
      <c r="C10" s="18"/>
      <c r="D10" s="18"/>
      <c r="E10" s="18"/>
      <c r="F10" s="18"/>
      <c r="G10" s="23">
        <f>AVERAGE(G5:G9)</f>
        <v>2505.5011319201485</v>
      </c>
      <c r="H10" s="18"/>
    </row>
    <row r="11" spans="1:9" ht="15" customHeight="1" x14ac:dyDescent="0.3">
      <c r="B11" s="22" t="s">
        <v>229</v>
      </c>
      <c r="C11" s="18"/>
      <c r="D11" s="18"/>
      <c r="E11" s="18"/>
      <c r="F11" s="24"/>
      <c r="G11" s="22">
        <v>2500</v>
      </c>
      <c r="H11" s="22"/>
      <c r="I11" s="25"/>
    </row>
    <row r="12" spans="1:9" ht="15" customHeight="1" x14ac:dyDescent="0.3"/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28"/>
  <sheetViews>
    <sheetView topLeftCell="A23" workbookViewId="0">
      <selection activeCell="G23" sqref="G23"/>
    </sheetView>
  </sheetViews>
  <sheetFormatPr defaultRowHeight="14.4" x14ac:dyDescent="0.3"/>
  <cols>
    <col min="2" max="2" width="11.6640625" customWidth="1"/>
  </cols>
  <sheetData>
    <row r="2" spans="1:15" x14ac:dyDescent="0.3">
      <c r="A2" t="s">
        <v>118</v>
      </c>
      <c r="B2" s="11" t="s">
        <v>138</v>
      </c>
      <c r="C2" s="11">
        <v>4</v>
      </c>
    </row>
    <row r="3" spans="1:15" x14ac:dyDescent="0.3">
      <c r="B3" t="s">
        <v>119</v>
      </c>
      <c r="C3" t="s">
        <v>120</v>
      </c>
    </row>
    <row r="4" spans="1:15" x14ac:dyDescent="0.3">
      <c r="A4" t="s">
        <v>121</v>
      </c>
      <c r="B4" s="5">
        <v>10</v>
      </c>
      <c r="C4" s="5">
        <v>2</v>
      </c>
      <c r="E4">
        <f>(100/B4)*C4</f>
        <v>20</v>
      </c>
    </row>
    <row r="5" spans="1:15" x14ac:dyDescent="0.3">
      <c r="A5" t="s">
        <v>122</v>
      </c>
      <c r="B5" t="s">
        <v>123</v>
      </c>
      <c r="C5" t="s">
        <v>124</v>
      </c>
      <c r="E5">
        <f>(100/B6)*C6</f>
        <v>0</v>
      </c>
      <c r="I5" s="5" t="s">
        <v>125</v>
      </c>
      <c r="J5" s="5" t="s">
        <v>126</v>
      </c>
      <c r="K5" s="5" t="s">
        <v>127</v>
      </c>
      <c r="L5" s="5" t="s">
        <v>37</v>
      </c>
      <c r="M5" s="5" t="s">
        <v>43</v>
      </c>
      <c r="N5" s="5" t="s">
        <v>128</v>
      </c>
      <c r="O5" s="5" t="s">
        <v>44</v>
      </c>
    </row>
    <row r="6" spans="1:15" x14ac:dyDescent="0.3">
      <c r="B6" s="5">
        <f>C2+1</f>
        <v>5</v>
      </c>
      <c r="C6" s="5">
        <v>0</v>
      </c>
      <c r="E6">
        <f>(100/B8)*C8</f>
        <v>0</v>
      </c>
      <c r="F6" s="12" t="s">
        <v>129</v>
      </c>
      <c r="I6" s="12">
        <f>C4</f>
        <v>2</v>
      </c>
      <c r="J6" s="12">
        <f>40/B6*C6</f>
        <v>0</v>
      </c>
      <c r="K6" s="12">
        <f>15/B8*C8</f>
        <v>0</v>
      </c>
      <c r="L6" s="12">
        <f>10/B10*C10</f>
        <v>0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3">
      <c r="A7" t="s">
        <v>130</v>
      </c>
      <c r="B7" t="s">
        <v>131</v>
      </c>
      <c r="C7" t="s">
        <v>132</v>
      </c>
      <c r="E7">
        <f>(100/B10)*C10</f>
        <v>0</v>
      </c>
      <c r="F7" s="5" t="s">
        <v>133</v>
      </c>
      <c r="G7" s="5"/>
      <c r="H7" s="5"/>
      <c r="I7" s="5">
        <f>I6+20</f>
        <v>22</v>
      </c>
      <c r="J7" s="5">
        <f>30/B6*C6</f>
        <v>0</v>
      </c>
      <c r="K7" s="5">
        <f>15/B8*C8</f>
        <v>0</v>
      </c>
      <c r="L7" s="5">
        <f>10/B10*C10</f>
        <v>0</v>
      </c>
      <c r="M7" s="5">
        <f>5/B12*C12</f>
        <v>0</v>
      </c>
      <c r="N7" s="5">
        <f>5/B14*C14</f>
        <v>0</v>
      </c>
      <c r="O7" s="5">
        <f>5/B16*C16</f>
        <v>0</v>
      </c>
    </row>
    <row r="8" spans="1:15" x14ac:dyDescent="0.3">
      <c r="B8" s="5">
        <f>C2</f>
        <v>4</v>
      </c>
      <c r="C8" s="5">
        <v>0</v>
      </c>
      <c r="E8">
        <f>(100/B12)*C12</f>
        <v>0</v>
      </c>
    </row>
    <row r="9" spans="1:15" x14ac:dyDescent="0.3">
      <c r="A9" t="s">
        <v>134</v>
      </c>
      <c r="B9" t="s">
        <v>131</v>
      </c>
      <c r="C9" t="s">
        <v>132</v>
      </c>
      <c r="E9">
        <f>(100/B14)*C14</f>
        <v>0</v>
      </c>
    </row>
    <row r="10" spans="1:15" x14ac:dyDescent="0.3">
      <c r="B10" s="5">
        <f>C2</f>
        <v>4</v>
      </c>
      <c r="C10" s="5">
        <v>0</v>
      </c>
      <c r="E10">
        <f>(100/B16)*C16</f>
        <v>0</v>
      </c>
    </row>
    <row r="11" spans="1:15" x14ac:dyDescent="0.3">
      <c r="A11" t="s">
        <v>43</v>
      </c>
      <c r="B11" t="s">
        <v>131</v>
      </c>
      <c r="C11" t="s">
        <v>132</v>
      </c>
    </row>
    <row r="12" spans="1:15" x14ac:dyDescent="0.3">
      <c r="B12" s="5">
        <f>C2</f>
        <v>4</v>
      </c>
      <c r="C12" s="5">
        <v>0</v>
      </c>
      <c r="F12" s="5"/>
      <c r="G12" s="5" t="s">
        <v>129</v>
      </c>
      <c r="H12" s="5" t="s">
        <v>135</v>
      </c>
      <c r="L12" t="s">
        <v>136</v>
      </c>
    </row>
    <row r="13" spans="1:15" ht="28.8" x14ac:dyDescent="0.3">
      <c r="A13" s="13" t="s">
        <v>128</v>
      </c>
      <c r="B13" t="s">
        <v>131</v>
      </c>
      <c r="C13" t="s">
        <v>132</v>
      </c>
      <c r="F13" s="5" t="s">
        <v>35</v>
      </c>
      <c r="G13" s="5">
        <f>I6</f>
        <v>2</v>
      </c>
      <c r="H13" s="5">
        <f>I7</f>
        <v>22</v>
      </c>
      <c r="L13" t="s">
        <v>136</v>
      </c>
    </row>
    <row r="14" spans="1:15" x14ac:dyDescent="0.3">
      <c r="B14" s="5">
        <f>C2</f>
        <v>4</v>
      </c>
      <c r="C14" s="5">
        <v>0</v>
      </c>
      <c r="F14" s="5" t="s">
        <v>36</v>
      </c>
      <c r="G14" s="5">
        <f>J6</f>
        <v>0</v>
      </c>
      <c r="H14" s="5">
        <f>J7</f>
        <v>0</v>
      </c>
    </row>
    <row r="15" spans="1:15" x14ac:dyDescent="0.3">
      <c r="A15" t="s">
        <v>44</v>
      </c>
      <c r="B15" t="s">
        <v>131</v>
      </c>
      <c r="C15" t="s">
        <v>132</v>
      </c>
      <c r="F15" s="5" t="s">
        <v>127</v>
      </c>
      <c r="G15" s="5">
        <f>K6</f>
        <v>0</v>
      </c>
      <c r="H15" s="5">
        <f>K7</f>
        <v>0</v>
      </c>
    </row>
    <row r="16" spans="1:15" x14ac:dyDescent="0.3">
      <c r="B16" s="5">
        <f>C2</f>
        <v>4</v>
      </c>
      <c r="C16" s="5">
        <v>0</v>
      </c>
      <c r="F16" s="5" t="s">
        <v>37</v>
      </c>
      <c r="G16" s="5">
        <f>L6</f>
        <v>0</v>
      </c>
      <c r="H16" s="5">
        <f>L7</f>
        <v>0</v>
      </c>
    </row>
    <row r="17" spans="1:8" x14ac:dyDescent="0.3">
      <c r="F17" s="5" t="s">
        <v>43</v>
      </c>
      <c r="G17" s="5">
        <f>M6</f>
        <v>0</v>
      </c>
      <c r="H17" s="5">
        <f>M7</f>
        <v>0</v>
      </c>
    </row>
    <row r="18" spans="1:8" ht="28.8" x14ac:dyDescent="0.3">
      <c r="F18" s="14" t="s">
        <v>128</v>
      </c>
      <c r="G18" s="5">
        <f>N6</f>
        <v>0</v>
      </c>
      <c r="H18" s="5">
        <f>N7</f>
        <v>0</v>
      </c>
    </row>
    <row r="19" spans="1:8" x14ac:dyDescent="0.3">
      <c r="F19" s="5" t="s">
        <v>44</v>
      </c>
      <c r="G19" s="5">
        <f>O6</f>
        <v>0</v>
      </c>
      <c r="H19" s="5">
        <f>O7</f>
        <v>0</v>
      </c>
    </row>
    <row r="20" spans="1:8" x14ac:dyDescent="0.3">
      <c r="F20" s="5" t="s">
        <v>137</v>
      </c>
      <c r="G20" s="5">
        <f>G13+G14+G15+G16+G17+G18+G19</f>
        <v>2</v>
      </c>
      <c r="H20" s="5">
        <f>H13+H14+H15+H16+H17+H18+H19</f>
        <v>22</v>
      </c>
    </row>
    <row r="23" spans="1:8" x14ac:dyDescent="0.3">
      <c r="A23" s="26" t="s">
        <v>233</v>
      </c>
      <c r="C23" s="27">
        <v>0.01</v>
      </c>
      <c r="D23" s="28">
        <v>0.02</v>
      </c>
    </row>
    <row r="24" spans="1:8" x14ac:dyDescent="0.3">
      <c r="A24" s="26" t="s">
        <v>234</v>
      </c>
      <c r="C24" s="27">
        <v>0.02</v>
      </c>
      <c r="D24" s="28">
        <v>0.04</v>
      </c>
    </row>
    <row r="25" spans="1:8" x14ac:dyDescent="0.3">
      <c r="A25" s="26" t="s">
        <v>235</v>
      </c>
      <c r="C25" s="27">
        <v>0.04</v>
      </c>
      <c r="D25" s="28">
        <v>0.08</v>
      </c>
    </row>
    <row r="26" spans="1:8" x14ac:dyDescent="0.3">
      <c r="A26" s="26" t="s">
        <v>236</v>
      </c>
      <c r="C26" s="27">
        <v>0.05</v>
      </c>
      <c r="D26" s="28">
        <v>0.15</v>
      </c>
    </row>
    <row r="27" spans="1:8" x14ac:dyDescent="0.3">
      <c r="A27" s="26" t="s">
        <v>237</v>
      </c>
      <c r="C27" s="27">
        <v>7.0000000000000007E-2</v>
      </c>
      <c r="D27" s="28">
        <v>0.2</v>
      </c>
    </row>
    <row r="28" spans="1:8" ht="15" thickBot="1" x14ac:dyDescent="0.35">
      <c r="A28" s="29" t="s">
        <v>238</v>
      </c>
      <c r="C28" s="30">
        <v>0.1</v>
      </c>
      <c r="D28" s="31">
        <v>0.3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C15" sqref="C15"/>
    </sheetView>
  </sheetViews>
  <sheetFormatPr defaultRowHeight="14.4" x14ac:dyDescent="0.3"/>
  <cols>
    <col min="1" max="1" width="10.33203125" bestFit="1" customWidth="1"/>
    <col min="2" max="2" width="13.44140625" customWidth="1"/>
  </cols>
  <sheetData>
    <row r="1" spans="1:7" x14ac:dyDescent="0.3">
      <c r="A1" t="s">
        <v>215</v>
      </c>
      <c r="B1" t="s">
        <v>214</v>
      </c>
      <c r="C1" t="s">
        <v>213</v>
      </c>
    </row>
    <row r="2" spans="1:7" x14ac:dyDescent="0.3">
      <c r="C2" t="s">
        <v>212</v>
      </c>
    </row>
    <row r="4" spans="1:7" x14ac:dyDescent="0.3">
      <c r="A4" t="s">
        <v>216</v>
      </c>
      <c r="B4" t="s">
        <v>230</v>
      </c>
      <c r="C4" t="s">
        <v>213</v>
      </c>
    </row>
    <row r="5" spans="1:7" x14ac:dyDescent="0.3">
      <c r="C5" s="249" t="s">
        <v>231</v>
      </c>
      <c r="D5" s="249"/>
      <c r="E5" s="249"/>
      <c r="F5" s="249"/>
    </row>
    <row r="6" spans="1:7" x14ac:dyDescent="0.3">
      <c r="C6" s="249" t="s">
        <v>232</v>
      </c>
      <c r="D6" s="250"/>
      <c r="E6" s="250"/>
      <c r="F6" s="250"/>
      <c r="G6" s="250"/>
    </row>
    <row r="7" spans="1:7" x14ac:dyDescent="0.3">
      <c r="C7" s="250"/>
      <c r="D7" s="250"/>
      <c r="E7" s="250"/>
      <c r="F7" s="250"/>
      <c r="G7" s="250"/>
    </row>
    <row r="8" spans="1:7" x14ac:dyDescent="0.3">
      <c r="C8" s="250"/>
      <c r="D8" s="250"/>
      <c r="E8" s="250"/>
      <c r="F8" s="250"/>
      <c r="G8" s="250"/>
    </row>
    <row r="9" spans="1:7" x14ac:dyDescent="0.3">
      <c r="C9" s="250"/>
      <c r="D9" s="250"/>
      <c r="E9" s="250"/>
      <c r="F9" s="250"/>
      <c r="G9" s="250"/>
    </row>
  </sheetData>
  <mergeCells count="2">
    <mergeCell ref="C5:F5"/>
    <mergeCell ref="C6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0"/>
  <sheetViews>
    <sheetView topLeftCell="A10" workbookViewId="0">
      <selection activeCell="C4" sqref="C4"/>
    </sheetView>
  </sheetViews>
  <sheetFormatPr defaultRowHeight="14.4" x14ac:dyDescent="0.3"/>
  <cols>
    <col min="2" max="2" width="11.6640625" customWidth="1"/>
  </cols>
  <sheetData>
    <row r="2" spans="1:15" x14ac:dyDescent="0.3">
      <c r="A2" t="s">
        <v>118</v>
      </c>
      <c r="B2" s="11" t="s">
        <v>138</v>
      </c>
      <c r="C2" s="11">
        <v>4</v>
      </c>
    </row>
    <row r="3" spans="1:15" x14ac:dyDescent="0.3">
      <c r="B3" t="s">
        <v>119</v>
      </c>
      <c r="C3" t="s">
        <v>120</v>
      </c>
    </row>
    <row r="4" spans="1:15" x14ac:dyDescent="0.3">
      <c r="A4" t="s">
        <v>121</v>
      </c>
      <c r="B4" s="5">
        <v>10</v>
      </c>
      <c r="C4" s="5">
        <v>10</v>
      </c>
      <c r="E4">
        <f>(100/B4)*C4</f>
        <v>100</v>
      </c>
    </row>
    <row r="5" spans="1:15" x14ac:dyDescent="0.3">
      <c r="A5" t="s">
        <v>122</v>
      </c>
      <c r="B5" t="s">
        <v>123</v>
      </c>
      <c r="C5" t="s">
        <v>124</v>
      </c>
      <c r="E5">
        <f>(100/B6)*C6</f>
        <v>0</v>
      </c>
      <c r="I5" s="5" t="s">
        <v>125</v>
      </c>
      <c r="J5" s="5" t="s">
        <v>126</v>
      </c>
      <c r="K5" s="5" t="s">
        <v>127</v>
      </c>
      <c r="L5" s="5" t="s">
        <v>37</v>
      </c>
      <c r="M5" s="5" t="s">
        <v>43</v>
      </c>
      <c r="N5" s="5" t="s">
        <v>128</v>
      </c>
      <c r="O5" s="5" t="s">
        <v>44</v>
      </c>
    </row>
    <row r="6" spans="1:15" x14ac:dyDescent="0.3">
      <c r="B6" s="5">
        <f>C2+1</f>
        <v>5</v>
      </c>
      <c r="C6" s="5">
        <v>0</v>
      </c>
      <c r="E6">
        <f>(100/B8)*C8</f>
        <v>0</v>
      </c>
      <c r="F6" s="12" t="s">
        <v>129</v>
      </c>
      <c r="I6" s="12">
        <f>C4</f>
        <v>10</v>
      </c>
      <c r="J6" s="12">
        <f>40/B6*C6</f>
        <v>0</v>
      </c>
      <c r="K6" s="12">
        <f>15/B8*C8</f>
        <v>0</v>
      </c>
      <c r="L6" s="12">
        <f>10/B10*C10</f>
        <v>0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3">
      <c r="A7" t="s">
        <v>130</v>
      </c>
      <c r="B7" t="s">
        <v>131</v>
      </c>
      <c r="C7" t="s">
        <v>132</v>
      </c>
      <c r="E7">
        <f>(100/B10)*C10</f>
        <v>0</v>
      </c>
      <c r="F7" s="5" t="s">
        <v>133</v>
      </c>
      <c r="G7" s="5"/>
      <c r="H7" s="5"/>
      <c r="I7" s="5">
        <f>I6+20</f>
        <v>30</v>
      </c>
      <c r="J7" s="5">
        <f>30/B6*C6</f>
        <v>0</v>
      </c>
      <c r="K7" s="5">
        <f>15/B8*C8</f>
        <v>0</v>
      </c>
      <c r="L7" s="5">
        <f>10/B10*C10</f>
        <v>0</v>
      </c>
      <c r="M7" s="5">
        <f>5/B12*C12</f>
        <v>0</v>
      </c>
      <c r="N7" s="5">
        <f>5/B14*C14</f>
        <v>0</v>
      </c>
      <c r="O7" s="5">
        <f>5/B16*C16</f>
        <v>0</v>
      </c>
    </row>
    <row r="8" spans="1:15" x14ac:dyDescent="0.3">
      <c r="B8" s="5">
        <f>C2</f>
        <v>4</v>
      </c>
      <c r="C8" s="5">
        <v>0</v>
      </c>
      <c r="E8">
        <f>(100/B12)*C12</f>
        <v>0</v>
      </c>
    </row>
    <row r="9" spans="1:15" x14ac:dyDescent="0.3">
      <c r="A9" t="s">
        <v>134</v>
      </c>
      <c r="B9" t="s">
        <v>131</v>
      </c>
      <c r="C9" t="s">
        <v>132</v>
      </c>
      <c r="E9">
        <f>(100/B14)*C14</f>
        <v>0</v>
      </c>
    </row>
    <row r="10" spans="1:15" x14ac:dyDescent="0.3">
      <c r="B10" s="5">
        <f>C2</f>
        <v>4</v>
      </c>
      <c r="C10" s="5">
        <v>0</v>
      </c>
      <c r="E10">
        <f>(100/B16)*C16</f>
        <v>0</v>
      </c>
    </row>
    <row r="11" spans="1:15" x14ac:dyDescent="0.3">
      <c r="A11" t="s">
        <v>43</v>
      </c>
      <c r="B11" t="s">
        <v>131</v>
      </c>
      <c r="C11" t="s">
        <v>132</v>
      </c>
    </row>
    <row r="12" spans="1:15" x14ac:dyDescent="0.3">
      <c r="B12" s="5">
        <f>C2</f>
        <v>4</v>
      </c>
      <c r="C12" s="5">
        <v>0</v>
      </c>
      <c r="F12" s="5"/>
      <c r="G12" s="5" t="s">
        <v>129</v>
      </c>
      <c r="H12" s="5" t="s">
        <v>135</v>
      </c>
      <c r="L12" t="s">
        <v>136</v>
      </c>
    </row>
    <row r="13" spans="1:15" ht="28.8" x14ac:dyDescent="0.3">
      <c r="A13" s="13" t="s">
        <v>128</v>
      </c>
      <c r="B13" t="s">
        <v>131</v>
      </c>
      <c r="C13" t="s">
        <v>132</v>
      </c>
      <c r="F13" s="5" t="s">
        <v>35</v>
      </c>
      <c r="G13" s="5">
        <f>I6</f>
        <v>10</v>
      </c>
      <c r="H13" s="5">
        <f>I7</f>
        <v>30</v>
      </c>
      <c r="L13" t="s">
        <v>136</v>
      </c>
    </row>
    <row r="14" spans="1:15" x14ac:dyDescent="0.3">
      <c r="B14" s="5">
        <f>C2</f>
        <v>4</v>
      </c>
      <c r="C14" s="5">
        <v>0</v>
      </c>
      <c r="F14" s="5" t="s">
        <v>36</v>
      </c>
      <c r="G14" s="5">
        <f>J6</f>
        <v>0</v>
      </c>
      <c r="H14" s="5">
        <f>J7</f>
        <v>0</v>
      </c>
    </row>
    <row r="15" spans="1:15" x14ac:dyDescent="0.3">
      <c r="A15" t="s">
        <v>44</v>
      </c>
      <c r="B15" t="s">
        <v>131</v>
      </c>
      <c r="C15" t="s">
        <v>132</v>
      </c>
      <c r="F15" s="5" t="s">
        <v>127</v>
      </c>
      <c r="G15" s="5">
        <f>K6</f>
        <v>0</v>
      </c>
      <c r="H15" s="5">
        <f>K7</f>
        <v>0</v>
      </c>
    </row>
    <row r="16" spans="1:15" x14ac:dyDescent="0.3">
      <c r="B16" s="5">
        <f>C2</f>
        <v>4</v>
      </c>
      <c r="C16" s="5">
        <v>0</v>
      </c>
      <c r="F16" s="5" t="s">
        <v>37</v>
      </c>
      <c r="G16" s="5">
        <f>L6</f>
        <v>0</v>
      </c>
      <c r="H16" s="5">
        <f>L7</f>
        <v>0</v>
      </c>
    </row>
    <row r="17" spans="6:8" x14ac:dyDescent="0.3">
      <c r="F17" s="5" t="s">
        <v>43</v>
      </c>
      <c r="G17" s="5">
        <f>M6</f>
        <v>0</v>
      </c>
      <c r="H17" s="5">
        <f>M7</f>
        <v>0</v>
      </c>
    </row>
    <row r="18" spans="6:8" ht="28.8" x14ac:dyDescent="0.3">
      <c r="F18" s="14" t="s">
        <v>128</v>
      </c>
      <c r="G18" s="5">
        <f>N6</f>
        <v>0</v>
      </c>
      <c r="H18" s="5">
        <f>N7</f>
        <v>0</v>
      </c>
    </row>
    <row r="19" spans="6:8" x14ac:dyDescent="0.3">
      <c r="F19" s="5" t="s">
        <v>44</v>
      </c>
      <c r="G19" s="5">
        <f>O6</f>
        <v>0</v>
      </c>
      <c r="H19" s="5">
        <f>O7</f>
        <v>0</v>
      </c>
    </row>
    <row r="20" spans="6:8" x14ac:dyDescent="0.3">
      <c r="F20" s="5" t="s">
        <v>137</v>
      </c>
      <c r="G20" s="5">
        <f>G13+G14+G15+G16+G17+G18+G19</f>
        <v>10</v>
      </c>
      <c r="H20" s="5">
        <f>H13+H14+H15+H16+H17+H18+H19</f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0"/>
  <sheetViews>
    <sheetView workbookViewId="0">
      <selection activeCell="C4" sqref="C4"/>
    </sheetView>
  </sheetViews>
  <sheetFormatPr defaultRowHeight="14.4" x14ac:dyDescent="0.3"/>
  <cols>
    <col min="2" max="2" width="11.6640625" customWidth="1"/>
  </cols>
  <sheetData>
    <row r="2" spans="1:15" x14ac:dyDescent="0.3">
      <c r="A2" t="s">
        <v>118</v>
      </c>
      <c r="B2" s="11" t="s">
        <v>138</v>
      </c>
      <c r="C2" s="11">
        <v>4</v>
      </c>
    </row>
    <row r="3" spans="1:15" x14ac:dyDescent="0.3">
      <c r="B3" t="s">
        <v>119</v>
      </c>
      <c r="C3" t="s">
        <v>120</v>
      </c>
    </row>
    <row r="4" spans="1:15" x14ac:dyDescent="0.3">
      <c r="A4" t="s">
        <v>121</v>
      </c>
      <c r="B4" s="5">
        <v>10</v>
      </c>
      <c r="C4" s="5">
        <v>10</v>
      </c>
      <c r="E4">
        <f>(100/B4)*C4</f>
        <v>100</v>
      </c>
    </row>
    <row r="5" spans="1:15" x14ac:dyDescent="0.3">
      <c r="A5" t="s">
        <v>122</v>
      </c>
      <c r="B5" t="s">
        <v>123</v>
      </c>
      <c r="C5" t="s">
        <v>124</v>
      </c>
      <c r="E5">
        <f>(100/B6)*C6</f>
        <v>0</v>
      </c>
      <c r="I5" s="5" t="s">
        <v>125</v>
      </c>
      <c r="J5" s="5" t="s">
        <v>126</v>
      </c>
      <c r="K5" s="5" t="s">
        <v>127</v>
      </c>
      <c r="L5" s="5" t="s">
        <v>37</v>
      </c>
      <c r="M5" s="5" t="s">
        <v>43</v>
      </c>
      <c r="N5" s="5" t="s">
        <v>128</v>
      </c>
      <c r="O5" s="5" t="s">
        <v>44</v>
      </c>
    </row>
    <row r="6" spans="1:15" x14ac:dyDescent="0.3">
      <c r="B6" s="5">
        <f>C2+1</f>
        <v>5</v>
      </c>
      <c r="C6" s="5">
        <v>0</v>
      </c>
      <c r="E6">
        <f>(100/B8)*C8</f>
        <v>0</v>
      </c>
      <c r="F6" s="12" t="s">
        <v>129</v>
      </c>
      <c r="I6" s="12">
        <f>C4</f>
        <v>10</v>
      </c>
      <c r="J6" s="12">
        <f>40/B6*C6</f>
        <v>0</v>
      </c>
      <c r="K6" s="12">
        <f>15/B8*C8</f>
        <v>0</v>
      </c>
      <c r="L6" s="12">
        <f>10/B10*C10</f>
        <v>0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3">
      <c r="A7" t="s">
        <v>130</v>
      </c>
      <c r="B7" t="s">
        <v>131</v>
      </c>
      <c r="C7" t="s">
        <v>132</v>
      </c>
      <c r="E7">
        <f>(100/B10)*C10</f>
        <v>0</v>
      </c>
      <c r="F7" s="5" t="s">
        <v>133</v>
      </c>
      <c r="G7" s="5"/>
      <c r="H7" s="5"/>
      <c r="I7" s="5">
        <f>I6+20</f>
        <v>30</v>
      </c>
      <c r="J7" s="5">
        <f>30/B6*C6</f>
        <v>0</v>
      </c>
      <c r="K7" s="5">
        <f>15/B8*C8</f>
        <v>0</v>
      </c>
      <c r="L7" s="5">
        <f>10/B10*C10</f>
        <v>0</v>
      </c>
      <c r="M7" s="5">
        <f>5/B12*C12</f>
        <v>0</v>
      </c>
      <c r="N7" s="5">
        <f>5/B14*C14</f>
        <v>0</v>
      </c>
      <c r="O7" s="5">
        <f>5/B16*C16</f>
        <v>0</v>
      </c>
    </row>
    <row r="8" spans="1:15" x14ac:dyDescent="0.3">
      <c r="B8" s="5">
        <f>C2</f>
        <v>4</v>
      </c>
      <c r="C8" s="5">
        <v>0</v>
      </c>
      <c r="E8">
        <f>(100/B12)*C12</f>
        <v>0</v>
      </c>
    </row>
    <row r="9" spans="1:15" x14ac:dyDescent="0.3">
      <c r="A9" t="s">
        <v>134</v>
      </c>
      <c r="B9" t="s">
        <v>131</v>
      </c>
      <c r="C9" t="s">
        <v>132</v>
      </c>
      <c r="E9">
        <f>(100/B14)*C14</f>
        <v>0</v>
      </c>
    </row>
    <row r="10" spans="1:15" x14ac:dyDescent="0.3">
      <c r="B10" s="5">
        <f>C2</f>
        <v>4</v>
      </c>
      <c r="C10" s="5">
        <v>0</v>
      </c>
      <c r="E10">
        <f>(100/B16)*C16</f>
        <v>0</v>
      </c>
    </row>
    <row r="11" spans="1:15" x14ac:dyDescent="0.3">
      <c r="A11" t="s">
        <v>43</v>
      </c>
      <c r="B11" t="s">
        <v>131</v>
      </c>
      <c r="C11" t="s">
        <v>132</v>
      </c>
    </row>
    <row r="12" spans="1:15" x14ac:dyDescent="0.3">
      <c r="B12" s="5">
        <f>C2</f>
        <v>4</v>
      </c>
      <c r="C12" s="5">
        <v>0</v>
      </c>
      <c r="F12" s="5"/>
      <c r="G12" s="5" t="s">
        <v>129</v>
      </c>
      <c r="H12" s="5" t="s">
        <v>135</v>
      </c>
      <c r="L12" t="s">
        <v>136</v>
      </c>
    </row>
    <row r="13" spans="1:15" ht="28.8" x14ac:dyDescent="0.3">
      <c r="A13" s="13" t="s">
        <v>128</v>
      </c>
      <c r="B13" t="s">
        <v>131</v>
      </c>
      <c r="C13" t="s">
        <v>132</v>
      </c>
      <c r="F13" s="5" t="s">
        <v>35</v>
      </c>
      <c r="G13" s="5">
        <f>I6</f>
        <v>10</v>
      </c>
      <c r="H13" s="5">
        <f>I7</f>
        <v>30</v>
      </c>
      <c r="L13" t="s">
        <v>136</v>
      </c>
    </row>
    <row r="14" spans="1:15" x14ac:dyDescent="0.3">
      <c r="B14" s="5">
        <f>C2</f>
        <v>4</v>
      </c>
      <c r="C14" s="5">
        <v>0</v>
      </c>
      <c r="F14" s="5" t="s">
        <v>36</v>
      </c>
      <c r="G14" s="5">
        <f>J6</f>
        <v>0</v>
      </c>
      <c r="H14" s="5">
        <f>J7</f>
        <v>0</v>
      </c>
    </row>
    <row r="15" spans="1:15" x14ac:dyDescent="0.3">
      <c r="A15" t="s">
        <v>44</v>
      </c>
      <c r="B15" t="s">
        <v>131</v>
      </c>
      <c r="C15" t="s">
        <v>132</v>
      </c>
      <c r="F15" s="5" t="s">
        <v>127</v>
      </c>
      <c r="G15" s="5">
        <f>K6</f>
        <v>0</v>
      </c>
      <c r="H15" s="5">
        <f>K7</f>
        <v>0</v>
      </c>
    </row>
    <row r="16" spans="1:15" x14ac:dyDescent="0.3">
      <c r="B16" s="5">
        <f>C2</f>
        <v>4</v>
      </c>
      <c r="C16" s="5">
        <v>0</v>
      </c>
      <c r="F16" s="5" t="s">
        <v>37</v>
      </c>
      <c r="G16" s="5">
        <f>L6</f>
        <v>0</v>
      </c>
      <c r="H16" s="5">
        <f>L7</f>
        <v>0</v>
      </c>
    </row>
    <row r="17" spans="6:8" x14ac:dyDescent="0.3">
      <c r="F17" s="5" t="s">
        <v>43</v>
      </c>
      <c r="G17" s="5">
        <f>M6</f>
        <v>0</v>
      </c>
      <c r="H17" s="5">
        <f>M7</f>
        <v>0</v>
      </c>
    </row>
    <row r="18" spans="6:8" ht="28.8" x14ac:dyDescent="0.3">
      <c r="F18" s="14" t="s">
        <v>128</v>
      </c>
      <c r="G18" s="5">
        <f>N6</f>
        <v>0</v>
      </c>
      <c r="H18" s="5">
        <f>N7</f>
        <v>0</v>
      </c>
    </row>
    <row r="19" spans="6:8" x14ac:dyDescent="0.3">
      <c r="F19" s="5" t="s">
        <v>44</v>
      </c>
      <c r="G19" s="5">
        <f>O6</f>
        <v>0</v>
      </c>
      <c r="H19" s="5">
        <f>O7</f>
        <v>0</v>
      </c>
    </row>
    <row r="20" spans="6:8" x14ac:dyDescent="0.3">
      <c r="F20" s="5" t="s">
        <v>137</v>
      </c>
      <c r="G20" s="5">
        <f>G13+G14+G15+G16+G17+G18+G19</f>
        <v>10</v>
      </c>
      <c r="H20" s="5">
        <f>H13+H14+H15+H16+H17+H18+H19</f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0"/>
  <sheetViews>
    <sheetView workbookViewId="0">
      <selection activeCell="J18" sqref="J18"/>
    </sheetView>
  </sheetViews>
  <sheetFormatPr defaultRowHeight="14.4" x14ac:dyDescent="0.3"/>
  <cols>
    <col min="2" max="2" width="11.6640625" customWidth="1"/>
  </cols>
  <sheetData>
    <row r="2" spans="1:15" x14ac:dyDescent="0.3">
      <c r="A2" t="s">
        <v>118</v>
      </c>
      <c r="B2" s="11" t="s">
        <v>138</v>
      </c>
      <c r="C2" s="11">
        <v>4</v>
      </c>
    </row>
    <row r="3" spans="1:15" x14ac:dyDescent="0.3">
      <c r="B3" t="s">
        <v>119</v>
      </c>
      <c r="C3" t="s">
        <v>120</v>
      </c>
    </row>
    <row r="4" spans="1:15" x14ac:dyDescent="0.3">
      <c r="A4" t="s">
        <v>121</v>
      </c>
      <c r="B4" s="5">
        <v>10</v>
      </c>
      <c r="C4" s="5">
        <v>10</v>
      </c>
      <c r="E4">
        <f>(100/B4)*C4</f>
        <v>100</v>
      </c>
    </row>
    <row r="5" spans="1:15" x14ac:dyDescent="0.3">
      <c r="A5" t="s">
        <v>122</v>
      </c>
      <c r="B5" t="s">
        <v>123</v>
      </c>
      <c r="C5" t="s">
        <v>124</v>
      </c>
      <c r="E5">
        <f>(100/B6)*C6</f>
        <v>20</v>
      </c>
      <c r="I5" s="5" t="s">
        <v>125</v>
      </c>
      <c r="J5" s="5" t="s">
        <v>126</v>
      </c>
      <c r="K5" s="5" t="s">
        <v>127</v>
      </c>
      <c r="L5" s="5" t="s">
        <v>37</v>
      </c>
      <c r="M5" s="5" t="s">
        <v>43</v>
      </c>
      <c r="N5" s="5" t="s">
        <v>128</v>
      </c>
      <c r="O5" s="5" t="s">
        <v>44</v>
      </c>
    </row>
    <row r="6" spans="1:15" x14ac:dyDescent="0.3">
      <c r="B6" s="5">
        <f>C2+1</f>
        <v>5</v>
      </c>
      <c r="C6" s="5">
        <v>1</v>
      </c>
      <c r="E6">
        <f>(100/B8)*C8</f>
        <v>0</v>
      </c>
      <c r="F6" s="12" t="s">
        <v>129</v>
      </c>
      <c r="I6" s="12">
        <f>C4</f>
        <v>10</v>
      </c>
      <c r="J6" s="12">
        <f>40/B6*C6</f>
        <v>8</v>
      </c>
      <c r="K6" s="12">
        <f>15/B8*C8</f>
        <v>0</v>
      </c>
      <c r="L6" s="12">
        <f>10/B10*C10</f>
        <v>0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3">
      <c r="A7" t="s">
        <v>130</v>
      </c>
      <c r="B7" t="s">
        <v>131</v>
      </c>
      <c r="C7" t="s">
        <v>132</v>
      </c>
      <c r="E7">
        <f>(100/B10)*C10</f>
        <v>0</v>
      </c>
      <c r="F7" s="5" t="s">
        <v>133</v>
      </c>
      <c r="G7" s="5"/>
      <c r="H7" s="5"/>
      <c r="I7" s="5">
        <f>I6+20</f>
        <v>30</v>
      </c>
      <c r="J7" s="5">
        <f>30/B6*C6</f>
        <v>6</v>
      </c>
      <c r="K7" s="5">
        <f>15/B8*C8</f>
        <v>0</v>
      </c>
      <c r="L7" s="5">
        <f>10/B10*C10</f>
        <v>0</v>
      </c>
      <c r="M7" s="5">
        <f>5/B12*C12</f>
        <v>0</v>
      </c>
      <c r="N7" s="5">
        <f>5/B14*C14</f>
        <v>0</v>
      </c>
      <c r="O7" s="5">
        <f>5/B16*C16</f>
        <v>0</v>
      </c>
    </row>
    <row r="8" spans="1:15" x14ac:dyDescent="0.3">
      <c r="B8" s="5">
        <f>C2</f>
        <v>4</v>
      </c>
      <c r="C8" s="5">
        <v>0</v>
      </c>
      <c r="E8">
        <f>(100/B12)*C12</f>
        <v>0</v>
      </c>
    </row>
    <row r="9" spans="1:15" x14ac:dyDescent="0.3">
      <c r="A9" t="s">
        <v>134</v>
      </c>
      <c r="B9" t="s">
        <v>131</v>
      </c>
      <c r="C9" t="s">
        <v>132</v>
      </c>
      <c r="E9">
        <f>(100/B14)*C14</f>
        <v>0</v>
      </c>
    </row>
    <row r="10" spans="1:15" x14ac:dyDescent="0.3">
      <c r="B10" s="5">
        <f>C2</f>
        <v>4</v>
      </c>
      <c r="C10" s="5">
        <v>0</v>
      </c>
      <c r="E10">
        <f>(100/B16)*C16</f>
        <v>0</v>
      </c>
    </row>
    <row r="11" spans="1:15" x14ac:dyDescent="0.3">
      <c r="A11" t="s">
        <v>43</v>
      </c>
      <c r="B11" t="s">
        <v>131</v>
      </c>
      <c r="C11" t="s">
        <v>132</v>
      </c>
    </row>
    <row r="12" spans="1:15" x14ac:dyDescent="0.3">
      <c r="B12" s="5">
        <f>C2</f>
        <v>4</v>
      </c>
      <c r="C12" s="5">
        <v>0</v>
      </c>
      <c r="F12" s="5"/>
      <c r="G12" s="5" t="s">
        <v>129</v>
      </c>
      <c r="H12" s="5" t="s">
        <v>135</v>
      </c>
      <c r="L12" t="s">
        <v>136</v>
      </c>
    </row>
    <row r="13" spans="1:15" ht="28.8" x14ac:dyDescent="0.3">
      <c r="A13" s="13" t="s">
        <v>128</v>
      </c>
      <c r="B13" t="s">
        <v>131</v>
      </c>
      <c r="C13" t="s">
        <v>132</v>
      </c>
      <c r="F13" s="5" t="s">
        <v>35</v>
      </c>
      <c r="G13" s="5">
        <f>I6</f>
        <v>10</v>
      </c>
      <c r="H13" s="5">
        <f>I7</f>
        <v>30</v>
      </c>
      <c r="L13" t="s">
        <v>136</v>
      </c>
    </row>
    <row r="14" spans="1:15" x14ac:dyDescent="0.3">
      <c r="B14" s="5">
        <f>C2</f>
        <v>4</v>
      </c>
      <c r="C14" s="5">
        <v>0</v>
      </c>
      <c r="F14" s="5" t="s">
        <v>36</v>
      </c>
      <c r="G14" s="5">
        <f>J6</f>
        <v>8</v>
      </c>
      <c r="H14" s="5">
        <f>J7</f>
        <v>6</v>
      </c>
    </row>
    <row r="15" spans="1:15" x14ac:dyDescent="0.3">
      <c r="A15" t="s">
        <v>44</v>
      </c>
      <c r="B15" t="s">
        <v>131</v>
      </c>
      <c r="C15" t="s">
        <v>132</v>
      </c>
      <c r="F15" s="5" t="s">
        <v>127</v>
      </c>
      <c r="G15" s="5">
        <f>K6</f>
        <v>0</v>
      </c>
      <c r="H15" s="5">
        <f>K7</f>
        <v>0</v>
      </c>
    </row>
    <row r="16" spans="1:15" x14ac:dyDescent="0.3">
      <c r="B16" s="5">
        <f>C2</f>
        <v>4</v>
      </c>
      <c r="C16" s="5">
        <v>0</v>
      </c>
      <c r="F16" s="5" t="s">
        <v>37</v>
      </c>
      <c r="G16" s="5">
        <f>L6</f>
        <v>0</v>
      </c>
      <c r="H16" s="5">
        <f>L7</f>
        <v>0</v>
      </c>
    </row>
    <row r="17" spans="6:8" x14ac:dyDescent="0.3">
      <c r="F17" s="5" t="s">
        <v>43</v>
      </c>
      <c r="G17" s="5">
        <f>M6</f>
        <v>0</v>
      </c>
      <c r="H17" s="5">
        <f>M7</f>
        <v>0</v>
      </c>
    </row>
    <row r="18" spans="6:8" ht="28.8" x14ac:dyDescent="0.3">
      <c r="F18" s="14" t="s">
        <v>128</v>
      </c>
      <c r="G18" s="5">
        <f>N6</f>
        <v>0</v>
      </c>
      <c r="H18" s="5">
        <f>N7</f>
        <v>0</v>
      </c>
    </row>
    <row r="19" spans="6:8" x14ac:dyDescent="0.3">
      <c r="F19" s="5" t="s">
        <v>44</v>
      </c>
      <c r="G19" s="5">
        <f>O6</f>
        <v>0</v>
      </c>
      <c r="H19" s="5">
        <f>O7</f>
        <v>0</v>
      </c>
    </row>
    <row r="20" spans="6:8" x14ac:dyDescent="0.3">
      <c r="F20" s="5" t="s">
        <v>137</v>
      </c>
      <c r="G20" s="5">
        <f>G13+G14+G15+G16+G17+G18+G19</f>
        <v>18</v>
      </c>
      <c r="H20" s="5">
        <f>H13+H14+H15+H16+H17+H18+H19</f>
        <v>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20"/>
  <sheetViews>
    <sheetView workbookViewId="0">
      <selection activeCell="L11" sqref="L11"/>
    </sheetView>
  </sheetViews>
  <sheetFormatPr defaultRowHeight="14.4" x14ac:dyDescent="0.3"/>
  <cols>
    <col min="2" max="2" width="11.6640625" customWidth="1"/>
  </cols>
  <sheetData>
    <row r="2" spans="1:15" x14ac:dyDescent="0.3">
      <c r="A2" t="s">
        <v>118</v>
      </c>
      <c r="B2" s="11" t="s">
        <v>138</v>
      </c>
      <c r="C2" s="11">
        <v>4</v>
      </c>
    </row>
    <row r="3" spans="1:15" x14ac:dyDescent="0.3">
      <c r="B3" t="s">
        <v>119</v>
      </c>
      <c r="C3" t="s">
        <v>120</v>
      </c>
    </row>
    <row r="4" spans="1:15" x14ac:dyDescent="0.3">
      <c r="A4" t="s">
        <v>121</v>
      </c>
      <c r="B4" s="5">
        <v>10</v>
      </c>
      <c r="C4" s="5">
        <v>5</v>
      </c>
      <c r="E4">
        <f>(100/B4)*C4</f>
        <v>50</v>
      </c>
    </row>
    <row r="5" spans="1:15" x14ac:dyDescent="0.3">
      <c r="A5" t="s">
        <v>122</v>
      </c>
      <c r="B5" t="s">
        <v>123</v>
      </c>
      <c r="C5" t="s">
        <v>124</v>
      </c>
      <c r="E5">
        <f>(100/B6)*C6</f>
        <v>0</v>
      </c>
      <c r="I5" s="5" t="s">
        <v>125</v>
      </c>
      <c r="J5" s="5" t="s">
        <v>126</v>
      </c>
      <c r="K5" s="5" t="s">
        <v>127</v>
      </c>
      <c r="L5" s="5" t="s">
        <v>37</v>
      </c>
      <c r="M5" s="5" t="s">
        <v>43</v>
      </c>
      <c r="N5" s="5" t="s">
        <v>128</v>
      </c>
      <c r="O5" s="5" t="s">
        <v>44</v>
      </c>
    </row>
    <row r="6" spans="1:15" x14ac:dyDescent="0.3">
      <c r="B6" s="5">
        <f>C2+1</f>
        <v>5</v>
      </c>
      <c r="C6" s="5">
        <v>0</v>
      </c>
      <c r="E6">
        <f>(100/B8)*C8</f>
        <v>0</v>
      </c>
      <c r="F6" s="12" t="s">
        <v>129</v>
      </c>
      <c r="I6" s="12">
        <f>C4</f>
        <v>5</v>
      </c>
      <c r="J6" s="12">
        <f>40/B6*C6</f>
        <v>0</v>
      </c>
      <c r="K6" s="12">
        <f>15/B8*C8</f>
        <v>0</v>
      </c>
      <c r="L6" s="12">
        <f>10/B10*C10</f>
        <v>0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3">
      <c r="A7" t="s">
        <v>130</v>
      </c>
      <c r="B7" t="s">
        <v>131</v>
      </c>
      <c r="C7" t="s">
        <v>132</v>
      </c>
      <c r="E7">
        <f>(100/B10)*C10</f>
        <v>0</v>
      </c>
      <c r="F7" s="5" t="s">
        <v>133</v>
      </c>
      <c r="G7" s="5"/>
      <c r="H7" s="5"/>
      <c r="I7" s="5">
        <f>I6+20</f>
        <v>25</v>
      </c>
      <c r="J7" s="5">
        <f>30/B6*C6</f>
        <v>0</v>
      </c>
      <c r="K7" s="5">
        <f>15/B8*C8</f>
        <v>0</v>
      </c>
      <c r="L7" s="5">
        <f>10/B10*C10</f>
        <v>0</v>
      </c>
      <c r="M7" s="5">
        <f>5/B12*C12</f>
        <v>0</v>
      </c>
      <c r="N7" s="5">
        <f>5/B14*C14</f>
        <v>0</v>
      </c>
      <c r="O7" s="5">
        <f>5/B16*C16</f>
        <v>0</v>
      </c>
    </row>
    <row r="8" spans="1:15" x14ac:dyDescent="0.3">
      <c r="B8" s="5">
        <f>C2</f>
        <v>4</v>
      </c>
      <c r="C8" s="5">
        <v>0</v>
      </c>
      <c r="E8">
        <f>(100/B12)*C12</f>
        <v>0</v>
      </c>
    </row>
    <row r="9" spans="1:15" x14ac:dyDescent="0.3">
      <c r="A9" t="s">
        <v>134</v>
      </c>
      <c r="B9" t="s">
        <v>131</v>
      </c>
      <c r="C9" t="s">
        <v>132</v>
      </c>
      <c r="E9">
        <f>(100/B14)*C14</f>
        <v>0</v>
      </c>
    </row>
    <row r="10" spans="1:15" x14ac:dyDescent="0.3">
      <c r="B10" s="5">
        <f>C2</f>
        <v>4</v>
      </c>
      <c r="C10" s="5">
        <v>0</v>
      </c>
      <c r="E10">
        <f>(100/B16)*C16</f>
        <v>0</v>
      </c>
    </row>
    <row r="11" spans="1:15" x14ac:dyDescent="0.3">
      <c r="A11" t="s">
        <v>43</v>
      </c>
      <c r="B11" t="s">
        <v>131</v>
      </c>
      <c r="C11" t="s">
        <v>132</v>
      </c>
    </row>
    <row r="12" spans="1:15" x14ac:dyDescent="0.3">
      <c r="B12" s="5">
        <f>C2</f>
        <v>4</v>
      </c>
      <c r="C12" s="5">
        <v>0</v>
      </c>
      <c r="F12" s="5"/>
      <c r="G12" s="5" t="s">
        <v>129</v>
      </c>
      <c r="H12" s="5" t="s">
        <v>135</v>
      </c>
      <c r="L12" t="s">
        <v>136</v>
      </c>
    </row>
    <row r="13" spans="1:15" ht="28.8" x14ac:dyDescent="0.3">
      <c r="A13" s="13" t="s">
        <v>128</v>
      </c>
      <c r="B13" t="s">
        <v>131</v>
      </c>
      <c r="C13" t="s">
        <v>132</v>
      </c>
      <c r="F13" s="5" t="s">
        <v>35</v>
      </c>
      <c r="G13" s="5">
        <f>I6</f>
        <v>5</v>
      </c>
      <c r="H13" s="5">
        <f>I7</f>
        <v>25</v>
      </c>
      <c r="L13" t="s">
        <v>136</v>
      </c>
    </row>
    <row r="14" spans="1:15" x14ac:dyDescent="0.3">
      <c r="B14" s="5">
        <f>C2</f>
        <v>4</v>
      </c>
      <c r="C14" s="5">
        <v>0</v>
      </c>
      <c r="F14" s="5" t="s">
        <v>36</v>
      </c>
      <c r="G14" s="5">
        <f>J6</f>
        <v>0</v>
      </c>
      <c r="H14" s="5">
        <f>J7</f>
        <v>0</v>
      </c>
    </row>
    <row r="15" spans="1:15" x14ac:dyDescent="0.3">
      <c r="A15" t="s">
        <v>44</v>
      </c>
      <c r="B15" t="s">
        <v>131</v>
      </c>
      <c r="C15" t="s">
        <v>132</v>
      </c>
      <c r="F15" s="5" t="s">
        <v>127</v>
      </c>
      <c r="G15" s="5">
        <f>K6</f>
        <v>0</v>
      </c>
      <c r="H15" s="5">
        <f>K7</f>
        <v>0</v>
      </c>
    </row>
    <row r="16" spans="1:15" x14ac:dyDescent="0.3">
      <c r="B16" s="5">
        <f>C2</f>
        <v>4</v>
      </c>
      <c r="C16" s="5">
        <v>0</v>
      </c>
      <c r="F16" s="5" t="s">
        <v>37</v>
      </c>
      <c r="G16" s="5">
        <f>L6</f>
        <v>0</v>
      </c>
      <c r="H16" s="5">
        <f>L7</f>
        <v>0</v>
      </c>
    </row>
    <row r="17" spans="6:8" x14ac:dyDescent="0.3">
      <c r="F17" s="5" t="s">
        <v>43</v>
      </c>
      <c r="G17" s="5">
        <f>M6</f>
        <v>0</v>
      </c>
      <c r="H17" s="5">
        <f>M7</f>
        <v>0</v>
      </c>
    </row>
    <row r="18" spans="6:8" ht="28.8" x14ac:dyDescent="0.3">
      <c r="F18" s="14" t="s">
        <v>128</v>
      </c>
      <c r="G18" s="5">
        <f>N6</f>
        <v>0</v>
      </c>
      <c r="H18" s="5">
        <f>N7</f>
        <v>0</v>
      </c>
    </row>
    <row r="19" spans="6:8" x14ac:dyDescent="0.3">
      <c r="F19" s="5" t="s">
        <v>44</v>
      </c>
      <c r="G19" s="5">
        <f>O6</f>
        <v>0</v>
      </c>
      <c r="H19" s="5">
        <f>O7</f>
        <v>0</v>
      </c>
    </row>
    <row r="20" spans="6:8" x14ac:dyDescent="0.3">
      <c r="F20" s="5" t="s">
        <v>137</v>
      </c>
      <c r="G20" s="5">
        <f>G13+G14+G15+G16+G17+G18+G19</f>
        <v>5</v>
      </c>
      <c r="H20" s="5">
        <f>H13+H14+H15+H16+H17+H18+H19</f>
        <v>25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20"/>
  <sheetViews>
    <sheetView workbookViewId="0">
      <selection activeCell="J15" sqref="J15"/>
    </sheetView>
  </sheetViews>
  <sheetFormatPr defaultRowHeight="14.4" x14ac:dyDescent="0.3"/>
  <cols>
    <col min="2" max="2" width="11.6640625" customWidth="1"/>
  </cols>
  <sheetData>
    <row r="2" spans="1:15" x14ac:dyDescent="0.3">
      <c r="A2" t="s">
        <v>118</v>
      </c>
      <c r="B2" s="11" t="s">
        <v>138</v>
      </c>
      <c r="C2" s="11">
        <v>4</v>
      </c>
    </row>
    <row r="3" spans="1:15" x14ac:dyDescent="0.3">
      <c r="B3" t="s">
        <v>119</v>
      </c>
      <c r="C3" t="s">
        <v>120</v>
      </c>
    </row>
    <row r="4" spans="1:15" x14ac:dyDescent="0.3">
      <c r="A4" t="s">
        <v>121</v>
      </c>
      <c r="B4" s="5">
        <v>10</v>
      </c>
      <c r="C4" s="5">
        <v>2</v>
      </c>
      <c r="E4">
        <f>(100/B4)*C4</f>
        <v>20</v>
      </c>
    </row>
    <row r="5" spans="1:15" x14ac:dyDescent="0.3">
      <c r="A5" t="s">
        <v>122</v>
      </c>
      <c r="B5" t="s">
        <v>123</v>
      </c>
      <c r="C5" t="s">
        <v>124</v>
      </c>
      <c r="E5">
        <f>(100/B6)*C6</f>
        <v>0</v>
      </c>
      <c r="I5" s="5" t="s">
        <v>125</v>
      </c>
      <c r="J5" s="5" t="s">
        <v>126</v>
      </c>
      <c r="K5" s="5" t="s">
        <v>127</v>
      </c>
      <c r="L5" s="5" t="s">
        <v>37</v>
      </c>
      <c r="M5" s="5" t="s">
        <v>43</v>
      </c>
      <c r="N5" s="5" t="s">
        <v>128</v>
      </c>
      <c r="O5" s="5" t="s">
        <v>44</v>
      </c>
    </row>
    <row r="6" spans="1:15" x14ac:dyDescent="0.3">
      <c r="B6" s="5">
        <f>C2+1</f>
        <v>5</v>
      </c>
      <c r="C6" s="5">
        <v>0</v>
      </c>
      <c r="E6">
        <f>(100/B8)*C8</f>
        <v>0</v>
      </c>
      <c r="F6" s="12" t="s">
        <v>129</v>
      </c>
      <c r="I6" s="12">
        <f>C4</f>
        <v>2</v>
      </c>
      <c r="J6" s="12">
        <f>40/B6*C6</f>
        <v>0</v>
      </c>
      <c r="K6" s="12">
        <f>15/B8*C8</f>
        <v>0</v>
      </c>
      <c r="L6" s="12">
        <f>10/B10*C10</f>
        <v>0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3">
      <c r="A7" t="s">
        <v>130</v>
      </c>
      <c r="B7" t="s">
        <v>131</v>
      </c>
      <c r="C7" t="s">
        <v>132</v>
      </c>
      <c r="E7">
        <f>(100/B10)*C10</f>
        <v>0</v>
      </c>
      <c r="F7" s="5" t="s">
        <v>133</v>
      </c>
      <c r="G7" s="5"/>
      <c r="H7" s="5"/>
      <c r="I7" s="5">
        <f>I6+20</f>
        <v>22</v>
      </c>
      <c r="J7" s="5">
        <f>30/B6*C6</f>
        <v>0</v>
      </c>
      <c r="K7" s="5">
        <f>15/B8*C8</f>
        <v>0</v>
      </c>
      <c r="L7" s="5">
        <f>10/B10*C10</f>
        <v>0</v>
      </c>
      <c r="M7" s="5">
        <f>5/B12*C12</f>
        <v>0</v>
      </c>
      <c r="N7" s="5">
        <f>5/B14*C14</f>
        <v>0</v>
      </c>
      <c r="O7" s="5">
        <f>5/B16*C16</f>
        <v>0</v>
      </c>
    </row>
    <row r="8" spans="1:15" x14ac:dyDescent="0.3">
      <c r="B8" s="5">
        <f>C2</f>
        <v>4</v>
      </c>
      <c r="C8" s="5">
        <v>0</v>
      </c>
      <c r="E8">
        <f>(100/B12)*C12</f>
        <v>0</v>
      </c>
    </row>
    <row r="9" spans="1:15" x14ac:dyDescent="0.3">
      <c r="A9" t="s">
        <v>134</v>
      </c>
      <c r="B9" t="s">
        <v>131</v>
      </c>
      <c r="C9" t="s">
        <v>132</v>
      </c>
      <c r="E9">
        <f>(100/B14)*C14</f>
        <v>0</v>
      </c>
    </row>
    <row r="10" spans="1:15" x14ac:dyDescent="0.3">
      <c r="B10" s="5">
        <f>C2</f>
        <v>4</v>
      </c>
      <c r="C10" s="5">
        <v>0</v>
      </c>
      <c r="E10">
        <f>(100/B16)*C16</f>
        <v>0</v>
      </c>
    </row>
    <row r="11" spans="1:15" x14ac:dyDescent="0.3">
      <c r="A11" t="s">
        <v>43</v>
      </c>
      <c r="B11" t="s">
        <v>131</v>
      </c>
      <c r="C11" t="s">
        <v>132</v>
      </c>
    </row>
    <row r="12" spans="1:15" x14ac:dyDescent="0.3">
      <c r="B12" s="5">
        <f>C2</f>
        <v>4</v>
      </c>
      <c r="C12" s="5">
        <v>0</v>
      </c>
      <c r="F12" s="5"/>
      <c r="G12" s="5" t="s">
        <v>129</v>
      </c>
      <c r="H12" s="5" t="s">
        <v>135</v>
      </c>
      <c r="L12" t="s">
        <v>136</v>
      </c>
    </row>
    <row r="13" spans="1:15" ht="28.8" x14ac:dyDescent="0.3">
      <c r="A13" s="13" t="s">
        <v>128</v>
      </c>
      <c r="B13" t="s">
        <v>131</v>
      </c>
      <c r="C13" t="s">
        <v>132</v>
      </c>
      <c r="F13" s="5" t="s">
        <v>35</v>
      </c>
      <c r="G13" s="5">
        <f>I6</f>
        <v>2</v>
      </c>
      <c r="H13" s="5">
        <f>I7</f>
        <v>22</v>
      </c>
      <c r="L13" t="s">
        <v>136</v>
      </c>
    </row>
    <row r="14" spans="1:15" x14ac:dyDescent="0.3">
      <c r="B14" s="5">
        <f>C2</f>
        <v>4</v>
      </c>
      <c r="C14" s="5">
        <v>0</v>
      </c>
      <c r="F14" s="5" t="s">
        <v>36</v>
      </c>
      <c r="G14" s="5">
        <f>J6</f>
        <v>0</v>
      </c>
      <c r="H14" s="5">
        <f>J7</f>
        <v>0</v>
      </c>
    </row>
    <row r="15" spans="1:15" x14ac:dyDescent="0.3">
      <c r="A15" t="s">
        <v>44</v>
      </c>
      <c r="B15" t="s">
        <v>131</v>
      </c>
      <c r="C15" t="s">
        <v>132</v>
      </c>
      <c r="F15" s="5" t="s">
        <v>127</v>
      </c>
      <c r="G15" s="5">
        <f>K6</f>
        <v>0</v>
      </c>
      <c r="H15" s="5">
        <f>K7</f>
        <v>0</v>
      </c>
    </row>
    <row r="16" spans="1:15" x14ac:dyDescent="0.3">
      <c r="B16" s="5">
        <f>C2</f>
        <v>4</v>
      </c>
      <c r="C16" s="5">
        <v>0</v>
      </c>
      <c r="F16" s="5" t="s">
        <v>37</v>
      </c>
      <c r="G16" s="5">
        <f>L6</f>
        <v>0</v>
      </c>
      <c r="H16" s="5">
        <f>L7</f>
        <v>0</v>
      </c>
    </row>
    <row r="17" spans="6:8" x14ac:dyDescent="0.3">
      <c r="F17" s="5" t="s">
        <v>43</v>
      </c>
      <c r="G17" s="5">
        <f>M6</f>
        <v>0</v>
      </c>
      <c r="H17" s="5">
        <f>M7</f>
        <v>0</v>
      </c>
    </row>
    <row r="18" spans="6:8" ht="28.8" x14ac:dyDescent="0.3">
      <c r="F18" s="14" t="s">
        <v>128</v>
      </c>
      <c r="G18" s="5">
        <f>N6</f>
        <v>0</v>
      </c>
      <c r="H18" s="5">
        <f>N7</f>
        <v>0</v>
      </c>
    </row>
    <row r="19" spans="6:8" x14ac:dyDescent="0.3">
      <c r="F19" s="5" t="s">
        <v>44</v>
      </c>
      <c r="G19" s="5">
        <f>O6</f>
        <v>0</v>
      </c>
      <c r="H19" s="5">
        <f>O7</f>
        <v>0</v>
      </c>
    </row>
    <row r="20" spans="6:8" x14ac:dyDescent="0.3">
      <c r="F20" s="5" t="s">
        <v>137</v>
      </c>
      <c r="G20" s="5">
        <f>G13+G14+G15+G16+G17+G18+G19</f>
        <v>2</v>
      </c>
      <c r="H20" s="5">
        <f>H13+H14+H15+H16+H17+H18+H19</f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Sheet1</vt:lpstr>
      <vt:lpstr>Valuation</vt:lpstr>
      <vt:lpstr>B-1A&amp;B </vt:lpstr>
      <vt:lpstr>Note</vt:lpstr>
      <vt:lpstr>B-2A</vt:lpstr>
      <vt:lpstr>B-2B</vt:lpstr>
      <vt:lpstr>3-A&amp;B</vt:lpstr>
      <vt:lpstr>3-C</vt:lpstr>
      <vt:lpstr>4-A &amp; B</vt:lpstr>
      <vt:lpstr>4-C</vt:lpstr>
      <vt:lpstr>5-A&amp; B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Kunal Kadam</cp:lastModifiedBy>
  <cp:lastPrinted>2025-08-19T10:31:53Z</cp:lastPrinted>
  <dcterms:created xsi:type="dcterms:W3CDTF">2013-11-23T05:32:33Z</dcterms:created>
  <dcterms:modified xsi:type="dcterms:W3CDTF">2025-08-19T10:32:00Z</dcterms:modified>
</cp:coreProperties>
</file>