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Aug 25\Axis\Dump\"/>
    </mc:Choice>
  </mc:AlternateContent>
  <xr:revisionPtr revIDLastSave="0" documentId="13_ncr:1_{9C5E894B-A536-4C37-84E2-18B961B52CE2}" xr6:coauthVersionLast="47" xr6:coauthVersionMax="47" xr10:uidLastSave="{00000000-0000-0000-0000-000000000000}"/>
  <bookViews>
    <workbookView xWindow="-108" yWindow="-108" windowWidth="23256" windowHeight="12456" xr2:uid="{00000000-000D-0000-FFFF-FFFF00000000}"/>
  </bookViews>
  <sheets>
    <sheet name="Report (2)" sheetId="1" r:id="rId1"/>
    <sheet name="3%" sheetId="7" r:id="rId2"/>
    <sheet name="4%" sheetId="2" r:id="rId3"/>
    <sheet name="Note" sheetId="4" r:id="rId4"/>
    <sheet name="Sheet2" sheetId="5" r:id="rId5"/>
    <sheet name="Flat detail" sheetId="3" r:id="rId6"/>
    <sheet name="VALUATION" sheetId="6" r:id="rId7"/>
  </sheets>
  <definedNames>
    <definedName name="_xlnm.Print_Area" localSheetId="0">'Report (2)'!$A$1:$J$326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9" i="1" l="1"/>
  <c r="G189" i="1" s="1"/>
  <c r="D188" i="1"/>
  <c r="G188" i="1" s="1"/>
  <c r="D187" i="1"/>
  <c r="G187" i="1" s="1"/>
  <c r="D186" i="1"/>
  <c r="G186" i="1" s="1"/>
  <c r="D185" i="1"/>
  <c r="G185" i="1" s="1"/>
  <c r="I184" i="1"/>
  <c r="D184" i="1"/>
  <c r="G184" i="1" s="1"/>
  <c r="F3" i="1" l="1"/>
  <c r="D201" i="1" l="1"/>
  <c r="D202" i="1"/>
  <c r="D203" i="1"/>
  <c r="D204" i="1"/>
  <c r="D200" i="1"/>
  <c r="D199" i="1"/>
  <c r="D197" i="1"/>
  <c r="D182" i="1"/>
  <c r="D181" i="1"/>
  <c r="D180" i="1"/>
  <c r="D179" i="1"/>
  <c r="D178" i="1"/>
  <c r="D177" i="1"/>
  <c r="G177" i="1" s="1"/>
  <c r="L177" i="1"/>
  <c r="L95" i="1" l="1"/>
  <c r="L94" i="1"/>
  <c r="L93" i="1"/>
  <c r="L92" i="1"/>
  <c r="I85" i="1"/>
  <c r="L90" i="1" l="1"/>
  <c r="L91" i="1" s="1"/>
  <c r="L96" i="1" s="1"/>
  <c r="L97" i="1" s="1"/>
  <c r="L89" i="1"/>
  <c r="L88" i="1"/>
  <c r="F88" i="1"/>
  <c r="L87" i="1"/>
  <c r="D97" i="1"/>
  <c r="D96" i="1"/>
  <c r="D95" i="1"/>
  <c r="D94" i="1"/>
  <c r="D93" i="1"/>
  <c r="D92" i="1"/>
  <c r="D91" i="1"/>
  <c r="D90" i="1"/>
  <c r="D89" i="1"/>
  <c r="H88" i="1"/>
  <c r="D88" i="1"/>
  <c r="L81" i="1"/>
  <c r="L80" i="1"/>
  <c r="L79" i="1"/>
  <c r="L78" i="1"/>
  <c r="L67" i="1"/>
  <c r="L66" i="1"/>
  <c r="L65" i="1"/>
  <c r="L64" i="1"/>
  <c r="I57" i="1"/>
  <c r="I71" i="1"/>
  <c r="K84" i="1" l="1"/>
  <c r="C86" i="1" s="1"/>
  <c r="L75" i="1"/>
  <c r="L73" i="1"/>
  <c r="D83" i="1"/>
  <c r="D76" i="1"/>
  <c r="D81" i="1"/>
  <c r="D75" i="1"/>
  <c r="L74" i="1"/>
  <c r="D80" i="1"/>
  <c r="H74" i="1"/>
  <c r="D79" i="1"/>
  <c r="L76" i="1"/>
  <c r="L77" i="1" s="1"/>
  <c r="L82" i="1" s="1"/>
  <c r="L83" i="1" s="1"/>
  <c r="F74" i="1"/>
  <c r="D77" i="1"/>
  <c r="D74" i="1"/>
  <c r="D82" i="1"/>
  <c r="D78" i="1"/>
  <c r="D69" i="1"/>
  <c r="D63" i="1"/>
  <c r="L59" i="1"/>
  <c r="L62" i="1"/>
  <c r="L63" i="1" s="1"/>
  <c r="L68" i="1" s="1"/>
  <c r="L69" i="1" s="1"/>
  <c r="D68" i="1"/>
  <c r="D62" i="1"/>
  <c r="D67" i="1"/>
  <c r="L61" i="1"/>
  <c r="D66" i="1"/>
  <c r="L60" i="1"/>
  <c r="D64" i="1"/>
  <c r="D65" i="1"/>
  <c r="G15" i="7"/>
  <c r="G16" i="7" s="1"/>
  <c r="C15" i="7" s="1"/>
  <c r="B7" i="7"/>
  <c r="H15" i="7" s="1"/>
  <c r="B16" i="7" s="1"/>
  <c r="D6" i="7"/>
  <c r="C5" i="7"/>
  <c r="B12" i="7" s="1"/>
  <c r="B15" i="7" l="1"/>
  <c r="K70" i="1"/>
  <c r="C72" i="1" s="1"/>
  <c r="F60" i="1"/>
  <c r="D61" i="1"/>
  <c r="H60" i="1"/>
  <c r="D60" i="1"/>
  <c r="B9" i="7"/>
  <c r="J16" i="7" s="1"/>
  <c r="C18" i="7" s="1"/>
  <c r="B11" i="7"/>
  <c r="L16" i="7" s="1"/>
  <c r="C20" i="7" s="1"/>
  <c r="D12" i="7"/>
  <c r="M16" i="7"/>
  <c r="C21" i="7" s="1"/>
  <c r="M15" i="7"/>
  <c r="B21" i="7" s="1"/>
  <c r="H16" i="7"/>
  <c r="C16" i="7" s="1"/>
  <c r="D7" i="7"/>
  <c r="B8" i="7"/>
  <c r="B10" i="7"/>
  <c r="F6" i="6"/>
  <c r="G6" i="6" s="1"/>
  <c r="F5" i="6"/>
  <c r="G5" i="6" s="1"/>
  <c r="G7" i="6" s="1"/>
  <c r="J15" i="7" l="1"/>
  <c r="B18" i="7" s="1"/>
  <c r="D9" i="7"/>
  <c r="D11" i="7"/>
  <c r="K56" i="1"/>
  <c r="C58" i="1" s="1"/>
  <c r="L15" i="7"/>
  <c r="B20" i="7" s="1"/>
  <c r="K16" i="7"/>
  <c r="C19" i="7" s="1"/>
  <c r="D10" i="7"/>
  <c r="K15" i="7"/>
  <c r="B19" i="7" s="1"/>
  <c r="I16" i="7"/>
  <c r="C17" i="7" s="1"/>
  <c r="I15" i="7"/>
  <c r="B17" i="7" s="1"/>
  <c r="D8" i="7"/>
  <c r="G12" i="5"/>
  <c r="B22" i="7" l="1"/>
  <c r="C22" i="7"/>
  <c r="C14" i="1"/>
  <c r="D230" i="1" l="1"/>
  <c r="G230" i="1" s="1"/>
  <c r="D229" i="1"/>
  <c r="G229" i="1" s="1"/>
  <c r="D228" i="1"/>
  <c r="G228" i="1" s="1"/>
  <c r="D227" i="1"/>
  <c r="G227" i="1" s="1"/>
  <c r="D226" i="1"/>
  <c r="G226" i="1" s="1"/>
  <c r="I225" i="1"/>
  <c r="D225" i="1"/>
  <c r="G225" i="1" s="1"/>
  <c r="D223" i="1"/>
  <c r="G223" i="1" s="1"/>
  <c r="D222" i="1"/>
  <c r="G222" i="1" s="1"/>
  <c r="D221" i="1"/>
  <c r="G221" i="1" s="1"/>
  <c r="D220" i="1"/>
  <c r="G220" i="1" s="1"/>
  <c r="D217" i="1"/>
  <c r="G217" i="1" s="1"/>
  <c r="D216" i="1"/>
  <c r="G216" i="1" s="1"/>
  <c r="D214" i="1"/>
  <c r="G214" i="1" s="1"/>
  <c r="D213" i="1"/>
  <c r="G213" i="1" s="1"/>
  <c r="D215" i="1"/>
  <c r="G215" i="1" s="1"/>
  <c r="D212" i="1"/>
  <c r="G212" i="1" s="1"/>
  <c r="I212" i="1"/>
  <c r="D209" i="1"/>
  <c r="G209" i="1" s="1"/>
  <c r="D210" i="1"/>
  <c r="G210" i="1" s="1"/>
  <c r="D208" i="1"/>
  <c r="G208" i="1" s="1"/>
  <c r="D207" i="1"/>
  <c r="G207" i="1" s="1"/>
  <c r="I199" i="1"/>
  <c r="G204" i="1"/>
  <c r="G201" i="1"/>
  <c r="G202" i="1"/>
  <c r="G203" i="1"/>
  <c r="G200" i="1"/>
  <c r="G199" i="1"/>
  <c r="G197" i="1"/>
  <c r="D196" i="1"/>
  <c r="G196" i="1" s="1"/>
  <c r="D195" i="1"/>
  <c r="G195" i="1" s="1"/>
  <c r="D194" i="1"/>
  <c r="G194" i="1" s="1"/>
  <c r="D193" i="1"/>
  <c r="G193" i="1" s="1"/>
  <c r="D192" i="1"/>
  <c r="G192" i="1" s="1"/>
  <c r="G180" i="1"/>
  <c r="G181" i="1"/>
  <c r="G182" i="1"/>
  <c r="G179" i="1"/>
  <c r="G178" i="1"/>
  <c r="I177" i="1"/>
  <c r="D175" i="1"/>
  <c r="G175" i="1" s="1"/>
  <c r="D174" i="1"/>
  <c r="G174" i="1" s="1"/>
  <c r="D173" i="1"/>
  <c r="G173" i="1" s="1"/>
  <c r="D172" i="1"/>
  <c r="G172" i="1" s="1"/>
  <c r="D171" i="1"/>
  <c r="G171" i="1" s="1"/>
  <c r="I163" i="1"/>
  <c r="D168" i="1"/>
  <c r="G168" i="1" s="1"/>
  <c r="D166" i="1"/>
  <c r="G166" i="1" s="1"/>
  <c r="D167" i="1"/>
  <c r="G167" i="1" s="1"/>
  <c r="D165" i="1"/>
  <c r="G165" i="1" s="1"/>
  <c r="D164" i="1"/>
  <c r="G164" i="1" s="1"/>
  <c r="D163" i="1"/>
  <c r="G163" i="1" s="1"/>
  <c r="D161" i="1"/>
  <c r="G161" i="1" s="1"/>
  <c r="D160" i="1"/>
  <c r="G160" i="1" s="1"/>
  <c r="D159" i="1"/>
  <c r="G159" i="1" s="1"/>
  <c r="D158" i="1"/>
  <c r="G158" i="1" s="1"/>
  <c r="D157" i="1"/>
  <c r="G157" i="1" s="1"/>
  <c r="D156" i="1"/>
  <c r="G156" i="1" s="1"/>
  <c r="D155" i="1"/>
  <c r="G155" i="1" s="1"/>
  <c r="D154" i="1"/>
  <c r="G154" i="1" s="1"/>
  <c r="D153" i="1"/>
  <c r="G153" i="1" s="1"/>
  <c r="D152" i="1"/>
  <c r="G152" i="1" s="1"/>
  <c r="I144" i="1"/>
  <c r="D147" i="1"/>
  <c r="G147" i="1" s="1"/>
  <c r="D148" i="1"/>
  <c r="G148" i="1" s="1"/>
  <c r="D149" i="1"/>
  <c r="G149" i="1" s="1"/>
  <c r="D145" i="1"/>
  <c r="G145" i="1" s="1"/>
  <c r="D144" i="1"/>
  <c r="G144" i="1" s="1"/>
  <c r="L144" i="1" s="1"/>
  <c r="D146" i="1"/>
  <c r="G146" i="1" s="1"/>
  <c r="D142" i="1"/>
  <c r="G142" i="1" s="1"/>
  <c r="D141" i="1"/>
  <c r="G141" i="1" s="1"/>
  <c r="D140" i="1"/>
  <c r="G140" i="1" s="1"/>
  <c r="D139" i="1"/>
  <c r="G139" i="1" s="1"/>
  <c r="D138" i="1"/>
  <c r="G138" i="1" s="1"/>
  <c r="D137" i="1"/>
  <c r="G137" i="1" s="1"/>
  <c r="D136" i="1"/>
  <c r="G136" i="1" s="1"/>
  <c r="D135" i="1"/>
  <c r="G135" i="1" s="1"/>
  <c r="D134" i="1"/>
  <c r="G134" i="1" s="1"/>
  <c r="D133" i="1"/>
  <c r="G133" i="1" s="1"/>
  <c r="D132" i="1"/>
  <c r="G132" i="1" s="1"/>
  <c r="D131" i="1"/>
  <c r="G131" i="1" s="1"/>
  <c r="D130" i="1"/>
  <c r="G130" i="1" s="1"/>
  <c r="D129" i="1"/>
  <c r="G129" i="1" s="1"/>
  <c r="H48" i="1"/>
  <c r="G112" i="1" l="1"/>
  <c r="G120" i="1"/>
  <c r="G117" i="1"/>
  <c r="G113" i="1"/>
  <c r="G119" i="1"/>
  <c r="G121" i="1"/>
  <c r="G122" i="1"/>
  <c r="G118" i="1"/>
  <c r="D117" i="1"/>
  <c r="C113" i="1"/>
  <c r="D112" i="1"/>
  <c r="D119" i="1"/>
  <c r="C117" i="1"/>
  <c r="C121" i="1"/>
  <c r="D113" i="1"/>
  <c r="D120" i="1"/>
  <c r="C118" i="1"/>
  <c r="C122" i="1"/>
  <c r="C112" i="1"/>
  <c r="D121" i="1"/>
  <c r="C119" i="1"/>
  <c r="D118" i="1"/>
  <c r="D122" i="1"/>
  <c r="C120" i="1"/>
  <c r="B7" i="2"/>
  <c r="G123" i="1" l="1"/>
  <c r="C114" i="1"/>
  <c r="C123" i="1"/>
  <c r="D123" i="1"/>
  <c r="G15" i="2"/>
  <c r="G16" i="2" s="1"/>
  <c r="C15" i="2" s="1"/>
  <c r="H15" i="2"/>
  <c r="B16" i="2" s="1"/>
  <c r="D6" i="2"/>
  <c r="C5" i="2"/>
  <c r="B12" i="2" s="1"/>
  <c r="D245" i="1"/>
  <c r="G114" i="1"/>
  <c r="D114" i="1"/>
  <c r="G109" i="1"/>
  <c r="D50" i="1"/>
  <c r="H47" i="1"/>
  <c r="C47" i="1"/>
  <c r="F42" i="1"/>
  <c r="F43" i="1" s="1"/>
  <c r="D52" i="1" s="1"/>
  <c r="F7" i="1"/>
  <c r="L114" i="1" l="1"/>
  <c r="B15" i="2"/>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<sst xmlns="http://schemas.openxmlformats.org/spreadsheetml/2006/main" count="690" uniqueCount="286">
  <si>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</si>
  <si>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</si>
  <si>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</si>
  <si>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</si>
  <si>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</si>
  <si>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</si>
  <si>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</si>
  <si>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</si>
  <si>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</si>
  <si>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</si>
  <si>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</si>
  <si>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</si>
  <si>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</si>
  <si>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</si>
  <si>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</si>
  <si>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</si>
  <si>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</si>
  <si>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</si>
  <si>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</si>
  <si>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</si>
  <si>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</si>
  <si>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</si>
  <si>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</si>
  <si>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</si>
  <si>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</si>
  <si>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</si>
  <si>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</si>
  <si>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</si>
  <si>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</si>
  <si>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</si>
  <si>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</si>
  <si>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</si>
  <si>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</si>
  <si>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</si>
  <si>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</si>
  <si>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</si>
  <si>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</si>
  <si>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</si>
  <si>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</si>
  <si>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</si>
  <si>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</si>
  <si>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</si>
  <si>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</si>
  <si>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</si>
  <si>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</si>
  <si>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</si>
  <si>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</si>
  <si>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</si>
  <si>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</si>
  <si>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</si>
  <si>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</si>
  <si>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</si>
  <si>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</si>
  <si>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</si>
  <si>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</si>
  <si>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</si>
  <si>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</si>
  <si>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</si>
  <si>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</si>
  <si>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</si>
  <si>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</si>
  <si>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</si>
  <si>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</si>
  <si>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</si>
  <si>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</si>
  <si>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</si>
  <si>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</si>
  <si>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</si>
  <si>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</si>
  <si>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</si>
  <si>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</si>
  <si>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</si>
  <si>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</si>
  <si>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</si>
  <si>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</si>
  <si>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</si>
  <si>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Society formation charges</t>
  </si>
  <si>
    <t xml:space="preserve">Recommended rate of Parking </t>
  </si>
  <si>
    <t>Development charges Per Sq. Ft.</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</si>
  <si>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</si>
  <si>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</si>
  <si>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</si>
  <si>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</si>
  <si>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</si>
  <si>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</si>
  <si>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</si>
  <si>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</si>
  <si>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</si>
  <si>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</si>
  <si>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</si>
  <si>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</si>
  <si>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</si>
  <si>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</si>
  <si>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</si>
  <si>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</si>
  <si>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</si>
  <si>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</si>
  <si>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</si>
  <si>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</si>
  <si>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</si>
  <si>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</si>
  <si>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</si>
  <si>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</si>
  <si>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</si>
  <si>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</si>
  <si>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</si>
  <si>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</si>
  <si>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</si>
  <si>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</si>
  <si>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</si>
  <si>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</si>
  <si>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</si>
  <si>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</si>
  <si>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</si>
  <si>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</si>
  <si>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</si>
  <si>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</si>
  <si>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</si>
  <si>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</si>
  <si>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</si>
  <si>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</si>
  <si>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</si>
  <si>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</si>
  <si>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</si>
  <si>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</si>
  <si>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</si>
  <si>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</si>
  <si>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</si>
  <si>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</si>
  <si>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</si>
  <si>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</si>
  <si>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</si>
  <si>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</si>
  <si>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</si>
  <si>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</si>
  <si>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</si>
  <si>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</si>
  <si>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</si>
  <si>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</si>
  <si>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</si>
  <si>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</si>
  <si>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</si>
  <si>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</si>
  <si>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</si>
  <si>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</si>
  <si>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</si>
  <si>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</si>
  <si>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</si>
  <si>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</si>
  <si>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</si>
  <si>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</si>
  <si>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</si>
  <si>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</si>
  <si>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</si>
  <si>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</si>
  <si>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</si>
  <si>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</si>
  <si>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</si>
  <si>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</si>
  <si>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</si>
  <si>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</si>
  <si>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</si>
  <si>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</si>
  <si>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</si>
  <si>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</si>
  <si>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</si>
  <si>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</si>
  <si>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</si>
  <si>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</si>
  <si>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</si>
  <si>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</si>
  <si>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</si>
  <si>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</si>
  <si>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</si>
  <si>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</si>
  <si>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</si>
  <si>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</si>
  <si>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</si>
  <si>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</si>
  <si>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</si>
  <si>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Axis Goregaon</t>
  </si>
  <si>
    <t>M/s.Dharmi Constructions</t>
  </si>
  <si>
    <t>Survey No</t>
  </si>
  <si>
    <t>56/2 PT</t>
  </si>
  <si>
    <t>Virathan (Khurd)</t>
  </si>
  <si>
    <t>Virathan Khurd Road</t>
  </si>
  <si>
    <t>Open Plot</t>
  </si>
  <si>
    <t>06 Buildings</t>
  </si>
  <si>
    <t>MAHASUL/KS.1/MJ1/NAP/SR/41/19</t>
  </si>
  <si>
    <t>25/04/2019.</t>
  </si>
  <si>
    <t>Building No.1</t>
  </si>
  <si>
    <t>Ground Floor is For Parking, Commercial &amp; Residential</t>
  </si>
  <si>
    <t>1BHK</t>
  </si>
  <si>
    <t>Shop</t>
  </si>
  <si>
    <t>Ground Floor</t>
  </si>
  <si>
    <t>2BHK</t>
  </si>
  <si>
    <t>1st, 2nd, 3rd &amp; 4th Floor</t>
  </si>
  <si>
    <t>Building No.2</t>
  </si>
  <si>
    <t>1RK</t>
  </si>
  <si>
    <t>Building No.3</t>
  </si>
  <si>
    <t>Ground Floor is For Parking &amp; Residential</t>
  </si>
  <si>
    <t>Building No.4</t>
  </si>
  <si>
    <t>Building No.5</t>
  </si>
  <si>
    <t>Building No.6</t>
  </si>
  <si>
    <r>
      <t xml:space="preserve">Flat/Shop No.
</t>
    </r>
    <r>
      <rPr>
        <b/>
        <sz val="11"/>
        <color indexed="8"/>
        <rFont val="Times New Roman"/>
        <family val="1"/>
      </rPr>
      <t>(As per Approved Plan)</t>
    </r>
  </si>
  <si>
    <t>No. of Shops</t>
  </si>
  <si>
    <t>No. of Flats</t>
  </si>
  <si>
    <t>Residential + Commercial</t>
  </si>
  <si>
    <t>Saphale West</t>
  </si>
  <si>
    <t>Z.P. School, Virathan</t>
  </si>
  <si>
    <t>Material laying at Site: Bricks, Cement &amp; Steel etc.</t>
  </si>
  <si>
    <t>Wheather the construction is as per approved Building plan : Under Construction</t>
  </si>
  <si>
    <r>
      <t xml:space="preserve">Proposed Amenities:                                                                                                                                                                                                                      </t>
    </r>
    <r>
      <rPr>
        <sz val="12"/>
        <rFont val="Times New Roman"/>
        <family val="1"/>
      </rPr>
      <t xml:space="preserve">   </t>
    </r>
    <r>
      <rPr>
        <b/>
        <sz val="12"/>
        <rFont val="Times New Roman"/>
        <family val="1"/>
      </rPr>
      <t xml:space="preserve">                                               </t>
    </r>
  </si>
  <si>
    <t>Samruddhi Residency</t>
  </si>
  <si>
    <t>150000/-</t>
  </si>
  <si>
    <t>09820390830 &amp; Deepak = 9527791019</t>
  </si>
  <si>
    <t>Pratiksha</t>
  </si>
  <si>
    <t>Market Research Data</t>
  </si>
  <si>
    <t>Source</t>
  </si>
  <si>
    <t>Distance from proposed property</t>
  </si>
  <si>
    <t>Net Carpet</t>
  </si>
  <si>
    <t>Saleable Area</t>
  </si>
  <si>
    <t>Rate on Saleable</t>
  </si>
  <si>
    <t>Market Value</t>
  </si>
  <si>
    <t>Magic Brick</t>
  </si>
  <si>
    <t>99 Acres</t>
  </si>
  <si>
    <t>Average</t>
  </si>
  <si>
    <t xml:space="preserve">Valuation Adopted </t>
  </si>
  <si>
    <t>magicabode</t>
  </si>
  <si>
    <t>Phase 1 - Building No.3, 4, 5 = P99000020901
Building No.1, 2, 6 = Not registerd on RERA</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</si>
  <si>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</si>
  <si>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</si>
  <si>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</si>
  <si>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</si>
  <si>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</si>
  <si>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</si>
  <si>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</si>
  <si>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</si>
  <si>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</si>
  <si>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</si>
  <si>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</si>
  <si>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</si>
  <si>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</si>
  <si>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</si>
  <si>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</si>
  <si>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</si>
  <si>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</si>
  <si>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</si>
  <si>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</si>
  <si>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</si>
  <si>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</si>
  <si>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</si>
  <si>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</si>
  <si>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</si>
  <si>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Blg No.1 To 6 = G + 1st to 4th Floor</t>
  </si>
  <si>
    <t xml:space="preserve"> Building No. 1, 2, 5 &amp; 6 = G + 1st to 4th Floor</t>
  </si>
  <si>
    <t xml:space="preserve"> Building No. 4 = G + 1st to 4th Floor</t>
  </si>
  <si>
    <t xml:space="preserve"> Building No. 3 = G + 1st to 4th Floor</t>
  </si>
  <si>
    <t>Site Meet Contect Details ( Name &amp; Contect No.)</t>
  </si>
  <si>
    <t>Flats = 167 &amp; 
shop = 20</t>
  </si>
  <si>
    <t xml:space="preserve">Commencement Certificate No.
Valid Up to: </t>
  </si>
  <si>
    <t>4.4 Km from Saphale Railway Station</t>
  </si>
  <si>
    <t>Building No.1 to 6
Building No.2
Building No.3
Building No.4
Building No.5
Building No.6</t>
  </si>
  <si>
    <t>3500 to 3800</t>
  </si>
  <si>
    <t>Cost sheet</t>
  </si>
  <si>
    <t>Rakesh</t>
  </si>
  <si>
    <t>Development Charges</t>
  </si>
  <si>
    <t>1,00,000/-</t>
  </si>
  <si>
    <t>72,500/-</t>
  </si>
  <si>
    <t>50000/-</t>
  </si>
  <si>
    <t>Location Link</t>
  </si>
  <si>
    <t>https://goo.gl/maps/56LkoaeqMMYtK1F89?coh=178572&amp;entry=tt</t>
  </si>
  <si>
    <t>Office No. 1031, Wing J, Akshar Business Park, Plot No. 03 Sector 25, Near APMC Market, Vashi, Navi Mumbai, Maharashtra 400703 TEL: 022-46090378/79/80                                                                                                                                      E mail : vsjcapf@gmail.com. Web site : www.vsjadon.com</t>
  </si>
  <si>
    <t>3800 to 3950</t>
  </si>
  <si>
    <t>Sanjay</t>
  </si>
  <si>
    <t>Nikhil</t>
  </si>
  <si>
    <t>1st to 3rd Floor Floor</t>
  </si>
  <si>
    <t>4th Floor</t>
  </si>
  <si>
    <t>Bldg No. 3 Flat No. 401 loading is change from 45% to 48%</t>
  </si>
  <si>
    <t>As per RERA = 29/05/2025</t>
  </si>
  <si>
    <t>Mr. Harish Rathod 9819029262</t>
  </si>
  <si>
    <t>Construction work is the same as last visit (dtd.11/11/2024), but work is in process at the time of the visit. (Slow Speed)</t>
  </si>
  <si>
    <t>Kunal Kadam</t>
  </si>
  <si>
    <t>Yadnesh Patil</t>
  </si>
  <si>
    <r>
      <t>1. Bldg no.1, 2, 5, 6 - Work not yet started.
    Bldg no. 3 &amp; 4 - Construction work is in process (Very Very slow Speed).
2. We considered Saleable area as per our calculation.
3. We considered Carpet area as per Approved Plan.
4. We considered Gross carpet area = Net carpet + Enclose balcony + C.B Area 
5. We have considered rate by verifying it from market inquire.
6. We have considered Other charges from cost sheet.
7. Car parking is subjected to authentic documentation.
8. Building No.1, 2, 6 are Not registerd on RERA.
9. Recommended Rates/Other Charges of the Property have been revised on 31/12/2023.
10. The project has received first CC on 25/04/2019, But Building No. 03 &amp; 04 construction work is not yet completed &amp; Building No 01, 02, 05 &amp; 06 Work not yet Started.</t>
    </r>
    <r>
      <rPr>
        <b/>
        <sz val="12"/>
        <color rgb="FFFF0000"/>
        <rFont val="Times New Roman"/>
        <family val="1"/>
      </rPr>
      <t xml:space="preserve">
11. As per RERA, completion period of project is expired on 29/05/2025, but still project is under construction.
</t>
    </r>
    <r>
      <rPr>
        <b/>
        <sz val="12"/>
        <rFont val="Times New Roman"/>
        <family val="1"/>
      </rPr>
      <t xml:space="preserve">12. As checked on RERA portal on date12/08/2025, we have observed that above project "Samruddhi Residency" is kept under abeyance. 
9. On site we met Mr. Ramesh Singh - 9136258508.
9. Building no.3 &amp; 4 - Construction work was stopped at the time of visit. Work same as last visit (24/05/2021) 9. Building no.1,2,5 &amp; 6 - Work not yet started.
</t>
    </r>
  </si>
  <si>
    <t>MAHASUL/KS.1/MJ1/NAP/SR/41/2019
Blg No.1 To 6 = G + 4th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</si>
</sst>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b/>
      <sz val="15"/>
      <color rgb="FFFF0000"/>
      <name val="Calibri"/>
      <family val="2"/>
    </font>
    <font>
      <sz val="11"/>
      <color rgb="FFFF0000"/>
      <name val="Calibri"/>
      <family val="2"/>
      <scheme val="minor"/>
    </font>
    <font>
      <sz val="11"/>
      <color rgb="FFFF0000"/>
      <name val="Calibri"/>
      <family val="2"/>
    </font>
    <font>
      <sz val="10"/>
      <name val="Arial"/>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xf numFmtId="0" fontId="4" fillId="0" borderId="0"/>
    <xf numFmtId="0" fontId="7" fillId="0" borderId="0"/>
    <xf numFmtId="0" fontId="3" fillId="0" borderId="0"/>
    <xf numFmtId="9" fontId="13" fillId="0" borderId="0" applyFont="0" applyFill="0" applyBorder="0" applyAlignment="0" applyProtection="0"/>
    <xf numFmtId="0" fontId="7" fillId="0" borderId="0"/>
    <xf numFmtId="0" fontId="2" fillId="0" borderId="0"/>
    <xf numFmtId="164" fontId="7" fillId="0" borderId="0" applyFont="0" applyFill="0" applyBorder="0" applyAlignment="0" applyProtection="0"/>
    <xf numFmtId="0" fontId="1" fillId="0" borderId="0"/>
    <xf numFmtId="0" fontId="1" fillId="0" borderId="0"/>
    <xf numFmtId="0" fontId="1" fillId="0" borderId="0"/>
    <xf numFmtId="0" fontId="24" fillId="0" borderId="0"/>
    <xf numFmtId="0" fontId="25" fillId="0" borderId="0" applyNumberFormat="0" applyFill="0" applyBorder="0" applyAlignment="0" applyProtection="0"/>
  </cellStyleXfs>
  <cellXfs count="249">
    <xf numFmtId="0" fontId="0" fillId="0" borderId="0" xfId="0"/>
    <xf numFmtId="0" fontId="9" fillId="0" borderId="0" xfId="0" applyFont="1" applyAlignment="1">
      <alignment horizontal="center" vertical="center"/>
    </xf>
    <xf numFmtId="1" fontId="10" fillId="0" borderId="4" xfId="1" applyNumberFormat="1" applyFont="1" applyBorder="1" applyAlignment="1">
      <alignment horizontal="center" vertical="top" wrapText="1"/>
    </xf>
    <xf numFmtId="0" fontId="9" fillId="0" borderId="0" xfId="1" applyFont="1" applyAlignment="1">
      <alignment horizontal="center" vertical="center"/>
    </xf>
    <xf numFmtId="1" fontId="8"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1" fillId="0" borderId="4" xfId="0" applyFont="1" applyBorder="1"/>
    <xf numFmtId="0" fontId="11" fillId="0" borderId="4" xfId="0" applyFont="1" applyBorder="1" applyAlignment="1">
      <alignment horizontal="center"/>
    </xf>
    <xf numFmtId="0" fontId="0" fillId="0" borderId="4" xfId="0" applyBorder="1"/>
    <xf numFmtId="0" fontId="12" fillId="0" borderId="4" xfId="0" applyFont="1" applyBorder="1" applyAlignment="1">
      <alignment horizontal="center" vertical="center"/>
    </xf>
    <xf numFmtId="0" fontId="9" fillId="0" borderId="4" xfId="0" applyFont="1" applyBorder="1" applyAlignment="1">
      <alignment horizontal="center" vertical="center"/>
    </xf>
    <xf numFmtId="0" fontId="9" fillId="0" borderId="0" xfId="1" applyFont="1"/>
    <xf numFmtId="0" fontId="8" fillId="2" borderId="4" xfId="1" applyFont="1" applyFill="1" applyBorder="1" applyAlignment="1">
      <alignment vertical="top"/>
    </xf>
    <xf numFmtId="0" fontId="8" fillId="0" borderId="0" xfId="2" applyFont="1"/>
    <xf numFmtId="1" fontId="5" fillId="0" borderId="4" xfId="1" applyNumberFormat="1" applyFont="1" applyBorder="1" applyAlignment="1">
      <alignment horizontal="center" vertical="top" wrapText="1"/>
    </xf>
    <xf numFmtId="0" fontId="9" fillId="0" borderId="0" xfId="0" applyFont="1"/>
    <xf numFmtId="0" fontId="10" fillId="0" borderId="0" xfId="1" applyFont="1" applyAlignment="1">
      <alignment vertical="top"/>
    </xf>
    <xf numFmtId="0" fontId="10" fillId="0" borderId="0" xfId="1" applyFont="1" applyAlignment="1">
      <alignment vertical="top" wrapText="1"/>
    </xf>
    <xf numFmtId="0" fontId="12" fillId="0" borderId="0" xfId="1" applyFont="1"/>
    <xf numFmtId="0" fontId="8" fillId="2" borderId="4" xfId="1" applyFont="1" applyFill="1" applyBorder="1" applyAlignment="1">
      <alignment horizontal="left" vertical="top"/>
    </xf>
    <xf numFmtId="0" fontId="18" fillId="0" borderId="0" xfId="0" applyFont="1"/>
    <xf numFmtId="0" fontId="18" fillId="0" borderId="4" xfId="0" applyFont="1" applyBorder="1"/>
    <xf numFmtId="0" fontId="19" fillId="0" borderId="4" xfId="0" applyFont="1" applyBorder="1" applyAlignment="1">
      <alignment horizontal="center"/>
    </xf>
    <xf numFmtId="0" fontId="19" fillId="0" borderId="0" xfId="0" applyFont="1" applyAlignment="1">
      <alignment horizontal="center"/>
    </xf>
    <xf numFmtId="0" fontId="18" fillId="3" borderId="4" xfId="0" applyFont="1" applyFill="1" applyBorder="1"/>
    <xf numFmtId="0" fontId="18" fillId="0" borderId="4" xfId="0" applyFont="1" applyBorder="1" applyAlignment="1">
      <alignment horizontal="center"/>
    </xf>
    <xf numFmtId="0" fontId="18" fillId="3" borderId="4" xfId="0" applyFont="1" applyFill="1" applyBorder="1" applyAlignment="1">
      <alignment horizontal="center"/>
    </xf>
    <xf numFmtId="9" fontId="18" fillId="0" borderId="0" xfId="4" applyFont="1" applyBorder="1"/>
    <xf numFmtId="0" fontId="17" fillId="0" borderId="4" xfId="0" applyFont="1" applyBorder="1" applyAlignment="1">
      <alignment horizontal="center"/>
    </xf>
    <xf numFmtId="0" fontId="18" fillId="0" borderId="0" xfId="0" applyFont="1" applyAlignment="1">
      <alignment wrapText="1"/>
    </xf>
    <xf numFmtId="0" fontId="18" fillId="0" borderId="13" xfId="0" applyFont="1" applyBorder="1"/>
    <xf numFmtId="0" fontId="18" fillId="0" borderId="4" xfId="0" applyFont="1" applyBorder="1" applyAlignment="1">
      <alignment wrapText="1"/>
    </xf>
    <xf numFmtId="9" fontId="18" fillId="0" borderId="4" xfId="4" applyFont="1" applyBorder="1"/>
    <xf numFmtId="9" fontId="18" fillId="0" borderId="0" xfId="0" applyNumberFormat="1" applyFont="1"/>
    <xf numFmtId="0" fontId="18" fillId="0" borderId="0" xfId="0" applyFont="1" applyAlignment="1">
      <alignment horizontal="right"/>
    </xf>
    <xf numFmtId="0" fontId="10" fillId="0" borderId="0" xfId="1" applyFont="1" applyAlignment="1">
      <alignment horizontal="center" vertical="top" wrapText="1"/>
    </xf>
    <xf numFmtId="1" fontId="15" fillId="0" borderId="4" xfId="1" applyNumberFormat="1" applyFont="1" applyBorder="1" applyAlignment="1">
      <alignment horizontal="center" vertical="center" wrapText="1"/>
    </xf>
    <xf numFmtId="1" fontId="9" fillId="0" borderId="4" xfId="0" applyNumberFormat="1" applyFont="1" applyBorder="1" applyAlignment="1">
      <alignment horizontal="center" vertical="center"/>
    </xf>
    <xf numFmtId="1" fontId="12" fillId="0" borderId="4" xfId="0" applyNumberFormat="1" applyFont="1" applyBorder="1" applyAlignment="1">
      <alignment horizontal="center" vertical="center"/>
    </xf>
    <xf numFmtId="0" fontId="15" fillId="0" borderId="0" xfId="1" applyFont="1"/>
    <xf numFmtId="0" fontId="21" fillId="0" borderId="0" xfId="0" applyFont="1"/>
    <xf numFmtId="14" fontId="0" fillId="0" borderId="0" xfId="0" applyNumberFormat="1"/>
    <xf numFmtId="14" fontId="7" fillId="0" borderId="0" xfId="5" applyNumberFormat="1"/>
    <xf numFmtId="0" fontId="7" fillId="0" borderId="0" xfId="5"/>
    <xf numFmtId="0" fontId="2" fillId="0" borderId="0" xfId="6"/>
    <xf numFmtId="0" fontId="11" fillId="0" borderId="4" xfId="6" applyFont="1" applyBorder="1" applyAlignment="1">
      <alignment horizontal="center" vertical="top" wrapText="1"/>
    </xf>
    <xf numFmtId="0" fontId="2" fillId="0" borderId="4" xfId="6" applyBorder="1" applyAlignment="1">
      <alignment horizontal="center" vertical="center"/>
    </xf>
    <xf numFmtId="0" fontId="2" fillId="0" borderId="4" xfId="6" applyBorder="1" applyAlignment="1">
      <alignment horizontal="left" vertical="center"/>
    </xf>
    <xf numFmtId="1" fontId="2" fillId="0" borderId="4" xfId="6" applyNumberFormat="1" applyBorder="1" applyAlignment="1">
      <alignment horizontal="center" vertical="center"/>
    </xf>
    <xf numFmtId="166" fontId="2" fillId="0" borderId="4" xfId="7" applyNumberFormat="1" applyFont="1" applyBorder="1" applyAlignment="1">
      <alignment horizontal="right" vertical="center"/>
    </xf>
    <xf numFmtId="0" fontId="2" fillId="0" borderId="4" xfId="6" applyBorder="1" applyAlignment="1">
      <alignment horizontal="left" vertical="center" wrapText="1"/>
    </xf>
    <xf numFmtId="0" fontId="11" fillId="0" borderId="4" xfId="6" applyFont="1" applyBorder="1" applyAlignment="1">
      <alignment horizontal="center" vertical="center"/>
    </xf>
    <xf numFmtId="1" fontId="22" fillId="0" borderId="4" xfId="6" applyNumberFormat="1" applyFont="1" applyBorder="1" applyAlignment="1">
      <alignment horizontal="center" vertical="center"/>
    </xf>
    <xf numFmtId="0" fontId="7" fillId="0" borderId="4" xfId="5" applyBorder="1" applyAlignment="1">
      <alignment horizontal="center" vertical="center"/>
    </xf>
    <xf numFmtId="0" fontId="23" fillId="0" borderId="0" xfId="5" applyFont="1"/>
    <xf numFmtId="0" fontId="1" fillId="0" borderId="0" xfId="10"/>
    <xf numFmtId="0" fontId="11" fillId="0" borderId="4" xfId="10" applyFont="1" applyBorder="1" applyAlignment="1">
      <alignment horizontal="center" vertical="top" wrapText="1"/>
    </xf>
    <xf numFmtId="0" fontId="1" fillId="0" borderId="4" xfId="10" applyBorder="1" applyAlignment="1">
      <alignment horizontal="center" vertical="center"/>
    </xf>
    <xf numFmtId="0" fontId="1" fillId="0" borderId="4" xfId="10" applyBorder="1" applyAlignment="1">
      <alignment horizontal="left" vertical="center"/>
    </xf>
    <xf numFmtId="1" fontId="1" fillId="0" borderId="4" xfId="10" applyNumberFormat="1" applyBorder="1" applyAlignment="1">
      <alignment horizontal="center" vertical="center"/>
    </xf>
    <xf numFmtId="166" fontId="1" fillId="0" borderId="4" xfId="7" applyNumberFormat="1" applyFont="1" applyBorder="1" applyAlignment="1">
      <alignment horizontal="right" vertical="center"/>
    </xf>
    <xf numFmtId="0" fontId="11" fillId="0" borderId="4" xfId="10" applyFont="1" applyBorder="1" applyAlignment="1">
      <alignment horizontal="center" vertical="center"/>
    </xf>
    <xf numFmtId="1" fontId="22" fillId="0" borderId="4" xfId="10" applyNumberFormat="1" applyFont="1" applyBorder="1" applyAlignment="1">
      <alignment horizontal="center" vertical="center"/>
    </xf>
    <xf numFmtId="0" fontId="9" fillId="0" borderId="0" xfId="1" applyFont="1" applyProtection="1">
      <protection hidden="1"/>
    </xf>
    <xf numFmtId="0" fontId="15" fillId="0" borderId="18" xfId="1" applyFont="1" applyBorder="1" applyAlignment="1" applyProtection="1">
      <alignment horizontal="center" vertical="top"/>
      <protection locked="0"/>
    </xf>
    <xf numFmtId="0" fontId="15" fillId="0" borderId="4" xfId="1" applyFont="1" applyBorder="1" applyAlignment="1" applyProtection="1">
      <alignment horizontal="center" vertical="top"/>
      <protection locked="0"/>
    </xf>
    <xf numFmtId="0" fontId="18" fillId="0" borderId="0" xfId="0" applyFont="1" applyProtection="1">
      <protection hidden="1"/>
    </xf>
    <xf numFmtId="1" fontId="0" fillId="0" borderId="0" xfId="0" applyNumberFormat="1"/>
    <xf numFmtId="1" fontId="0" fillId="0" borderId="0" xfId="0" applyNumberFormat="1" applyAlignment="1">
      <alignment horizontal="right"/>
    </xf>
    <xf numFmtId="0" fontId="15" fillId="0" borderId="1" xfId="1" applyFont="1" applyBorder="1" applyAlignment="1" applyProtection="1">
      <alignment horizontal="center" vertical="top"/>
      <protection locked="0"/>
    </xf>
    <xf numFmtId="0" fontId="15" fillId="0" borderId="4" xfId="1" applyFont="1" applyBorder="1" applyAlignment="1" applyProtection="1">
      <alignment horizontal="center" vertical="top" wrapText="1"/>
      <protection locked="0"/>
    </xf>
    <xf numFmtId="0" fontId="15" fillId="0" borderId="4" xfId="1" applyFont="1" applyBorder="1" applyAlignment="1" applyProtection="1">
      <alignment horizontal="center" wrapText="1"/>
      <protection locked="0"/>
    </xf>
    <xf numFmtId="1" fontId="15" fillId="0" borderId="4" xfId="1" applyNumberFormat="1" applyFont="1" applyBorder="1" applyAlignment="1" applyProtection="1">
      <alignment horizontal="center" wrapText="1"/>
      <protection locked="0"/>
    </xf>
    <xf numFmtId="0" fontId="15" fillId="0" borderId="23" xfId="1" applyFont="1" applyBorder="1" applyAlignment="1" applyProtection="1">
      <alignment horizontal="center" wrapText="1"/>
      <protection locked="0"/>
    </xf>
    <xf numFmtId="0" fontId="9" fillId="3" borderId="0" xfId="1" applyFont="1" applyFill="1"/>
    <xf numFmtId="14" fontId="9" fillId="3" borderId="0" xfId="1" applyNumberFormat="1" applyFont="1" applyFill="1"/>
    <xf numFmtId="1" fontId="9" fillId="0" borderId="0" xfId="0" applyNumberFormat="1" applyFont="1" applyAlignment="1">
      <alignment horizontal="center" vertical="center"/>
    </xf>
    <xf numFmtId="0" fontId="9" fillId="3" borderId="11" xfId="1" applyFont="1" applyFill="1" applyBorder="1" applyAlignment="1">
      <alignment horizontal="center"/>
    </xf>
    <xf numFmtId="0" fontId="9" fillId="3" borderId="0" xfId="1" applyFont="1" applyFill="1" applyAlignment="1">
      <alignment horizontal="center"/>
    </xf>
    <xf numFmtId="14" fontId="9" fillId="0" borderId="0" xfId="1" applyNumberFormat="1" applyFont="1"/>
    <xf numFmtId="1" fontId="8" fillId="0" borderId="1"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0" fontId="9" fillId="3" borderId="11" xfId="1" applyFont="1" applyFill="1" applyBorder="1" applyAlignment="1">
      <alignment horizontal="center"/>
    </xf>
    <xf numFmtId="0" fontId="9" fillId="3" borderId="0" xfId="1" applyFont="1" applyFill="1" applyAlignment="1">
      <alignment horizontal="center"/>
    </xf>
    <xf numFmtId="0" fontId="8" fillId="0" borderId="1"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2" borderId="3" xfId="1" applyFont="1" applyFill="1" applyBorder="1" applyAlignment="1">
      <alignment horizontal="left" vertical="top" wrapText="1"/>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8" fillId="0" borderId="1"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2"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1" fontId="10" fillId="0" borderId="1" xfId="1" applyNumberFormat="1" applyFont="1" applyBorder="1" applyAlignment="1">
      <alignment horizontal="center" vertical="center" wrapText="1"/>
    </xf>
    <xf numFmtId="1" fontId="10" fillId="0" borderId="2" xfId="1" applyNumberFormat="1" applyFont="1" applyBorder="1" applyAlignment="1">
      <alignment horizontal="center" vertical="center" wrapText="1"/>
    </xf>
    <xf numFmtId="1" fontId="10" fillId="0" borderId="3" xfId="1"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15" fillId="0" borderId="18"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9" fontId="15" fillId="2" borderId="4" xfId="1" applyNumberFormat="1" applyFont="1" applyFill="1" applyBorder="1" applyAlignment="1" applyProtection="1">
      <alignment horizontal="center" vertical="center" wrapText="1"/>
      <protection hidden="1"/>
    </xf>
    <xf numFmtId="9" fontId="15" fillId="2" borderId="23" xfId="1" applyNumberFormat="1" applyFont="1" applyFill="1" applyBorder="1" applyAlignment="1" applyProtection="1">
      <alignment horizontal="center" vertical="center" wrapText="1"/>
      <protection hidden="1"/>
    </xf>
    <xf numFmtId="9" fontId="15" fillId="2" borderId="19" xfId="1" applyNumberFormat="1" applyFont="1" applyFill="1" applyBorder="1" applyAlignment="1" applyProtection="1">
      <alignment horizontal="center" vertical="center" wrapText="1"/>
      <protection hidden="1"/>
    </xf>
    <xf numFmtId="9" fontId="15" fillId="2" borderId="24" xfId="1" applyNumberFormat="1" applyFont="1" applyFill="1" applyBorder="1" applyAlignment="1" applyProtection="1">
      <alignment horizontal="center" vertical="center" wrapText="1"/>
      <protection hidden="1"/>
    </xf>
    <xf numFmtId="0" fontId="15" fillId="0" borderId="18" xfId="1" applyFont="1" applyBorder="1" applyAlignment="1" applyProtection="1">
      <alignment horizontal="center" vertical="top"/>
      <protection locked="0"/>
    </xf>
    <xf numFmtId="0" fontId="15" fillId="0" borderId="1" xfId="1" applyFont="1" applyBorder="1" applyAlignment="1" applyProtection="1">
      <alignment horizontal="center" vertical="top"/>
      <protection locked="0"/>
    </xf>
    <xf numFmtId="0" fontId="15" fillId="0" borderId="21" xfId="1" applyFont="1" applyBorder="1" applyAlignment="1" applyProtection="1">
      <alignment horizontal="center" vertical="top" wrapText="1"/>
      <protection locked="0"/>
    </xf>
    <xf numFmtId="0" fontId="15" fillId="0" borderId="22" xfId="1" applyFont="1" applyBorder="1" applyAlignment="1" applyProtection="1">
      <alignment horizontal="center" vertical="top" wrapText="1"/>
      <protection locked="0"/>
    </xf>
    <xf numFmtId="0" fontId="16" fillId="0" borderId="14" xfId="1" applyFont="1" applyBorder="1" applyAlignment="1" applyProtection="1">
      <alignment horizontal="center" vertical="top" wrapText="1"/>
      <protection locked="0"/>
    </xf>
    <xf numFmtId="0" fontId="16" fillId="0" borderId="15" xfId="1" applyFont="1" applyBorder="1" applyAlignment="1" applyProtection="1">
      <alignment horizontal="center" vertical="top" wrapText="1"/>
      <protection locked="0"/>
    </xf>
    <xf numFmtId="0" fontId="16" fillId="0" borderId="16" xfId="1" applyFont="1" applyBorder="1" applyAlignment="1" applyProtection="1">
      <alignment horizontal="left" vertical="top" wrapText="1"/>
      <protection locked="0"/>
    </xf>
    <xf numFmtId="0" fontId="16" fillId="0" borderId="17" xfId="1" applyFont="1" applyBorder="1" applyAlignment="1" applyProtection="1">
      <alignment horizontal="left" vertical="top" wrapText="1"/>
      <protection locked="0"/>
    </xf>
    <xf numFmtId="0" fontId="15" fillId="0" borderId="4" xfId="1" applyFont="1" applyBorder="1" applyAlignment="1" applyProtection="1">
      <alignment horizontal="center" vertical="top"/>
      <protection locked="0"/>
    </xf>
    <xf numFmtId="0" fontId="15" fillId="0" borderId="19" xfId="1" applyFont="1" applyBorder="1" applyAlignment="1" applyProtection="1">
      <alignment horizontal="center" vertical="top"/>
      <protection locked="0"/>
    </xf>
    <xf numFmtId="0" fontId="16" fillId="0" borderId="18" xfId="1" applyFont="1" applyBorder="1" applyAlignment="1" applyProtection="1">
      <alignment horizontal="left" vertical="top"/>
      <protection locked="0"/>
    </xf>
    <xf numFmtId="0" fontId="16" fillId="0" borderId="1" xfId="1" applyFont="1" applyBorder="1" applyAlignment="1" applyProtection="1">
      <alignment horizontal="left" vertical="top"/>
      <protection locked="0"/>
    </xf>
    <xf numFmtId="0" fontId="16" fillId="0" borderId="4" xfId="1" applyFont="1" applyBorder="1" applyAlignment="1" applyProtection="1">
      <alignment horizontal="left" vertical="top" wrapText="1"/>
      <protection locked="0"/>
    </xf>
    <xf numFmtId="0" fontId="16" fillId="0" borderId="19" xfId="1" applyFont="1" applyBorder="1" applyAlignment="1" applyProtection="1">
      <alignment horizontal="left" vertical="top" wrapText="1"/>
      <protection locked="0"/>
    </xf>
    <xf numFmtId="0" fontId="15" fillId="0" borderId="20" xfId="1" applyFont="1" applyBorder="1" applyAlignment="1" applyProtection="1">
      <alignment horizontal="center" vertical="top" wrapText="1"/>
      <protection locked="0"/>
    </xf>
    <xf numFmtId="0" fontId="15" fillId="0" borderId="2" xfId="1" applyFont="1" applyBorder="1" applyAlignment="1" applyProtection="1">
      <alignment horizontal="center" vertical="top" wrapText="1"/>
      <protection locked="0"/>
    </xf>
    <xf numFmtId="0" fontId="15" fillId="0" borderId="4" xfId="1" applyFont="1" applyBorder="1" applyAlignment="1" applyProtection="1">
      <alignment horizontal="center" vertical="top" wrapText="1"/>
      <protection locked="0"/>
    </xf>
    <xf numFmtId="0" fontId="15" fillId="0" borderId="19" xfId="1" applyFont="1" applyBorder="1" applyAlignment="1" applyProtection="1">
      <alignment horizontal="center" vertical="top" wrapText="1"/>
      <protection locked="0"/>
    </xf>
    <xf numFmtId="0" fontId="10" fillId="0" borderId="5" xfId="1" applyFont="1" applyBorder="1" applyAlignment="1">
      <alignment horizontal="center" vertical="top" wrapText="1"/>
    </xf>
    <xf numFmtId="0" fontId="10" fillId="0" borderId="6" xfId="1" applyFont="1" applyBorder="1" applyAlignment="1">
      <alignment horizontal="center" vertical="top" wrapText="1"/>
    </xf>
    <xf numFmtId="0" fontId="10" fillId="0" borderId="7" xfId="1" applyFont="1" applyBorder="1" applyAlignment="1">
      <alignment horizontal="center" vertical="top" wrapText="1"/>
    </xf>
    <xf numFmtId="0" fontId="10" fillId="0" borderId="11" xfId="1" applyFont="1" applyBorder="1" applyAlignment="1">
      <alignment horizontal="center" vertical="top" wrapText="1"/>
    </xf>
    <xf numFmtId="0" fontId="10" fillId="0" borderId="0" xfId="1" applyFont="1" applyAlignment="1">
      <alignment horizontal="center" vertical="top" wrapText="1"/>
    </xf>
    <xf numFmtId="0" fontId="10" fillId="0" borderId="12" xfId="1" applyFont="1" applyBorder="1" applyAlignment="1">
      <alignment horizontal="center" vertical="top" wrapText="1"/>
    </xf>
    <xf numFmtId="0" fontId="10" fillId="0" borderId="8" xfId="1" applyFont="1" applyBorder="1" applyAlignment="1">
      <alignment horizontal="center" vertical="top" wrapText="1"/>
    </xf>
    <xf numFmtId="0" fontId="10" fillId="0" borderId="9" xfId="1" applyFont="1" applyBorder="1" applyAlignment="1">
      <alignment horizontal="center" vertical="top" wrapText="1"/>
    </xf>
    <xf numFmtId="0" fontId="10" fillId="0" borderId="10" xfId="1" applyFont="1" applyBorder="1" applyAlignment="1">
      <alignment horizontal="center" vertical="top" wrapText="1"/>
    </xf>
    <xf numFmtId="0" fontId="6" fillId="0" borderId="4" xfId="1" applyFont="1" applyBorder="1" applyAlignment="1">
      <alignment horizontal="center" vertical="top" wrapText="1"/>
    </xf>
    <xf numFmtId="0" fontId="20" fillId="0" borderId="4" xfId="1" applyFont="1" applyBorder="1" applyAlignment="1">
      <alignment horizontal="center" vertical="top" wrapText="1"/>
    </xf>
    <xf numFmtId="0" fontId="16" fillId="0" borderId="1" xfId="1" applyFont="1" applyBorder="1" applyAlignment="1">
      <alignment horizontal="left" vertical="top"/>
    </xf>
    <xf numFmtId="0" fontId="16" fillId="0" borderId="3" xfId="1" applyFont="1" applyBorder="1" applyAlignment="1">
      <alignment horizontal="left" vertical="top"/>
    </xf>
    <xf numFmtId="0" fontId="16" fillId="0" borderId="1" xfId="1" applyFont="1" applyBorder="1" applyAlignment="1">
      <alignment horizontal="left" vertical="top" wrapText="1"/>
    </xf>
    <xf numFmtId="0" fontId="16" fillId="0" borderId="2" xfId="1" applyFont="1" applyBorder="1" applyAlignment="1">
      <alignment horizontal="left" vertical="top" wrapText="1"/>
    </xf>
    <xf numFmtId="0" fontId="16" fillId="0" borderId="3" xfId="1" applyFont="1" applyBorder="1" applyAlignment="1">
      <alignment horizontal="left" vertical="top" wrapText="1"/>
    </xf>
    <xf numFmtId="0" fontId="15" fillId="0" borderId="1" xfId="1" applyFont="1" applyBorder="1" applyAlignment="1">
      <alignment horizontal="left" vertical="top"/>
    </xf>
    <xf numFmtId="0" fontId="15" fillId="0" borderId="2" xfId="1" applyFont="1" applyBorder="1" applyAlignment="1">
      <alignment horizontal="left" vertical="top"/>
    </xf>
    <xf numFmtId="0" fontId="15" fillId="0" borderId="3" xfId="1" applyFont="1" applyBorder="1" applyAlignment="1">
      <alignment horizontal="left" vertical="top"/>
    </xf>
    <xf numFmtId="0" fontId="15" fillId="2" borderId="1" xfId="1" applyFont="1" applyFill="1" applyBorder="1" applyAlignment="1">
      <alignment horizontal="left" vertical="top"/>
    </xf>
    <xf numFmtId="0" fontId="15" fillId="2" borderId="2" xfId="1" applyFont="1" applyFill="1" applyBorder="1" applyAlignment="1">
      <alignment horizontal="left" vertical="top"/>
    </xf>
    <xf numFmtId="0" fontId="15" fillId="2" borderId="3" xfId="1" applyFont="1" applyFill="1" applyBorder="1" applyAlignment="1">
      <alignment horizontal="left" vertical="top"/>
    </xf>
    <xf numFmtId="0" fontId="10" fillId="0" borderId="1" xfId="1" applyFont="1" applyBorder="1" applyAlignment="1">
      <alignment horizontal="left" vertical="top"/>
    </xf>
    <xf numFmtId="0" fontId="10" fillId="0" borderId="2" xfId="1" applyFont="1" applyBorder="1" applyAlignment="1">
      <alignment horizontal="left" vertical="top"/>
    </xf>
    <xf numFmtId="0" fontId="10" fillId="0" borderId="3" xfId="1" applyFont="1" applyBorder="1" applyAlignment="1">
      <alignment horizontal="left" vertical="top"/>
    </xf>
    <xf numFmtId="0" fontId="10" fillId="2" borderId="1" xfId="1" applyFont="1" applyFill="1" applyBorder="1" applyAlignment="1">
      <alignment horizontal="left" vertical="top"/>
    </xf>
    <xf numFmtId="0" fontId="10" fillId="2" borderId="2" xfId="1" applyFont="1" applyFill="1" applyBorder="1" applyAlignment="1">
      <alignment horizontal="left" vertical="top"/>
    </xf>
    <xf numFmtId="0" fontId="10" fillId="2" borderId="3" xfId="1" applyFont="1" applyFill="1" applyBorder="1" applyAlignment="1">
      <alignment horizontal="left" vertical="top"/>
    </xf>
    <xf numFmtId="1" fontId="10" fillId="0" borderId="3" xfId="0" applyNumberFormat="1" applyFont="1" applyBorder="1" applyAlignment="1">
      <alignment horizontal="center" vertical="center" wrapText="1"/>
    </xf>
    <xf numFmtId="0" fontId="8" fillId="2" borderId="1" xfId="1" applyFont="1" applyFill="1" applyBorder="1" applyAlignment="1">
      <alignment horizontal="left" vertical="top"/>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8" fillId="0" borderId="4" xfId="1" applyFont="1" applyBorder="1" applyAlignment="1">
      <alignment horizontal="left" vertical="top"/>
    </xf>
    <xf numFmtId="0" fontId="8" fillId="0" borderId="5" xfId="1" applyFont="1" applyBorder="1" applyAlignment="1">
      <alignment horizontal="left" vertical="top" wrapText="1"/>
    </xf>
    <xf numFmtId="0" fontId="8" fillId="0" borderId="7" xfId="1" applyFont="1" applyBorder="1" applyAlignment="1">
      <alignment horizontal="left" vertical="top" wrapText="1"/>
    </xf>
    <xf numFmtId="0" fontId="9" fillId="0" borderId="4" xfId="1" applyFont="1" applyBorder="1" applyAlignment="1">
      <alignment horizontal="left"/>
    </xf>
    <xf numFmtId="0" fontId="9" fillId="0" borderId="1" xfId="1" applyFont="1" applyBorder="1" applyAlignment="1">
      <alignment horizontal="center" vertical="top"/>
    </xf>
    <xf numFmtId="0" fontId="9" fillId="0" borderId="3" xfId="1" applyFont="1" applyBorder="1" applyAlignment="1">
      <alignment horizontal="center" vertical="top"/>
    </xf>
    <xf numFmtId="0" fontId="8" fillId="0" borderId="1" xfId="1" applyFont="1" applyBorder="1" applyAlignment="1">
      <alignment horizontal="center" vertical="top"/>
    </xf>
    <xf numFmtId="0" fontId="8" fillId="0" borderId="3" xfId="1" applyFont="1" applyBorder="1" applyAlignment="1">
      <alignment horizontal="center" vertical="top"/>
    </xf>
    <xf numFmtId="165" fontId="8" fillId="0" borderId="1" xfId="1" applyNumberFormat="1" applyFont="1" applyBorder="1" applyAlignment="1">
      <alignment horizontal="left" vertical="top"/>
    </xf>
    <xf numFmtId="165" fontId="8" fillId="0" borderId="2" xfId="1" applyNumberFormat="1" applyFont="1" applyBorder="1" applyAlignment="1">
      <alignment horizontal="left" vertical="top"/>
    </xf>
    <xf numFmtId="165" fontId="8" fillId="0" borderId="3" xfId="1" applyNumberFormat="1" applyFont="1" applyBorder="1" applyAlignment="1">
      <alignment horizontal="left" vertical="top"/>
    </xf>
    <xf numFmtId="0" fontId="15" fillId="0" borderId="1" xfId="1" applyFont="1" applyBorder="1" applyAlignment="1" applyProtection="1">
      <alignment horizontal="left" vertical="center" wrapText="1"/>
      <protection locked="0"/>
    </xf>
    <xf numFmtId="0" fontId="15" fillId="0" borderId="2" xfId="1" applyFont="1" applyBorder="1" applyAlignment="1" applyProtection="1">
      <alignment horizontal="left" vertical="center" wrapText="1"/>
      <protection locked="0"/>
    </xf>
    <xf numFmtId="0" fontId="15" fillId="0" borderId="3" xfId="1" applyFont="1" applyBorder="1" applyAlignment="1" applyProtection="1">
      <alignment horizontal="left" vertical="center" wrapText="1"/>
      <protection locked="0"/>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14" fillId="0" borderId="1" xfId="1" applyFont="1" applyBorder="1" applyAlignment="1">
      <alignment horizontal="center" vertical="top" wrapText="1"/>
    </xf>
    <xf numFmtId="0" fontId="14" fillId="0" borderId="2" xfId="1" applyFont="1" applyBorder="1" applyAlignment="1">
      <alignment horizontal="center" vertical="top" wrapText="1"/>
    </xf>
    <xf numFmtId="0" fontId="14" fillId="0" borderId="3" xfId="1" applyFont="1" applyBorder="1" applyAlignment="1">
      <alignment horizontal="center" vertical="top" wrapText="1"/>
    </xf>
    <xf numFmtId="0" fontId="10" fillId="0" borderId="1" xfId="1" applyFont="1" applyBorder="1" applyAlignment="1">
      <alignment horizontal="center" vertical="top"/>
    </xf>
    <xf numFmtId="0" fontId="10" fillId="0" borderId="2" xfId="1" applyFont="1" applyBorder="1" applyAlignment="1">
      <alignment horizontal="center" vertical="top"/>
    </xf>
    <xf numFmtId="0" fontId="10" fillId="0" borderId="3" xfId="1" applyFont="1" applyBorder="1" applyAlignment="1">
      <alignment horizontal="center" vertical="top"/>
    </xf>
    <xf numFmtId="14" fontId="8" fillId="0" borderId="1" xfId="1" applyNumberFormat="1" applyFont="1" applyBorder="1" applyAlignment="1">
      <alignment horizontal="left" vertical="top"/>
    </xf>
    <xf numFmtId="14" fontId="8" fillId="0" borderId="2" xfId="1" applyNumberFormat="1" applyFont="1" applyBorder="1" applyAlignment="1">
      <alignment horizontal="left" vertical="top"/>
    </xf>
    <xf numFmtId="14" fontId="8" fillId="0" borderId="3" xfId="1" applyNumberFormat="1" applyFont="1" applyBorder="1" applyAlignment="1">
      <alignment horizontal="left" vertical="top"/>
    </xf>
    <xf numFmtId="0" fontId="9" fillId="0" borderId="1"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9" fillId="0" borderId="3" xfId="1" applyFont="1" applyBorder="1" applyAlignment="1" applyProtection="1">
      <alignment horizontal="left" vertical="center" wrapText="1"/>
      <protection locked="0"/>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8" fillId="0" borderId="4" xfId="1" applyFont="1" applyBorder="1" applyAlignment="1">
      <alignment horizontal="left" vertical="top" wrapText="1"/>
    </xf>
    <xf numFmtId="0" fontId="10" fillId="0" borderId="4" xfId="1" applyFont="1" applyBorder="1" applyAlignment="1">
      <alignment horizontal="left" vertical="top" wrapText="1"/>
    </xf>
    <xf numFmtId="0" fontId="8" fillId="2" borderId="4" xfId="1" applyFont="1" applyFill="1" applyBorder="1" applyAlignment="1">
      <alignment horizontal="left" vertical="top"/>
    </xf>
    <xf numFmtId="0" fontId="8" fillId="0" borderId="6" xfId="1" applyFont="1" applyBorder="1" applyAlignment="1">
      <alignment horizontal="left" vertical="top" wrapText="1"/>
    </xf>
    <xf numFmtId="0" fontId="8" fillId="0" borderId="10" xfId="1" applyFont="1" applyBorder="1" applyAlignment="1">
      <alignment horizontal="left" vertical="top" wrapText="1"/>
    </xf>
    <xf numFmtId="0" fontId="8" fillId="0" borderId="5" xfId="1" applyFont="1" applyBorder="1" applyAlignment="1">
      <alignment horizontal="left" vertical="top"/>
    </xf>
    <xf numFmtId="0" fontId="8" fillId="0" borderId="6" xfId="1" applyFont="1" applyBorder="1" applyAlignment="1">
      <alignment horizontal="left" vertical="top"/>
    </xf>
    <xf numFmtId="0" fontId="8" fillId="0" borderId="7" xfId="1" applyFont="1" applyBorder="1" applyAlignment="1">
      <alignment horizontal="left" vertical="top"/>
    </xf>
    <xf numFmtId="0" fontId="8" fillId="0" borderId="8" xfId="1" applyFont="1" applyBorder="1" applyAlignment="1">
      <alignment horizontal="left" vertical="top"/>
    </xf>
    <xf numFmtId="0" fontId="8" fillId="0" borderId="9" xfId="1" applyFont="1" applyBorder="1" applyAlignment="1">
      <alignment horizontal="left" vertical="top"/>
    </xf>
    <xf numFmtId="0" fontId="8" fillId="0" borderId="10" xfId="1" applyFont="1" applyBorder="1" applyAlignment="1">
      <alignment horizontal="left" vertical="top"/>
    </xf>
    <xf numFmtId="0" fontId="8" fillId="0" borderId="4" xfId="1" applyFont="1" applyBorder="1" applyAlignment="1">
      <alignment horizontal="center" vertical="top"/>
    </xf>
    <xf numFmtId="0" fontId="9" fillId="0" borderId="3" xfId="1" applyFont="1" applyBorder="1" applyAlignment="1">
      <alignment horizontal="left"/>
    </xf>
    <xf numFmtId="165" fontId="8" fillId="0" borderId="1" xfId="1" applyNumberFormat="1" applyFont="1" applyBorder="1" applyAlignment="1">
      <alignment horizontal="left" vertical="top" wrapText="1"/>
    </xf>
    <xf numFmtId="165" fontId="8" fillId="0" borderId="2" xfId="1" applyNumberFormat="1" applyFont="1" applyBorder="1" applyAlignment="1">
      <alignment horizontal="left" vertical="top" wrapText="1"/>
    </xf>
    <xf numFmtId="165" fontId="8" fillId="0" borderId="3" xfId="1" applyNumberFormat="1" applyFont="1" applyBorder="1" applyAlignment="1">
      <alignment horizontal="left" vertical="top" wrapText="1"/>
    </xf>
    <xf numFmtId="0" fontId="10" fillId="0" borderId="1" xfId="1" applyFont="1" applyBorder="1" applyAlignment="1">
      <alignment vertical="top"/>
    </xf>
    <xf numFmtId="0" fontId="10" fillId="0" borderId="2" xfId="1" applyFont="1" applyBorder="1" applyAlignment="1">
      <alignment vertical="top"/>
    </xf>
    <xf numFmtId="0" fontId="10" fillId="0" borderId="3" xfId="1" applyFont="1" applyBorder="1" applyAlignment="1">
      <alignment vertical="top"/>
    </xf>
    <xf numFmtId="0" fontId="15" fillId="0" borderId="1" xfId="1" applyFont="1" applyBorder="1" applyAlignment="1">
      <alignment horizontal="center" vertical="top"/>
    </xf>
    <xf numFmtId="0" fontId="15" fillId="0" borderId="3" xfId="1" applyFont="1" applyBorder="1" applyAlignment="1">
      <alignment horizontal="center" vertical="top"/>
    </xf>
    <xf numFmtId="0" fontId="15" fillId="0" borderId="1" xfId="1" applyFont="1" applyBorder="1" applyAlignment="1">
      <alignment horizontal="center" vertical="top" wrapText="1"/>
    </xf>
    <xf numFmtId="0" fontId="15" fillId="0" borderId="3" xfId="1" applyFont="1" applyBorder="1" applyAlignment="1">
      <alignment horizontal="center" vertical="top" wrapText="1"/>
    </xf>
    <xf numFmtId="1" fontId="10" fillId="0" borderId="1" xfId="0" applyNumberFormat="1" applyFont="1" applyBorder="1" applyAlignment="1">
      <alignment horizontal="center" vertical="top" wrapText="1"/>
    </xf>
    <xf numFmtId="1" fontId="10" fillId="0" borderId="3" xfId="0" applyNumberFormat="1" applyFont="1" applyBorder="1" applyAlignment="1">
      <alignment horizontal="center" vertical="top" wrapText="1"/>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1" fontId="10" fillId="0" borderId="2" xfId="0" applyNumberFormat="1" applyFont="1" applyBorder="1" applyAlignment="1">
      <alignment horizontal="center" vertical="top" wrapText="1"/>
    </xf>
    <xf numFmtId="1" fontId="16" fillId="0" borderId="1" xfId="0" applyNumberFormat="1" applyFont="1" applyBorder="1" applyAlignment="1">
      <alignment horizontal="center" vertical="top" wrapText="1"/>
    </xf>
    <xf numFmtId="1" fontId="16" fillId="0" borderId="2" xfId="0" applyNumberFormat="1" applyFont="1" applyBorder="1" applyAlignment="1">
      <alignment horizontal="center" vertical="top" wrapText="1"/>
    </xf>
    <xf numFmtId="1" fontId="16" fillId="0" borderId="3" xfId="0" applyNumberFormat="1" applyFont="1" applyBorder="1" applyAlignment="1">
      <alignment horizontal="center" vertical="top" wrapText="1"/>
    </xf>
    <xf numFmtId="1" fontId="10" fillId="0" borderId="1" xfId="1" applyNumberFormat="1" applyFont="1" applyBorder="1" applyAlignment="1">
      <alignment horizontal="center" vertical="top" wrapText="1"/>
    </xf>
    <xf numFmtId="1" fontId="10" fillId="0" borderId="3" xfId="1" applyNumberFormat="1" applyFont="1" applyBorder="1" applyAlignment="1">
      <alignment horizontal="center" vertical="top" wrapText="1"/>
    </xf>
    <xf numFmtId="1" fontId="8" fillId="0" borderId="5" xfId="1" applyNumberFormat="1" applyFont="1" applyBorder="1" applyAlignment="1">
      <alignment horizontal="center" vertical="center" wrapText="1"/>
    </xf>
    <xf numFmtId="1" fontId="8" fillId="0" borderId="7" xfId="1" applyNumberFormat="1" applyFont="1" applyBorder="1" applyAlignment="1">
      <alignment horizontal="center" vertical="center" wrapText="1"/>
    </xf>
    <xf numFmtId="1" fontId="8" fillId="0" borderId="11" xfId="1" applyNumberFormat="1" applyFont="1" applyBorder="1" applyAlignment="1">
      <alignment horizontal="center" vertical="center" wrapText="1"/>
    </xf>
    <xf numFmtId="1" fontId="8" fillId="0" borderId="12" xfId="1" applyNumberFormat="1" applyFont="1" applyBorder="1" applyAlignment="1">
      <alignment horizontal="center" vertical="center" wrapText="1"/>
    </xf>
    <xf numFmtId="1" fontId="8" fillId="0" borderId="8" xfId="1" applyNumberFormat="1" applyFont="1" applyBorder="1" applyAlignment="1">
      <alignment horizontal="center" vertical="center" wrapText="1"/>
    </xf>
    <xf numFmtId="1" fontId="8" fillId="0" borderId="10" xfId="1" applyNumberFormat="1" applyFont="1" applyBorder="1" applyAlignment="1">
      <alignment horizontal="center" vertical="center" wrapText="1"/>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1" fontId="10" fillId="0" borderId="4" xfId="0" applyNumberFormat="1" applyFont="1" applyBorder="1" applyAlignment="1">
      <alignment horizontal="left" vertical="top" wrapText="1"/>
    </xf>
    <xf numFmtId="0" fontId="16" fillId="0" borderId="4" xfId="2" applyFont="1" applyBorder="1" applyAlignment="1">
      <alignment horizontal="left" vertical="top" wrapText="1"/>
    </xf>
    <xf numFmtId="0" fontId="25" fillId="0" borderId="1" xfId="12" applyFill="1" applyBorder="1" applyAlignment="1">
      <alignment horizontal="center" vertical="top"/>
    </xf>
    <xf numFmtId="0" fontId="8" fillId="0" borderId="2" xfId="1" applyFont="1" applyBorder="1" applyAlignment="1">
      <alignment horizontal="center" vertical="top"/>
    </xf>
    <xf numFmtId="0" fontId="18" fillId="0" borderId="4" xfId="0" applyFont="1" applyBorder="1" applyAlignment="1">
      <alignment horizontal="left"/>
    </xf>
    <xf numFmtId="0" fontId="18" fillId="0" borderId="4" xfId="0" applyFont="1" applyBorder="1" applyAlignment="1">
      <alignment horizontal="center"/>
    </xf>
    <xf numFmtId="0" fontId="18" fillId="3" borderId="4" xfId="0" applyFont="1" applyFill="1" applyBorder="1" applyAlignment="1">
      <alignment horizontal="center"/>
    </xf>
    <xf numFmtId="0" fontId="17" fillId="0" borderId="4" xfId="0" applyFont="1" applyBorder="1" applyAlignment="1">
      <alignment horizontal="center"/>
    </xf>
    <xf numFmtId="0" fontId="11" fillId="0" borderId="4" xfId="6" applyFont="1" applyBorder="1" applyAlignment="1">
      <alignment horizontal="left"/>
    </xf>
    <xf numFmtId="0" fontId="0" fillId="3" borderId="4" xfId="0" applyFill="1" applyBorder="1" applyAlignment="1">
      <alignment horizontal="center" wrapText="1"/>
    </xf>
    <xf numFmtId="0" fontId="11" fillId="0" borderId="4" xfId="0" applyFont="1" applyBorder="1" applyAlignment="1">
      <alignment horizontal="center"/>
    </xf>
    <xf numFmtId="0" fontId="11" fillId="0" borderId="4" xfId="10" applyFont="1" applyBorder="1" applyAlignment="1">
      <alignment horizontal="left"/>
    </xf>
  </cellXfs>
  <cellStyles count="13">
    <cellStyle name="Comma 2" xfId="7" xr:uid="{00000000-0005-0000-0000-000000000000}"/>
    <cellStyle name="Excel Built-in Normal" xfId="2" xr:uid="{00000000-0005-0000-0000-000001000000}"/>
    <cellStyle name="Excel Built-in Normal 2" xfId="5" xr:uid="{00000000-0005-0000-0000-000002000000}"/>
    <cellStyle name="Hyperlink" xfId="12" builtinId="8"/>
    <cellStyle name="Normal" xfId="0" builtinId="0"/>
    <cellStyle name="Normal 2" xfId="3" xr:uid="{00000000-0005-0000-0000-000005000000}"/>
    <cellStyle name="Normal 2 2" xfId="9" xr:uid="{00000000-0005-0000-0000-000006000000}"/>
    <cellStyle name="Normal 3" xfId="1" xr:uid="{00000000-0005-0000-0000-000007000000}"/>
    <cellStyle name="Normal 3 2" xfId="8" xr:uid="{00000000-0005-0000-0000-000008000000}"/>
    <cellStyle name="Normal 3 3" xfId="11" xr:uid="{00000000-0005-0000-0000-000009000000}"/>
    <cellStyle name="Normal 4" xfId="6" xr:uid="{00000000-0005-0000-0000-00000A000000}"/>
    <cellStyle name="Normal 4 2" xfId="10" xr:uid="{00000000-0005-0000-0000-00000B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376415</xdr:colOff>
      <xdr:row>305</xdr:row>
      <xdr:rowOff>108722</xdr:rowOff>
    </xdr:from>
    <xdr:to>
      <xdr:col>9</xdr:col>
      <xdr:colOff>25824</xdr:colOff>
      <xdr:row>323</xdr:row>
      <xdr:rowOff>108271</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76415" y="63848290"/>
          <a:ext cx="5754068" cy="3584412"/>
        </a:xfrm>
        <a:prstGeom prst="rect">
          <a:avLst/>
        </a:prstGeom>
        <a:ln>
          <a:solidFill>
            <a:schemeClr val="tx1"/>
          </a:solidFill>
        </a:ln>
      </xdr:spPr>
    </xdr:pic>
    <xdr:clientData/>
  </xdr:twoCellAnchor>
  <xdr:twoCellAnchor editAs="oneCell">
    <xdr:from>
      <xdr:col>0</xdr:col>
      <xdr:colOff>376416</xdr:colOff>
      <xdr:row>287</xdr:row>
      <xdr:rowOff>18337</xdr:rowOff>
    </xdr:from>
    <xdr:to>
      <xdr:col>9</xdr:col>
      <xdr:colOff>25825</xdr:colOff>
      <xdr:row>304</xdr:row>
      <xdr:rowOff>175020</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76416" y="60121087"/>
          <a:ext cx="5754068" cy="3594344"/>
        </a:xfrm>
        <a:prstGeom prst="rect">
          <a:avLst/>
        </a:prstGeom>
        <a:ln>
          <a:solidFill>
            <a:schemeClr val="tx1"/>
          </a:solidFill>
        </a:ln>
      </xdr:spPr>
    </xdr:pic>
    <xdr:clientData/>
  </xdr:twoCellAnchor>
  <xdr:twoCellAnchor>
    <xdr:from>
      <xdr:col>14</xdr:col>
      <xdr:colOff>759202</xdr:colOff>
      <xdr:row>244</xdr:row>
      <xdr:rowOff>0</xdr:rowOff>
    </xdr:from>
    <xdr:to>
      <xdr:col>17</xdr:col>
      <xdr:colOff>227624</xdr:colOff>
      <xdr:row>245</xdr:row>
      <xdr:rowOff>170173</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9747338" y="51902591"/>
          <a:ext cx="146867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Building No.3</a:t>
          </a:r>
        </a:p>
      </xdr:txBody>
    </xdr:sp>
    <xdr:clientData/>
  </xdr:twoCellAnchor>
  <xdr:twoCellAnchor>
    <xdr:from>
      <xdr:col>11</xdr:col>
      <xdr:colOff>592456</xdr:colOff>
      <xdr:row>242</xdr:row>
      <xdr:rowOff>53340</xdr:rowOff>
    </xdr:from>
    <xdr:to>
      <xdr:col>21</xdr:col>
      <xdr:colOff>582931</xdr:colOff>
      <xdr:row>281</xdr:row>
      <xdr:rowOff>15240</xdr:rowOff>
    </xdr:to>
    <xdr:grpSp>
      <xdr:nvGrpSpPr>
        <xdr:cNvPr id="56" name="Group 55">
          <a:extLst>
            <a:ext uri="{FF2B5EF4-FFF2-40B4-BE49-F238E27FC236}">
              <a16:creationId xmlns:a16="http://schemas.microsoft.com/office/drawing/2014/main" id="{97E996F4-B1B2-474B-9932-9FB3458F4DB2}"/>
            </a:ext>
          </a:extLst>
        </xdr:cNvPr>
        <xdr:cNvGrpSpPr/>
      </xdr:nvGrpSpPr>
      <xdr:grpSpPr>
        <a:xfrm>
          <a:off x="7976236" y="52623720"/>
          <a:ext cx="6619875" cy="7680960"/>
          <a:chOff x="172349" y="154800"/>
          <a:chExt cx="6513301" cy="8834400"/>
        </a:xfrm>
      </xdr:grpSpPr>
      <xdr:grpSp>
        <xdr:nvGrpSpPr>
          <xdr:cNvPr id="57" name="Group 56">
            <a:extLst>
              <a:ext uri="{FF2B5EF4-FFF2-40B4-BE49-F238E27FC236}">
                <a16:creationId xmlns:a16="http://schemas.microsoft.com/office/drawing/2014/main" id="{0022377F-129F-4082-A257-B00229D63135}"/>
              </a:ext>
            </a:extLst>
          </xdr:cNvPr>
          <xdr:cNvGrpSpPr/>
        </xdr:nvGrpSpPr>
        <xdr:grpSpPr>
          <a:xfrm>
            <a:off x="172349" y="154800"/>
            <a:ext cx="6513301" cy="8834400"/>
            <a:chOff x="227924" y="457200"/>
            <a:chExt cx="6513301" cy="8834400"/>
          </a:xfrm>
        </xdr:grpSpPr>
        <xdr:pic>
          <xdr:nvPicPr>
            <xdr:cNvPr id="65" name="Picture 64">
              <a:extLst>
                <a:ext uri="{FF2B5EF4-FFF2-40B4-BE49-F238E27FC236}">
                  <a16:creationId xmlns:a16="http://schemas.microsoft.com/office/drawing/2014/main" id="{8F235527-7B94-4DBE-BEB2-770A8648A02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06585" y="457200"/>
              <a:ext cx="1977629" cy="2700000"/>
            </a:xfrm>
            <a:prstGeom prst="rect">
              <a:avLst/>
            </a:prstGeom>
            <a:ln>
              <a:solidFill>
                <a:schemeClr val="tx1"/>
              </a:solidFill>
            </a:ln>
          </xdr:spPr>
        </xdr:pic>
        <xdr:pic>
          <xdr:nvPicPr>
            <xdr:cNvPr id="66" name="Picture 65">
              <a:extLst>
                <a:ext uri="{FF2B5EF4-FFF2-40B4-BE49-F238E27FC236}">
                  <a16:creationId xmlns:a16="http://schemas.microsoft.com/office/drawing/2014/main" id="{82E80FA3-F84F-4D39-8894-B6D43B2C1F4F}"/>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440185" y="457200"/>
              <a:ext cx="1977629" cy="2700000"/>
            </a:xfrm>
            <a:prstGeom prst="rect">
              <a:avLst/>
            </a:prstGeom>
            <a:ln>
              <a:solidFill>
                <a:schemeClr val="tx1"/>
              </a:solidFill>
            </a:ln>
          </xdr:spPr>
        </xdr:pic>
        <xdr:pic>
          <xdr:nvPicPr>
            <xdr:cNvPr id="67" name="Picture 66">
              <a:extLst>
                <a:ext uri="{FF2B5EF4-FFF2-40B4-BE49-F238E27FC236}">
                  <a16:creationId xmlns:a16="http://schemas.microsoft.com/office/drawing/2014/main" id="{73C96DC8-A589-436D-B42B-6E5E32F62188}"/>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573786" y="457200"/>
              <a:ext cx="1977629" cy="2700000"/>
            </a:xfrm>
            <a:prstGeom prst="rect">
              <a:avLst/>
            </a:prstGeom>
            <a:ln>
              <a:solidFill>
                <a:schemeClr val="tx1"/>
              </a:solidFill>
            </a:ln>
          </xdr:spPr>
        </xdr:pic>
        <xdr:pic>
          <xdr:nvPicPr>
            <xdr:cNvPr id="68" name="Picture 67">
              <a:extLst>
                <a:ext uri="{FF2B5EF4-FFF2-40B4-BE49-F238E27FC236}">
                  <a16:creationId xmlns:a16="http://schemas.microsoft.com/office/drawing/2014/main" id="{21E9D5EC-BDF5-4AC3-A9CE-0A82C4023E1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27924" y="3402000"/>
              <a:ext cx="1542912" cy="1980000"/>
            </a:xfrm>
            <a:prstGeom prst="rect">
              <a:avLst/>
            </a:prstGeom>
            <a:ln>
              <a:solidFill>
                <a:schemeClr val="tx1"/>
              </a:solidFill>
            </a:ln>
          </xdr:spPr>
        </xdr:pic>
        <xdr:pic>
          <xdr:nvPicPr>
            <xdr:cNvPr id="69" name="Picture 68">
              <a:extLst>
                <a:ext uri="{FF2B5EF4-FFF2-40B4-BE49-F238E27FC236}">
                  <a16:creationId xmlns:a16="http://schemas.microsoft.com/office/drawing/2014/main" id="{2E0D7B61-88EB-41F1-B010-F503CA6B2F15}"/>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540150" y="3402000"/>
              <a:ext cx="1542912" cy="1980000"/>
            </a:xfrm>
            <a:prstGeom prst="rect">
              <a:avLst/>
            </a:prstGeom>
            <a:ln>
              <a:solidFill>
                <a:schemeClr val="tx1"/>
              </a:solidFill>
            </a:ln>
          </xdr:spPr>
        </xdr:pic>
        <xdr:pic>
          <xdr:nvPicPr>
            <xdr:cNvPr id="70" name="Picture 69">
              <a:extLst>
                <a:ext uri="{FF2B5EF4-FFF2-40B4-BE49-F238E27FC236}">
                  <a16:creationId xmlns:a16="http://schemas.microsoft.com/office/drawing/2014/main" id="{62D05DCC-B0EF-4725-8EB5-9559AD1D612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886087" y="3402000"/>
              <a:ext cx="1542912" cy="1980000"/>
            </a:xfrm>
            <a:prstGeom prst="rect">
              <a:avLst/>
            </a:prstGeom>
            <a:ln>
              <a:solidFill>
                <a:schemeClr val="tx1"/>
              </a:solidFill>
            </a:ln>
          </xdr:spPr>
        </xdr:pic>
        <xdr:pic>
          <xdr:nvPicPr>
            <xdr:cNvPr id="71" name="Picture 70">
              <a:extLst>
                <a:ext uri="{FF2B5EF4-FFF2-40B4-BE49-F238E27FC236}">
                  <a16:creationId xmlns:a16="http://schemas.microsoft.com/office/drawing/2014/main" id="{FB070B11-4592-4FD9-AC05-ED005A3980BC}"/>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5198313" y="3402000"/>
              <a:ext cx="1542912" cy="1980000"/>
            </a:xfrm>
            <a:prstGeom prst="rect">
              <a:avLst/>
            </a:prstGeom>
            <a:ln>
              <a:solidFill>
                <a:schemeClr val="tx1"/>
              </a:solidFill>
            </a:ln>
          </xdr:spPr>
        </xdr:pic>
        <xdr:pic>
          <xdr:nvPicPr>
            <xdr:cNvPr id="72" name="Picture 71">
              <a:extLst>
                <a:ext uri="{FF2B5EF4-FFF2-40B4-BE49-F238E27FC236}">
                  <a16:creationId xmlns:a16="http://schemas.microsoft.com/office/drawing/2014/main" id="{0ACC4146-A76C-4D8C-917F-03EBD92ACFCA}"/>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540150" y="5626800"/>
              <a:ext cx="3201075" cy="1800000"/>
            </a:xfrm>
            <a:prstGeom prst="rect">
              <a:avLst/>
            </a:prstGeom>
            <a:ln>
              <a:solidFill>
                <a:schemeClr val="tx1"/>
              </a:solidFill>
            </a:ln>
          </xdr:spPr>
        </xdr:pic>
        <xdr:pic>
          <xdr:nvPicPr>
            <xdr:cNvPr id="73" name="Picture 72">
              <a:extLst>
                <a:ext uri="{FF2B5EF4-FFF2-40B4-BE49-F238E27FC236}">
                  <a16:creationId xmlns:a16="http://schemas.microsoft.com/office/drawing/2014/main" id="{3E761203-0B38-459C-AF6A-9AA05D612D5A}"/>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27926" y="5626800"/>
              <a:ext cx="3201075" cy="1800000"/>
            </a:xfrm>
            <a:prstGeom prst="rect">
              <a:avLst/>
            </a:prstGeom>
            <a:ln>
              <a:solidFill>
                <a:schemeClr val="tx1"/>
              </a:solidFill>
            </a:ln>
          </xdr:spPr>
        </xdr:pic>
        <xdr:pic>
          <xdr:nvPicPr>
            <xdr:cNvPr id="74" name="Picture 73">
              <a:extLst>
                <a:ext uri="{FF2B5EF4-FFF2-40B4-BE49-F238E27FC236}">
                  <a16:creationId xmlns:a16="http://schemas.microsoft.com/office/drawing/2014/main" id="{CED7396F-D1F1-4D9A-ADD1-8106D12612EF}"/>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548031" y="7671600"/>
              <a:ext cx="2880968" cy="1620000"/>
            </a:xfrm>
            <a:prstGeom prst="rect">
              <a:avLst/>
            </a:prstGeom>
            <a:ln>
              <a:solidFill>
                <a:schemeClr val="tx1"/>
              </a:solidFill>
            </a:ln>
          </xdr:spPr>
        </xdr:pic>
        <xdr:pic>
          <xdr:nvPicPr>
            <xdr:cNvPr id="75" name="Picture 74">
              <a:extLst>
                <a:ext uri="{FF2B5EF4-FFF2-40B4-BE49-F238E27FC236}">
                  <a16:creationId xmlns:a16="http://schemas.microsoft.com/office/drawing/2014/main" id="{E1EFE545-091F-4853-A505-009831F51B29}"/>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540150" y="7671600"/>
              <a:ext cx="2969324" cy="1620000"/>
            </a:xfrm>
            <a:prstGeom prst="rect">
              <a:avLst/>
            </a:prstGeom>
            <a:ln>
              <a:solidFill>
                <a:schemeClr val="tx1"/>
              </a:solidFill>
            </a:ln>
          </xdr:spPr>
        </xdr:pic>
      </xdr:grpSp>
      <xdr:sp macro="" textlink="">
        <xdr:nvSpPr>
          <xdr:cNvPr id="58" name="TextBox 47">
            <a:extLst>
              <a:ext uri="{FF2B5EF4-FFF2-40B4-BE49-F238E27FC236}">
                <a16:creationId xmlns:a16="http://schemas.microsoft.com/office/drawing/2014/main" id="{772B31F6-79CD-4376-B7C1-BD9DA454CD16}"/>
              </a:ext>
            </a:extLst>
          </xdr:cNvPr>
          <xdr:cNvSpPr txBox="1"/>
        </xdr:nvSpPr>
        <xdr:spPr>
          <a:xfrm>
            <a:off x="519211" y="154800"/>
            <a:ext cx="1281618" cy="42630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3</a:t>
            </a:r>
            <a:endParaRPr lang="en-IN" b="1">
              <a:solidFill>
                <a:srgbClr val="FF0000"/>
              </a:solidFill>
            </a:endParaRPr>
          </a:p>
        </xdr:txBody>
      </xdr:sp>
      <xdr:sp macro="" textlink="">
        <xdr:nvSpPr>
          <xdr:cNvPr id="59" name="TextBox 48">
            <a:extLst>
              <a:ext uri="{FF2B5EF4-FFF2-40B4-BE49-F238E27FC236}">
                <a16:creationId xmlns:a16="http://schemas.microsoft.com/office/drawing/2014/main" id="{ABC3E1AD-BDCE-4687-AE60-FC71A7BD5264}"/>
              </a:ext>
            </a:extLst>
          </xdr:cNvPr>
          <xdr:cNvSpPr txBox="1"/>
        </xdr:nvSpPr>
        <xdr:spPr>
          <a:xfrm>
            <a:off x="2504033" y="154800"/>
            <a:ext cx="1370435" cy="42630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3</a:t>
            </a:r>
            <a:endParaRPr lang="en-IN" b="1">
              <a:solidFill>
                <a:srgbClr val="FF0000"/>
              </a:solidFill>
            </a:endParaRPr>
          </a:p>
        </xdr:txBody>
      </xdr:sp>
      <xdr:sp macro="" textlink="">
        <xdr:nvSpPr>
          <xdr:cNvPr id="60" name="TextBox 49">
            <a:extLst>
              <a:ext uri="{FF2B5EF4-FFF2-40B4-BE49-F238E27FC236}">
                <a16:creationId xmlns:a16="http://schemas.microsoft.com/office/drawing/2014/main" id="{064C85D1-4F25-4C3A-94F6-C00FD94927DC}"/>
              </a:ext>
            </a:extLst>
          </xdr:cNvPr>
          <xdr:cNvSpPr txBox="1"/>
        </xdr:nvSpPr>
        <xdr:spPr>
          <a:xfrm>
            <a:off x="4758637" y="154800"/>
            <a:ext cx="1373098" cy="42630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4</a:t>
            </a:r>
            <a:endParaRPr lang="en-IN" b="1">
              <a:solidFill>
                <a:srgbClr val="FF0000"/>
              </a:solidFill>
            </a:endParaRPr>
          </a:p>
        </xdr:txBody>
      </xdr:sp>
      <xdr:sp macro="" textlink="">
        <xdr:nvSpPr>
          <xdr:cNvPr id="61" name="TextBox 50">
            <a:extLst>
              <a:ext uri="{FF2B5EF4-FFF2-40B4-BE49-F238E27FC236}">
                <a16:creationId xmlns:a16="http://schemas.microsoft.com/office/drawing/2014/main" id="{41B30B2F-670C-4637-970C-2E46DB0225A8}"/>
              </a:ext>
            </a:extLst>
          </xdr:cNvPr>
          <xdr:cNvSpPr txBox="1"/>
        </xdr:nvSpPr>
        <xdr:spPr>
          <a:xfrm>
            <a:off x="233341" y="3047448"/>
            <a:ext cx="1451712" cy="42630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3</a:t>
            </a:r>
            <a:endParaRPr lang="en-IN" b="1">
              <a:solidFill>
                <a:srgbClr val="FF0000"/>
              </a:solidFill>
            </a:endParaRPr>
          </a:p>
        </xdr:txBody>
      </xdr:sp>
      <xdr:sp macro="" textlink="">
        <xdr:nvSpPr>
          <xdr:cNvPr id="62" name="TextBox 51">
            <a:extLst>
              <a:ext uri="{FF2B5EF4-FFF2-40B4-BE49-F238E27FC236}">
                <a16:creationId xmlns:a16="http://schemas.microsoft.com/office/drawing/2014/main" id="{04BE2955-2922-4D8C-8929-E606D5BE2642}"/>
              </a:ext>
            </a:extLst>
          </xdr:cNvPr>
          <xdr:cNvSpPr txBox="1"/>
        </xdr:nvSpPr>
        <xdr:spPr>
          <a:xfrm>
            <a:off x="2106790" y="3191416"/>
            <a:ext cx="1196953" cy="42630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3</a:t>
            </a:r>
            <a:endParaRPr lang="en-IN" b="1">
              <a:solidFill>
                <a:srgbClr val="FF0000"/>
              </a:solidFill>
            </a:endParaRPr>
          </a:p>
        </xdr:txBody>
      </xdr:sp>
      <xdr:sp macro="" textlink="">
        <xdr:nvSpPr>
          <xdr:cNvPr id="63" name="TextBox 52">
            <a:extLst>
              <a:ext uri="{FF2B5EF4-FFF2-40B4-BE49-F238E27FC236}">
                <a16:creationId xmlns:a16="http://schemas.microsoft.com/office/drawing/2014/main" id="{FEE188BF-82C4-4949-B894-73877AAD15A6}"/>
              </a:ext>
            </a:extLst>
          </xdr:cNvPr>
          <xdr:cNvSpPr txBox="1"/>
        </xdr:nvSpPr>
        <xdr:spPr>
          <a:xfrm>
            <a:off x="3780990" y="3120215"/>
            <a:ext cx="1170348" cy="42630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3</a:t>
            </a:r>
            <a:endParaRPr lang="en-IN" b="1">
              <a:solidFill>
                <a:srgbClr val="FF0000"/>
              </a:solidFill>
            </a:endParaRPr>
          </a:p>
        </xdr:txBody>
      </xdr:sp>
      <xdr:sp macro="" textlink="">
        <xdr:nvSpPr>
          <xdr:cNvPr id="64" name="TextBox 53">
            <a:extLst>
              <a:ext uri="{FF2B5EF4-FFF2-40B4-BE49-F238E27FC236}">
                <a16:creationId xmlns:a16="http://schemas.microsoft.com/office/drawing/2014/main" id="{9FEB2840-4E7C-4410-AB1C-7EFCB4A8C731}"/>
              </a:ext>
            </a:extLst>
          </xdr:cNvPr>
          <xdr:cNvSpPr txBox="1"/>
        </xdr:nvSpPr>
        <xdr:spPr>
          <a:xfrm>
            <a:off x="5349090" y="3191416"/>
            <a:ext cx="1269114" cy="42630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3</a:t>
            </a:r>
            <a:endParaRPr lang="en-IN" b="1">
              <a:solidFill>
                <a:srgbClr val="FF0000"/>
              </a:solidFill>
            </a:endParaRPr>
          </a:p>
        </xdr:txBody>
      </xdr:sp>
    </xdr:grpSp>
    <xdr:clientData/>
  </xdr:twoCellAnchor>
  <xdr:twoCellAnchor editAs="oneCell">
    <xdr:from>
      <xdr:col>10</xdr:col>
      <xdr:colOff>388620</xdr:colOff>
      <xdr:row>231</xdr:row>
      <xdr:rowOff>411480</xdr:rowOff>
    </xdr:from>
    <xdr:to>
      <xdr:col>16</xdr:col>
      <xdr:colOff>49080</xdr:colOff>
      <xdr:row>231</xdr:row>
      <xdr:rowOff>2436480</xdr:rowOff>
    </xdr:to>
    <xdr:pic>
      <xdr:nvPicPr>
        <xdr:cNvPr id="3" name="Picture 2">
          <a:extLst>
            <a:ext uri="{FF2B5EF4-FFF2-40B4-BE49-F238E27FC236}">
              <a16:creationId xmlns:a16="http://schemas.microsoft.com/office/drawing/2014/main" id="{6DEB7E54-C028-D833-64E0-686EA60A8048}"/>
            </a:ext>
          </a:extLst>
        </xdr:cNvPr>
        <xdr:cNvPicPr>
          <a:picLocks noChangeAspect="1"/>
        </xdr:cNvPicPr>
      </xdr:nvPicPr>
      <xdr:blipFill>
        <a:blip xmlns:r="http://schemas.openxmlformats.org/officeDocument/2006/relationships" r:embed="rId14"/>
        <a:stretch>
          <a:fillRect/>
        </a:stretch>
      </xdr:blipFill>
      <xdr:spPr>
        <a:xfrm>
          <a:off x="7147560" y="48181260"/>
          <a:ext cx="3600000" cy="2025000"/>
        </a:xfrm>
        <a:prstGeom prst="rect">
          <a:avLst/>
        </a:prstGeom>
      </xdr:spPr>
    </xdr:pic>
    <xdr:clientData/>
  </xdr:twoCellAnchor>
  <xdr:twoCellAnchor>
    <xdr:from>
      <xdr:col>0</xdr:col>
      <xdr:colOff>327660</xdr:colOff>
      <xdr:row>246</xdr:row>
      <xdr:rowOff>30480</xdr:rowOff>
    </xdr:from>
    <xdr:to>
      <xdr:col>9</xdr:col>
      <xdr:colOff>101497</xdr:colOff>
      <xdr:row>282</xdr:row>
      <xdr:rowOff>131220</xdr:rowOff>
    </xdr:to>
    <xdr:grpSp>
      <xdr:nvGrpSpPr>
        <xdr:cNvPr id="4" name="Group 3">
          <a:extLst>
            <a:ext uri="{FF2B5EF4-FFF2-40B4-BE49-F238E27FC236}">
              <a16:creationId xmlns:a16="http://schemas.microsoft.com/office/drawing/2014/main" id="{8A520310-E38C-8972-C36D-B04E8C3084FF}"/>
            </a:ext>
          </a:extLst>
        </xdr:cNvPr>
        <xdr:cNvGrpSpPr/>
      </xdr:nvGrpSpPr>
      <xdr:grpSpPr>
        <a:xfrm>
          <a:off x="327660" y="53393340"/>
          <a:ext cx="6060337" cy="7225440"/>
          <a:chOff x="-7431" y="385920"/>
          <a:chExt cx="6060337" cy="7225440"/>
        </a:xfrm>
      </xdr:grpSpPr>
      <xdr:grpSp>
        <xdr:nvGrpSpPr>
          <xdr:cNvPr id="5" name="Group 4">
            <a:extLst>
              <a:ext uri="{FF2B5EF4-FFF2-40B4-BE49-F238E27FC236}">
                <a16:creationId xmlns:a16="http://schemas.microsoft.com/office/drawing/2014/main" id="{245ED55D-F2B7-858A-FF2C-C8EDDDA16A9E}"/>
              </a:ext>
            </a:extLst>
          </xdr:cNvPr>
          <xdr:cNvGrpSpPr/>
        </xdr:nvGrpSpPr>
        <xdr:grpSpPr>
          <a:xfrm>
            <a:off x="276990" y="5811360"/>
            <a:ext cx="5491495" cy="1800000"/>
            <a:chOff x="-262448" y="5811360"/>
            <a:chExt cx="5491495" cy="1800000"/>
          </a:xfrm>
        </xdr:grpSpPr>
        <xdr:pic>
          <xdr:nvPicPr>
            <xdr:cNvPr id="13" name="Picture 12">
              <a:extLst>
                <a:ext uri="{FF2B5EF4-FFF2-40B4-BE49-F238E27FC236}">
                  <a16:creationId xmlns:a16="http://schemas.microsoft.com/office/drawing/2014/main" id="{477580C1-A596-4397-FDBE-CF439E19FCA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880454" y="5811360"/>
              <a:ext cx="1348593" cy="1800000"/>
            </a:xfrm>
            <a:prstGeom prst="rect">
              <a:avLst/>
            </a:prstGeom>
            <a:ln>
              <a:solidFill>
                <a:schemeClr val="tx1"/>
              </a:solidFill>
            </a:ln>
          </xdr:spPr>
        </xdr:pic>
        <xdr:pic>
          <xdr:nvPicPr>
            <xdr:cNvPr id="14" name="Picture 13">
              <a:extLst>
                <a:ext uri="{FF2B5EF4-FFF2-40B4-BE49-F238E27FC236}">
                  <a16:creationId xmlns:a16="http://schemas.microsoft.com/office/drawing/2014/main" id="{FDD79BD6-1E50-6CE0-6885-B4993234011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r="36939"/>
            <a:stretch/>
          </xdr:blipFill>
          <xdr:spPr>
            <a:xfrm>
              <a:off x="2333739" y="5811360"/>
              <a:ext cx="1348593" cy="1800000"/>
            </a:xfrm>
            <a:prstGeom prst="rect">
              <a:avLst/>
            </a:prstGeom>
            <a:ln>
              <a:solidFill>
                <a:schemeClr val="tx1"/>
              </a:solidFill>
            </a:ln>
          </xdr:spPr>
        </xdr:pic>
        <xdr:pic>
          <xdr:nvPicPr>
            <xdr:cNvPr id="15" name="Picture 14">
              <a:extLst>
                <a:ext uri="{FF2B5EF4-FFF2-40B4-BE49-F238E27FC236}">
                  <a16:creationId xmlns:a16="http://schemas.microsoft.com/office/drawing/2014/main" id="{C094FC1D-2155-BE8F-10F0-9F0174911FA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62448" y="5811360"/>
              <a:ext cx="2398065"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F9B83169-2A5D-CD46-6D46-D5C4FCF87F80}"/>
              </a:ext>
            </a:extLst>
          </xdr:cNvPr>
          <xdr:cNvGrpSpPr/>
        </xdr:nvGrpSpPr>
        <xdr:grpSpPr>
          <a:xfrm>
            <a:off x="-7431" y="385920"/>
            <a:ext cx="6060337" cy="2520000"/>
            <a:chOff x="247586" y="385920"/>
            <a:chExt cx="6060337" cy="2520000"/>
          </a:xfrm>
        </xdr:grpSpPr>
        <xdr:pic>
          <xdr:nvPicPr>
            <xdr:cNvPr id="10" name="Picture 9">
              <a:extLst>
                <a:ext uri="{FF2B5EF4-FFF2-40B4-BE49-F238E27FC236}">
                  <a16:creationId xmlns:a16="http://schemas.microsoft.com/office/drawing/2014/main" id="{CD168CE2-28B3-4E8A-F394-EC9DBF67F51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419892" y="385920"/>
              <a:ext cx="1888031"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A8E23D80-CE99-0815-D81B-F98269D53B6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333739" y="385920"/>
              <a:ext cx="1888031"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A82A0D3C-1020-E5AE-EE08-CEE182604EE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47586" y="385920"/>
              <a:ext cx="1888031" cy="252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967AC1EF-5D30-5795-C71D-723AB9430C51}"/>
              </a:ext>
            </a:extLst>
          </xdr:cNvPr>
          <xdr:cNvGrpSpPr/>
        </xdr:nvGrpSpPr>
        <xdr:grpSpPr>
          <a:xfrm>
            <a:off x="301015" y="3098640"/>
            <a:ext cx="5443444" cy="2520000"/>
            <a:chOff x="247586" y="3098640"/>
            <a:chExt cx="5443444" cy="2520000"/>
          </a:xfrm>
        </xdr:grpSpPr>
        <xdr:pic>
          <xdr:nvPicPr>
            <xdr:cNvPr id="8" name="Picture 7">
              <a:extLst>
                <a:ext uri="{FF2B5EF4-FFF2-40B4-BE49-F238E27FC236}">
                  <a16:creationId xmlns:a16="http://schemas.microsoft.com/office/drawing/2014/main" id="{F5472C90-FD4F-C6E2-4D1E-C7DC48EFD88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333739" y="3098640"/>
              <a:ext cx="335729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B255E41C-E710-72E3-1863-AA1CC59774B1}"/>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47586" y="3098640"/>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25</xdr:row>
      <xdr:rowOff>0</xdr:rowOff>
    </xdr:from>
    <xdr:to>
      <xdr:col>9</xdr:col>
      <xdr:colOff>589612</xdr:colOff>
      <xdr:row>36</xdr:row>
      <xdr:rowOff>64500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67425" y="3048000"/>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25</xdr:row>
      <xdr:rowOff>0</xdr:rowOff>
    </xdr:from>
    <xdr:to>
      <xdr:col>9</xdr:col>
      <xdr:colOff>589612</xdr:colOff>
      <xdr:row>36</xdr:row>
      <xdr:rowOff>64500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67425" y="3048000"/>
          <a:ext cx="1618312" cy="216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334482</xdr:colOff>
      <xdr:row>0</xdr:row>
      <xdr:rowOff>137000</xdr:rowOff>
    </xdr:from>
    <xdr:to>
      <xdr:col>12</xdr:col>
      <xdr:colOff>253388</xdr:colOff>
      <xdr:row>22</xdr:row>
      <xdr:rowOff>73640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700742" y="137000"/>
          <a:ext cx="2966906" cy="3960000"/>
        </a:xfrm>
        <a:prstGeom prst="rect">
          <a:avLst/>
        </a:prstGeom>
      </xdr:spPr>
    </xdr:pic>
    <xdr:clientData/>
  </xdr:twoCellAnchor>
  <xdr:twoCellAnchor editAs="oneCell">
    <xdr:from>
      <xdr:col>2</xdr:col>
      <xdr:colOff>251460</xdr:colOff>
      <xdr:row>0</xdr:row>
      <xdr:rowOff>121920</xdr:rowOff>
    </xdr:from>
    <xdr:to>
      <xdr:col>7</xdr:col>
      <xdr:colOff>170366</xdr:colOff>
      <xdr:row>22</xdr:row>
      <xdr:rowOff>58560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69720" y="121920"/>
          <a:ext cx="2966906" cy="396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6</xdr:col>
      <xdr:colOff>1087570</xdr:colOff>
      <xdr:row>27</xdr:row>
      <xdr:rowOff>171000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9600" y="1905000"/>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56LkoaeqMMYtK1F89?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1"/>
  <sheetViews>
    <sheetView tabSelected="1" view="pageBreakPreview" zoomScaleNormal="100" zoomScaleSheetLayoutView="100" zoomScalePageLayoutView="85" workbookViewId="0">
      <selection activeCell="O7" sqref="O7"/>
    </sheetView>
  </sheetViews>
  <sheetFormatPr defaultRowHeight="15.6" x14ac:dyDescent="0.3"/>
  <cols>
    <col min="1" max="1" width="9.33203125" style="12" customWidth="1"/>
    <col min="2" max="2" width="14.5546875" style="12" customWidth="1"/>
    <col min="3" max="3" width="14.6640625" style="12" customWidth="1"/>
    <col min="4" max="4" width="7.33203125" style="12" customWidth="1"/>
    <col min="5" max="5" width="5.5546875" style="12" customWidth="1"/>
    <col min="6" max="6" width="11.33203125" style="12" customWidth="1"/>
    <col min="7" max="7" width="9" style="12" customWidth="1"/>
    <col min="8" max="8" width="10.5546875" style="12" customWidth="1"/>
    <col min="9" max="9" width="9.33203125" style="12" customWidth="1"/>
    <col min="10" max="10" width="6.88671875" style="12" customWidth="1"/>
    <col min="11" max="14" width="9.109375" style="12"/>
    <col min="15" max="15" width="11.88671875" style="12" bestFit="1" customWidth="1"/>
    <col min="16" max="18" width="9.109375" style="12"/>
    <col min="19" max="19" width="11.88671875" style="12" bestFit="1" customWidth="1"/>
    <col min="20" max="254" width="9.109375" style="12"/>
    <col min="255" max="255" width="8.6640625" style="12" customWidth="1"/>
    <col min="256" max="256" width="9.88671875" style="12" customWidth="1"/>
    <col min="257" max="257" width="14.44140625" style="12" customWidth="1"/>
    <col min="258" max="258" width="7.33203125" style="12" customWidth="1"/>
    <col min="259" max="259" width="5.5546875" style="12" customWidth="1"/>
    <col min="260" max="260" width="9" style="12" customWidth="1"/>
    <col min="261" max="262" width="9.88671875" style="12" customWidth="1"/>
    <col min="263" max="263" width="11.109375" style="12" customWidth="1"/>
    <col min="264" max="264" width="2.88671875" style="12" customWidth="1"/>
    <col min="265" max="265" width="3.5546875" style="12" customWidth="1"/>
    <col min="266" max="510" width="9.109375" style="12"/>
    <col min="511" max="511" width="8.6640625" style="12" customWidth="1"/>
    <col min="512" max="512" width="9.88671875" style="12" customWidth="1"/>
    <col min="513" max="513" width="14.44140625" style="12" customWidth="1"/>
    <col min="514" max="514" width="7.33203125" style="12" customWidth="1"/>
    <col min="515" max="515" width="5.5546875" style="12" customWidth="1"/>
    <col min="516" max="516" width="9" style="12" customWidth="1"/>
    <col min="517" max="518" width="9.88671875" style="12" customWidth="1"/>
    <col min="519" max="519" width="11.109375" style="12" customWidth="1"/>
    <col min="520" max="520" width="2.88671875" style="12" customWidth="1"/>
    <col min="521" max="521" width="3.5546875" style="12" customWidth="1"/>
    <col min="522" max="766" width="9.109375" style="12"/>
    <col min="767" max="767" width="8.6640625" style="12" customWidth="1"/>
    <col min="768" max="768" width="9.88671875" style="12" customWidth="1"/>
    <col min="769" max="769" width="14.44140625" style="12" customWidth="1"/>
    <col min="770" max="770" width="7.33203125" style="12" customWidth="1"/>
    <col min="771" max="771" width="5.5546875" style="12" customWidth="1"/>
    <col min="772" max="772" width="9" style="12" customWidth="1"/>
    <col min="773" max="774" width="9.88671875" style="12" customWidth="1"/>
    <col min="775" max="775" width="11.109375" style="12" customWidth="1"/>
    <col min="776" max="776" width="2.88671875" style="12" customWidth="1"/>
    <col min="777" max="777" width="3.5546875" style="12" customWidth="1"/>
    <col min="778" max="1022" width="9.109375" style="12"/>
    <col min="1023" max="1023" width="8.6640625" style="12" customWidth="1"/>
    <col min="1024" max="1024" width="9.88671875" style="12" customWidth="1"/>
    <col min="1025" max="1025" width="14.44140625" style="12" customWidth="1"/>
    <col min="1026" max="1026" width="7.33203125" style="12" customWidth="1"/>
    <col min="1027" max="1027" width="5.5546875" style="12" customWidth="1"/>
    <col min="1028" max="1028" width="9" style="12" customWidth="1"/>
    <col min="1029" max="1030" width="9.88671875" style="12" customWidth="1"/>
    <col min="1031" max="1031" width="11.109375" style="12" customWidth="1"/>
    <col min="1032" max="1032" width="2.88671875" style="12" customWidth="1"/>
    <col min="1033" max="1033" width="3.5546875" style="12" customWidth="1"/>
    <col min="1034" max="1278" width="9.109375" style="12"/>
    <col min="1279" max="1279" width="8.6640625" style="12" customWidth="1"/>
    <col min="1280" max="1280" width="9.88671875" style="12" customWidth="1"/>
    <col min="1281" max="1281" width="14.44140625" style="12" customWidth="1"/>
    <col min="1282" max="1282" width="7.33203125" style="12" customWidth="1"/>
    <col min="1283" max="1283" width="5.5546875" style="12" customWidth="1"/>
    <col min="1284" max="1284" width="9" style="12" customWidth="1"/>
    <col min="1285" max="1286" width="9.88671875" style="12" customWidth="1"/>
    <col min="1287" max="1287" width="11.109375" style="12" customWidth="1"/>
    <col min="1288" max="1288" width="2.88671875" style="12" customWidth="1"/>
    <col min="1289" max="1289" width="3.5546875" style="12" customWidth="1"/>
    <col min="1290" max="1534" width="9.109375" style="12"/>
    <col min="1535" max="1535" width="8.6640625" style="12" customWidth="1"/>
    <col min="1536" max="1536" width="9.88671875" style="12" customWidth="1"/>
    <col min="1537" max="1537" width="14.44140625" style="12" customWidth="1"/>
    <col min="1538" max="1538" width="7.33203125" style="12" customWidth="1"/>
    <col min="1539" max="1539" width="5.5546875" style="12" customWidth="1"/>
    <col min="1540" max="1540" width="9" style="12" customWidth="1"/>
    <col min="1541" max="1542" width="9.88671875" style="12" customWidth="1"/>
    <col min="1543" max="1543" width="11.109375" style="12" customWidth="1"/>
    <col min="1544" max="1544" width="2.88671875" style="12" customWidth="1"/>
    <col min="1545" max="1545" width="3.5546875" style="12" customWidth="1"/>
    <col min="1546" max="1790" width="9.109375" style="12"/>
    <col min="1791" max="1791" width="8.6640625" style="12" customWidth="1"/>
    <col min="1792" max="1792" width="9.88671875" style="12" customWidth="1"/>
    <col min="1793" max="1793" width="14.44140625" style="12" customWidth="1"/>
    <col min="1794" max="1794" width="7.33203125" style="12" customWidth="1"/>
    <col min="1795" max="1795" width="5.5546875" style="12" customWidth="1"/>
    <col min="1796" max="1796" width="9" style="12" customWidth="1"/>
    <col min="1797" max="1798" width="9.88671875" style="12" customWidth="1"/>
    <col min="1799" max="1799" width="11.109375" style="12" customWidth="1"/>
    <col min="1800" max="1800" width="2.88671875" style="12" customWidth="1"/>
    <col min="1801" max="1801" width="3.5546875" style="12" customWidth="1"/>
    <col min="1802" max="2046" width="9.109375" style="12"/>
    <col min="2047" max="2047" width="8.6640625" style="12" customWidth="1"/>
    <col min="2048" max="2048" width="9.88671875" style="12" customWidth="1"/>
    <col min="2049" max="2049" width="14.44140625" style="12" customWidth="1"/>
    <col min="2050" max="2050" width="7.33203125" style="12" customWidth="1"/>
    <col min="2051" max="2051" width="5.5546875" style="12" customWidth="1"/>
    <col min="2052" max="2052" width="9" style="12" customWidth="1"/>
    <col min="2053" max="2054" width="9.88671875" style="12" customWidth="1"/>
    <col min="2055" max="2055" width="11.109375" style="12" customWidth="1"/>
    <col min="2056" max="2056" width="2.88671875" style="12" customWidth="1"/>
    <col min="2057" max="2057" width="3.5546875" style="12" customWidth="1"/>
    <col min="2058" max="2302" width="9.109375" style="12"/>
    <col min="2303" max="2303" width="8.6640625" style="12" customWidth="1"/>
    <col min="2304" max="2304" width="9.88671875" style="12" customWidth="1"/>
    <col min="2305" max="2305" width="14.44140625" style="12" customWidth="1"/>
    <col min="2306" max="2306" width="7.33203125" style="12" customWidth="1"/>
    <col min="2307" max="2307" width="5.5546875" style="12" customWidth="1"/>
    <col min="2308" max="2308" width="9" style="12" customWidth="1"/>
    <col min="2309" max="2310" width="9.88671875" style="12" customWidth="1"/>
    <col min="2311" max="2311" width="11.109375" style="12" customWidth="1"/>
    <col min="2312" max="2312" width="2.88671875" style="12" customWidth="1"/>
    <col min="2313" max="2313" width="3.5546875" style="12" customWidth="1"/>
    <col min="2314" max="2558" width="9.109375" style="12"/>
    <col min="2559" max="2559" width="8.6640625" style="12" customWidth="1"/>
    <col min="2560" max="2560" width="9.88671875" style="12" customWidth="1"/>
    <col min="2561" max="2561" width="14.44140625" style="12" customWidth="1"/>
    <col min="2562" max="2562" width="7.33203125" style="12" customWidth="1"/>
    <col min="2563" max="2563" width="5.5546875" style="12" customWidth="1"/>
    <col min="2564" max="2564" width="9" style="12" customWidth="1"/>
    <col min="2565" max="2566" width="9.88671875" style="12" customWidth="1"/>
    <col min="2567" max="2567" width="11.109375" style="12" customWidth="1"/>
    <col min="2568" max="2568" width="2.88671875" style="12" customWidth="1"/>
    <col min="2569" max="2569" width="3.5546875" style="12" customWidth="1"/>
    <col min="2570" max="2814" width="9.109375" style="12"/>
    <col min="2815" max="2815" width="8.6640625" style="12" customWidth="1"/>
    <col min="2816" max="2816" width="9.88671875" style="12" customWidth="1"/>
    <col min="2817" max="2817" width="14.44140625" style="12" customWidth="1"/>
    <col min="2818" max="2818" width="7.33203125" style="12" customWidth="1"/>
    <col min="2819" max="2819" width="5.5546875" style="12" customWidth="1"/>
    <col min="2820" max="2820" width="9" style="12" customWidth="1"/>
    <col min="2821" max="2822" width="9.88671875" style="12" customWidth="1"/>
    <col min="2823" max="2823" width="11.109375" style="12" customWidth="1"/>
    <col min="2824" max="2824" width="2.88671875" style="12" customWidth="1"/>
    <col min="2825" max="2825" width="3.5546875" style="12" customWidth="1"/>
    <col min="2826" max="3070" width="9.109375" style="12"/>
    <col min="3071" max="3071" width="8.6640625" style="12" customWidth="1"/>
    <col min="3072" max="3072" width="9.88671875" style="12" customWidth="1"/>
    <col min="3073" max="3073" width="14.44140625" style="12" customWidth="1"/>
    <col min="3074" max="3074" width="7.33203125" style="12" customWidth="1"/>
    <col min="3075" max="3075" width="5.5546875" style="12" customWidth="1"/>
    <col min="3076" max="3076" width="9" style="12" customWidth="1"/>
    <col min="3077" max="3078" width="9.88671875" style="12" customWidth="1"/>
    <col min="3079" max="3079" width="11.109375" style="12" customWidth="1"/>
    <col min="3080" max="3080" width="2.88671875" style="12" customWidth="1"/>
    <col min="3081" max="3081" width="3.5546875" style="12" customWidth="1"/>
    <col min="3082" max="3326" width="9.109375" style="12"/>
    <col min="3327" max="3327" width="8.6640625" style="12" customWidth="1"/>
    <col min="3328" max="3328" width="9.88671875" style="12" customWidth="1"/>
    <col min="3329" max="3329" width="14.44140625" style="12" customWidth="1"/>
    <col min="3330" max="3330" width="7.33203125" style="12" customWidth="1"/>
    <col min="3331" max="3331" width="5.5546875" style="12" customWidth="1"/>
    <col min="3332" max="3332" width="9" style="12" customWidth="1"/>
    <col min="3333" max="3334" width="9.88671875" style="12" customWidth="1"/>
    <col min="3335" max="3335" width="11.109375" style="12" customWidth="1"/>
    <col min="3336" max="3336" width="2.88671875" style="12" customWidth="1"/>
    <col min="3337" max="3337" width="3.5546875" style="12" customWidth="1"/>
    <col min="3338" max="3582" width="9.109375" style="12"/>
    <col min="3583" max="3583" width="8.6640625" style="12" customWidth="1"/>
    <col min="3584" max="3584" width="9.88671875" style="12" customWidth="1"/>
    <col min="3585" max="3585" width="14.44140625" style="12" customWidth="1"/>
    <col min="3586" max="3586" width="7.33203125" style="12" customWidth="1"/>
    <col min="3587" max="3587" width="5.5546875" style="12" customWidth="1"/>
    <col min="3588" max="3588" width="9" style="12" customWidth="1"/>
    <col min="3589" max="3590" width="9.88671875" style="12" customWidth="1"/>
    <col min="3591" max="3591" width="11.109375" style="12" customWidth="1"/>
    <col min="3592" max="3592" width="2.88671875" style="12" customWidth="1"/>
    <col min="3593" max="3593" width="3.5546875" style="12" customWidth="1"/>
    <col min="3594" max="3838" width="9.109375" style="12"/>
    <col min="3839" max="3839" width="8.6640625" style="12" customWidth="1"/>
    <col min="3840" max="3840" width="9.88671875" style="12" customWidth="1"/>
    <col min="3841" max="3841" width="14.44140625" style="12" customWidth="1"/>
    <col min="3842" max="3842" width="7.33203125" style="12" customWidth="1"/>
    <col min="3843" max="3843" width="5.5546875" style="12" customWidth="1"/>
    <col min="3844" max="3844" width="9" style="12" customWidth="1"/>
    <col min="3845" max="3846" width="9.88671875" style="12" customWidth="1"/>
    <col min="3847" max="3847" width="11.109375" style="12" customWidth="1"/>
    <col min="3848" max="3848" width="2.88671875" style="12" customWidth="1"/>
    <col min="3849" max="3849" width="3.5546875" style="12" customWidth="1"/>
    <col min="3850" max="4094" width="9.109375" style="12"/>
    <col min="4095" max="4095" width="8.6640625" style="12" customWidth="1"/>
    <col min="4096" max="4096" width="9.88671875" style="12" customWidth="1"/>
    <col min="4097" max="4097" width="14.44140625" style="12" customWidth="1"/>
    <col min="4098" max="4098" width="7.33203125" style="12" customWidth="1"/>
    <col min="4099" max="4099" width="5.5546875" style="12" customWidth="1"/>
    <col min="4100" max="4100" width="9" style="12" customWidth="1"/>
    <col min="4101" max="4102" width="9.88671875" style="12" customWidth="1"/>
    <col min="4103" max="4103" width="11.109375" style="12" customWidth="1"/>
    <col min="4104" max="4104" width="2.88671875" style="12" customWidth="1"/>
    <col min="4105" max="4105" width="3.5546875" style="12" customWidth="1"/>
    <col min="4106" max="4350" width="9.109375" style="12"/>
    <col min="4351" max="4351" width="8.6640625" style="12" customWidth="1"/>
    <col min="4352" max="4352" width="9.88671875" style="12" customWidth="1"/>
    <col min="4353" max="4353" width="14.44140625" style="12" customWidth="1"/>
    <col min="4354" max="4354" width="7.33203125" style="12" customWidth="1"/>
    <col min="4355" max="4355" width="5.5546875" style="12" customWidth="1"/>
    <col min="4356" max="4356" width="9" style="12" customWidth="1"/>
    <col min="4357" max="4358" width="9.88671875" style="12" customWidth="1"/>
    <col min="4359" max="4359" width="11.109375" style="12" customWidth="1"/>
    <col min="4360" max="4360" width="2.88671875" style="12" customWidth="1"/>
    <col min="4361" max="4361" width="3.5546875" style="12" customWidth="1"/>
    <col min="4362" max="4606" width="9.109375" style="12"/>
    <col min="4607" max="4607" width="8.6640625" style="12" customWidth="1"/>
    <col min="4608" max="4608" width="9.88671875" style="12" customWidth="1"/>
    <col min="4609" max="4609" width="14.44140625" style="12" customWidth="1"/>
    <col min="4610" max="4610" width="7.33203125" style="12" customWidth="1"/>
    <col min="4611" max="4611" width="5.5546875" style="12" customWidth="1"/>
    <col min="4612" max="4612" width="9" style="12" customWidth="1"/>
    <col min="4613" max="4614" width="9.88671875" style="12" customWidth="1"/>
    <col min="4615" max="4615" width="11.109375" style="12" customWidth="1"/>
    <col min="4616" max="4616" width="2.88671875" style="12" customWidth="1"/>
    <col min="4617" max="4617" width="3.5546875" style="12" customWidth="1"/>
    <col min="4618" max="4862" width="9.109375" style="12"/>
    <col min="4863" max="4863" width="8.6640625" style="12" customWidth="1"/>
    <col min="4864" max="4864" width="9.88671875" style="12" customWidth="1"/>
    <col min="4865" max="4865" width="14.44140625" style="12" customWidth="1"/>
    <col min="4866" max="4866" width="7.33203125" style="12" customWidth="1"/>
    <col min="4867" max="4867" width="5.5546875" style="12" customWidth="1"/>
    <col min="4868" max="4868" width="9" style="12" customWidth="1"/>
    <col min="4869" max="4870" width="9.88671875" style="12" customWidth="1"/>
    <col min="4871" max="4871" width="11.109375" style="12" customWidth="1"/>
    <col min="4872" max="4872" width="2.88671875" style="12" customWidth="1"/>
    <col min="4873" max="4873" width="3.5546875" style="12" customWidth="1"/>
    <col min="4874" max="5118" width="9.109375" style="12"/>
    <col min="5119" max="5119" width="8.6640625" style="12" customWidth="1"/>
    <col min="5120" max="5120" width="9.88671875" style="12" customWidth="1"/>
    <col min="5121" max="5121" width="14.44140625" style="12" customWidth="1"/>
    <col min="5122" max="5122" width="7.33203125" style="12" customWidth="1"/>
    <col min="5123" max="5123" width="5.5546875" style="12" customWidth="1"/>
    <col min="5124" max="5124" width="9" style="12" customWidth="1"/>
    <col min="5125" max="5126" width="9.88671875" style="12" customWidth="1"/>
    <col min="5127" max="5127" width="11.109375" style="12" customWidth="1"/>
    <col min="5128" max="5128" width="2.88671875" style="12" customWidth="1"/>
    <col min="5129" max="5129" width="3.5546875" style="12" customWidth="1"/>
    <col min="5130" max="5374" width="9.109375" style="12"/>
    <col min="5375" max="5375" width="8.6640625" style="12" customWidth="1"/>
    <col min="5376" max="5376" width="9.88671875" style="12" customWidth="1"/>
    <col min="5377" max="5377" width="14.44140625" style="12" customWidth="1"/>
    <col min="5378" max="5378" width="7.33203125" style="12" customWidth="1"/>
    <col min="5379" max="5379" width="5.5546875" style="12" customWidth="1"/>
    <col min="5380" max="5380" width="9" style="12" customWidth="1"/>
    <col min="5381" max="5382" width="9.88671875" style="12" customWidth="1"/>
    <col min="5383" max="5383" width="11.109375" style="12" customWidth="1"/>
    <col min="5384" max="5384" width="2.88671875" style="12" customWidth="1"/>
    <col min="5385" max="5385" width="3.5546875" style="12" customWidth="1"/>
    <col min="5386" max="5630" width="9.109375" style="12"/>
    <col min="5631" max="5631" width="8.6640625" style="12" customWidth="1"/>
    <col min="5632" max="5632" width="9.88671875" style="12" customWidth="1"/>
    <col min="5633" max="5633" width="14.44140625" style="12" customWidth="1"/>
    <col min="5634" max="5634" width="7.33203125" style="12" customWidth="1"/>
    <col min="5635" max="5635" width="5.5546875" style="12" customWidth="1"/>
    <col min="5636" max="5636" width="9" style="12" customWidth="1"/>
    <col min="5637" max="5638" width="9.88671875" style="12" customWidth="1"/>
    <col min="5639" max="5639" width="11.109375" style="12" customWidth="1"/>
    <col min="5640" max="5640" width="2.88671875" style="12" customWidth="1"/>
    <col min="5641" max="5641" width="3.5546875" style="12" customWidth="1"/>
    <col min="5642" max="5886" width="9.109375" style="12"/>
    <col min="5887" max="5887" width="8.6640625" style="12" customWidth="1"/>
    <col min="5888" max="5888" width="9.88671875" style="12" customWidth="1"/>
    <col min="5889" max="5889" width="14.44140625" style="12" customWidth="1"/>
    <col min="5890" max="5890" width="7.33203125" style="12" customWidth="1"/>
    <col min="5891" max="5891" width="5.5546875" style="12" customWidth="1"/>
    <col min="5892" max="5892" width="9" style="12" customWidth="1"/>
    <col min="5893" max="5894" width="9.88671875" style="12" customWidth="1"/>
    <col min="5895" max="5895" width="11.109375" style="12" customWidth="1"/>
    <col min="5896" max="5896" width="2.88671875" style="12" customWidth="1"/>
    <col min="5897" max="5897" width="3.5546875" style="12" customWidth="1"/>
    <col min="5898" max="6142" width="9.109375" style="12"/>
    <col min="6143" max="6143" width="8.6640625" style="12" customWidth="1"/>
    <col min="6144" max="6144" width="9.88671875" style="12" customWidth="1"/>
    <col min="6145" max="6145" width="14.44140625" style="12" customWidth="1"/>
    <col min="6146" max="6146" width="7.33203125" style="12" customWidth="1"/>
    <col min="6147" max="6147" width="5.5546875" style="12" customWidth="1"/>
    <col min="6148" max="6148" width="9" style="12" customWidth="1"/>
    <col min="6149" max="6150" width="9.88671875" style="12" customWidth="1"/>
    <col min="6151" max="6151" width="11.109375" style="12" customWidth="1"/>
    <col min="6152" max="6152" width="2.88671875" style="12" customWidth="1"/>
    <col min="6153" max="6153" width="3.5546875" style="12" customWidth="1"/>
    <col min="6154" max="6398" width="9.109375" style="12"/>
    <col min="6399" max="6399" width="8.6640625" style="12" customWidth="1"/>
    <col min="6400" max="6400" width="9.88671875" style="12" customWidth="1"/>
    <col min="6401" max="6401" width="14.44140625" style="12" customWidth="1"/>
    <col min="6402" max="6402" width="7.33203125" style="12" customWidth="1"/>
    <col min="6403" max="6403" width="5.5546875" style="12" customWidth="1"/>
    <col min="6404" max="6404" width="9" style="12" customWidth="1"/>
    <col min="6405" max="6406" width="9.88671875" style="12" customWidth="1"/>
    <col min="6407" max="6407" width="11.109375" style="12" customWidth="1"/>
    <col min="6408" max="6408" width="2.88671875" style="12" customWidth="1"/>
    <col min="6409" max="6409" width="3.5546875" style="12" customWidth="1"/>
    <col min="6410" max="6654" width="9.109375" style="12"/>
    <col min="6655" max="6655" width="8.6640625" style="12" customWidth="1"/>
    <col min="6656" max="6656" width="9.88671875" style="12" customWidth="1"/>
    <col min="6657" max="6657" width="14.44140625" style="12" customWidth="1"/>
    <col min="6658" max="6658" width="7.33203125" style="12" customWidth="1"/>
    <col min="6659" max="6659" width="5.5546875" style="12" customWidth="1"/>
    <col min="6660" max="6660" width="9" style="12" customWidth="1"/>
    <col min="6661" max="6662" width="9.88671875" style="12" customWidth="1"/>
    <col min="6663" max="6663" width="11.109375" style="12" customWidth="1"/>
    <col min="6664" max="6664" width="2.88671875" style="12" customWidth="1"/>
    <col min="6665" max="6665" width="3.5546875" style="12" customWidth="1"/>
    <col min="6666" max="6910" width="9.109375" style="12"/>
    <col min="6911" max="6911" width="8.6640625" style="12" customWidth="1"/>
    <col min="6912" max="6912" width="9.88671875" style="12" customWidth="1"/>
    <col min="6913" max="6913" width="14.44140625" style="12" customWidth="1"/>
    <col min="6914" max="6914" width="7.33203125" style="12" customWidth="1"/>
    <col min="6915" max="6915" width="5.5546875" style="12" customWidth="1"/>
    <col min="6916" max="6916" width="9" style="12" customWidth="1"/>
    <col min="6917" max="6918" width="9.88671875" style="12" customWidth="1"/>
    <col min="6919" max="6919" width="11.109375" style="12" customWidth="1"/>
    <col min="6920" max="6920" width="2.88671875" style="12" customWidth="1"/>
    <col min="6921" max="6921" width="3.5546875" style="12" customWidth="1"/>
    <col min="6922" max="7166" width="9.109375" style="12"/>
    <col min="7167" max="7167" width="8.6640625" style="12" customWidth="1"/>
    <col min="7168" max="7168" width="9.88671875" style="12" customWidth="1"/>
    <col min="7169" max="7169" width="14.44140625" style="12" customWidth="1"/>
    <col min="7170" max="7170" width="7.33203125" style="12" customWidth="1"/>
    <col min="7171" max="7171" width="5.5546875" style="12" customWidth="1"/>
    <col min="7172" max="7172" width="9" style="12" customWidth="1"/>
    <col min="7173" max="7174" width="9.88671875" style="12" customWidth="1"/>
    <col min="7175" max="7175" width="11.109375" style="12" customWidth="1"/>
    <col min="7176" max="7176" width="2.88671875" style="12" customWidth="1"/>
    <col min="7177" max="7177" width="3.5546875" style="12" customWidth="1"/>
    <col min="7178" max="7422" width="9.109375" style="12"/>
    <col min="7423" max="7423" width="8.6640625" style="12" customWidth="1"/>
    <col min="7424" max="7424" width="9.88671875" style="12" customWidth="1"/>
    <col min="7425" max="7425" width="14.44140625" style="12" customWidth="1"/>
    <col min="7426" max="7426" width="7.33203125" style="12" customWidth="1"/>
    <col min="7427" max="7427" width="5.5546875" style="12" customWidth="1"/>
    <col min="7428" max="7428" width="9" style="12" customWidth="1"/>
    <col min="7429" max="7430" width="9.88671875" style="12" customWidth="1"/>
    <col min="7431" max="7431" width="11.109375" style="12" customWidth="1"/>
    <col min="7432" max="7432" width="2.88671875" style="12" customWidth="1"/>
    <col min="7433" max="7433" width="3.5546875" style="12" customWidth="1"/>
    <col min="7434" max="7678" width="9.109375" style="12"/>
    <col min="7679" max="7679" width="8.6640625" style="12" customWidth="1"/>
    <col min="7680" max="7680" width="9.88671875" style="12" customWidth="1"/>
    <col min="7681" max="7681" width="14.44140625" style="12" customWidth="1"/>
    <col min="7682" max="7682" width="7.33203125" style="12" customWidth="1"/>
    <col min="7683" max="7683" width="5.5546875" style="12" customWidth="1"/>
    <col min="7684" max="7684" width="9" style="12" customWidth="1"/>
    <col min="7685" max="7686" width="9.88671875" style="12" customWidth="1"/>
    <col min="7687" max="7687" width="11.109375" style="12" customWidth="1"/>
    <col min="7688" max="7688" width="2.88671875" style="12" customWidth="1"/>
    <col min="7689" max="7689" width="3.5546875" style="12" customWidth="1"/>
    <col min="7690" max="7934" width="9.109375" style="12"/>
    <col min="7935" max="7935" width="8.6640625" style="12" customWidth="1"/>
    <col min="7936" max="7936" width="9.88671875" style="12" customWidth="1"/>
    <col min="7937" max="7937" width="14.44140625" style="12" customWidth="1"/>
    <col min="7938" max="7938" width="7.33203125" style="12" customWidth="1"/>
    <col min="7939" max="7939" width="5.5546875" style="12" customWidth="1"/>
    <col min="7940" max="7940" width="9" style="12" customWidth="1"/>
    <col min="7941" max="7942" width="9.88671875" style="12" customWidth="1"/>
    <col min="7943" max="7943" width="11.109375" style="12" customWidth="1"/>
    <col min="7944" max="7944" width="2.88671875" style="12" customWidth="1"/>
    <col min="7945" max="7945" width="3.5546875" style="12" customWidth="1"/>
    <col min="7946" max="8190" width="9.109375" style="12"/>
    <col min="8191" max="8191" width="8.6640625" style="12" customWidth="1"/>
    <col min="8192" max="8192" width="9.88671875" style="12" customWidth="1"/>
    <col min="8193" max="8193" width="14.44140625" style="12" customWidth="1"/>
    <col min="8194" max="8194" width="7.33203125" style="12" customWidth="1"/>
    <col min="8195" max="8195" width="5.5546875" style="12" customWidth="1"/>
    <col min="8196" max="8196" width="9" style="12" customWidth="1"/>
    <col min="8197" max="8198" width="9.88671875" style="12" customWidth="1"/>
    <col min="8199" max="8199" width="11.109375" style="12" customWidth="1"/>
    <col min="8200" max="8200" width="2.88671875" style="12" customWidth="1"/>
    <col min="8201" max="8201" width="3.5546875" style="12" customWidth="1"/>
    <col min="8202" max="8446" width="9.109375" style="12"/>
    <col min="8447" max="8447" width="8.6640625" style="12" customWidth="1"/>
    <col min="8448" max="8448" width="9.88671875" style="12" customWidth="1"/>
    <col min="8449" max="8449" width="14.44140625" style="12" customWidth="1"/>
    <col min="8450" max="8450" width="7.33203125" style="12" customWidth="1"/>
    <col min="8451" max="8451" width="5.5546875" style="12" customWidth="1"/>
    <col min="8452" max="8452" width="9" style="12" customWidth="1"/>
    <col min="8453" max="8454" width="9.88671875" style="12" customWidth="1"/>
    <col min="8455" max="8455" width="11.109375" style="12" customWidth="1"/>
    <col min="8456" max="8456" width="2.88671875" style="12" customWidth="1"/>
    <col min="8457" max="8457" width="3.5546875" style="12" customWidth="1"/>
    <col min="8458" max="8702" width="9.109375" style="12"/>
    <col min="8703" max="8703" width="8.6640625" style="12" customWidth="1"/>
    <col min="8704" max="8704" width="9.88671875" style="12" customWidth="1"/>
    <col min="8705" max="8705" width="14.44140625" style="12" customWidth="1"/>
    <col min="8706" max="8706" width="7.33203125" style="12" customWidth="1"/>
    <col min="8707" max="8707" width="5.5546875" style="12" customWidth="1"/>
    <col min="8708" max="8708" width="9" style="12" customWidth="1"/>
    <col min="8709" max="8710" width="9.88671875" style="12" customWidth="1"/>
    <col min="8711" max="8711" width="11.109375" style="12" customWidth="1"/>
    <col min="8712" max="8712" width="2.88671875" style="12" customWidth="1"/>
    <col min="8713" max="8713" width="3.5546875" style="12" customWidth="1"/>
    <col min="8714" max="8958" width="9.109375" style="12"/>
    <col min="8959" max="8959" width="8.6640625" style="12" customWidth="1"/>
    <col min="8960" max="8960" width="9.88671875" style="12" customWidth="1"/>
    <col min="8961" max="8961" width="14.44140625" style="12" customWidth="1"/>
    <col min="8962" max="8962" width="7.33203125" style="12" customWidth="1"/>
    <col min="8963" max="8963" width="5.5546875" style="12" customWidth="1"/>
    <col min="8964" max="8964" width="9" style="12" customWidth="1"/>
    <col min="8965" max="8966" width="9.88671875" style="12" customWidth="1"/>
    <col min="8967" max="8967" width="11.109375" style="12" customWidth="1"/>
    <col min="8968" max="8968" width="2.88671875" style="12" customWidth="1"/>
    <col min="8969" max="8969" width="3.5546875" style="12" customWidth="1"/>
    <col min="8970" max="9214" width="9.109375" style="12"/>
    <col min="9215" max="9215" width="8.6640625" style="12" customWidth="1"/>
    <col min="9216" max="9216" width="9.88671875" style="12" customWidth="1"/>
    <col min="9217" max="9217" width="14.44140625" style="12" customWidth="1"/>
    <col min="9218" max="9218" width="7.33203125" style="12" customWidth="1"/>
    <col min="9219" max="9219" width="5.5546875" style="12" customWidth="1"/>
    <col min="9220" max="9220" width="9" style="12" customWidth="1"/>
    <col min="9221" max="9222" width="9.88671875" style="12" customWidth="1"/>
    <col min="9223" max="9223" width="11.109375" style="12" customWidth="1"/>
    <col min="9224" max="9224" width="2.88671875" style="12" customWidth="1"/>
    <col min="9225" max="9225" width="3.5546875" style="12" customWidth="1"/>
    <col min="9226" max="9470" width="9.109375" style="12"/>
    <col min="9471" max="9471" width="8.6640625" style="12" customWidth="1"/>
    <col min="9472" max="9472" width="9.88671875" style="12" customWidth="1"/>
    <col min="9473" max="9473" width="14.44140625" style="12" customWidth="1"/>
    <col min="9474" max="9474" width="7.33203125" style="12" customWidth="1"/>
    <col min="9475" max="9475" width="5.5546875" style="12" customWidth="1"/>
    <col min="9476" max="9476" width="9" style="12" customWidth="1"/>
    <col min="9477" max="9478" width="9.88671875" style="12" customWidth="1"/>
    <col min="9479" max="9479" width="11.109375" style="12" customWidth="1"/>
    <col min="9480" max="9480" width="2.88671875" style="12" customWidth="1"/>
    <col min="9481" max="9481" width="3.5546875" style="12" customWidth="1"/>
    <col min="9482" max="9726" width="9.109375" style="12"/>
    <col min="9727" max="9727" width="8.6640625" style="12" customWidth="1"/>
    <col min="9728" max="9728" width="9.88671875" style="12" customWidth="1"/>
    <col min="9729" max="9729" width="14.44140625" style="12" customWidth="1"/>
    <col min="9730" max="9730" width="7.33203125" style="12" customWidth="1"/>
    <col min="9731" max="9731" width="5.5546875" style="12" customWidth="1"/>
    <col min="9732" max="9732" width="9" style="12" customWidth="1"/>
    <col min="9733" max="9734" width="9.88671875" style="12" customWidth="1"/>
    <col min="9735" max="9735" width="11.109375" style="12" customWidth="1"/>
    <col min="9736" max="9736" width="2.88671875" style="12" customWidth="1"/>
    <col min="9737" max="9737" width="3.5546875" style="12" customWidth="1"/>
    <col min="9738" max="9982" width="9.109375" style="12"/>
    <col min="9983" max="9983" width="8.6640625" style="12" customWidth="1"/>
    <col min="9984" max="9984" width="9.88671875" style="12" customWidth="1"/>
    <col min="9985" max="9985" width="14.44140625" style="12" customWidth="1"/>
    <col min="9986" max="9986" width="7.33203125" style="12" customWidth="1"/>
    <col min="9987" max="9987" width="5.5546875" style="12" customWidth="1"/>
    <col min="9988" max="9988" width="9" style="12" customWidth="1"/>
    <col min="9989" max="9990" width="9.88671875" style="12" customWidth="1"/>
    <col min="9991" max="9991" width="11.109375" style="12" customWidth="1"/>
    <col min="9992" max="9992" width="2.88671875" style="12" customWidth="1"/>
    <col min="9993" max="9993" width="3.5546875" style="12" customWidth="1"/>
    <col min="9994" max="10238" width="9.109375" style="12"/>
    <col min="10239" max="10239" width="8.6640625" style="12" customWidth="1"/>
    <col min="10240" max="10240" width="9.88671875" style="12" customWidth="1"/>
    <col min="10241" max="10241" width="14.44140625" style="12" customWidth="1"/>
    <col min="10242" max="10242" width="7.33203125" style="12" customWidth="1"/>
    <col min="10243" max="10243" width="5.5546875" style="12" customWidth="1"/>
    <col min="10244" max="10244" width="9" style="12" customWidth="1"/>
    <col min="10245" max="10246" width="9.88671875" style="12" customWidth="1"/>
    <col min="10247" max="10247" width="11.109375" style="12" customWidth="1"/>
    <col min="10248" max="10248" width="2.88671875" style="12" customWidth="1"/>
    <col min="10249" max="10249" width="3.5546875" style="12" customWidth="1"/>
    <col min="10250" max="10494" width="9.109375" style="12"/>
    <col min="10495" max="10495" width="8.6640625" style="12" customWidth="1"/>
    <col min="10496" max="10496" width="9.88671875" style="12" customWidth="1"/>
    <col min="10497" max="10497" width="14.44140625" style="12" customWidth="1"/>
    <col min="10498" max="10498" width="7.33203125" style="12" customWidth="1"/>
    <col min="10499" max="10499" width="5.5546875" style="12" customWidth="1"/>
    <col min="10500" max="10500" width="9" style="12" customWidth="1"/>
    <col min="10501" max="10502" width="9.88671875" style="12" customWidth="1"/>
    <col min="10503" max="10503" width="11.109375" style="12" customWidth="1"/>
    <col min="10504" max="10504" width="2.88671875" style="12" customWidth="1"/>
    <col min="10505" max="10505" width="3.5546875" style="12" customWidth="1"/>
    <col min="10506" max="10750" width="9.109375" style="12"/>
    <col min="10751" max="10751" width="8.6640625" style="12" customWidth="1"/>
    <col min="10752" max="10752" width="9.88671875" style="12" customWidth="1"/>
    <col min="10753" max="10753" width="14.44140625" style="12" customWidth="1"/>
    <col min="10754" max="10754" width="7.33203125" style="12" customWidth="1"/>
    <col min="10755" max="10755" width="5.5546875" style="12" customWidth="1"/>
    <col min="10756" max="10756" width="9" style="12" customWidth="1"/>
    <col min="10757" max="10758" width="9.88671875" style="12" customWidth="1"/>
    <col min="10759" max="10759" width="11.109375" style="12" customWidth="1"/>
    <col min="10760" max="10760" width="2.88671875" style="12" customWidth="1"/>
    <col min="10761" max="10761" width="3.5546875" style="12" customWidth="1"/>
    <col min="10762" max="11006" width="9.109375" style="12"/>
    <col min="11007" max="11007" width="8.6640625" style="12" customWidth="1"/>
    <col min="11008" max="11008" width="9.88671875" style="12" customWidth="1"/>
    <col min="11009" max="11009" width="14.44140625" style="12" customWidth="1"/>
    <col min="11010" max="11010" width="7.33203125" style="12" customWidth="1"/>
    <col min="11011" max="11011" width="5.5546875" style="12" customWidth="1"/>
    <col min="11012" max="11012" width="9" style="12" customWidth="1"/>
    <col min="11013" max="11014" width="9.88671875" style="12" customWidth="1"/>
    <col min="11015" max="11015" width="11.109375" style="12" customWidth="1"/>
    <col min="11016" max="11016" width="2.88671875" style="12" customWidth="1"/>
    <col min="11017" max="11017" width="3.5546875" style="12" customWidth="1"/>
    <col min="11018" max="11262" width="9.109375" style="12"/>
    <col min="11263" max="11263" width="8.6640625" style="12" customWidth="1"/>
    <col min="11264" max="11264" width="9.88671875" style="12" customWidth="1"/>
    <col min="11265" max="11265" width="14.44140625" style="12" customWidth="1"/>
    <col min="11266" max="11266" width="7.33203125" style="12" customWidth="1"/>
    <col min="11267" max="11267" width="5.5546875" style="12" customWidth="1"/>
    <col min="11268" max="11268" width="9" style="12" customWidth="1"/>
    <col min="11269" max="11270" width="9.88671875" style="12" customWidth="1"/>
    <col min="11271" max="11271" width="11.109375" style="12" customWidth="1"/>
    <col min="11272" max="11272" width="2.88671875" style="12" customWidth="1"/>
    <col min="11273" max="11273" width="3.5546875" style="12" customWidth="1"/>
    <col min="11274" max="11518" width="9.109375" style="12"/>
    <col min="11519" max="11519" width="8.6640625" style="12" customWidth="1"/>
    <col min="11520" max="11520" width="9.88671875" style="12" customWidth="1"/>
    <col min="11521" max="11521" width="14.44140625" style="12" customWidth="1"/>
    <col min="11522" max="11522" width="7.33203125" style="12" customWidth="1"/>
    <col min="11523" max="11523" width="5.5546875" style="12" customWidth="1"/>
    <col min="11524" max="11524" width="9" style="12" customWidth="1"/>
    <col min="11525" max="11526" width="9.88671875" style="12" customWidth="1"/>
    <col min="11527" max="11527" width="11.109375" style="12" customWidth="1"/>
    <col min="11528" max="11528" width="2.88671875" style="12" customWidth="1"/>
    <col min="11529" max="11529" width="3.5546875" style="12" customWidth="1"/>
    <col min="11530" max="11774" width="9.109375" style="12"/>
    <col min="11775" max="11775" width="8.6640625" style="12" customWidth="1"/>
    <col min="11776" max="11776" width="9.88671875" style="12" customWidth="1"/>
    <col min="11777" max="11777" width="14.44140625" style="12" customWidth="1"/>
    <col min="11778" max="11778" width="7.33203125" style="12" customWidth="1"/>
    <col min="11779" max="11779" width="5.5546875" style="12" customWidth="1"/>
    <col min="11780" max="11780" width="9" style="12" customWidth="1"/>
    <col min="11781" max="11782" width="9.88671875" style="12" customWidth="1"/>
    <col min="11783" max="11783" width="11.109375" style="12" customWidth="1"/>
    <col min="11784" max="11784" width="2.88671875" style="12" customWidth="1"/>
    <col min="11785" max="11785" width="3.5546875" style="12" customWidth="1"/>
    <col min="11786" max="12030" width="9.109375" style="12"/>
    <col min="12031" max="12031" width="8.6640625" style="12" customWidth="1"/>
    <col min="12032" max="12032" width="9.88671875" style="12" customWidth="1"/>
    <col min="12033" max="12033" width="14.44140625" style="12" customWidth="1"/>
    <col min="12034" max="12034" width="7.33203125" style="12" customWidth="1"/>
    <col min="12035" max="12035" width="5.5546875" style="12" customWidth="1"/>
    <col min="12036" max="12036" width="9" style="12" customWidth="1"/>
    <col min="12037" max="12038" width="9.88671875" style="12" customWidth="1"/>
    <col min="12039" max="12039" width="11.109375" style="12" customWidth="1"/>
    <col min="12040" max="12040" width="2.88671875" style="12" customWidth="1"/>
    <col min="12041" max="12041" width="3.5546875" style="12" customWidth="1"/>
    <col min="12042" max="12286" width="9.109375" style="12"/>
    <col min="12287" max="12287" width="8.6640625" style="12" customWidth="1"/>
    <col min="12288" max="12288" width="9.88671875" style="12" customWidth="1"/>
    <col min="12289" max="12289" width="14.44140625" style="12" customWidth="1"/>
    <col min="12290" max="12290" width="7.33203125" style="12" customWidth="1"/>
    <col min="12291" max="12291" width="5.5546875" style="12" customWidth="1"/>
    <col min="12292" max="12292" width="9" style="12" customWidth="1"/>
    <col min="12293" max="12294" width="9.88671875" style="12" customWidth="1"/>
    <col min="12295" max="12295" width="11.109375" style="12" customWidth="1"/>
    <col min="12296" max="12296" width="2.88671875" style="12" customWidth="1"/>
    <col min="12297" max="12297" width="3.5546875" style="12" customWidth="1"/>
    <col min="12298" max="12542" width="9.109375" style="12"/>
    <col min="12543" max="12543" width="8.6640625" style="12" customWidth="1"/>
    <col min="12544" max="12544" width="9.88671875" style="12" customWidth="1"/>
    <col min="12545" max="12545" width="14.44140625" style="12" customWidth="1"/>
    <col min="12546" max="12546" width="7.33203125" style="12" customWidth="1"/>
    <col min="12547" max="12547" width="5.5546875" style="12" customWidth="1"/>
    <col min="12548" max="12548" width="9" style="12" customWidth="1"/>
    <col min="12549" max="12550" width="9.88671875" style="12" customWidth="1"/>
    <col min="12551" max="12551" width="11.109375" style="12" customWidth="1"/>
    <col min="12552" max="12552" width="2.88671875" style="12" customWidth="1"/>
    <col min="12553" max="12553" width="3.5546875" style="12" customWidth="1"/>
    <col min="12554" max="12798" width="9.109375" style="12"/>
    <col min="12799" max="12799" width="8.6640625" style="12" customWidth="1"/>
    <col min="12800" max="12800" width="9.88671875" style="12" customWidth="1"/>
    <col min="12801" max="12801" width="14.44140625" style="12" customWidth="1"/>
    <col min="12802" max="12802" width="7.33203125" style="12" customWidth="1"/>
    <col min="12803" max="12803" width="5.5546875" style="12" customWidth="1"/>
    <col min="12804" max="12804" width="9" style="12" customWidth="1"/>
    <col min="12805" max="12806" width="9.88671875" style="12" customWidth="1"/>
    <col min="12807" max="12807" width="11.109375" style="12" customWidth="1"/>
    <col min="12808" max="12808" width="2.88671875" style="12" customWidth="1"/>
    <col min="12809" max="12809" width="3.5546875" style="12" customWidth="1"/>
    <col min="12810" max="13054" width="9.109375" style="12"/>
    <col min="13055" max="13055" width="8.6640625" style="12" customWidth="1"/>
    <col min="13056" max="13056" width="9.88671875" style="12" customWidth="1"/>
    <col min="13057" max="13057" width="14.44140625" style="12" customWidth="1"/>
    <col min="13058" max="13058" width="7.33203125" style="12" customWidth="1"/>
    <col min="13059" max="13059" width="5.5546875" style="12" customWidth="1"/>
    <col min="13060" max="13060" width="9" style="12" customWidth="1"/>
    <col min="13061" max="13062" width="9.88671875" style="12" customWidth="1"/>
    <col min="13063" max="13063" width="11.109375" style="12" customWidth="1"/>
    <col min="13064" max="13064" width="2.88671875" style="12" customWidth="1"/>
    <col min="13065" max="13065" width="3.5546875" style="12" customWidth="1"/>
    <col min="13066" max="13310" width="9.109375" style="12"/>
    <col min="13311" max="13311" width="8.6640625" style="12" customWidth="1"/>
    <col min="13312" max="13312" width="9.88671875" style="12" customWidth="1"/>
    <col min="13313" max="13313" width="14.44140625" style="12" customWidth="1"/>
    <col min="13314" max="13314" width="7.33203125" style="12" customWidth="1"/>
    <col min="13315" max="13315" width="5.5546875" style="12" customWidth="1"/>
    <col min="13316" max="13316" width="9" style="12" customWidth="1"/>
    <col min="13317" max="13318" width="9.88671875" style="12" customWidth="1"/>
    <col min="13319" max="13319" width="11.109375" style="12" customWidth="1"/>
    <col min="13320" max="13320" width="2.88671875" style="12" customWidth="1"/>
    <col min="13321" max="13321" width="3.5546875" style="12" customWidth="1"/>
    <col min="13322" max="13566" width="9.109375" style="12"/>
    <col min="13567" max="13567" width="8.6640625" style="12" customWidth="1"/>
    <col min="13568" max="13568" width="9.88671875" style="12" customWidth="1"/>
    <col min="13569" max="13569" width="14.44140625" style="12" customWidth="1"/>
    <col min="13570" max="13570" width="7.33203125" style="12" customWidth="1"/>
    <col min="13571" max="13571" width="5.5546875" style="12" customWidth="1"/>
    <col min="13572" max="13572" width="9" style="12" customWidth="1"/>
    <col min="13573" max="13574" width="9.88671875" style="12" customWidth="1"/>
    <col min="13575" max="13575" width="11.109375" style="12" customWidth="1"/>
    <col min="13576" max="13576" width="2.88671875" style="12" customWidth="1"/>
    <col min="13577" max="13577" width="3.5546875" style="12" customWidth="1"/>
    <col min="13578" max="13822" width="9.109375" style="12"/>
    <col min="13823" max="13823" width="8.6640625" style="12" customWidth="1"/>
    <col min="13824" max="13824" width="9.88671875" style="12" customWidth="1"/>
    <col min="13825" max="13825" width="14.44140625" style="12" customWidth="1"/>
    <col min="13826" max="13826" width="7.33203125" style="12" customWidth="1"/>
    <col min="13827" max="13827" width="5.5546875" style="12" customWidth="1"/>
    <col min="13828" max="13828" width="9" style="12" customWidth="1"/>
    <col min="13829" max="13830" width="9.88671875" style="12" customWidth="1"/>
    <col min="13831" max="13831" width="11.109375" style="12" customWidth="1"/>
    <col min="13832" max="13832" width="2.88671875" style="12" customWidth="1"/>
    <col min="13833" max="13833" width="3.5546875" style="12" customWidth="1"/>
    <col min="13834" max="14078" width="9.109375" style="12"/>
    <col min="14079" max="14079" width="8.6640625" style="12" customWidth="1"/>
    <col min="14080" max="14080" width="9.88671875" style="12" customWidth="1"/>
    <col min="14081" max="14081" width="14.44140625" style="12" customWidth="1"/>
    <col min="14082" max="14082" width="7.33203125" style="12" customWidth="1"/>
    <col min="14083" max="14083" width="5.5546875" style="12" customWidth="1"/>
    <col min="14084" max="14084" width="9" style="12" customWidth="1"/>
    <col min="14085" max="14086" width="9.88671875" style="12" customWidth="1"/>
    <col min="14087" max="14087" width="11.109375" style="12" customWidth="1"/>
    <col min="14088" max="14088" width="2.88671875" style="12" customWidth="1"/>
    <col min="14089" max="14089" width="3.5546875" style="12" customWidth="1"/>
    <col min="14090" max="14334" width="9.109375" style="12"/>
    <col min="14335" max="14335" width="8.6640625" style="12" customWidth="1"/>
    <col min="14336" max="14336" width="9.88671875" style="12" customWidth="1"/>
    <col min="14337" max="14337" width="14.44140625" style="12" customWidth="1"/>
    <col min="14338" max="14338" width="7.33203125" style="12" customWidth="1"/>
    <col min="14339" max="14339" width="5.5546875" style="12" customWidth="1"/>
    <col min="14340" max="14340" width="9" style="12" customWidth="1"/>
    <col min="14341" max="14342" width="9.88671875" style="12" customWidth="1"/>
    <col min="14343" max="14343" width="11.109375" style="12" customWidth="1"/>
    <col min="14344" max="14344" width="2.88671875" style="12" customWidth="1"/>
    <col min="14345" max="14345" width="3.5546875" style="12" customWidth="1"/>
    <col min="14346" max="14590" width="9.109375" style="12"/>
    <col min="14591" max="14591" width="8.6640625" style="12" customWidth="1"/>
    <col min="14592" max="14592" width="9.88671875" style="12" customWidth="1"/>
    <col min="14593" max="14593" width="14.44140625" style="12" customWidth="1"/>
    <col min="14594" max="14594" width="7.33203125" style="12" customWidth="1"/>
    <col min="14595" max="14595" width="5.5546875" style="12" customWidth="1"/>
    <col min="14596" max="14596" width="9" style="12" customWidth="1"/>
    <col min="14597" max="14598" width="9.88671875" style="12" customWidth="1"/>
    <col min="14599" max="14599" width="11.109375" style="12" customWidth="1"/>
    <col min="14600" max="14600" width="2.88671875" style="12" customWidth="1"/>
    <col min="14601" max="14601" width="3.5546875" style="12" customWidth="1"/>
    <col min="14602" max="14846" width="9.109375" style="12"/>
    <col min="14847" max="14847" width="8.6640625" style="12" customWidth="1"/>
    <col min="14848" max="14848" width="9.88671875" style="12" customWidth="1"/>
    <col min="14849" max="14849" width="14.44140625" style="12" customWidth="1"/>
    <col min="14850" max="14850" width="7.33203125" style="12" customWidth="1"/>
    <col min="14851" max="14851" width="5.5546875" style="12" customWidth="1"/>
    <col min="14852" max="14852" width="9" style="12" customWidth="1"/>
    <col min="14853" max="14854" width="9.88671875" style="12" customWidth="1"/>
    <col min="14855" max="14855" width="11.109375" style="12" customWidth="1"/>
    <col min="14856" max="14856" width="2.88671875" style="12" customWidth="1"/>
    <col min="14857" max="14857" width="3.5546875" style="12" customWidth="1"/>
    <col min="14858" max="15102" width="9.109375" style="12"/>
    <col min="15103" max="15103" width="8.6640625" style="12" customWidth="1"/>
    <col min="15104" max="15104" width="9.88671875" style="12" customWidth="1"/>
    <col min="15105" max="15105" width="14.44140625" style="12" customWidth="1"/>
    <col min="15106" max="15106" width="7.33203125" style="12" customWidth="1"/>
    <col min="15107" max="15107" width="5.5546875" style="12" customWidth="1"/>
    <col min="15108" max="15108" width="9" style="12" customWidth="1"/>
    <col min="15109" max="15110" width="9.88671875" style="12" customWidth="1"/>
    <col min="15111" max="15111" width="11.109375" style="12" customWidth="1"/>
    <col min="15112" max="15112" width="2.88671875" style="12" customWidth="1"/>
    <col min="15113" max="15113" width="3.5546875" style="12" customWidth="1"/>
    <col min="15114" max="15358" width="9.109375" style="12"/>
    <col min="15359" max="15359" width="8.6640625" style="12" customWidth="1"/>
    <col min="15360" max="15360" width="9.88671875" style="12" customWidth="1"/>
    <col min="15361" max="15361" width="14.44140625" style="12" customWidth="1"/>
    <col min="15362" max="15362" width="7.33203125" style="12" customWidth="1"/>
    <col min="15363" max="15363" width="5.5546875" style="12" customWidth="1"/>
    <col min="15364" max="15364" width="9" style="12" customWidth="1"/>
    <col min="15365" max="15366" width="9.88671875" style="12" customWidth="1"/>
    <col min="15367" max="15367" width="11.109375" style="12" customWidth="1"/>
    <col min="15368" max="15368" width="2.88671875" style="12" customWidth="1"/>
    <col min="15369" max="15369" width="3.5546875" style="12" customWidth="1"/>
    <col min="15370" max="15614" width="9.109375" style="12"/>
    <col min="15615" max="15615" width="8.6640625" style="12" customWidth="1"/>
    <col min="15616" max="15616" width="9.88671875" style="12" customWidth="1"/>
    <col min="15617" max="15617" width="14.44140625" style="12" customWidth="1"/>
    <col min="15618" max="15618" width="7.33203125" style="12" customWidth="1"/>
    <col min="15619" max="15619" width="5.5546875" style="12" customWidth="1"/>
    <col min="15620" max="15620" width="9" style="12" customWidth="1"/>
    <col min="15621" max="15622" width="9.88671875" style="12" customWidth="1"/>
    <col min="15623" max="15623" width="11.109375" style="12" customWidth="1"/>
    <col min="15624" max="15624" width="2.88671875" style="12" customWidth="1"/>
    <col min="15625" max="15625" width="3.5546875" style="12" customWidth="1"/>
    <col min="15626" max="15870" width="9.109375" style="12"/>
    <col min="15871" max="15871" width="8.6640625" style="12" customWidth="1"/>
    <col min="15872" max="15872" width="9.88671875" style="12" customWidth="1"/>
    <col min="15873" max="15873" width="14.44140625" style="12" customWidth="1"/>
    <col min="15874" max="15874" width="7.33203125" style="12" customWidth="1"/>
    <col min="15875" max="15875" width="5.5546875" style="12" customWidth="1"/>
    <col min="15876" max="15876" width="9" style="12" customWidth="1"/>
    <col min="15877" max="15878" width="9.88671875" style="12" customWidth="1"/>
    <col min="15879" max="15879" width="11.109375" style="12" customWidth="1"/>
    <col min="15880" max="15880" width="2.88671875" style="12" customWidth="1"/>
    <col min="15881" max="15881" width="3.5546875" style="12" customWidth="1"/>
    <col min="15882" max="16126" width="9.109375" style="12"/>
    <col min="16127" max="16127" width="8.6640625" style="12" customWidth="1"/>
    <col min="16128" max="16128" width="9.88671875" style="12" customWidth="1"/>
    <col min="16129" max="16129" width="14.44140625" style="12" customWidth="1"/>
    <col min="16130" max="16130" width="7.33203125" style="12" customWidth="1"/>
    <col min="16131" max="16131" width="5.5546875" style="12" customWidth="1"/>
    <col min="16132" max="16132" width="9" style="12" customWidth="1"/>
    <col min="16133" max="16134" width="9.88671875" style="12" customWidth="1"/>
    <col min="16135" max="16135" width="11.109375" style="12" customWidth="1"/>
    <col min="16136" max="16136" width="2.88671875" style="12" customWidth="1"/>
    <col min="16137" max="16137" width="3.5546875" style="12" customWidth="1"/>
    <col min="16138" max="16384" width="9.109375" style="12"/>
  </cols>
  <sheetData>
    <row r="1" spans="1:10" ht="46.5" customHeight="1" x14ac:dyDescent="0.3">
      <c r="A1" s="179" t="s">
        <v>272</v>
      </c>
      <c r="B1" s="180"/>
      <c r="C1" s="180"/>
      <c r="D1" s="180"/>
      <c r="E1" s="180"/>
      <c r="F1" s="180"/>
      <c r="G1" s="180"/>
      <c r="H1" s="180"/>
      <c r="I1" s="180"/>
      <c r="J1" s="181"/>
    </row>
    <row r="2" spans="1:10" ht="16.5" customHeight="1" x14ac:dyDescent="0.3">
      <c r="A2" s="182" t="s">
        <v>0</v>
      </c>
      <c r="B2" s="183"/>
      <c r="C2" s="183"/>
      <c r="D2" s="183"/>
      <c r="E2" s="183"/>
      <c r="F2" s="183"/>
      <c r="G2" s="183"/>
      <c r="H2" s="183"/>
      <c r="I2" s="183"/>
      <c r="J2" s="184"/>
    </row>
    <row r="3" spans="1:10" x14ac:dyDescent="0.3">
      <c r="A3" s="91" t="s">
        <v>1</v>
      </c>
      <c r="B3" s="92"/>
      <c r="C3" s="92"/>
      <c r="D3" s="92"/>
      <c r="E3" s="93"/>
      <c r="F3" s="185" t="str">
        <f ca="1">TEXT(TODAY(),"DD/MM/YYYY")</f>
        <v>12/08/2025</v>
      </c>
      <c r="G3" s="186"/>
      <c r="H3" s="186"/>
      <c r="I3" s="186"/>
      <c r="J3" s="187"/>
    </row>
    <row r="4" spans="1:10" ht="15" customHeight="1" x14ac:dyDescent="0.3">
      <c r="A4" s="91" t="s">
        <v>2</v>
      </c>
      <c r="B4" s="92"/>
      <c r="C4" s="92"/>
      <c r="D4" s="92"/>
      <c r="E4" s="93"/>
      <c r="F4" s="188" t="s">
        <v>180</v>
      </c>
      <c r="G4" s="189"/>
      <c r="H4" s="189"/>
      <c r="I4" s="189"/>
      <c r="J4" s="190"/>
    </row>
    <row r="5" spans="1:10" x14ac:dyDescent="0.3">
      <c r="A5" s="91" t="s">
        <v>3</v>
      </c>
      <c r="B5" s="92"/>
      <c r="C5" s="92"/>
      <c r="D5" s="92"/>
      <c r="E5" s="93"/>
      <c r="F5" s="185">
        <v>45881</v>
      </c>
      <c r="G5" s="186"/>
      <c r="H5" s="186"/>
      <c r="I5" s="186"/>
      <c r="J5" s="187"/>
    </row>
    <row r="6" spans="1:10" ht="16.5" customHeight="1" x14ac:dyDescent="0.3">
      <c r="A6" s="91" t="s">
        <v>4</v>
      </c>
      <c r="B6" s="92"/>
      <c r="C6" s="92"/>
      <c r="D6" s="92"/>
      <c r="E6" s="93"/>
      <c r="F6" s="85" t="s">
        <v>181</v>
      </c>
      <c r="G6" s="86"/>
      <c r="H6" s="86"/>
      <c r="I6" s="86"/>
      <c r="J6" s="87"/>
    </row>
    <row r="7" spans="1:10" ht="15" customHeight="1" x14ac:dyDescent="0.3">
      <c r="A7" s="91" t="s">
        <v>5</v>
      </c>
      <c r="B7" s="92"/>
      <c r="C7" s="92"/>
      <c r="D7" s="92"/>
      <c r="E7" s="93"/>
      <c r="F7" s="85" t="str">
        <f>F6</f>
        <v>M/s.Dharmi Constructions</v>
      </c>
      <c r="G7" s="86"/>
      <c r="H7" s="86"/>
      <c r="I7" s="86"/>
      <c r="J7" s="87"/>
    </row>
    <row r="8" spans="1:10" x14ac:dyDescent="0.3">
      <c r="A8" s="91" t="s">
        <v>6</v>
      </c>
      <c r="B8" s="92"/>
      <c r="C8" s="92"/>
      <c r="D8" s="92"/>
      <c r="E8" s="93"/>
      <c r="F8" s="153" t="s">
        <v>213</v>
      </c>
      <c r="G8" s="154"/>
      <c r="H8" s="154"/>
      <c r="I8" s="154"/>
      <c r="J8" s="155"/>
    </row>
    <row r="9" spans="1:10" x14ac:dyDescent="0.3">
      <c r="A9" s="91" t="s">
        <v>7</v>
      </c>
      <c r="B9" s="92"/>
      <c r="C9" s="92"/>
      <c r="D9" s="92"/>
      <c r="E9" s="93"/>
      <c r="F9" s="85" t="s">
        <v>215</v>
      </c>
      <c r="G9" s="92"/>
      <c r="H9" s="92"/>
      <c r="I9" s="92"/>
      <c r="J9" s="93"/>
    </row>
    <row r="10" spans="1:10" x14ac:dyDescent="0.3">
      <c r="A10" s="91" t="s">
        <v>258</v>
      </c>
      <c r="B10" s="92"/>
      <c r="C10" s="92"/>
      <c r="D10" s="92"/>
      <c r="E10" s="93"/>
      <c r="F10" s="85" t="s">
        <v>280</v>
      </c>
      <c r="G10" s="92"/>
      <c r="H10" s="92"/>
      <c r="I10" s="92"/>
      <c r="J10" s="93"/>
    </row>
    <row r="11" spans="1:10" x14ac:dyDescent="0.3">
      <c r="A11" s="91" t="s">
        <v>8</v>
      </c>
      <c r="B11" s="92"/>
      <c r="C11" s="92"/>
      <c r="D11" s="92"/>
      <c r="E11" s="93"/>
      <c r="F11" s="191" t="s">
        <v>262</v>
      </c>
      <c r="G11" s="192"/>
      <c r="H11" s="192"/>
      <c r="I11" s="192"/>
      <c r="J11" s="193"/>
    </row>
    <row r="12" spans="1:10" ht="16.5" customHeight="1" x14ac:dyDescent="0.3">
      <c r="A12" s="91" t="s">
        <v>9</v>
      </c>
      <c r="B12" s="92"/>
      <c r="C12" s="92"/>
      <c r="D12" s="92"/>
      <c r="E12" s="93"/>
      <c r="F12" s="191" t="s">
        <v>10</v>
      </c>
      <c r="G12" s="192"/>
      <c r="H12" s="192"/>
      <c r="I12" s="192"/>
      <c r="J12" s="193"/>
    </row>
    <row r="13" spans="1:10" ht="32.25" customHeight="1" x14ac:dyDescent="0.3">
      <c r="A13" s="91" t="s">
        <v>11</v>
      </c>
      <c r="B13" s="92"/>
      <c r="C13" s="195" t="s">
        <v>229</v>
      </c>
      <c r="D13" s="195"/>
      <c r="E13" s="195"/>
      <c r="F13" s="195"/>
      <c r="G13" s="195"/>
      <c r="H13" s="195"/>
      <c r="I13" s="195"/>
      <c r="J13" s="195"/>
    </row>
    <row r="14" spans="1:10" ht="33" customHeight="1" x14ac:dyDescent="0.3">
      <c r="A14" s="194" t="s">
        <v>12</v>
      </c>
      <c r="B14" s="194"/>
      <c r="C14" s="85" t="str">
        <f>CONCATENATE((IF(OR(F8="",F8="NA"),"",F8)),", ",(IF(OR(A15="",A15="NA"),"",A15)),".",(IF(OR(C15="",C15="NA"),"",C15)),", ",(IF(OR(C16="",C16="NA"),"",C16)),", ",(IF(OR(H16="",H16="NA"),"",H16)),", ",(IF(OR(C17="",C17="NA"),"",C17)),", ",(IF(OR(H17="",H17="NA"),"",H17)),".")</f>
        <v>Samruddhi Residency, Survey No.56/2 PT, Virathan Khurd Road, Virathan (Khurd), Saphale West, Palghar.</v>
      </c>
      <c r="D14" s="86"/>
      <c r="E14" s="86"/>
      <c r="F14" s="86"/>
      <c r="G14" s="86"/>
      <c r="H14" s="86"/>
      <c r="I14" s="86"/>
      <c r="J14" s="87"/>
    </row>
    <row r="15" spans="1:10" ht="15.75" customHeight="1" x14ac:dyDescent="0.3">
      <c r="A15" s="85" t="s">
        <v>182</v>
      </c>
      <c r="B15" s="87"/>
      <c r="C15" s="85" t="s">
        <v>183</v>
      </c>
      <c r="D15" s="86"/>
      <c r="E15" s="86"/>
      <c r="F15" s="86"/>
      <c r="G15" s="86"/>
      <c r="H15" s="86"/>
      <c r="I15" s="86"/>
      <c r="J15" s="87"/>
    </row>
    <row r="16" spans="1:10" ht="15.75" customHeight="1" x14ac:dyDescent="0.3">
      <c r="A16" s="85" t="s">
        <v>13</v>
      </c>
      <c r="B16" s="87"/>
      <c r="C16" s="163" t="s">
        <v>185</v>
      </c>
      <c r="D16" s="163"/>
      <c r="E16" s="163"/>
      <c r="F16" s="164" t="s">
        <v>143</v>
      </c>
      <c r="G16" s="165"/>
      <c r="H16" s="85" t="s">
        <v>184</v>
      </c>
      <c r="I16" s="86"/>
      <c r="J16" s="87"/>
    </row>
    <row r="17" spans="1:10" x14ac:dyDescent="0.3">
      <c r="A17" s="163" t="s">
        <v>15</v>
      </c>
      <c r="B17" s="163"/>
      <c r="C17" s="163" t="s">
        <v>208</v>
      </c>
      <c r="D17" s="163"/>
      <c r="E17" s="163"/>
      <c r="F17" s="164" t="s">
        <v>14</v>
      </c>
      <c r="G17" s="165"/>
      <c r="H17" s="166" t="s">
        <v>160</v>
      </c>
      <c r="I17" s="166"/>
      <c r="J17" s="166"/>
    </row>
    <row r="18" spans="1:10" x14ac:dyDescent="0.3">
      <c r="A18" s="163" t="s">
        <v>144</v>
      </c>
      <c r="B18" s="163"/>
      <c r="C18" s="85" t="s">
        <v>160</v>
      </c>
      <c r="D18" s="86"/>
      <c r="E18" s="87"/>
      <c r="F18" s="164" t="s">
        <v>16</v>
      </c>
      <c r="G18" s="165"/>
      <c r="H18" s="85">
        <v>401102</v>
      </c>
      <c r="I18" s="86"/>
      <c r="J18" s="87"/>
    </row>
    <row r="19" spans="1:10" ht="32.25" customHeight="1" x14ac:dyDescent="0.3">
      <c r="A19" s="163" t="s">
        <v>17</v>
      </c>
      <c r="B19" s="163"/>
      <c r="C19" s="196" t="s">
        <v>209</v>
      </c>
      <c r="D19" s="196"/>
      <c r="E19" s="196"/>
      <c r="F19" s="194" t="s">
        <v>18</v>
      </c>
      <c r="G19" s="194"/>
      <c r="H19" s="192" t="s">
        <v>261</v>
      </c>
      <c r="I19" s="192"/>
      <c r="J19" s="193"/>
    </row>
    <row r="20" spans="1:10" ht="15" customHeight="1" x14ac:dyDescent="0.3">
      <c r="A20" s="164" t="s">
        <v>156</v>
      </c>
      <c r="B20" s="197"/>
      <c r="C20" s="197"/>
      <c r="D20" s="197"/>
      <c r="E20" s="165"/>
      <c r="F20" s="199" t="s">
        <v>19</v>
      </c>
      <c r="G20" s="200"/>
      <c r="H20" s="200"/>
      <c r="I20" s="200"/>
      <c r="J20" s="201"/>
    </row>
    <row r="21" spans="1:10" ht="18.75" customHeight="1" x14ac:dyDescent="0.3">
      <c r="A21" s="177"/>
      <c r="B21" s="178"/>
      <c r="C21" s="178"/>
      <c r="D21" s="178"/>
      <c r="E21" s="198"/>
      <c r="F21" s="202"/>
      <c r="G21" s="203"/>
      <c r="H21" s="203"/>
      <c r="I21" s="203"/>
      <c r="J21" s="204"/>
    </row>
    <row r="22" spans="1:10" ht="15" customHeight="1" x14ac:dyDescent="0.3">
      <c r="A22" s="164" t="s">
        <v>20</v>
      </c>
      <c r="B22" s="197"/>
      <c r="C22" s="197"/>
      <c r="D22" s="197"/>
      <c r="E22" s="165"/>
      <c r="F22" s="164" t="s">
        <v>21</v>
      </c>
      <c r="G22" s="197"/>
      <c r="H22" s="197"/>
      <c r="I22" s="197"/>
      <c r="J22" s="165"/>
    </row>
    <row r="23" spans="1:10" x14ac:dyDescent="0.3">
      <c r="A23" s="177"/>
      <c r="B23" s="178"/>
      <c r="C23" s="178"/>
      <c r="D23" s="178"/>
      <c r="E23" s="198"/>
      <c r="F23" s="177"/>
      <c r="G23" s="178"/>
      <c r="H23" s="178"/>
      <c r="I23" s="178"/>
      <c r="J23" s="198"/>
    </row>
    <row r="24" spans="1:10" ht="15" customHeight="1" x14ac:dyDescent="0.3">
      <c r="A24" s="91" t="s">
        <v>22</v>
      </c>
      <c r="B24" s="92"/>
      <c r="C24" s="92"/>
      <c r="D24" s="92"/>
      <c r="E24" s="93"/>
      <c r="F24" s="188" t="s">
        <v>23</v>
      </c>
      <c r="G24" s="189"/>
      <c r="H24" s="189"/>
      <c r="I24" s="189"/>
      <c r="J24" s="190"/>
    </row>
    <row r="25" spans="1:10" x14ac:dyDescent="0.3">
      <c r="A25" s="91" t="s">
        <v>24</v>
      </c>
      <c r="B25" s="92"/>
      <c r="C25" s="92"/>
      <c r="D25" s="92"/>
      <c r="E25" s="93"/>
      <c r="F25" s="188" t="s">
        <v>25</v>
      </c>
      <c r="G25" s="189"/>
      <c r="H25" s="189"/>
      <c r="I25" s="189"/>
      <c r="J25" s="190"/>
    </row>
    <row r="26" spans="1:10" ht="15" customHeight="1" x14ac:dyDescent="0.3">
      <c r="A26" s="91" t="s">
        <v>26</v>
      </c>
      <c r="B26" s="92"/>
      <c r="C26" s="92"/>
      <c r="D26" s="92"/>
      <c r="E26" s="93"/>
      <c r="F26" s="188" t="s">
        <v>27</v>
      </c>
      <c r="G26" s="189"/>
      <c r="H26" s="189"/>
      <c r="I26" s="189"/>
      <c r="J26" s="190"/>
    </row>
    <row r="27" spans="1:10" x14ac:dyDescent="0.3">
      <c r="A27" s="91" t="s">
        <v>28</v>
      </c>
      <c r="B27" s="92"/>
      <c r="C27" s="92"/>
      <c r="D27" s="92"/>
      <c r="E27" s="93"/>
      <c r="F27" s="188" t="s">
        <v>29</v>
      </c>
      <c r="G27" s="189"/>
      <c r="H27" s="189"/>
      <c r="I27" s="189"/>
      <c r="J27" s="190"/>
    </row>
    <row r="28" spans="1:10" x14ac:dyDescent="0.3">
      <c r="A28" s="167" t="s">
        <v>30</v>
      </c>
      <c r="B28" s="168"/>
      <c r="C28" s="167" t="s">
        <v>31</v>
      </c>
      <c r="D28" s="168"/>
      <c r="E28" s="167" t="s">
        <v>32</v>
      </c>
      <c r="F28" s="168"/>
      <c r="G28" s="167" t="s">
        <v>34</v>
      </c>
      <c r="H28" s="168"/>
      <c r="I28" s="167" t="s">
        <v>33</v>
      </c>
      <c r="J28" s="168"/>
    </row>
    <row r="29" spans="1:10" x14ac:dyDescent="0.3">
      <c r="A29" s="169" t="s">
        <v>35</v>
      </c>
      <c r="B29" s="170"/>
      <c r="C29" s="169" t="s">
        <v>36</v>
      </c>
      <c r="D29" s="170"/>
      <c r="E29" s="169" t="s">
        <v>36</v>
      </c>
      <c r="F29" s="170"/>
      <c r="G29" s="169" t="s">
        <v>36</v>
      </c>
      <c r="H29" s="170"/>
      <c r="I29" s="169" t="s">
        <v>36</v>
      </c>
      <c r="J29" s="170"/>
    </row>
    <row r="30" spans="1:10" x14ac:dyDescent="0.3">
      <c r="A30" s="169" t="s">
        <v>37</v>
      </c>
      <c r="B30" s="170"/>
      <c r="C30" s="169" t="s">
        <v>186</v>
      </c>
      <c r="D30" s="170"/>
      <c r="E30" s="169" t="s">
        <v>13</v>
      </c>
      <c r="F30" s="170"/>
      <c r="G30" s="169" t="s">
        <v>186</v>
      </c>
      <c r="H30" s="170"/>
      <c r="I30" s="169" t="s">
        <v>186</v>
      </c>
      <c r="J30" s="170"/>
    </row>
    <row r="31" spans="1:10" x14ac:dyDescent="0.3">
      <c r="A31" s="91" t="s">
        <v>38</v>
      </c>
      <c r="B31" s="92"/>
      <c r="C31" s="92"/>
      <c r="D31" s="92"/>
      <c r="E31" s="92"/>
      <c r="F31" s="92"/>
      <c r="G31" s="92"/>
      <c r="H31" s="92"/>
      <c r="I31" s="92"/>
      <c r="J31" s="93"/>
    </row>
    <row r="32" spans="1:10" x14ac:dyDescent="0.3">
      <c r="A32" s="91" t="s">
        <v>39</v>
      </c>
      <c r="B32" s="92"/>
      <c r="C32" s="92"/>
      <c r="D32" s="92"/>
      <c r="E32" s="92"/>
      <c r="F32" s="92"/>
      <c r="G32" s="92"/>
      <c r="H32" s="92"/>
      <c r="I32" s="92"/>
      <c r="J32" s="93"/>
    </row>
    <row r="33" spans="1:10" x14ac:dyDescent="0.3">
      <c r="A33" s="91" t="s">
        <v>40</v>
      </c>
      <c r="B33" s="93"/>
      <c r="C33" s="169" t="s">
        <v>41</v>
      </c>
      <c r="D33" s="170"/>
      <c r="E33" s="169">
        <v>19.574566300000001</v>
      </c>
      <c r="F33" s="170"/>
      <c r="G33" s="169" t="s">
        <v>42</v>
      </c>
      <c r="H33" s="170"/>
      <c r="I33" s="169">
        <v>72.7875868</v>
      </c>
      <c r="J33" s="170"/>
    </row>
    <row r="34" spans="1:10" x14ac:dyDescent="0.3">
      <c r="A34" s="91" t="s">
        <v>270</v>
      </c>
      <c r="B34" s="93"/>
      <c r="C34" s="239" t="s">
        <v>271</v>
      </c>
      <c r="D34" s="240"/>
      <c r="E34" s="240"/>
      <c r="F34" s="240"/>
      <c r="G34" s="240"/>
      <c r="H34" s="240"/>
      <c r="I34" s="240"/>
      <c r="J34" s="170"/>
    </row>
    <row r="35" spans="1:10" x14ac:dyDescent="0.3">
      <c r="A35" s="153" t="s">
        <v>43</v>
      </c>
      <c r="B35" s="154"/>
      <c r="C35" s="154"/>
      <c r="D35" s="154"/>
      <c r="E35" s="154"/>
      <c r="F35" s="154"/>
      <c r="G35" s="154"/>
      <c r="H35" s="154"/>
      <c r="I35" s="154"/>
      <c r="J35" s="155"/>
    </row>
    <row r="36" spans="1:10" ht="15" customHeight="1" x14ac:dyDescent="0.3">
      <c r="A36" s="85" t="s">
        <v>44</v>
      </c>
      <c r="B36" s="86"/>
      <c r="C36" s="86"/>
      <c r="D36" s="86"/>
      <c r="E36" s="87"/>
      <c r="F36" s="174" t="s">
        <v>207</v>
      </c>
      <c r="G36" s="175"/>
      <c r="H36" s="175"/>
      <c r="I36" s="175"/>
      <c r="J36" s="176"/>
    </row>
    <row r="37" spans="1:10" ht="15" customHeight="1" x14ac:dyDescent="0.3">
      <c r="A37" s="177" t="s">
        <v>45</v>
      </c>
      <c r="B37" s="178"/>
      <c r="C37" s="178"/>
      <c r="D37" s="178"/>
      <c r="E37" s="178"/>
      <c r="F37" s="85" t="s">
        <v>46</v>
      </c>
      <c r="G37" s="86"/>
      <c r="H37" s="86"/>
      <c r="I37" s="86"/>
      <c r="J37" s="87"/>
    </row>
    <row r="38" spans="1:10" x14ac:dyDescent="0.3">
      <c r="A38" s="153" t="s">
        <v>47</v>
      </c>
      <c r="B38" s="154"/>
      <c r="C38" s="154"/>
      <c r="D38" s="154"/>
      <c r="E38" s="154"/>
      <c r="F38" s="154"/>
      <c r="G38" s="154"/>
      <c r="H38" s="154"/>
      <c r="I38" s="154"/>
      <c r="J38" s="155"/>
    </row>
    <row r="39" spans="1:10" x14ac:dyDescent="0.3">
      <c r="A39" s="91" t="s">
        <v>48</v>
      </c>
      <c r="B39" s="92"/>
      <c r="C39" s="92"/>
      <c r="D39" s="92"/>
      <c r="E39" s="93"/>
      <c r="F39" s="207">
        <v>4758.5</v>
      </c>
      <c r="G39" s="208"/>
      <c r="H39" s="208"/>
      <c r="I39" s="208"/>
      <c r="J39" s="209"/>
    </row>
    <row r="40" spans="1:10" x14ac:dyDescent="0.3">
      <c r="A40" s="91" t="s">
        <v>49</v>
      </c>
      <c r="B40" s="92"/>
      <c r="C40" s="92"/>
      <c r="D40" s="92"/>
      <c r="E40" s="93"/>
      <c r="F40" s="171">
        <v>1.1000000000000001</v>
      </c>
      <c r="G40" s="172"/>
      <c r="H40" s="172"/>
      <c r="I40" s="172"/>
      <c r="J40" s="173"/>
    </row>
    <row r="41" spans="1:10" x14ac:dyDescent="0.3">
      <c r="A41" s="91" t="s">
        <v>50</v>
      </c>
      <c r="B41" s="92"/>
      <c r="C41" s="92"/>
      <c r="D41" s="92"/>
      <c r="E41" s="93"/>
      <c r="F41" s="171">
        <v>0</v>
      </c>
      <c r="G41" s="172"/>
      <c r="H41" s="172"/>
      <c r="I41" s="172"/>
      <c r="J41" s="173"/>
    </row>
    <row r="42" spans="1:10" x14ac:dyDescent="0.3">
      <c r="A42" s="91" t="s">
        <v>51</v>
      </c>
      <c r="B42" s="92"/>
      <c r="C42" s="92"/>
      <c r="D42" s="92"/>
      <c r="E42" s="93"/>
      <c r="F42" s="171">
        <f>F40+F41</f>
        <v>1.1000000000000001</v>
      </c>
      <c r="G42" s="172"/>
      <c r="H42" s="172"/>
      <c r="I42" s="172"/>
      <c r="J42" s="173"/>
    </row>
    <row r="43" spans="1:10" x14ac:dyDescent="0.3">
      <c r="A43" s="91" t="s">
        <v>52</v>
      </c>
      <c r="B43" s="92"/>
      <c r="C43" s="92"/>
      <c r="D43" s="92"/>
      <c r="E43" s="93"/>
      <c r="F43" s="171">
        <f>F39*F42</f>
        <v>5234.3500000000004</v>
      </c>
      <c r="G43" s="172"/>
      <c r="H43" s="172"/>
      <c r="I43" s="172"/>
      <c r="J43" s="173"/>
    </row>
    <row r="44" spans="1:10" x14ac:dyDescent="0.3">
      <c r="A44" s="91" t="s">
        <v>53</v>
      </c>
      <c r="B44" s="92"/>
      <c r="C44" s="92"/>
      <c r="D44" s="92"/>
      <c r="E44" s="93"/>
      <c r="F44" s="147" t="s">
        <v>187</v>
      </c>
      <c r="G44" s="148"/>
      <c r="H44" s="148"/>
      <c r="I44" s="148"/>
      <c r="J44" s="149"/>
    </row>
    <row r="45" spans="1:10" x14ac:dyDescent="0.3">
      <c r="A45" s="153" t="s">
        <v>54</v>
      </c>
      <c r="B45" s="154"/>
      <c r="C45" s="154"/>
      <c r="D45" s="154"/>
      <c r="E45" s="154"/>
      <c r="F45" s="154"/>
      <c r="G45" s="154"/>
      <c r="H45" s="154"/>
      <c r="I45" s="154"/>
      <c r="J45" s="155"/>
    </row>
    <row r="46" spans="1:10" x14ac:dyDescent="0.3">
      <c r="A46" s="85" t="s">
        <v>55</v>
      </c>
      <c r="B46" s="87"/>
      <c r="C46" s="88" t="s">
        <v>188</v>
      </c>
      <c r="D46" s="89"/>
      <c r="E46" s="89"/>
      <c r="F46" s="90"/>
      <c r="G46" s="20" t="s">
        <v>56</v>
      </c>
      <c r="H46" s="85" t="s">
        <v>189</v>
      </c>
      <c r="I46" s="86"/>
      <c r="J46" s="87"/>
    </row>
    <row r="47" spans="1:10" x14ac:dyDescent="0.3">
      <c r="A47" s="85" t="s">
        <v>57</v>
      </c>
      <c r="B47" s="87"/>
      <c r="C47" s="88" t="str">
        <f>C46</f>
        <v>MAHASUL/KS.1/MJ1/NAP/SR/41/19</v>
      </c>
      <c r="D47" s="89"/>
      <c r="E47" s="89"/>
      <c r="F47" s="90"/>
      <c r="G47" s="20" t="s">
        <v>56</v>
      </c>
      <c r="H47" s="85" t="str">
        <f>H46</f>
        <v>25/04/2019.</v>
      </c>
      <c r="I47" s="86"/>
      <c r="J47" s="87"/>
    </row>
    <row r="48" spans="1:10" ht="50.25" customHeight="1" x14ac:dyDescent="0.3">
      <c r="A48" s="85" t="s">
        <v>260</v>
      </c>
      <c r="B48" s="87"/>
      <c r="C48" s="88" t="s">
        <v>285</v>
      </c>
      <c r="D48" s="161"/>
      <c r="E48" s="161"/>
      <c r="F48" s="162"/>
      <c r="G48" s="13" t="s">
        <v>56</v>
      </c>
      <c r="H48" s="160" t="str">
        <f>H46</f>
        <v>25/04/2019.</v>
      </c>
      <c r="I48" s="161"/>
      <c r="J48" s="162"/>
    </row>
    <row r="49" spans="1:12" ht="15" customHeight="1" x14ac:dyDescent="0.3">
      <c r="A49" s="85" t="s">
        <v>58</v>
      </c>
      <c r="B49" s="87"/>
      <c r="C49" s="88" t="s">
        <v>152</v>
      </c>
      <c r="D49" s="161"/>
      <c r="E49" s="161"/>
      <c r="F49" s="162" t="s">
        <v>59</v>
      </c>
      <c r="G49" s="20" t="s">
        <v>56</v>
      </c>
      <c r="H49" s="85" t="s">
        <v>36</v>
      </c>
      <c r="I49" s="86" t="s">
        <v>36</v>
      </c>
      <c r="J49" s="87"/>
    </row>
    <row r="50" spans="1:12" x14ac:dyDescent="0.3">
      <c r="A50" s="163" t="s">
        <v>60</v>
      </c>
      <c r="B50" s="163"/>
      <c r="C50" s="163"/>
      <c r="D50" s="205" t="str">
        <f>H48</f>
        <v>25/04/2019.</v>
      </c>
      <c r="E50" s="205"/>
      <c r="F50" s="91" t="s">
        <v>61</v>
      </c>
      <c r="G50" s="206"/>
      <c r="H50" s="147" t="s">
        <v>279</v>
      </c>
      <c r="I50" s="148"/>
      <c r="J50" s="149"/>
    </row>
    <row r="51" spans="1:12" x14ac:dyDescent="0.3">
      <c r="A51" s="210" t="s">
        <v>62</v>
      </c>
      <c r="B51" s="211"/>
      <c r="C51" s="211"/>
      <c r="D51" s="211"/>
      <c r="E51" s="211"/>
      <c r="F51" s="211"/>
      <c r="G51" s="211"/>
      <c r="H51" s="211"/>
      <c r="I51" s="211"/>
      <c r="J51" s="212"/>
    </row>
    <row r="52" spans="1:12" s="40" customFormat="1" x14ac:dyDescent="0.3">
      <c r="A52" s="147" t="s">
        <v>63</v>
      </c>
      <c r="B52" s="148"/>
      <c r="C52" s="149"/>
      <c r="D52" s="213">
        <f>F43</f>
        <v>5234.3500000000004</v>
      </c>
      <c r="E52" s="214"/>
      <c r="F52" s="215" t="s">
        <v>64</v>
      </c>
      <c r="G52" s="216"/>
      <c r="H52" s="147" t="s">
        <v>259</v>
      </c>
      <c r="I52" s="148"/>
      <c r="J52" s="149"/>
    </row>
    <row r="53" spans="1:12" x14ac:dyDescent="0.3">
      <c r="A53" s="147" t="s">
        <v>65</v>
      </c>
      <c r="B53" s="148"/>
      <c r="C53" s="147" t="s">
        <v>254</v>
      </c>
      <c r="D53" s="148"/>
      <c r="E53" s="148"/>
      <c r="F53" s="148"/>
      <c r="G53" s="148"/>
      <c r="H53" s="148"/>
      <c r="I53" s="148"/>
      <c r="J53" s="149"/>
    </row>
    <row r="54" spans="1:12" ht="15.75" customHeight="1" x14ac:dyDescent="0.3">
      <c r="A54" s="91" t="s">
        <v>66</v>
      </c>
      <c r="B54" s="92"/>
      <c r="C54" s="92"/>
      <c r="D54" s="85" t="s">
        <v>67</v>
      </c>
      <c r="E54" s="86"/>
      <c r="F54" s="86"/>
      <c r="G54" s="86"/>
      <c r="H54" s="86"/>
      <c r="I54" s="86"/>
      <c r="J54" s="87"/>
    </row>
    <row r="55" spans="1:12" ht="16.2" thickBot="1" x14ac:dyDescent="0.35">
      <c r="A55" s="147" t="s">
        <v>210</v>
      </c>
      <c r="B55" s="148"/>
      <c r="C55" s="148"/>
      <c r="D55" s="148"/>
      <c r="E55" s="148"/>
      <c r="F55" s="148"/>
      <c r="G55" s="148"/>
      <c r="H55" s="148"/>
      <c r="I55" s="148"/>
      <c r="J55" s="149"/>
    </row>
    <row r="56" spans="1:12" x14ac:dyDescent="0.3">
      <c r="A56" s="117" t="s">
        <v>230</v>
      </c>
      <c r="B56" s="118"/>
      <c r="C56" s="119" t="s">
        <v>255</v>
      </c>
      <c r="D56" s="119"/>
      <c r="E56" s="119"/>
      <c r="F56" s="119"/>
      <c r="G56" s="119"/>
      <c r="H56" s="119"/>
      <c r="I56" s="119"/>
      <c r="J56" s="120"/>
      <c r="K56" s="64"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Work not yet Started.</v>
      </c>
      <c r="L56" s="64"/>
    </row>
    <row r="57" spans="1:12" x14ac:dyDescent="0.3">
      <c r="A57" s="65" t="s">
        <v>139</v>
      </c>
      <c r="B57" s="70">
        <v>0</v>
      </c>
      <c r="C57" s="66" t="s">
        <v>141</v>
      </c>
      <c r="D57" s="66">
        <v>1</v>
      </c>
      <c r="E57" s="121" t="s">
        <v>140</v>
      </c>
      <c r="F57" s="121"/>
      <c r="G57" s="66">
        <v>0</v>
      </c>
      <c r="H57" s="66" t="s">
        <v>231</v>
      </c>
      <c r="I57" s="121">
        <f ca="1">--TRIM(RIGHT(SUBSTITUTE(LEFT(C56,_xlfn.AGGREGATE(16,6,FIND({0,1,2,3,4,5,6,7,8,9},C56,ROW(INDIRECT("1:"&amp;LEN(C56)))),1))," ",REPT(" ",LEN(C56))),LEN(C56)))</f>
        <v>4</v>
      </c>
      <c r="J57" s="122"/>
      <c r="K57" s="64"/>
      <c r="L57" s="64"/>
    </row>
    <row r="58" spans="1:12" x14ac:dyDescent="0.3">
      <c r="A58" s="123" t="s">
        <v>232</v>
      </c>
      <c r="B58" s="124"/>
      <c r="C58" s="125" t="str">
        <f ca="1">K56</f>
        <v>Work not yet Started.</v>
      </c>
      <c r="D58" s="125"/>
      <c r="E58" s="125"/>
      <c r="F58" s="125"/>
      <c r="G58" s="125"/>
      <c r="H58" s="125"/>
      <c r="I58" s="125"/>
      <c r="J58" s="126"/>
      <c r="K58" s="64" t="s">
        <v>233</v>
      </c>
      <c r="L58" s="64"/>
    </row>
    <row r="59" spans="1:12" x14ac:dyDescent="0.3">
      <c r="A59" s="127" t="s">
        <v>68</v>
      </c>
      <c r="B59" s="128"/>
      <c r="C59" s="71" t="s">
        <v>234</v>
      </c>
      <c r="D59" s="129" t="s">
        <v>235</v>
      </c>
      <c r="E59" s="129"/>
      <c r="F59" s="129" t="s">
        <v>236</v>
      </c>
      <c r="G59" s="129"/>
      <c r="H59" s="129" t="s">
        <v>237</v>
      </c>
      <c r="I59" s="129"/>
      <c r="J59" s="130"/>
      <c r="K59" s="67" t="s">
        <v>238</v>
      </c>
      <c r="L59" s="12">
        <f ca="1">I57*25%</f>
        <v>1</v>
      </c>
    </row>
    <row r="60" spans="1:12" x14ac:dyDescent="0.3">
      <c r="A60" s="107" t="s">
        <v>239</v>
      </c>
      <c r="B60" s="108"/>
      <c r="C60" s="72">
        <v>0</v>
      </c>
      <c r="D60" s="109">
        <f ca="1">((100/I57)*C60)/100</f>
        <v>0</v>
      </c>
      <c r="E60" s="109"/>
      <c r="F60" s="109">
        <f ca="1">(((C61/I57*10)+(40/(D57+G57+I57)*C62)+(7.5/(I57)*C63)+(7.5/(I57)*C64)+(10/I57*C65)+(10/I57*C66)+(5/I57*C67)+(5/I57*C68)+(5/I57*C69))/100)</f>
        <v>0</v>
      </c>
      <c r="G60" s="109"/>
      <c r="H60" s="109">
        <f ca="1">((((C60/I57)*20)+((C61/I57)*25)+(30/(I57+G57+D57)*C62)+(5/I57*C63)+(5/I57*C64)+(5/I57*C65)+(5/I57*C66)+(0/I57*C67)+(0/I57*C68)+(5/I57*C69))/100)</f>
        <v>0</v>
      </c>
      <c r="I60" s="109"/>
      <c r="J60" s="111"/>
      <c r="K60" s="67" t="s">
        <v>146</v>
      </c>
      <c r="L60" s="67">
        <f ca="1">I57*50%</f>
        <v>2</v>
      </c>
    </row>
    <row r="61" spans="1:12" x14ac:dyDescent="0.3">
      <c r="A61" s="107" t="s">
        <v>69</v>
      </c>
      <c r="B61" s="108"/>
      <c r="C61" s="73">
        <v>0</v>
      </c>
      <c r="D61" s="109">
        <f ca="1">((100/I57)*C61)/100</f>
        <v>0</v>
      </c>
      <c r="E61" s="109"/>
      <c r="F61" s="109"/>
      <c r="G61" s="109"/>
      <c r="H61" s="109"/>
      <c r="I61" s="109"/>
      <c r="J61" s="111"/>
      <c r="K61" s="67" t="s">
        <v>147</v>
      </c>
      <c r="L61" s="67">
        <f ca="1">I57</f>
        <v>4</v>
      </c>
    </row>
    <row r="62" spans="1:12" x14ac:dyDescent="0.3">
      <c r="A62" s="107" t="s">
        <v>240</v>
      </c>
      <c r="B62" s="108"/>
      <c r="C62" s="73">
        <v>0</v>
      </c>
      <c r="D62" s="109">
        <f ca="1">((100/(D57+G57+I57))*C62)/100</f>
        <v>0</v>
      </c>
      <c r="E62" s="109"/>
      <c r="F62" s="109"/>
      <c r="G62" s="109"/>
      <c r="H62" s="109"/>
      <c r="I62" s="109"/>
      <c r="J62" s="111"/>
      <c r="K62" s="67" t="s">
        <v>148</v>
      </c>
      <c r="L62" s="68">
        <f ca="1">(IF(B57&gt;1,(I57/(B57+2)),I57/4))</f>
        <v>1</v>
      </c>
    </row>
    <row r="63" spans="1:12" x14ac:dyDescent="0.3">
      <c r="A63" s="107" t="s">
        <v>241</v>
      </c>
      <c r="B63" s="108" t="s">
        <v>242</v>
      </c>
      <c r="C63" s="72">
        <v>0</v>
      </c>
      <c r="D63" s="109">
        <f ca="1">((100/I57)*C63)/100</f>
        <v>0</v>
      </c>
      <c r="E63" s="109"/>
      <c r="F63" s="109"/>
      <c r="G63" s="109"/>
      <c r="H63" s="109"/>
      <c r="I63" s="109"/>
      <c r="J63" s="111"/>
      <c r="K63" s="67" t="s">
        <v>149</v>
      </c>
      <c r="L63" s="68">
        <f ca="1">(IF(B57&gt;1,(I57/(B57+2)+L62),I57/4+L62))</f>
        <v>2</v>
      </c>
    </row>
    <row r="64" spans="1:12" x14ac:dyDescent="0.3">
      <c r="A64" s="107" t="s">
        <v>243</v>
      </c>
      <c r="B64" s="108" t="s">
        <v>242</v>
      </c>
      <c r="C64" s="72">
        <v>0</v>
      </c>
      <c r="D64" s="109">
        <f ca="1">((100/I57)*C64)/100</f>
        <v>0</v>
      </c>
      <c r="E64" s="109"/>
      <c r="F64" s="109"/>
      <c r="G64" s="109"/>
      <c r="H64" s="109"/>
      <c r="I64" s="109"/>
      <c r="J64" s="111"/>
      <c r="K64" s="67" t="s">
        <v>244</v>
      </c>
      <c r="L64" s="68">
        <f>(IF(B57&gt;1,(I57/(B57+2)+L63),0))</f>
        <v>0</v>
      </c>
    </row>
    <row r="65" spans="1:12" x14ac:dyDescent="0.3">
      <c r="A65" s="107" t="s">
        <v>245</v>
      </c>
      <c r="B65" s="108" t="s">
        <v>246</v>
      </c>
      <c r="C65" s="72">
        <v>0</v>
      </c>
      <c r="D65" s="109">
        <f ca="1">((100/(I57))*C65)/100</f>
        <v>0</v>
      </c>
      <c r="E65" s="109"/>
      <c r="F65" s="109"/>
      <c r="G65" s="109"/>
      <c r="H65" s="109"/>
      <c r="I65" s="109"/>
      <c r="J65" s="111"/>
      <c r="K65" s="67" t="s">
        <v>247</v>
      </c>
      <c r="L65" s="68">
        <f>(IF(B57&gt;2,(I57/(B57+2)+L64),0))</f>
        <v>0</v>
      </c>
    </row>
    <row r="66" spans="1:12" x14ac:dyDescent="0.3">
      <c r="A66" s="107" t="s">
        <v>248</v>
      </c>
      <c r="B66" s="108" t="s">
        <v>248</v>
      </c>
      <c r="C66" s="72">
        <v>0</v>
      </c>
      <c r="D66" s="109">
        <f ca="1">((100/I57)*C66)/100</f>
        <v>0</v>
      </c>
      <c r="E66" s="109"/>
      <c r="F66" s="109"/>
      <c r="G66" s="109"/>
      <c r="H66" s="109"/>
      <c r="I66" s="109"/>
      <c r="J66" s="111"/>
      <c r="K66" s="67" t="s">
        <v>249</v>
      </c>
      <c r="L66" s="69">
        <f>(IF(B57&gt;3,(I57/(B57+2)+L65),0))</f>
        <v>0</v>
      </c>
    </row>
    <row r="67" spans="1:12" x14ac:dyDescent="0.3">
      <c r="A67" s="107" t="s">
        <v>250</v>
      </c>
      <c r="B67" s="108"/>
      <c r="C67" s="72">
        <v>0</v>
      </c>
      <c r="D67" s="109">
        <f ca="1">((100/I57)*C67)/100</f>
        <v>0</v>
      </c>
      <c r="E67" s="109"/>
      <c r="F67" s="109"/>
      <c r="G67" s="109"/>
      <c r="H67" s="109"/>
      <c r="I67" s="109"/>
      <c r="J67" s="111"/>
      <c r="K67" s="67" t="s">
        <v>251</v>
      </c>
      <c r="L67" s="68">
        <f>(IF(B57&gt;4,(I57/(B57+2)+L66),0))</f>
        <v>0</v>
      </c>
    </row>
    <row r="68" spans="1:12" x14ac:dyDescent="0.3">
      <c r="A68" s="107" t="s">
        <v>252</v>
      </c>
      <c r="B68" s="108" t="s">
        <v>252</v>
      </c>
      <c r="C68" s="72">
        <v>0</v>
      </c>
      <c r="D68" s="109">
        <f ca="1">((100/(I57))*C68)/100</f>
        <v>0</v>
      </c>
      <c r="E68" s="109"/>
      <c r="F68" s="109"/>
      <c r="G68" s="109"/>
      <c r="H68" s="109"/>
      <c r="I68" s="109"/>
      <c r="J68" s="111"/>
      <c r="K68" s="67" t="s">
        <v>150</v>
      </c>
      <c r="L68" s="68">
        <f ca="1">(IF(B57=1,(I57/(B57+3)+L63),IF(B57=0,(I57/4+L63),IF(B57&gt;1,0))))</f>
        <v>3</v>
      </c>
    </row>
    <row r="69" spans="1:12" ht="16.2" thickBot="1" x14ac:dyDescent="0.35">
      <c r="A69" s="115" t="s">
        <v>253</v>
      </c>
      <c r="B69" s="116"/>
      <c r="C69" s="74">
        <v>0</v>
      </c>
      <c r="D69" s="110">
        <f ca="1">((100/(I57))*C69)/100</f>
        <v>0</v>
      </c>
      <c r="E69" s="110"/>
      <c r="F69" s="110"/>
      <c r="G69" s="110"/>
      <c r="H69" s="110"/>
      <c r="I69" s="110"/>
      <c r="J69" s="112"/>
      <c r="K69" s="67" t="s">
        <v>151</v>
      </c>
      <c r="L69" s="68">
        <f ca="1">(IF(B57&gt;1.5,(I57/(B57+2)+L63+MAX(0,L64-L63)+MAX(0,L65-L64)+MAX(0,L66-L65)+MAX(0,L67-L66)+MAX(0,L68-L67)),IF(B57=1,(I57/(B57+3)+L68),IF(B57=0,I57/4+L68))))</f>
        <v>4</v>
      </c>
    </row>
    <row r="70" spans="1:12" x14ac:dyDescent="0.3">
      <c r="A70" s="117" t="s">
        <v>230</v>
      </c>
      <c r="B70" s="118"/>
      <c r="C70" s="119" t="s">
        <v>257</v>
      </c>
      <c r="D70" s="119"/>
      <c r="E70" s="119"/>
      <c r="F70" s="119"/>
      <c r="G70" s="119"/>
      <c r="H70" s="119"/>
      <c r="I70" s="119"/>
      <c r="J70" s="120"/>
      <c r="K70" s="64" t="str">
        <f ca="1">(IF(F74&gt;99%,"All work completed. Please provide OC.",IF(F74&gt;89.8%,"Plinth, RCC, Brick, Plaster, Flooring, Painting work Completed. Finishing work is in process.",IF(F74&lt;94%,(IF(C74=0,"Work not yet Started.",IF(D74=25%,"Piling work in process",IF(D74=50%,"Excavation work in process",IF(D74=100%,"Excavation work Completed. ","0")))&amp;(IF(C75=0%,"",IF(C75=L76,"Footing work is process",IF(C75=L77,"Footing work Completed",IF(C75=L78,"1st Basement Completed",IF(C75=L79,"1st &amp; 2nd Basement Completed",IF(C75=L80,"1st to 3rd Basement Completed",IF(C75=L81,"1st to 4th Basement Completed",IF(C75=L82,"Plinth work is process",IF(C75=L83,"Plinth work completed","0")))))))))))&amp;(IF(C76=(D71+G71+I71),", RCC Slab",IF(C76&gt;0,", RCC upto "&amp;C76&amp;" Slab",""))&amp;(IF(C77=I71,", Brickwork",IF(C77&gt;0,", Brickwork upto "&amp;C77&amp;" Floor",""))&amp;(IF(C78=I71,", Internal Plaster",IF(C78&gt;0,", Internal Plaster upto "&amp;C78&amp;" Floor",""))&amp;(IF(C79=I71,", External Plaster",IF(C79&gt;0,", External Plaster upto "&amp;C79&amp;" Floor",""))&amp;(IF(C80=I71,", Flooring",IF(C80&gt;0,", Flooring upto "&amp;C80&amp;" Floor",""))&amp;(IF(C81=I71,", Painting",IF(C81&gt;0,", Painting upto "&amp;C81&amp;" Floor",""))&amp;(IF(C82&gt;0,", Finishing upto "&amp;C82&amp;" Floor","")&amp;(IF(C76&gt;0.5," Completed",""))))))))))))))</f>
        <v>Excavation work Completed. Plinth work completed, RCC Slab, Brickwork, Internal Plaster, External Plaster upto 3 Floor, Flooring upto 1 Floor Completed</v>
      </c>
      <c r="L70" s="64"/>
    </row>
    <row r="71" spans="1:12" x14ac:dyDescent="0.3">
      <c r="A71" s="65" t="s">
        <v>139</v>
      </c>
      <c r="B71" s="70">
        <v>0</v>
      </c>
      <c r="C71" s="66" t="s">
        <v>141</v>
      </c>
      <c r="D71" s="66">
        <v>1</v>
      </c>
      <c r="E71" s="121" t="s">
        <v>140</v>
      </c>
      <c r="F71" s="121"/>
      <c r="G71" s="66">
        <v>0</v>
      </c>
      <c r="H71" s="66" t="s">
        <v>231</v>
      </c>
      <c r="I71" s="121">
        <f ca="1">--TRIM(RIGHT(SUBSTITUTE(LEFT(C70,_xlfn.AGGREGATE(16,6,FIND({0,1,2,3,4,5,6,7,8,9},C70,ROW(INDIRECT("1:"&amp;LEN(C70)))),1))," ",REPT(" ",LEN(C70))),LEN(C70)))</f>
        <v>4</v>
      </c>
      <c r="J71" s="122"/>
      <c r="K71" s="64"/>
      <c r="L71" s="64"/>
    </row>
    <row r="72" spans="1:12" ht="46.5" customHeight="1" x14ac:dyDescent="0.3">
      <c r="A72" s="123" t="s">
        <v>232</v>
      </c>
      <c r="B72" s="124"/>
      <c r="C72" s="125" t="str">
        <f ca="1">K70</f>
        <v>Excavation work Completed. Plinth work completed, RCC Slab, Brickwork, Internal Plaster, External Plaster upto 3 Floor, Flooring upto 1 Floor Completed</v>
      </c>
      <c r="D72" s="125"/>
      <c r="E72" s="125"/>
      <c r="F72" s="125"/>
      <c r="G72" s="125"/>
      <c r="H72" s="125"/>
      <c r="I72" s="125"/>
      <c r="J72" s="126"/>
      <c r="K72" s="64" t="s">
        <v>233</v>
      </c>
      <c r="L72" s="64"/>
    </row>
    <row r="73" spans="1:12" x14ac:dyDescent="0.3">
      <c r="A73" s="127" t="s">
        <v>68</v>
      </c>
      <c r="B73" s="128"/>
      <c r="C73" s="71" t="s">
        <v>234</v>
      </c>
      <c r="D73" s="129" t="s">
        <v>235</v>
      </c>
      <c r="E73" s="129"/>
      <c r="F73" s="129" t="s">
        <v>236</v>
      </c>
      <c r="G73" s="129"/>
      <c r="H73" s="129" t="s">
        <v>237</v>
      </c>
      <c r="I73" s="129"/>
      <c r="J73" s="130"/>
      <c r="K73" s="67" t="s">
        <v>238</v>
      </c>
      <c r="L73" s="12">
        <f ca="1">I71*25%</f>
        <v>1</v>
      </c>
    </row>
    <row r="74" spans="1:12" x14ac:dyDescent="0.3">
      <c r="A74" s="107" t="s">
        <v>239</v>
      </c>
      <c r="B74" s="108"/>
      <c r="C74" s="72">
        <v>4</v>
      </c>
      <c r="D74" s="109">
        <f ca="1">((100/I71)*C74)/100</f>
        <v>1</v>
      </c>
      <c r="E74" s="109"/>
      <c r="F74" s="109">
        <f ca="1">(((C75/I71*10)+(40/(D71+G71+I71)*C76)+(7.5/(I71)*C77)+(7.5/(I71)*C78)+(10/I71*C79)+(10/I71*C80)+(5/I71*C81)+(5/I71*C82)+(5/I71*C83))/100)</f>
        <v>0.75</v>
      </c>
      <c r="G74" s="109"/>
      <c r="H74" s="109">
        <f ca="1">((((C74/I71)*20)+((C75/I71)*25)+(30/(I71+G71+D71)*C76)+(5/I71*C77)+(5/I71*C78)+(5/I71*C79)+(5/I71*C80)+(0/I71*C81)+(0/I71*C82)+(5/I71*C83))/100)</f>
        <v>0.9</v>
      </c>
      <c r="I74" s="109"/>
      <c r="J74" s="111"/>
      <c r="K74" s="67" t="s">
        <v>146</v>
      </c>
      <c r="L74" s="67">
        <f ca="1">I71*50%</f>
        <v>2</v>
      </c>
    </row>
    <row r="75" spans="1:12" x14ac:dyDescent="0.3">
      <c r="A75" s="107" t="s">
        <v>69</v>
      </c>
      <c r="B75" s="108"/>
      <c r="C75" s="73">
        <v>4</v>
      </c>
      <c r="D75" s="109">
        <f ca="1">((100/I71)*C75)/100</f>
        <v>1</v>
      </c>
      <c r="E75" s="109"/>
      <c r="F75" s="109"/>
      <c r="G75" s="109"/>
      <c r="H75" s="109"/>
      <c r="I75" s="109"/>
      <c r="J75" s="111"/>
      <c r="K75" s="67" t="s">
        <v>147</v>
      </c>
      <c r="L75" s="67">
        <f ca="1">I71</f>
        <v>4</v>
      </c>
    </row>
    <row r="76" spans="1:12" x14ac:dyDescent="0.3">
      <c r="A76" s="113" t="s">
        <v>240</v>
      </c>
      <c r="B76" s="114"/>
      <c r="C76" s="73">
        <v>5</v>
      </c>
      <c r="D76" s="109">
        <f ca="1">((100/(D71+G71+I71))*C76)/100</f>
        <v>1</v>
      </c>
      <c r="E76" s="109"/>
      <c r="F76" s="109"/>
      <c r="G76" s="109"/>
      <c r="H76" s="109"/>
      <c r="I76" s="109"/>
      <c r="J76" s="111"/>
      <c r="K76" s="67" t="s">
        <v>148</v>
      </c>
      <c r="L76" s="68">
        <f ca="1">(IF(B71&gt;1,(I71/(B71+2)),I71/4))</f>
        <v>1</v>
      </c>
    </row>
    <row r="77" spans="1:12" x14ac:dyDescent="0.3">
      <c r="A77" s="107" t="s">
        <v>241</v>
      </c>
      <c r="B77" s="108" t="s">
        <v>242</v>
      </c>
      <c r="C77" s="72">
        <v>4</v>
      </c>
      <c r="D77" s="109">
        <f ca="1">((100/I71)*C77)/100</f>
        <v>1</v>
      </c>
      <c r="E77" s="109"/>
      <c r="F77" s="109"/>
      <c r="G77" s="109"/>
      <c r="H77" s="109"/>
      <c r="I77" s="109"/>
      <c r="J77" s="111"/>
      <c r="K77" s="67" t="s">
        <v>149</v>
      </c>
      <c r="L77" s="68">
        <f ca="1">(IF(B71&gt;1,(I71/(B71+2)+L76),I71/4+L76))</f>
        <v>2</v>
      </c>
    </row>
    <row r="78" spans="1:12" x14ac:dyDescent="0.3">
      <c r="A78" s="107" t="s">
        <v>243</v>
      </c>
      <c r="B78" s="108" t="s">
        <v>242</v>
      </c>
      <c r="C78" s="72">
        <v>4</v>
      </c>
      <c r="D78" s="109">
        <f ca="1">((100/I71)*C78)/100</f>
        <v>1</v>
      </c>
      <c r="E78" s="109"/>
      <c r="F78" s="109"/>
      <c r="G78" s="109"/>
      <c r="H78" s="109"/>
      <c r="I78" s="109"/>
      <c r="J78" s="111"/>
      <c r="K78" s="67" t="s">
        <v>244</v>
      </c>
      <c r="L78" s="68">
        <f>(IF(B71&gt;1,(I71/(B71+2)+L77),0))</f>
        <v>0</v>
      </c>
    </row>
    <row r="79" spans="1:12" x14ac:dyDescent="0.3">
      <c r="A79" s="107" t="s">
        <v>245</v>
      </c>
      <c r="B79" s="108" t="s">
        <v>246</v>
      </c>
      <c r="C79" s="72">
        <v>3</v>
      </c>
      <c r="D79" s="109">
        <f ca="1">((100/(I71))*C79)/100</f>
        <v>0.75</v>
      </c>
      <c r="E79" s="109"/>
      <c r="F79" s="109"/>
      <c r="G79" s="109"/>
      <c r="H79" s="109"/>
      <c r="I79" s="109"/>
      <c r="J79" s="111"/>
      <c r="K79" s="67" t="s">
        <v>247</v>
      </c>
      <c r="L79" s="68">
        <f>(IF(B71&gt;2,(I71/(B71+2)+L78),0))</f>
        <v>0</v>
      </c>
    </row>
    <row r="80" spans="1:12" x14ac:dyDescent="0.3">
      <c r="A80" s="107" t="s">
        <v>248</v>
      </c>
      <c r="B80" s="108" t="s">
        <v>248</v>
      </c>
      <c r="C80" s="72">
        <v>1</v>
      </c>
      <c r="D80" s="109">
        <f ca="1">((100/I71)*C80)/100</f>
        <v>0.25</v>
      </c>
      <c r="E80" s="109"/>
      <c r="F80" s="109"/>
      <c r="G80" s="109"/>
      <c r="H80" s="109"/>
      <c r="I80" s="109"/>
      <c r="J80" s="111"/>
      <c r="K80" s="67" t="s">
        <v>249</v>
      </c>
      <c r="L80" s="69">
        <f>(IF(B71&gt;3,(I71/(B71+2)+L79),0))</f>
        <v>0</v>
      </c>
    </row>
    <row r="81" spans="1:12" x14ac:dyDescent="0.3">
      <c r="A81" s="107" t="s">
        <v>250</v>
      </c>
      <c r="B81" s="108"/>
      <c r="C81" s="72">
        <v>0</v>
      </c>
      <c r="D81" s="109">
        <f ca="1">((100/I71)*C81)/100</f>
        <v>0</v>
      </c>
      <c r="E81" s="109"/>
      <c r="F81" s="109"/>
      <c r="G81" s="109"/>
      <c r="H81" s="109"/>
      <c r="I81" s="109"/>
      <c r="J81" s="111"/>
      <c r="K81" s="67" t="s">
        <v>251</v>
      </c>
      <c r="L81" s="68">
        <f>(IF(B71&gt;4,(I71/(B71+2)+L80),0))</f>
        <v>0</v>
      </c>
    </row>
    <row r="82" spans="1:12" x14ac:dyDescent="0.3">
      <c r="A82" s="107" t="s">
        <v>252</v>
      </c>
      <c r="B82" s="108" t="s">
        <v>252</v>
      </c>
      <c r="C82" s="72">
        <v>0</v>
      </c>
      <c r="D82" s="109">
        <f ca="1">((100/(I71))*C82)/100</f>
        <v>0</v>
      </c>
      <c r="E82" s="109"/>
      <c r="F82" s="109"/>
      <c r="G82" s="109"/>
      <c r="H82" s="109"/>
      <c r="I82" s="109"/>
      <c r="J82" s="111"/>
      <c r="K82" s="67" t="s">
        <v>150</v>
      </c>
      <c r="L82" s="68">
        <f ca="1">(IF(B71=1,(I71/(B71+3)+L77),IF(B71=0,(I71/4+L77),IF(B71&gt;1,0))))</f>
        <v>3</v>
      </c>
    </row>
    <row r="83" spans="1:12" ht="16.2" thickBot="1" x14ac:dyDescent="0.35">
      <c r="A83" s="115" t="s">
        <v>253</v>
      </c>
      <c r="B83" s="116"/>
      <c r="C83" s="74">
        <v>0</v>
      </c>
      <c r="D83" s="110">
        <f ca="1">((100/(I71))*C83)/100</f>
        <v>0</v>
      </c>
      <c r="E83" s="110"/>
      <c r="F83" s="110"/>
      <c r="G83" s="110"/>
      <c r="H83" s="110"/>
      <c r="I83" s="110"/>
      <c r="J83" s="112"/>
      <c r="K83" s="67" t="s">
        <v>151</v>
      </c>
      <c r="L83" s="68">
        <f ca="1">(IF(B71&gt;1.5,(I71/(B71+2)+L77+MAX(0,L78-L77)+MAX(0,L79-L78)+MAX(0,L80-L79)+MAX(0,L81-L80)+MAX(0,L82-L81)),IF(B71=1,(I71/(B71+3)+L82),IF(B71=0,I71/4+L82))))</f>
        <v>4</v>
      </c>
    </row>
    <row r="84" spans="1:12" x14ac:dyDescent="0.3">
      <c r="A84" s="117" t="s">
        <v>230</v>
      </c>
      <c r="B84" s="118"/>
      <c r="C84" s="119" t="s">
        <v>256</v>
      </c>
      <c r="D84" s="119"/>
      <c r="E84" s="119"/>
      <c r="F84" s="119"/>
      <c r="G84" s="119"/>
      <c r="H84" s="119"/>
      <c r="I84" s="119"/>
      <c r="J84" s="120"/>
      <c r="K84" s="64" t="str">
        <f ca="1">(IF(F88&gt;99%,"All work completed. Please provide OC.",IF(F88&gt;89.8%,"Plinth, RCC, Brick, Plaster, Flooring, Painting work Completed. Finishing work is in process.",IF(F88&lt;94%,(IF(C88=0,"Work not yet Started.",IF(D88=25%,"Piling work in process",IF(D88=50%,"Excavation work in process",IF(D88=100%,"Excavation work Completed. ","0")))&amp;(IF(C89=0%,"",IF(C89=L90,"Footing work is process",IF(C89=L91,"Footing work Completed",IF(C89=L92,"1st Basement Completed",IF(C89=L93,"1st &amp; 2nd Basement Completed",IF(C89=L94,"1st to 3rd Basement Completed",IF(C89=L95,"1st to 4th Basement Completed",IF(C89=L96,"Plinth work is process",IF(C89=L97,"Plinth work completed","0")))))))))))&amp;(IF(C90=(D85+G85+I85),", RCC Slab",IF(C90&gt;0,", RCC upto "&amp;C90&amp;" Slab",""))&amp;(IF(C91=I85,", Brickwork",IF(C91&gt;0,", Brickwork upto "&amp;C91&amp;" Floor",""))&amp;(IF(C92=I85,", Internal Plaster",IF(C92&gt;0,", Internal Plaster upto "&amp;C92&amp;" Floor",""))&amp;(IF(C93=I85,", External Plaster",IF(C93&gt;0,", External Plaster upto "&amp;C93&amp;" Floor",""))&amp;(IF(C94=I85,", Flooring",IF(C94&gt;0,", Flooring upto "&amp;C94&amp;" Floor",""))&amp;(IF(C95=I85,", Painting",IF(C95&gt;0,", Painting upto "&amp;C95&amp;" Floor",""))&amp;(IF(C96&gt;0,", Finishing upto "&amp;C96&amp;" Floor","")&amp;(IF(C90&gt;0.5," Completed",""))))))))))))))</f>
        <v>Excavation work Completed. Plinth work completed, RCC Slab, Brickwork, Internal Plaster, External Plaster upto 3 Floor Completed</v>
      </c>
      <c r="L84" s="64"/>
    </row>
    <row r="85" spans="1:12" x14ac:dyDescent="0.3">
      <c r="A85" s="65" t="s">
        <v>139</v>
      </c>
      <c r="B85" s="70">
        <v>0</v>
      </c>
      <c r="C85" s="66" t="s">
        <v>141</v>
      </c>
      <c r="D85" s="66">
        <v>1</v>
      </c>
      <c r="E85" s="121" t="s">
        <v>140</v>
      </c>
      <c r="F85" s="121"/>
      <c r="G85" s="66">
        <v>0</v>
      </c>
      <c r="H85" s="66" t="s">
        <v>231</v>
      </c>
      <c r="I85" s="121">
        <f ca="1">--TRIM(RIGHT(SUBSTITUTE(LEFT(C84,_xlfn.AGGREGATE(16,6,FIND({0,1,2,3,4,5,6,7,8,9},C84,ROW(INDIRECT("1:"&amp;LEN(C84)))),1))," ",REPT(" ",LEN(C84))),LEN(C84)))</f>
        <v>4</v>
      </c>
      <c r="J85" s="122"/>
      <c r="K85" s="64"/>
      <c r="L85" s="64"/>
    </row>
    <row r="86" spans="1:12" ht="33.9" customHeight="1" x14ac:dyDescent="0.3">
      <c r="A86" s="123" t="s">
        <v>232</v>
      </c>
      <c r="B86" s="124"/>
      <c r="C86" s="125" t="str">
        <f ca="1">K84</f>
        <v>Excavation work Completed. Plinth work completed, RCC Slab, Brickwork, Internal Plaster, External Plaster upto 3 Floor Completed</v>
      </c>
      <c r="D86" s="125"/>
      <c r="E86" s="125"/>
      <c r="F86" s="125"/>
      <c r="G86" s="125"/>
      <c r="H86" s="125"/>
      <c r="I86" s="125"/>
      <c r="J86" s="126"/>
      <c r="K86" s="64" t="s">
        <v>233</v>
      </c>
      <c r="L86" s="64"/>
    </row>
    <row r="87" spans="1:12" x14ac:dyDescent="0.3">
      <c r="A87" s="127" t="s">
        <v>68</v>
      </c>
      <c r="B87" s="128"/>
      <c r="C87" s="71" t="s">
        <v>234</v>
      </c>
      <c r="D87" s="129" t="s">
        <v>235</v>
      </c>
      <c r="E87" s="129"/>
      <c r="F87" s="129" t="s">
        <v>236</v>
      </c>
      <c r="G87" s="129"/>
      <c r="H87" s="129" t="s">
        <v>237</v>
      </c>
      <c r="I87" s="129"/>
      <c r="J87" s="130"/>
      <c r="K87" s="67" t="s">
        <v>238</v>
      </c>
      <c r="L87" s="12">
        <f ca="1">I85*25%</f>
        <v>1</v>
      </c>
    </row>
    <row r="88" spans="1:12" x14ac:dyDescent="0.3">
      <c r="A88" s="107" t="s">
        <v>239</v>
      </c>
      <c r="B88" s="108"/>
      <c r="C88" s="72">
        <v>4</v>
      </c>
      <c r="D88" s="109">
        <f ca="1">((100/I85)*C88)/100</f>
        <v>1</v>
      </c>
      <c r="E88" s="109"/>
      <c r="F88" s="109">
        <f ca="1">(((C89/I85*10)+(40/(D85+G85+I85)*C90)+(7.5/(I85)*C91)+(7.5/(I85)*C92)+(10/I85*C93)+(10/I85*C94)+(5/I85*C95)+(5/I85*C96)+(5/I85*C97))/100)</f>
        <v>0.72499999999999998</v>
      </c>
      <c r="G88" s="109"/>
      <c r="H88" s="109">
        <f ca="1">((((C88/I85)*20)+((C89/I85)*25)+(30/(I85+G85+D85)*C90)+(5/I85*C91)+(5/I85*C92)+(5/I85*C93)+(5/I85*C94)+(0/I85*C95)+(0/I85*C96)+(5/I85*C97))/100)</f>
        <v>0.88749999999999996</v>
      </c>
      <c r="I88" s="109"/>
      <c r="J88" s="111"/>
      <c r="K88" s="67" t="s">
        <v>146</v>
      </c>
      <c r="L88" s="67">
        <f ca="1">I85*50%</f>
        <v>2</v>
      </c>
    </row>
    <row r="89" spans="1:12" x14ac:dyDescent="0.3">
      <c r="A89" s="107" t="s">
        <v>69</v>
      </c>
      <c r="B89" s="108"/>
      <c r="C89" s="73">
        <v>4</v>
      </c>
      <c r="D89" s="109">
        <f ca="1">((100/I85)*C89)/100</f>
        <v>1</v>
      </c>
      <c r="E89" s="109"/>
      <c r="F89" s="109"/>
      <c r="G89" s="109"/>
      <c r="H89" s="109"/>
      <c r="I89" s="109"/>
      <c r="J89" s="111"/>
      <c r="K89" s="67" t="s">
        <v>147</v>
      </c>
      <c r="L89" s="67">
        <f ca="1">I85</f>
        <v>4</v>
      </c>
    </row>
    <row r="90" spans="1:12" x14ac:dyDescent="0.3">
      <c r="A90" s="113" t="s">
        <v>240</v>
      </c>
      <c r="B90" s="114"/>
      <c r="C90" s="73">
        <v>5</v>
      </c>
      <c r="D90" s="109">
        <f ca="1">((100/(D85+G85+I85))*C90)/100</f>
        <v>1</v>
      </c>
      <c r="E90" s="109"/>
      <c r="F90" s="109"/>
      <c r="G90" s="109"/>
      <c r="H90" s="109"/>
      <c r="I90" s="109"/>
      <c r="J90" s="111"/>
      <c r="K90" s="67" t="s">
        <v>148</v>
      </c>
      <c r="L90" s="68">
        <f ca="1">(IF(B85&gt;1,(I85/(B85+2)),I85/4))</f>
        <v>1</v>
      </c>
    </row>
    <row r="91" spans="1:12" x14ac:dyDescent="0.3">
      <c r="A91" s="107" t="s">
        <v>241</v>
      </c>
      <c r="B91" s="108" t="s">
        <v>242</v>
      </c>
      <c r="C91" s="72">
        <v>4</v>
      </c>
      <c r="D91" s="109">
        <f ca="1">((100/I85)*C91)/100</f>
        <v>1</v>
      </c>
      <c r="E91" s="109"/>
      <c r="F91" s="109"/>
      <c r="G91" s="109"/>
      <c r="H91" s="109"/>
      <c r="I91" s="109"/>
      <c r="J91" s="111"/>
      <c r="K91" s="67" t="s">
        <v>149</v>
      </c>
      <c r="L91" s="68">
        <f ca="1">(IF(B85&gt;1,(I85/(B85+2)+L90),I85/4+L90))</f>
        <v>2</v>
      </c>
    </row>
    <row r="92" spans="1:12" x14ac:dyDescent="0.3">
      <c r="A92" s="107" t="s">
        <v>243</v>
      </c>
      <c r="B92" s="108" t="s">
        <v>242</v>
      </c>
      <c r="C92" s="72">
        <v>4</v>
      </c>
      <c r="D92" s="109">
        <f ca="1">((100/I85)*C92)/100</f>
        <v>1</v>
      </c>
      <c r="E92" s="109"/>
      <c r="F92" s="109"/>
      <c r="G92" s="109"/>
      <c r="H92" s="109"/>
      <c r="I92" s="109"/>
      <c r="J92" s="111"/>
      <c r="K92" s="67" t="s">
        <v>244</v>
      </c>
      <c r="L92" s="68">
        <f>(IF(B85&gt;1,(I85/(B85+2)+L91),0))</f>
        <v>0</v>
      </c>
    </row>
    <row r="93" spans="1:12" x14ac:dyDescent="0.3">
      <c r="A93" s="107" t="s">
        <v>245</v>
      </c>
      <c r="B93" s="108" t="s">
        <v>246</v>
      </c>
      <c r="C93" s="72">
        <v>3</v>
      </c>
      <c r="D93" s="109">
        <f ca="1">((100/(I85))*C93)/100</f>
        <v>0.75</v>
      </c>
      <c r="E93" s="109"/>
      <c r="F93" s="109"/>
      <c r="G93" s="109"/>
      <c r="H93" s="109"/>
      <c r="I93" s="109"/>
      <c r="J93" s="111"/>
      <c r="K93" s="67" t="s">
        <v>247</v>
      </c>
      <c r="L93" s="68">
        <f>(IF(B85&gt;2,(I85/(B85+2)+L92),0))</f>
        <v>0</v>
      </c>
    </row>
    <row r="94" spans="1:12" x14ac:dyDescent="0.3">
      <c r="A94" s="107" t="s">
        <v>248</v>
      </c>
      <c r="B94" s="108" t="s">
        <v>248</v>
      </c>
      <c r="C94" s="72">
        <v>0</v>
      </c>
      <c r="D94" s="109">
        <f ca="1">((100/I85)*C94)/100</f>
        <v>0</v>
      </c>
      <c r="E94" s="109"/>
      <c r="F94" s="109"/>
      <c r="G94" s="109"/>
      <c r="H94" s="109"/>
      <c r="I94" s="109"/>
      <c r="J94" s="111"/>
      <c r="K94" s="67" t="s">
        <v>249</v>
      </c>
      <c r="L94" s="69">
        <f>(IF(B85&gt;3,(I85/(B85+2)+L93),0))</f>
        <v>0</v>
      </c>
    </row>
    <row r="95" spans="1:12" x14ac:dyDescent="0.3">
      <c r="A95" s="107" t="s">
        <v>250</v>
      </c>
      <c r="B95" s="108"/>
      <c r="C95" s="72">
        <v>0</v>
      </c>
      <c r="D95" s="109">
        <f ca="1">((100/I85)*C95)/100</f>
        <v>0</v>
      </c>
      <c r="E95" s="109"/>
      <c r="F95" s="109"/>
      <c r="G95" s="109"/>
      <c r="H95" s="109"/>
      <c r="I95" s="109"/>
      <c r="J95" s="111"/>
      <c r="K95" s="67" t="s">
        <v>251</v>
      </c>
      <c r="L95" s="68">
        <f>(IF(B85&gt;4,(I85/(B85+2)+L94),0))</f>
        <v>0</v>
      </c>
    </row>
    <row r="96" spans="1:12" x14ac:dyDescent="0.3">
      <c r="A96" s="107" t="s">
        <v>252</v>
      </c>
      <c r="B96" s="108" t="s">
        <v>252</v>
      </c>
      <c r="C96" s="72">
        <v>0</v>
      </c>
      <c r="D96" s="109">
        <f ca="1">((100/(I85))*C96)/100</f>
        <v>0</v>
      </c>
      <c r="E96" s="109"/>
      <c r="F96" s="109"/>
      <c r="G96" s="109"/>
      <c r="H96" s="109"/>
      <c r="I96" s="109"/>
      <c r="J96" s="111"/>
      <c r="K96" s="67" t="s">
        <v>150</v>
      </c>
      <c r="L96" s="68">
        <f ca="1">(IF(B85=1,(I85/(B85+3)+L91),IF(B85=0,(I85/4+L91),IF(B85&gt;1,0))))</f>
        <v>3</v>
      </c>
    </row>
    <row r="97" spans="1:19" ht="16.2" thickBot="1" x14ac:dyDescent="0.35">
      <c r="A97" s="115" t="s">
        <v>253</v>
      </c>
      <c r="B97" s="116"/>
      <c r="C97" s="74">
        <v>0</v>
      </c>
      <c r="D97" s="110">
        <f ca="1">((100/(I85))*C97)/100</f>
        <v>0</v>
      </c>
      <c r="E97" s="110"/>
      <c r="F97" s="110"/>
      <c r="G97" s="110"/>
      <c r="H97" s="110"/>
      <c r="I97" s="110"/>
      <c r="J97" s="112"/>
      <c r="K97" s="67" t="s">
        <v>151</v>
      </c>
      <c r="L97" s="68">
        <f ca="1">(IF(B85&gt;1.5,(I85/(B85+2)+L91+MAX(0,L92-L91)+MAX(0,L93-L92)+MAX(0,L94-L93)+MAX(0,L95-L94)+MAX(0,L96-L95)),IF(B85=1,(I85/(B85+3)+L96),IF(B85=0,I85/4+L96))))</f>
        <v>4</v>
      </c>
    </row>
    <row r="98" spans="1:19" x14ac:dyDescent="0.3">
      <c r="A98" s="147" t="s">
        <v>211</v>
      </c>
      <c r="B98" s="148"/>
      <c r="C98" s="148"/>
      <c r="D98" s="148"/>
      <c r="E98" s="148"/>
      <c r="F98" s="148"/>
      <c r="G98" s="148"/>
      <c r="H98" s="148"/>
      <c r="I98" s="148"/>
      <c r="J98" s="149"/>
    </row>
    <row r="99" spans="1:19" x14ac:dyDescent="0.3">
      <c r="A99" s="91" t="s">
        <v>74</v>
      </c>
      <c r="B99" s="92"/>
      <c r="C99" s="92"/>
      <c r="D99" s="92"/>
      <c r="E99" s="92"/>
      <c r="F99" s="92"/>
      <c r="G99" s="92"/>
      <c r="H99" s="92"/>
      <c r="I99" s="92"/>
      <c r="J99" s="93"/>
    </row>
    <row r="100" spans="1:19" ht="15" customHeight="1" x14ac:dyDescent="0.3">
      <c r="A100" s="142" t="s">
        <v>212</v>
      </c>
      <c r="B100" s="143"/>
      <c r="C100" s="144" t="s">
        <v>145</v>
      </c>
      <c r="D100" s="145"/>
      <c r="E100" s="145"/>
      <c r="F100" s="145"/>
      <c r="G100" s="145"/>
      <c r="H100" s="145"/>
      <c r="I100" s="145"/>
      <c r="J100" s="146"/>
      <c r="K100" s="78" t="s">
        <v>263</v>
      </c>
      <c r="L100" s="79"/>
      <c r="M100" s="75" t="s">
        <v>264</v>
      </c>
      <c r="N100" s="75" t="s">
        <v>265</v>
      </c>
      <c r="O100" s="76">
        <v>44880</v>
      </c>
    </row>
    <row r="101" spans="1:19" x14ac:dyDescent="0.3">
      <c r="A101" s="153" t="s">
        <v>75</v>
      </c>
      <c r="B101" s="154"/>
      <c r="C101" s="154"/>
      <c r="D101" s="154"/>
      <c r="E101" s="154"/>
      <c r="F101" s="154"/>
      <c r="G101" s="154"/>
      <c r="H101" s="154"/>
      <c r="I101" s="154"/>
      <c r="J101" s="155"/>
      <c r="K101" s="83" t="s">
        <v>273</v>
      </c>
      <c r="L101" s="84"/>
      <c r="M101" s="75" t="s">
        <v>274</v>
      </c>
      <c r="N101" s="75"/>
      <c r="O101" s="76">
        <v>45291</v>
      </c>
    </row>
    <row r="102" spans="1:19" x14ac:dyDescent="0.3">
      <c r="A102" s="91" t="s">
        <v>153</v>
      </c>
      <c r="B102" s="92"/>
      <c r="C102" s="92"/>
      <c r="D102" s="92"/>
      <c r="E102" s="92"/>
      <c r="F102" s="93"/>
      <c r="G102" s="156">
        <v>3950</v>
      </c>
      <c r="H102" s="157"/>
      <c r="I102" s="157"/>
      <c r="J102" s="158"/>
      <c r="K102" s="75"/>
      <c r="L102" s="75" t="s">
        <v>278</v>
      </c>
      <c r="M102" s="75"/>
      <c r="N102" s="75"/>
      <c r="O102" s="76"/>
      <c r="R102" s="12" t="s">
        <v>275</v>
      </c>
      <c r="S102" s="80">
        <v>45331</v>
      </c>
    </row>
    <row r="103" spans="1:19" x14ac:dyDescent="0.3">
      <c r="A103" s="147" t="s">
        <v>154</v>
      </c>
      <c r="B103" s="148"/>
      <c r="C103" s="148"/>
      <c r="D103" s="148"/>
      <c r="E103" s="148"/>
      <c r="F103" s="149"/>
      <c r="G103" s="150">
        <v>6000</v>
      </c>
      <c r="H103" s="151"/>
      <c r="I103" s="151"/>
      <c r="J103" s="152"/>
    </row>
    <row r="104" spans="1:19" hidden="1" x14ac:dyDescent="0.3">
      <c r="A104" s="91" t="s">
        <v>76</v>
      </c>
      <c r="B104" s="92"/>
      <c r="C104" s="92"/>
      <c r="D104" s="92"/>
      <c r="E104" s="92"/>
      <c r="F104" s="93"/>
      <c r="G104" s="88" t="s">
        <v>268</v>
      </c>
      <c r="H104" s="89"/>
      <c r="I104" s="89"/>
      <c r="J104" s="90"/>
    </row>
    <row r="105" spans="1:19" ht="15.75" customHeight="1" x14ac:dyDescent="0.3">
      <c r="A105" s="85" t="s">
        <v>266</v>
      </c>
      <c r="B105" s="86"/>
      <c r="C105" s="86"/>
      <c r="D105" s="86"/>
      <c r="E105" s="86"/>
      <c r="F105" s="87"/>
      <c r="G105" s="88" t="s">
        <v>267</v>
      </c>
      <c r="H105" s="89"/>
      <c r="I105" s="89"/>
      <c r="J105" s="90"/>
    </row>
    <row r="106" spans="1:19" x14ac:dyDescent="0.3">
      <c r="A106" s="91" t="s">
        <v>76</v>
      </c>
      <c r="B106" s="92"/>
      <c r="C106" s="92"/>
      <c r="D106" s="92"/>
      <c r="E106" s="92"/>
      <c r="F106" s="93"/>
      <c r="G106" s="88" t="s">
        <v>269</v>
      </c>
      <c r="H106" s="89"/>
      <c r="I106" s="89"/>
      <c r="J106" s="90"/>
    </row>
    <row r="107" spans="1:19" x14ac:dyDescent="0.3">
      <c r="A107" s="91" t="s">
        <v>77</v>
      </c>
      <c r="B107" s="92"/>
      <c r="C107" s="92"/>
      <c r="D107" s="92"/>
      <c r="E107" s="92"/>
      <c r="F107" s="93"/>
      <c r="G107" s="88" t="s">
        <v>214</v>
      </c>
      <c r="H107" s="89"/>
      <c r="I107" s="89"/>
      <c r="J107" s="90"/>
    </row>
    <row r="108" spans="1:19" hidden="1" x14ac:dyDescent="0.3">
      <c r="A108" s="91" t="s">
        <v>78</v>
      </c>
      <c r="B108" s="92"/>
      <c r="C108" s="92"/>
      <c r="D108" s="92"/>
      <c r="E108" s="92"/>
      <c r="F108" s="93"/>
      <c r="G108" s="88" t="s">
        <v>36</v>
      </c>
      <c r="H108" s="89"/>
      <c r="I108" s="89"/>
      <c r="J108" s="90"/>
    </row>
    <row r="109" spans="1:19" s="14" customFormat="1" ht="14.4" customHeight="1" x14ac:dyDescent="0.3">
      <c r="A109" s="153" t="s">
        <v>79</v>
      </c>
      <c r="B109" s="154"/>
      <c r="C109" s="154"/>
      <c r="D109" s="154"/>
      <c r="E109" s="154"/>
      <c r="F109" s="155"/>
      <c r="G109" s="160">
        <f>G102*0.8</f>
        <v>3160</v>
      </c>
      <c r="H109" s="161"/>
      <c r="I109" s="161"/>
      <c r="J109" s="162"/>
    </row>
    <row r="110" spans="1:19" s="1" customFormat="1" ht="15.75" customHeight="1" x14ac:dyDescent="0.3">
      <c r="A110" s="105" t="s">
        <v>155</v>
      </c>
      <c r="B110" s="106"/>
      <c r="C110" s="106"/>
      <c r="D110" s="106"/>
      <c r="E110" s="106"/>
      <c r="F110" s="106"/>
      <c r="G110" s="106"/>
      <c r="H110" s="106"/>
      <c r="I110" s="106"/>
      <c r="J110" s="159"/>
    </row>
    <row r="111" spans="1:19" s="1" customFormat="1" ht="15.75" customHeight="1" x14ac:dyDescent="0.3">
      <c r="A111" s="217" t="s">
        <v>80</v>
      </c>
      <c r="B111" s="218"/>
      <c r="C111" s="10" t="s">
        <v>205</v>
      </c>
      <c r="D111" s="219" t="s">
        <v>81</v>
      </c>
      <c r="E111" s="220"/>
      <c r="F111" s="221"/>
      <c r="G111" s="217" t="s">
        <v>82</v>
      </c>
      <c r="H111" s="222"/>
      <c r="I111" s="222"/>
      <c r="J111" s="218"/>
    </row>
    <row r="112" spans="1:19" s="1" customFormat="1" x14ac:dyDescent="0.3">
      <c r="A112" s="97" t="s">
        <v>190</v>
      </c>
      <c r="B112" s="98"/>
      <c r="C112" s="38">
        <f>COUNT(D130:E142)</f>
        <v>13</v>
      </c>
      <c r="D112" s="99">
        <f>SUM(D130:E142)</f>
        <v>1484.8937999999998</v>
      </c>
      <c r="E112" s="100"/>
      <c r="F112" s="101"/>
      <c r="G112" s="94">
        <f>SUM(G130:G142)</f>
        <v>2227.3406999999997</v>
      </c>
      <c r="H112" s="95"/>
      <c r="I112" s="95"/>
      <c r="J112" s="96"/>
    </row>
    <row r="113" spans="1:12" s="1" customFormat="1" x14ac:dyDescent="0.3">
      <c r="A113" s="97" t="s">
        <v>197</v>
      </c>
      <c r="B113" s="98"/>
      <c r="C113" s="38">
        <f>COUNT(D155:E161)</f>
        <v>7</v>
      </c>
      <c r="D113" s="99">
        <f>SUM(D155:E161)</f>
        <v>899.43984</v>
      </c>
      <c r="E113" s="100"/>
      <c r="F113" s="101"/>
      <c r="G113" s="94">
        <f>SUM(G155:G161)</f>
        <v>1349.15976</v>
      </c>
      <c r="H113" s="95"/>
      <c r="I113" s="95"/>
      <c r="J113" s="96"/>
    </row>
    <row r="114" spans="1:12" s="1" customFormat="1" x14ac:dyDescent="0.3">
      <c r="A114" s="105" t="s">
        <v>84</v>
      </c>
      <c r="B114" s="106"/>
      <c r="C114" s="39">
        <f>SUM(C112:C113)</f>
        <v>20</v>
      </c>
      <c r="D114" s="223">
        <f>SUM(D112:F113)</f>
        <v>2384.3336399999998</v>
      </c>
      <c r="E114" s="224"/>
      <c r="F114" s="225"/>
      <c r="G114" s="217">
        <f>SUM(G112:J113)</f>
        <v>3576.5004599999997</v>
      </c>
      <c r="H114" s="222"/>
      <c r="I114" s="222"/>
      <c r="J114" s="218"/>
      <c r="L114" s="77">
        <f>SUM(D114,D123)</f>
        <v>53950.890239999993</v>
      </c>
    </row>
    <row r="115" spans="1:12" s="1" customFormat="1" x14ac:dyDescent="0.3">
      <c r="A115" s="105" t="s">
        <v>138</v>
      </c>
      <c r="B115" s="106"/>
      <c r="C115" s="106"/>
      <c r="D115" s="106"/>
      <c r="E115" s="106"/>
      <c r="F115" s="106"/>
      <c r="G115" s="106"/>
      <c r="H115" s="106"/>
      <c r="I115" s="106"/>
      <c r="J115" s="159"/>
    </row>
    <row r="116" spans="1:12" s="1" customFormat="1" x14ac:dyDescent="0.3">
      <c r="A116" s="217" t="s">
        <v>80</v>
      </c>
      <c r="B116" s="218"/>
      <c r="C116" s="10" t="s">
        <v>206</v>
      </c>
      <c r="D116" s="219" t="s">
        <v>81</v>
      </c>
      <c r="E116" s="220"/>
      <c r="F116" s="221"/>
      <c r="G116" s="217" t="s">
        <v>82</v>
      </c>
      <c r="H116" s="222"/>
      <c r="I116" s="222"/>
      <c r="J116" s="218"/>
    </row>
    <row r="117" spans="1:12" s="1" customFormat="1" x14ac:dyDescent="0.3">
      <c r="A117" s="97" t="s">
        <v>190</v>
      </c>
      <c r="B117" s="98"/>
      <c r="C117" s="11">
        <f>COUNT(D129)+COUNT(D144:E149)*4</f>
        <v>25</v>
      </c>
      <c r="D117" s="99">
        <f>SUM(D129)+SUM(D144:E149)*4</f>
        <v>8132.4172799999988</v>
      </c>
      <c r="E117" s="100"/>
      <c r="F117" s="101"/>
      <c r="G117" s="94">
        <f>SUM(G129)+SUM(G144:G149)*4</f>
        <v>11792.005055999998</v>
      </c>
      <c r="H117" s="95"/>
      <c r="I117" s="95"/>
      <c r="J117" s="96"/>
    </row>
    <row r="118" spans="1:12" s="1" customFormat="1" x14ac:dyDescent="0.3">
      <c r="A118" s="97" t="s">
        <v>197</v>
      </c>
      <c r="B118" s="98"/>
      <c r="C118" s="11">
        <f>COUNT(D152:E154)+COUNT(D163:E168)*4</f>
        <v>27</v>
      </c>
      <c r="D118" s="99">
        <f>SUM(D152:E154)+SUM(D163:E168)*4</f>
        <v>8666.6345999999994</v>
      </c>
      <c r="E118" s="100"/>
      <c r="F118" s="101"/>
      <c r="G118" s="94">
        <f>SUM(G152:G154)+SUM(G163:G168)*4</f>
        <v>12566.620169999998</v>
      </c>
      <c r="H118" s="95"/>
      <c r="I118" s="95"/>
      <c r="J118" s="96"/>
    </row>
    <row r="119" spans="1:12" s="1" customFormat="1" x14ac:dyDescent="0.3">
      <c r="A119" s="97" t="s">
        <v>199</v>
      </c>
      <c r="B119" s="98"/>
      <c r="C119" s="11">
        <f>COUNT(D171:E175)+COUNT(D177:E182)*4</f>
        <v>29</v>
      </c>
      <c r="D119" s="99">
        <f>SUM(D171:E175)+SUM(D177:E182)*4</f>
        <v>10498.559759999998</v>
      </c>
      <c r="E119" s="100"/>
      <c r="F119" s="101"/>
      <c r="G119" s="94">
        <f>SUM(G171:G175)+SUM(G177:G182)*4</f>
        <v>15222.911651999997</v>
      </c>
      <c r="H119" s="95"/>
      <c r="I119" s="95"/>
      <c r="J119" s="96"/>
    </row>
    <row r="120" spans="1:12" s="1" customFormat="1" x14ac:dyDescent="0.3">
      <c r="A120" s="97" t="s">
        <v>201</v>
      </c>
      <c r="B120" s="98"/>
      <c r="C120" s="11">
        <f>COUNT(D192:E197)+COUNT(D199:E204)*4</f>
        <v>30</v>
      </c>
      <c r="D120" s="99">
        <f>SUM(D192:E197)+SUM(D199:E204)*4</f>
        <v>10807.701839999998</v>
      </c>
      <c r="E120" s="100"/>
      <c r="F120" s="101"/>
      <c r="G120" s="94">
        <f>SUM(G192:G197)+SUM(G199:G204)*4</f>
        <v>15671.167667999996</v>
      </c>
      <c r="H120" s="95"/>
      <c r="I120" s="95"/>
      <c r="J120" s="96"/>
    </row>
    <row r="121" spans="1:12" s="1" customFormat="1" x14ac:dyDescent="0.3">
      <c r="A121" s="97" t="s">
        <v>202</v>
      </c>
      <c r="B121" s="98"/>
      <c r="C121" s="11">
        <f>COUNT(D207:E210)+COUNT(D212:E217)*4</f>
        <v>28</v>
      </c>
      <c r="D121" s="99">
        <f>SUM(D207:E210)+SUM(D212:E217)*4</f>
        <v>6730.6215599999996</v>
      </c>
      <c r="E121" s="100"/>
      <c r="F121" s="101"/>
      <c r="G121" s="94">
        <f>SUM(G207:G210)+SUM(G212:G217)*4</f>
        <v>9759.4012619999994</v>
      </c>
      <c r="H121" s="95"/>
      <c r="I121" s="95"/>
      <c r="J121" s="96"/>
    </row>
    <row r="122" spans="1:12" s="1" customFormat="1" x14ac:dyDescent="0.3">
      <c r="A122" s="97" t="s">
        <v>203</v>
      </c>
      <c r="B122" s="98"/>
      <c r="C122" s="11">
        <f>COUNT(D220:E223)+COUNT(D225:E230)*4</f>
        <v>28</v>
      </c>
      <c r="D122" s="99">
        <f>SUM(D220:E223)+SUM(D225:E230)*4</f>
        <v>6730.6215599999996</v>
      </c>
      <c r="E122" s="100"/>
      <c r="F122" s="101"/>
      <c r="G122" s="94">
        <f>SUM(G220:G223)+SUM(G225:G230)*4</f>
        <v>9759.4012619999994</v>
      </c>
      <c r="H122" s="95"/>
      <c r="I122" s="95"/>
      <c r="J122" s="96"/>
    </row>
    <row r="123" spans="1:12" s="1" customFormat="1" x14ac:dyDescent="0.3">
      <c r="A123" s="105" t="s">
        <v>84</v>
      </c>
      <c r="B123" s="106"/>
      <c r="C123" s="10">
        <f>SUM(C117:C122)</f>
        <v>167</v>
      </c>
      <c r="D123" s="223">
        <f>SUM(D117:F122)</f>
        <v>51566.556599999996</v>
      </c>
      <c r="E123" s="224"/>
      <c r="F123" s="225"/>
      <c r="G123" s="217">
        <f>SUM(G117:J122)</f>
        <v>74771.507069999992</v>
      </c>
      <c r="H123" s="222"/>
      <c r="I123" s="222"/>
      <c r="J123" s="218"/>
    </row>
    <row r="124" spans="1:12" s="14" customFormat="1" x14ac:dyDescent="0.3">
      <c r="A124" s="182" t="s">
        <v>85</v>
      </c>
      <c r="B124" s="183"/>
      <c r="C124" s="183"/>
      <c r="D124" s="183"/>
      <c r="E124" s="183"/>
      <c r="F124" s="183"/>
      <c r="G124" s="183"/>
      <c r="H124" s="183"/>
      <c r="I124" s="183"/>
      <c r="J124" s="184"/>
    </row>
    <row r="125" spans="1:12" x14ac:dyDescent="0.3">
      <c r="A125" s="182" t="s">
        <v>86</v>
      </c>
      <c r="B125" s="183"/>
      <c r="C125" s="183"/>
      <c r="D125" s="183"/>
      <c r="E125" s="183"/>
      <c r="F125" s="183"/>
      <c r="G125" s="183"/>
      <c r="H125" s="183"/>
      <c r="I125" s="183"/>
      <c r="J125" s="184"/>
    </row>
    <row r="126" spans="1:12" ht="41.4" x14ac:dyDescent="0.3">
      <c r="A126" s="226" t="s">
        <v>204</v>
      </c>
      <c r="B126" s="227"/>
      <c r="C126" s="2" t="s">
        <v>87</v>
      </c>
      <c r="D126" s="226" t="s">
        <v>88</v>
      </c>
      <c r="E126" s="227"/>
      <c r="F126" s="15" t="s">
        <v>89</v>
      </c>
      <c r="G126" s="2" t="s">
        <v>90</v>
      </c>
      <c r="H126" s="2" t="s">
        <v>91</v>
      </c>
      <c r="I126" s="226" t="s">
        <v>92</v>
      </c>
      <c r="J126" s="227"/>
    </row>
    <row r="127" spans="1:12" s="3" customFormat="1" x14ac:dyDescent="0.3">
      <c r="A127" s="102" t="s">
        <v>190</v>
      </c>
      <c r="B127" s="103"/>
      <c r="C127" s="103"/>
      <c r="D127" s="103"/>
      <c r="E127" s="103"/>
      <c r="F127" s="103"/>
      <c r="G127" s="103"/>
      <c r="H127" s="103"/>
      <c r="I127" s="103"/>
      <c r="J127" s="104"/>
    </row>
    <row r="128" spans="1:12" s="3" customFormat="1" x14ac:dyDescent="0.3">
      <c r="A128" s="102" t="s">
        <v>191</v>
      </c>
      <c r="B128" s="103"/>
      <c r="C128" s="103"/>
      <c r="D128" s="103"/>
      <c r="E128" s="103"/>
      <c r="F128" s="103"/>
      <c r="G128" s="103"/>
      <c r="H128" s="103"/>
      <c r="I128" s="103"/>
      <c r="J128" s="104"/>
    </row>
    <row r="129" spans="1:12" s="3" customFormat="1" ht="15.75" customHeight="1" x14ac:dyDescent="0.3">
      <c r="A129" s="81">
        <v>1</v>
      </c>
      <c r="B129" s="82"/>
      <c r="C129" s="4" t="s">
        <v>192</v>
      </c>
      <c r="D129" s="81">
        <f>29*10.764</f>
        <v>312.15600000000001</v>
      </c>
      <c r="E129" s="82"/>
      <c r="F129" s="4">
        <v>0</v>
      </c>
      <c r="G129" s="4">
        <f>D129*1.45+F129</f>
        <v>452.62619999999998</v>
      </c>
      <c r="H129" s="4" t="s">
        <v>93</v>
      </c>
      <c r="I129" s="228" t="s">
        <v>194</v>
      </c>
      <c r="J129" s="229"/>
    </row>
    <row r="130" spans="1:12" s="3" customFormat="1" x14ac:dyDescent="0.3">
      <c r="A130" s="81">
        <v>1</v>
      </c>
      <c r="B130" s="82"/>
      <c r="C130" s="4" t="s">
        <v>193</v>
      </c>
      <c r="D130" s="81">
        <f>10.86*10.764</f>
        <v>116.89703999999999</v>
      </c>
      <c r="E130" s="82"/>
      <c r="F130" s="4">
        <v>0</v>
      </c>
      <c r="G130" s="4">
        <f>D130*1.5+F130</f>
        <v>175.34555999999998</v>
      </c>
      <c r="H130" s="4" t="s">
        <v>93</v>
      </c>
      <c r="I130" s="230"/>
      <c r="J130" s="231"/>
    </row>
    <row r="131" spans="1:12" s="3" customFormat="1" x14ac:dyDescent="0.3">
      <c r="A131" s="81">
        <v>2</v>
      </c>
      <c r="B131" s="82"/>
      <c r="C131" s="4" t="s">
        <v>193</v>
      </c>
      <c r="D131" s="81">
        <f>8.41*10.764</f>
        <v>90.525239999999997</v>
      </c>
      <c r="E131" s="82"/>
      <c r="F131" s="4">
        <v>0</v>
      </c>
      <c r="G131" s="4">
        <f t="shared" ref="G131:G142" si="0">D131*1.5+F131</f>
        <v>135.78785999999999</v>
      </c>
      <c r="H131" s="4" t="s">
        <v>93</v>
      </c>
      <c r="I131" s="230"/>
      <c r="J131" s="231"/>
    </row>
    <row r="132" spans="1:12" s="3" customFormat="1" x14ac:dyDescent="0.3">
      <c r="A132" s="81">
        <v>3</v>
      </c>
      <c r="B132" s="82"/>
      <c r="C132" s="4" t="s">
        <v>193</v>
      </c>
      <c r="D132" s="81">
        <f>14.52*10.764</f>
        <v>156.29327999999998</v>
      </c>
      <c r="E132" s="82"/>
      <c r="F132" s="4">
        <v>0</v>
      </c>
      <c r="G132" s="4">
        <f t="shared" si="0"/>
        <v>234.43991999999997</v>
      </c>
      <c r="H132" s="4" t="s">
        <v>93</v>
      </c>
      <c r="I132" s="230"/>
      <c r="J132" s="231"/>
    </row>
    <row r="133" spans="1:12" s="3" customFormat="1" x14ac:dyDescent="0.3">
      <c r="A133" s="81">
        <v>4</v>
      </c>
      <c r="B133" s="82"/>
      <c r="C133" s="4" t="s">
        <v>193</v>
      </c>
      <c r="D133" s="81">
        <f>10.86*10.764</f>
        <v>116.89703999999999</v>
      </c>
      <c r="E133" s="82"/>
      <c r="F133" s="4">
        <v>0</v>
      </c>
      <c r="G133" s="4">
        <f t="shared" si="0"/>
        <v>175.34555999999998</v>
      </c>
      <c r="H133" s="4" t="s">
        <v>93</v>
      </c>
      <c r="I133" s="230"/>
      <c r="J133" s="231"/>
    </row>
    <row r="134" spans="1:12" s="3" customFormat="1" x14ac:dyDescent="0.3">
      <c r="A134" s="81">
        <v>5</v>
      </c>
      <c r="B134" s="82"/>
      <c r="C134" s="4" t="s">
        <v>193</v>
      </c>
      <c r="D134" s="81">
        <f>8.41*10.764</f>
        <v>90.525239999999997</v>
      </c>
      <c r="E134" s="82"/>
      <c r="F134" s="4">
        <v>0</v>
      </c>
      <c r="G134" s="4">
        <f t="shared" si="0"/>
        <v>135.78785999999999</v>
      </c>
      <c r="H134" s="4" t="s">
        <v>93</v>
      </c>
      <c r="I134" s="230"/>
      <c r="J134" s="231"/>
    </row>
    <row r="135" spans="1:12" s="3" customFormat="1" x14ac:dyDescent="0.3">
      <c r="A135" s="81">
        <v>6</v>
      </c>
      <c r="B135" s="82"/>
      <c r="C135" s="4" t="s">
        <v>193</v>
      </c>
      <c r="D135" s="81">
        <f>10.86*10.764</f>
        <v>116.89703999999999</v>
      </c>
      <c r="E135" s="82"/>
      <c r="F135" s="4">
        <v>0</v>
      </c>
      <c r="G135" s="4">
        <f t="shared" si="0"/>
        <v>175.34555999999998</v>
      </c>
      <c r="H135" s="4" t="s">
        <v>93</v>
      </c>
      <c r="I135" s="230"/>
      <c r="J135" s="231"/>
    </row>
    <row r="136" spans="1:12" s="3" customFormat="1" ht="15.6" customHeight="1" x14ac:dyDescent="0.3">
      <c r="A136" s="81">
        <v>7</v>
      </c>
      <c r="B136" s="82"/>
      <c r="C136" s="4" t="s">
        <v>193</v>
      </c>
      <c r="D136" s="81">
        <f>8.84*10.764</f>
        <v>95.153759999999991</v>
      </c>
      <c r="E136" s="82"/>
      <c r="F136" s="4">
        <v>0</v>
      </c>
      <c r="G136" s="4">
        <f t="shared" si="0"/>
        <v>142.73063999999999</v>
      </c>
      <c r="H136" s="4" t="s">
        <v>93</v>
      </c>
      <c r="I136" s="230"/>
      <c r="J136" s="231"/>
    </row>
    <row r="137" spans="1:12" s="3" customFormat="1" x14ac:dyDescent="0.3">
      <c r="A137" s="81">
        <v>8</v>
      </c>
      <c r="B137" s="82"/>
      <c r="C137" s="4" t="s">
        <v>193</v>
      </c>
      <c r="D137" s="81">
        <f>10.17*10.764</f>
        <v>109.46987999999999</v>
      </c>
      <c r="E137" s="82"/>
      <c r="F137" s="4">
        <v>0</v>
      </c>
      <c r="G137" s="4">
        <f t="shared" si="0"/>
        <v>164.20481999999998</v>
      </c>
      <c r="H137" s="4" t="s">
        <v>93</v>
      </c>
      <c r="I137" s="230"/>
      <c r="J137" s="231"/>
    </row>
    <row r="138" spans="1:12" s="3" customFormat="1" x14ac:dyDescent="0.3">
      <c r="A138" s="81">
        <v>9</v>
      </c>
      <c r="B138" s="82"/>
      <c r="C138" s="4" t="s">
        <v>193</v>
      </c>
      <c r="D138" s="81">
        <f>8.73*10.764</f>
        <v>93.969719999999995</v>
      </c>
      <c r="E138" s="82"/>
      <c r="F138" s="4">
        <v>0</v>
      </c>
      <c r="G138" s="4">
        <f t="shared" si="0"/>
        <v>140.95457999999999</v>
      </c>
      <c r="H138" s="4" t="s">
        <v>93</v>
      </c>
      <c r="I138" s="230"/>
      <c r="J138" s="231"/>
    </row>
    <row r="139" spans="1:12" s="3" customFormat="1" x14ac:dyDescent="0.3">
      <c r="A139" s="81">
        <v>10</v>
      </c>
      <c r="B139" s="82"/>
      <c r="C139" s="4" t="s">
        <v>193</v>
      </c>
      <c r="D139" s="81">
        <f>11.28*10.764</f>
        <v>121.41791999999998</v>
      </c>
      <c r="E139" s="82"/>
      <c r="F139" s="4">
        <v>0</v>
      </c>
      <c r="G139" s="4">
        <f t="shared" si="0"/>
        <v>182.12687999999997</v>
      </c>
      <c r="H139" s="4" t="s">
        <v>93</v>
      </c>
      <c r="I139" s="230"/>
      <c r="J139" s="231"/>
    </row>
    <row r="140" spans="1:12" s="3" customFormat="1" ht="15.75" customHeight="1" x14ac:dyDescent="0.3">
      <c r="A140" s="81">
        <v>11</v>
      </c>
      <c r="B140" s="82"/>
      <c r="C140" s="4" t="s">
        <v>193</v>
      </c>
      <c r="D140" s="81">
        <f>15*10.764</f>
        <v>161.45999999999998</v>
      </c>
      <c r="E140" s="82"/>
      <c r="F140" s="4">
        <v>0</v>
      </c>
      <c r="G140" s="4">
        <f t="shared" si="0"/>
        <v>242.18999999999997</v>
      </c>
      <c r="H140" s="4" t="s">
        <v>93</v>
      </c>
      <c r="I140" s="230"/>
      <c r="J140" s="231"/>
    </row>
    <row r="141" spans="1:12" s="3" customFormat="1" ht="15.6" customHeight="1" x14ac:dyDescent="0.3">
      <c r="A141" s="81">
        <v>12</v>
      </c>
      <c r="B141" s="82"/>
      <c r="C141" s="4" t="s">
        <v>193</v>
      </c>
      <c r="D141" s="81">
        <f>8.73*10.764</f>
        <v>93.969719999999995</v>
      </c>
      <c r="E141" s="82"/>
      <c r="F141" s="4">
        <v>0</v>
      </c>
      <c r="G141" s="4">
        <f t="shared" si="0"/>
        <v>140.95457999999999</v>
      </c>
      <c r="H141" s="4" t="s">
        <v>93</v>
      </c>
      <c r="I141" s="230"/>
      <c r="J141" s="231"/>
    </row>
    <row r="142" spans="1:12" s="3" customFormat="1" x14ac:dyDescent="0.3">
      <c r="A142" s="81">
        <v>13</v>
      </c>
      <c r="B142" s="82"/>
      <c r="C142" s="4" t="s">
        <v>193</v>
      </c>
      <c r="D142" s="81">
        <f>11.28*10.764</f>
        <v>121.41791999999998</v>
      </c>
      <c r="E142" s="82"/>
      <c r="F142" s="4">
        <v>0</v>
      </c>
      <c r="G142" s="4">
        <f t="shared" si="0"/>
        <v>182.12687999999997</v>
      </c>
      <c r="H142" s="4" t="s">
        <v>93</v>
      </c>
      <c r="I142" s="232"/>
      <c r="J142" s="233"/>
    </row>
    <row r="143" spans="1:12" s="3" customFormat="1" x14ac:dyDescent="0.3">
      <c r="A143" s="102" t="s">
        <v>196</v>
      </c>
      <c r="B143" s="103"/>
      <c r="C143" s="103"/>
      <c r="D143" s="103"/>
      <c r="E143" s="103"/>
      <c r="F143" s="103"/>
      <c r="G143" s="103"/>
      <c r="H143" s="103"/>
      <c r="I143" s="103"/>
      <c r="J143" s="104"/>
    </row>
    <row r="144" spans="1:12" s="3" customFormat="1" x14ac:dyDescent="0.3">
      <c r="A144" s="81">
        <v>1</v>
      </c>
      <c r="B144" s="82"/>
      <c r="C144" s="4" t="s">
        <v>195</v>
      </c>
      <c r="D144" s="81">
        <f>(41.56+2.1*0.45)*10.764</f>
        <v>457.52382</v>
      </c>
      <c r="E144" s="82"/>
      <c r="F144" s="4">
        <v>0</v>
      </c>
      <c r="G144" s="4">
        <f>D144*1.45+F144</f>
        <v>663.409539</v>
      </c>
      <c r="H144" s="4" t="s">
        <v>93</v>
      </c>
      <c r="I144" s="228" t="str">
        <f>A143</f>
        <v>1st, 2nd, 3rd &amp; 4th Floor</v>
      </c>
      <c r="J144" s="229"/>
      <c r="L144" s="3">
        <f>G144/D144</f>
        <v>1.45</v>
      </c>
    </row>
    <row r="145" spans="1:10" s="3" customFormat="1" x14ac:dyDescent="0.3">
      <c r="A145" s="81">
        <v>2</v>
      </c>
      <c r="B145" s="82"/>
      <c r="C145" s="4" t="s">
        <v>192</v>
      </c>
      <c r="D145" s="81">
        <f>(26.88+2.1*0.45)*10.764</f>
        <v>299.50829999999996</v>
      </c>
      <c r="E145" s="82"/>
      <c r="F145" s="4">
        <v>0</v>
      </c>
      <c r="G145" s="4">
        <f t="shared" ref="G145:G149" si="1">D145*1.45+F145</f>
        <v>434.28703499999995</v>
      </c>
      <c r="H145" s="4" t="s">
        <v>93</v>
      </c>
      <c r="I145" s="230"/>
      <c r="J145" s="231"/>
    </row>
    <row r="146" spans="1:10" s="3" customFormat="1" x14ac:dyDescent="0.3">
      <c r="A146" s="81">
        <v>3</v>
      </c>
      <c r="B146" s="82"/>
      <c r="C146" s="4" t="s">
        <v>192</v>
      </c>
      <c r="D146" s="81">
        <f>(26.88+2.1*0.45)*10.764</f>
        <v>299.50829999999996</v>
      </c>
      <c r="E146" s="82"/>
      <c r="F146" s="4">
        <v>0</v>
      </c>
      <c r="G146" s="4">
        <f t="shared" si="1"/>
        <v>434.28703499999995</v>
      </c>
      <c r="H146" s="4" t="s">
        <v>93</v>
      </c>
      <c r="I146" s="230"/>
      <c r="J146" s="231"/>
    </row>
    <row r="147" spans="1:10" s="3" customFormat="1" x14ac:dyDescent="0.3">
      <c r="A147" s="81">
        <v>4</v>
      </c>
      <c r="B147" s="82"/>
      <c r="C147" s="4" t="s">
        <v>192</v>
      </c>
      <c r="D147" s="81">
        <f t="shared" ref="D147:D149" si="2">(26.88+2.1*0.45)*10.764</f>
        <v>299.50829999999996</v>
      </c>
      <c r="E147" s="82"/>
      <c r="F147" s="4">
        <v>0</v>
      </c>
      <c r="G147" s="4">
        <f t="shared" si="1"/>
        <v>434.28703499999995</v>
      </c>
      <c r="H147" s="4" t="s">
        <v>93</v>
      </c>
      <c r="I147" s="230"/>
      <c r="J147" s="231"/>
    </row>
    <row r="148" spans="1:10" s="3" customFormat="1" x14ac:dyDescent="0.3">
      <c r="A148" s="81">
        <v>5</v>
      </c>
      <c r="B148" s="82"/>
      <c r="C148" s="4" t="s">
        <v>192</v>
      </c>
      <c r="D148" s="81">
        <f t="shared" si="2"/>
        <v>299.50829999999996</v>
      </c>
      <c r="E148" s="82"/>
      <c r="F148" s="4">
        <v>0</v>
      </c>
      <c r="G148" s="4">
        <f t="shared" si="1"/>
        <v>434.28703499999995</v>
      </c>
      <c r="H148" s="4" t="s">
        <v>93</v>
      </c>
      <c r="I148" s="230"/>
      <c r="J148" s="231"/>
    </row>
    <row r="149" spans="1:10" s="3" customFormat="1" x14ac:dyDescent="0.3">
      <c r="A149" s="81">
        <v>6</v>
      </c>
      <c r="B149" s="82"/>
      <c r="C149" s="4" t="s">
        <v>192</v>
      </c>
      <c r="D149" s="81">
        <f t="shared" si="2"/>
        <v>299.50829999999996</v>
      </c>
      <c r="E149" s="82"/>
      <c r="F149" s="4">
        <v>0</v>
      </c>
      <c r="G149" s="4">
        <f t="shared" si="1"/>
        <v>434.28703499999995</v>
      </c>
      <c r="H149" s="4" t="s">
        <v>93</v>
      </c>
      <c r="I149" s="232"/>
      <c r="J149" s="233"/>
    </row>
    <row r="150" spans="1:10" s="3" customFormat="1" x14ac:dyDescent="0.3">
      <c r="A150" s="102" t="s">
        <v>197</v>
      </c>
      <c r="B150" s="103"/>
      <c r="C150" s="103"/>
      <c r="D150" s="103"/>
      <c r="E150" s="103"/>
      <c r="F150" s="103"/>
      <c r="G150" s="103"/>
      <c r="H150" s="103"/>
      <c r="I150" s="103"/>
      <c r="J150" s="104"/>
    </row>
    <row r="151" spans="1:10" s="3" customFormat="1" x14ac:dyDescent="0.3">
      <c r="A151" s="102" t="s">
        <v>191</v>
      </c>
      <c r="B151" s="103"/>
      <c r="C151" s="103"/>
      <c r="D151" s="103"/>
      <c r="E151" s="103"/>
      <c r="F151" s="103"/>
      <c r="G151" s="103"/>
      <c r="H151" s="103"/>
      <c r="I151" s="103"/>
      <c r="J151" s="104"/>
    </row>
    <row r="152" spans="1:10" s="3" customFormat="1" x14ac:dyDescent="0.3">
      <c r="A152" s="81">
        <v>1</v>
      </c>
      <c r="B152" s="82"/>
      <c r="C152" s="4" t="s">
        <v>198</v>
      </c>
      <c r="D152" s="81">
        <f>19.57*10.764</f>
        <v>210.65147999999999</v>
      </c>
      <c r="E152" s="82"/>
      <c r="F152" s="4">
        <v>0</v>
      </c>
      <c r="G152" s="4">
        <f t="shared" ref="G152:G154" si="3">D152*1.45+F152</f>
        <v>305.44464599999998</v>
      </c>
      <c r="H152" s="4" t="s">
        <v>93</v>
      </c>
      <c r="I152" s="228" t="s">
        <v>194</v>
      </c>
      <c r="J152" s="229"/>
    </row>
    <row r="153" spans="1:10" s="3" customFormat="1" x14ac:dyDescent="0.3">
      <c r="A153" s="81">
        <v>2</v>
      </c>
      <c r="B153" s="82"/>
      <c r="C153" s="4" t="s">
        <v>192</v>
      </c>
      <c r="D153" s="81">
        <f>27.57*10.764</f>
        <v>296.76347999999996</v>
      </c>
      <c r="E153" s="82"/>
      <c r="F153" s="4">
        <v>0</v>
      </c>
      <c r="G153" s="4">
        <f t="shared" si="3"/>
        <v>430.3070459999999</v>
      </c>
      <c r="H153" s="4" t="s">
        <v>93</v>
      </c>
      <c r="I153" s="230"/>
      <c r="J153" s="231"/>
    </row>
    <row r="154" spans="1:10" s="3" customFormat="1" x14ac:dyDescent="0.3">
      <c r="A154" s="81">
        <v>3</v>
      </c>
      <c r="B154" s="82"/>
      <c r="C154" s="4" t="s">
        <v>192</v>
      </c>
      <c r="D154" s="81">
        <f>29.03*10.764</f>
        <v>312.47892000000002</v>
      </c>
      <c r="E154" s="82"/>
      <c r="F154" s="4">
        <v>0</v>
      </c>
      <c r="G154" s="4">
        <f t="shared" si="3"/>
        <v>453.09443400000004</v>
      </c>
      <c r="H154" s="4" t="s">
        <v>93</v>
      </c>
      <c r="I154" s="230"/>
      <c r="J154" s="231"/>
    </row>
    <row r="155" spans="1:10" s="3" customFormat="1" x14ac:dyDescent="0.3">
      <c r="A155" s="81">
        <v>1</v>
      </c>
      <c r="B155" s="82"/>
      <c r="C155" s="4" t="s">
        <v>193</v>
      </c>
      <c r="D155" s="81">
        <f>11.28*10.764</f>
        <v>121.41791999999998</v>
      </c>
      <c r="E155" s="82"/>
      <c r="F155" s="4">
        <v>0</v>
      </c>
      <c r="G155" s="4">
        <f>D155*1.5+F155</f>
        <v>182.12687999999997</v>
      </c>
      <c r="H155" s="4" t="s">
        <v>93</v>
      </c>
      <c r="I155" s="230"/>
      <c r="J155" s="231"/>
    </row>
    <row r="156" spans="1:10" s="3" customFormat="1" x14ac:dyDescent="0.3">
      <c r="A156" s="81">
        <v>2</v>
      </c>
      <c r="B156" s="82"/>
      <c r="C156" s="4" t="s">
        <v>193</v>
      </c>
      <c r="D156" s="81">
        <f>8.73*10.764</f>
        <v>93.969719999999995</v>
      </c>
      <c r="E156" s="82"/>
      <c r="F156" s="4">
        <v>0</v>
      </c>
      <c r="G156" s="4">
        <f t="shared" ref="G156:G161" si="4">D156*1.5+F156</f>
        <v>140.95457999999999</v>
      </c>
      <c r="H156" s="4" t="s">
        <v>93</v>
      </c>
      <c r="I156" s="230"/>
      <c r="J156" s="231"/>
    </row>
    <row r="157" spans="1:10" s="3" customFormat="1" x14ac:dyDescent="0.3">
      <c r="A157" s="81">
        <v>3</v>
      </c>
      <c r="B157" s="82"/>
      <c r="C157" s="4" t="s">
        <v>193</v>
      </c>
      <c r="D157" s="81">
        <f>14.93*10.764</f>
        <v>160.70651999999998</v>
      </c>
      <c r="E157" s="82"/>
      <c r="F157" s="4">
        <v>0</v>
      </c>
      <c r="G157" s="4">
        <f t="shared" si="4"/>
        <v>241.05977999999999</v>
      </c>
      <c r="H157" s="4" t="s">
        <v>93</v>
      </c>
      <c r="I157" s="230"/>
      <c r="J157" s="231"/>
    </row>
    <row r="158" spans="1:10" s="3" customFormat="1" x14ac:dyDescent="0.3">
      <c r="A158" s="81">
        <v>4</v>
      </c>
      <c r="B158" s="82"/>
      <c r="C158" s="4" t="s">
        <v>193</v>
      </c>
      <c r="D158" s="81">
        <f>11.28*10.764</f>
        <v>121.41791999999998</v>
      </c>
      <c r="E158" s="82"/>
      <c r="F158" s="4">
        <v>0</v>
      </c>
      <c r="G158" s="4">
        <f t="shared" si="4"/>
        <v>182.12687999999997</v>
      </c>
      <c r="H158" s="4" t="s">
        <v>93</v>
      </c>
      <c r="I158" s="230"/>
      <c r="J158" s="231"/>
    </row>
    <row r="159" spans="1:10" s="3" customFormat="1" x14ac:dyDescent="0.3">
      <c r="A159" s="81">
        <v>5</v>
      </c>
      <c r="B159" s="82"/>
      <c r="C159" s="4" t="s">
        <v>193</v>
      </c>
      <c r="D159" s="81">
        <f>8.73*10.764</f>
        <v>93.969719999999995</v>
      </c>
      <c r="E159" s="82"/>
      <c r="F159" s="4">
        <v>0</v>
      </c>
      <c r="G159" s="4">
        <f t="shared" si="4"/>
        <v>140.95457999999999</v>
      </c>
      <c r="H159" s="4" t="s">
        <v>93</v>
      </c>
      <c r="I159" s="230"/>
      <c r="J159" s="231"/>
    </row>
    <row r="160" spans="1:10" s="3" customFormat="1" x14ac:dyDescent="0.3">
      <c r="A160" s="81">
        <v>6</v>
      </c>
      <c r="B160" s="82"/>
      <c r="C160" s="4" t="s">
        <v>193</v>
      </c>
      <c r="D160" s="81">
        <f>13.14*10.764</f>
        <v>141.43896000000001</v>
      </c>
      <c r="E160" s="82"/>
      <c r="F160" s="4">
        <v>0</v>
      </c>
      <c r="G160" s="4">
        <f t="shared" si="4"/>
        <v>212.15844000000001</v>
      </c>
      <c r="H160" s="4" t="s">
        <v>93</v>
      </c>
      <c r="I160" s="230"/>
      <c r="J160" s="231"/>
    </row>
    <row r="161" spans="1:10" s="3" customFormat="1" x14ac:dyDescent="0.3">
      <c r="A161" s="81">
        <v>7</v>
      </c>
      <c r="B161" s="82"/>
      <c r="C161" s="4" t="s">
        <v>193</v>
      </c>
      <c r="D161" s="81">
        <f>15.47*10.764</f>
        <v>166.51908</v>
      </c>
      <c r="E161" s="82"/>
      <c r="F161" s="4">
        <v>0</v>
      </c>
      <c r="G161" s="4">
        <f t="shared" si="4"/>
        <v>249.77861999999999</v>
      </c>
      <c r="H161" s="4" t="s">
        <v>93</v>
      </c>
      <c r="I161" s="232"/>
      <c r="J161" s="233"/>
    </row>
    <row r="162" spans="1:10" s="3" customFormat="1" x14ac:dyDescent="0.3">
      <c r="A162" s="102" t="s">
        <v>196</v>
      </c>
      <c r="B162" s="103"/>
      <c r="C162" s="103"/>
      <c r="D162" s="103"/>
      <c r="E162" s="103"/>
      <c r="F162" s="103"/>
      <c r="G162" s="103"/>
      <c r="H162" s="103"/>
      <c r="I162" s="103"/>
      <c r="J162" s="104"/>
    </row>
    <row r="163" spans="1:10" s="3" customFormat="1" x14ac:dyDescent="0.3">
      <c r="A163" s="81">
        <v>1</v>
      </c>
      <c r="B163" s="82"/>
      <c r="C163" s="4" t="s">
        <v>192</v>
      </c>
      <c r="D163" s="81">
        <f>28.44*10.764</f>
        <v>306.12815999999998</v>
      </c>
      <c r="E163" s="82"/>
      <c r="F163" s="4">
        <v>0</v>
      </c>
      <c r="G163" s="4">
        <f>D163*1.45+F163</f>
        <v>443.88583199999994</v>
      </c>
      <c r="H163" s="4" t="s">
        <v>93</v>
      </c>
      <c r="I163" s="228" t="str">
        <f>A162</f>
        <v>1st, 2nd, 3rd &amp; 4th Floor</v>
      </c>
      <c r="J163" s="229"/>
    </row>
    <row r="164" spans="1:10" s="3" customFormat="1" x14ac:dyDescent="0.3">
      <c r="A164" s="81">
        <v>2</v>
      </c>
      <c r="B164" s="82"/>
      <c r="C164" s="4" t="s">
        <v>192</v>
      </c>
      <c r="D164" s="81">
        <f>(26.88+2.1*0.45)*10.764</f>
        <v>299.50829999999996</v>
      </c>
      <c r="E164" s="82"/>
      <c r="F164" s="4">
        <v>0</v>
      </c>
      <c r="G164" s="4">
        <f t="shared" ref="G164:G168" si="5">D164*1.45+F164</f>
        <v>434.28703499999995</v>
      </c>
      <c r="H164" s="4" t="s">
        <v>93</v>
      </c>
      <c r="I164" s="230"/>
      <c r="J164" s="231"/>
    </row>
    <row r="165" spans="1:10" s="3" customFormat="1" x14ac:dyDescent="0.3">
      <c r="A165" s="81">
        <v>3</v>
      </c>
      <c r="B165" s="82"/>
      <c r="C165" s="4" t="s">
        <v>192</v>
      </c>
      <c r="D165" s="81">
        <f>(26.88+2.1*0.45)*10.764</f>
        <v>299.50829999999996</v>
      </c>
      <c r="E165" s="82"/>
      <c r="F165" s="4">
        <v>0</v>
      </c>
      <c r="G165" s="4">
        <f t="shared" si="5"/>
        <v>434.28703499999995</v>
      </c>
      <c r="H165" s="4" t="s">
        <v>93</v>
      </c>
      <c r="I165" s="230"/>
      <c r="J165" s="231"/>
    </row>
    <row r="166" spans="1:10" s="3" customFormat="1" x14ac:dyDescent="0.3">
      <c r="A166" s="81">
        <v>4</v>
      </c>
      <c r="B166" s="82"/>
      <c r="C166" s="4" t="s">
        <v>192</v>
      </c>
      <c r="D166" s="81">
        <f>(26.88+2.1*0.45)*10.764</f>
        <v>299.50829999999996</v>
      </c>
      <c r="E166" s="82"/>
      <c r="F166" s="4">
        <v>0</v>
      </c>
      <c r="G166" s="4">
        <f t="shared" si="5"/>
        <v>434.28703499999995</v>
      </c>
      <c r="H166" s="4" t="s">
        <v>93</v>
      </c>
      <c r="I166" s="230"/>
      <c r="J166" s="231"/>
    </row>
    <row r="167" spans="1:10" s="3" customFormat="1" x14ac:dyDescent="0.3">
      <c r="A167" s="81">
        <v>5</v>
      </c>
      <c r="B167" s="82"/>
      <c r="C167" s="4" t="s">
        <v>192</v>
      </c>
      <c r="D167" s="81">
        <f>(26.88+2.1*0.45)*10.764</f>
        <v>299.50829999999996</v>
      </c>
      <c r="E167" s="82"/>
      <c r="F167" s="4">
        <v>0</v>
      </c>
      <c r="G167" s="4">
        <f t="shared" si="5"/>
        <v>434.28703499999995</v>
      </c>
      <c r="H167" s="4" t="s">
        <v>93</v>
      </c>
      <c r="I167" s="230"/>
      <c r="J167" s="231"/>
    </row>
    <row r="168" spans="1:10" s="3" customFormat="1" x14ac:dyDescent="0.3">
      <c r="A168" s="81">
        <v>6</v>
      </c>
      <c r="B168" s="82"/>
      <c r="C168" s="37" t="s">
        <v>195</v>
      </c>
      <c r="D168" s="81">
        <f>(41.56+2.1*0.45)*10.764</f>
        <v>457.52382</v>
      </c>
      <c r="E168" s="82"/>
      <c r="F168" s="4">
        <v>0</v>
      </c>
      <c r="G168" s="4">
        <f t="shared" si="5"/>
        <v>663.409539</v>
      </c>
      <c r="H168" s="4" t="s">
        <v>93</v>
      </c>
      <c r="I168" s="232"/>
      <c r="J168" s="233"/>
    </row>
    <row r="169" spans="1:10" s="3" customFormat="1" x14ac:dyDescent="0.3">
      <c r="A169" s="102" t="s">
        <v>199</v>
      </c>
      <c r="B169" s="103"/>
      <c r="C169" s="103"/>
      <c r="D169" s="103"/>
      <c r="E169" s="103"/>
      <c r="F169" s="103"/>
      <c r="G169" s="103"/>
      <c r="H169" s="103"/>
      <c r="I169" s="103"/>
      <c r="J169" s="104"/>
    </row>
    <row r="170" spans="1:10" s="3" customFormat="1" x14ac:dyDescent="0.3">
      <c r="A170" s="102" t="s">
        <v>200</v>
      </c>
      <c r="B170" s="103"/>
      <c r="C170" s="103"/>
      <c r="D170" s="103"/>
      <c r="E170" s="103"/>
      <c r="F170" s="103"/>
      <c r="G170" s="103"/>
      <c r="H170" s="103"/>
      <c r="I170" s="103"/>
      <c r="J170" s="104"/>
    </row>
    <row r="171" spans="1:10" s="3" customFormat="1" x14ac:dyDescent="0.3">
      <c r="A171" s="81">
        <v>1</v>
      </c>
      <c r="B171" s="82"/>
      <c r="C171" s="4" t="s">
        <v>195</v>
      </c>
      <c r="D171" s="81">
        <f>39.01*10.764</f>
        <v>419.90363999999994</v>
      </c>
      <c r="E171" s="82"/>
      <c r="F171" s="4">
        <v>0</v>
      </c>
      <c r="G171" s="4">
        <f t="shared" ref="G171:G175" si="6">D171*1.45+F171</f>
        <v>608.86027799999988</v>
      </c>
      <c r="H171" s="4" t="s">
        <v>93</v>
      </c>
      <c r="I171" s="228" t="s">
        <v>194</v>
      </c>
      <c r="J171" s="229"/>
    </row>
    <row r="172" spans="1:10" s="3" customFormat="1" x14ac:dyDescent="0.3">
      <c r="A172" s="81">
        <v>2</v>
      </c>
      <c r="B172" s="82"/>
      <c r="C172" s="4" t="s">
        <v>192</v>
      </c>
      <c r="D172" s="81">
        <f>27.99*10.764</f>
        <v>301.28435999999999</v>
      </c>
      <c r="E172" s="82"/>
      <c r="F172" s="4">
        <v>0</v>
      </c>
      <c r="G172" s="4">
        <f t="shared" si="6"/>
        <v>436.86232199999995</v>
      </c>
      <c r="H172" s="4" t="s">
        <v>93</v>
      </c>
      <c r="I172" s="230"/>
      <c r="J172" s="231"/>
    </row>
    <row r="173" spans="1:10" s="3" customFormat="1" x14ac:dyDescent="0.3">
      <c r="A173" s="81">
        <v>3</v>
      </c>
      <c r="B173" s="82"/>
      <c r="C173" s="4" t="s">
        <v>192</v>
      </c>
      <c r="D173" s="81">
        <f>29.08*10.764</f>
        <v>313.01711999999998</v>
      </c>
      <c r="E173" s="82"/>
      <c r="F173" s="4">
        <v>0</v>
      </c>
      <c r="G173" s="4">
        <f t="shared" si="6"/>
        <v>453.87482399999993</v>
      </c>
      <c r="H173" s="4" t="s">
        <v>93</v>
      </c>
      <c r="I173" s="230"/>
      <c r="J173" s="231"/>
    </row>
    <row r="174" spans="1:10" s="3" customFormat="1" x14ac:dyDescent="0.3">
      <c r="A174" s="81">
        <v>4</v>
      </c>
      <c r="B174" s="82"/>
      <c r="C174" s="4" t="s">
        <v>192</v>
      </c>
      <c r="D174" s="81">
        <f>27.57*10.764</f>
        <v>296.76347999999996</v>
      </c>
      <c r="E174" s="82"/>
      <c r="F174" s="4">
        <v>0</v>
      </c>
      <c r="G174" s="4">
        <f t="shared" si="6"/>
        <v>430.3070459999999</v>
      </c>
      <c r="H174" s="4" t="s">
        <v>93</v>
      </c>
      <c r="I174" s="230"/>
      <c r="J174" s="231"/>
    </row>
    <row r="175" spans="1:10" s="3" customFormat="1" x14ac:dyDescent="0.3">
      <c r="A175" s="81">
        <v>5</v>
      </c>
      <c r="B175" s="82"/>
      <c r="C175" s="4" t="s">
        <v>192</v>
      </c>
      <c r="D175" s="81">
        <f>26.85*10.764</f>
        <v>289.01339999999999</v>
      </c>
      <c r="E175" s="82"/>
      <c r="F175" s="4">
        <v>0</v>
      </c>
      <c r="G175" s="4">
        <f t="shared" si="6"/>
        <v>419.06942999999995</v>
      </c>
      <c r="H175" s="4" t="s">
        <v>93</v>
      </c>
      <c r="I175" s="232"/>
      <c r="J175" s="233"/>
    </row>
    <row r="176" spans="1:10" s="3" customFormat="1" x14ac:dyDescent="0.3">
      <c r="A176" s="102" t="s">
        <v>276</v>
      </c>
      <c r="B176" s="103"/>
      <c r="C176" s="103"/>
      <c r="D176" s="103"/>
      <c r="E176" s="103"/>
      <c r="F176" s="103"/>
      <c r="G176" s="103"/>
      <c r="H176" s="103"/>
      <c r="I176" s="103"/>
      <c r="J176" s="104"/>
    </row>
    <row r="177" spans="1:12" s="3" customFormat="1" x14ac:dyDescent="0.3">
      <c r="A177" s="81">
        <v>1</v>
      </c>
      <c r="B177" s="82"/>
      <c r="C177" s="4" t="s">
        <v>195</v>
      </c>
      <c r="D177" s="81">
        <f>(41.56+2.75+2.75)*10.764</f>
        <v>506.55383999999998</v>
      </c>
      <c r="E177" s="82"/>
      <c r="F177" s="4">
        <v>0</v>
      </c>
      <c r="G177" s="4">
        <f t="shared" ref="G177:G182" si="7">D177*1.45+F177</f>
        <v>734.50306799999998</v>
      </c>
      <c r="H177" s="4" t="s">
        <v>93</v>
      </c>
      <c r="I177" s="228" t="str">
        <f>A176</f>
        <v>1st to 3rd Floor Floor</v>
      </c>
      <c r="J177" s="229"/>
      <c r="L177" s="3">
        <f>3.5*2.75+2.75*2.13+2.45*2.75+3.05*2.75+1.2*2.03+1.2*0.9+1.2*0.8+1.73*1.2+0.9*2.95+0.45*2.1</f>
        <v>40.759499999999996</v>
      </c>
    </row>
    <row r="178" spans="1:12" s="3" customFormat="1" x14ac:dyDescent="0.3">
      <c r="A178" s="81">
        <v>2</v>
      </c>
      <c r="B178" s="82"/>
      <c r="C178" s="4" t="s">
        <v>192</v>
      </c>
      <c r="D178" s="81">
        <f>(26.88+2.75)*10.764</f>
        <v>318.93731999999994</v>
      </c>
      <c r="E178" s="82"/>
      <c r="F178" s="4">
        <v>0</v>
      </c>
      <c r="G178" s="4">
        <f t="shared" si="7"/>
        <v>462.45911399999989</v>
      </c>
      <c r="H178" s="4" t="s">
        <v>93</v>
      </c>
      <c r="I178" s="230"/>
      <c r="J178" s="231"/>
    </row>
    <row r="179" spans="1:12" s="3" customFormat="1" x14ac:dyDescent="0.3">
      <c r="A179" s="81">
        <v>3</v>
      </c>
      <c r="B179" s="82"/>
      <c r="C179" s="4" t="s">
        <v>192</v>
      </c>
      <c r="D179" s="81">
        <f>(26.88+2.75+2.75)*10.764</f>
        <v>348.53831999999994</v>
      </c>
      <c r="E179" s="82"/>
      <c r="F179" s="4">
        <v>0</v>
      </c>
      <c r="G179" s="4">
        <f t="shared" si="7"/>
        <v>505.38056399999988</v>
      </c>
      <c r="H179" s="4" t="s">
        <v>93</v>
      </c>
      <c r="I179" s="230"/>
      <c r="J179" s="231"/>
    </row>
    <row r="180" spans="1:12" s="3" customFormat="1" x14ac:dyDescent="0.3">
      <c r="A180" s="81">
        <v>4</v>
      </c>
      <c r="B180" s="82"/>
      <c r="C180" s="4" t="s">
        <v>192</v>
      </c>
      <c r="D180" s="81">
        <f>(26.88+2.75+2.75)*10.764</f>
        <v>348.53831999999994</v>
      </c>
      <c r="E180" s="82"/>
      <c r="F180" s="4">
        <v>0</v>
      </c>
      <c r="G180" s="4">
        <f t="shared" si="7"/>
        <v>505.38056399999988</v>
      </c>
      <c r="H180" s="4" t="s">
        <v>93</v>
      </c>
      <c r="I180" s="230"/>
      <c r="J180" s="231"/>
    </row>
    <row r="181" spans="1:12" s="3" customFormat="1" x14ac:dyDescent="0.3">
      <c r="A181" s="81">
        <v>5</v>
      </c>
      <c r="B181" s="82"/>
      <c r="C181" s="4" t="s">
        <v>192</v>
      </c>
      <c r="D181" s="81">
        <f>(26.88+2.75+2.75)*10.764</f>
        <v>348.53831999999994</v>
      </c>
      <c r="E181" s="82"/>
      <c r="F181" s="4">
        <v>0</v>
      </c>
      <c r="G181" s="4">
        <f t="shared" si="7"/>
        <v>505.38056399999988</v>
      </c>
      <c r="H181" s="4" t="s">
        <v>93</v>
      </c>
      <c r="I181" s="230"/>
      <c r="J181" s="231"/>
    </row>
    <row r="182" spans="1:12" s="3" customFormat="1" x14ac:dyDescent="0.3">
      <c r="A182" s="81">
        <v>6</v>
      </c>
      <c r="B182" s="82"/>
      <c r="C182" s="4" t="s">
        <v>192</v>
      </c>
      <c r="D182" s="81">
        <f>(26.88+2.75+2.75)*10.764</f>
        <v>348.53831999999994</v>
      </c>
      <c r="E182" s="82"/>
      <c r="F182" s="4">
        <v>0</v>
      </c>
      <c r="G182" s="4">
        <f t="shared" si="7"/>
        <v>505.38056399999988</v>
      </c>
      <c r="H182" s="4" t="s">
        <v>93</v>
      </c>
      <c r="I182" s="232"/>
      <c r="J182" s="233"/>
    </row>
    <row r="183" spans="1:12" s="3" customFormat="1" x14ac:dyDescent="0.3">
      <c r="A183" s="102" t="s">
        <v>277</v>
      </c>
      <c r="B183" s="103"/>
      <c r="C183" s="103"/>
      <c r="D183" s="103"/>
      <c r="E183" s="103"/>
      <c r="F183" s="103"/>
      <c r="G183" s="103"/>
      <c r="H183" s="103"/>
      <c r="I183" s="103"/>
      <c r="J183" s="104"/>
    </row>
    <row r="184" spans="1:12" s="3" customFormat="1" x14ac:dyDescent="0.3">
      <c r="A184" s="81">
        <v>1</v>
      </c>
      <c r="B184" s="82"/>
      <c r="C184" s="4" t="s">
        <v>195</v>
      </c>
      <c r="D184" s="81">
        <f>(41.56+2.75+2.75)*10.764</f>
        <v>506.55383999999998</v>
      </c>
      <c r="E184" s="82"/>
      <c r="F184" s="4">
        <v>0</v>
      </c>
      <c r="G184" s="4">
        <f>D184*1.48+F184</f>
        <v>749.69968319999998</v>
      </c>
      <c r="H184" s="4" t="s">
        <v>93</v>
      </c>
      <c r="I184" s="228" t="str">
        <f>A183</f>
        <v>4th Floor</v>
      </c>
      <c r="J184" s="229"/>
      <c r="L184" s="3" t="s">
        <v>278</v>
      </c>
    </row>
    <row r="185" spans="1:12" s="3" customFormat="1" x14ac:dyDescent="0.3">
      <c r="A185" s="81">
        <v>2</v>
      </c>
      <c r="B185" s="82"/>
      <c r="C185" s="4" t="s">
        <v>192</v>
      </c>
      <c r="D185" s="81">
        <f>(26.88+2.75)*10.764</f>
        <v>318.93731999999994</v>
      </c>
      <c r="E185" s="82"/>
      <c r="F185" s="4">
        <v>0</v>
      </c>
      <c r="G185" s="4">
        <f t="shared" ref="G185:G189" si="8">D185*1.45+F185</f>
        <v>462.45911399999989</v>
      </c>
      <c r="H185" s="4" t="s">
        <v>93</v>
      </c>
      <c r="I185" s="230"/>
      <c r="J185" s="231"/>
    </row>
    <row r="186" spans="1:12" s="3" customFormat="1" x14ac:dyDescent="0.3">
      <c r="A186" s="81">
        <v>3</v>
      </c>
      <c r="B186" s="82"/>
      <c r="C186" s="4" t="s">
        <v>192</v>
      </c>
      <c r="D186" s="81">
        <f>(26.88+2.75+2.75)*10.764</f>
        <v>348.53831999999994</v>
      </c>
      <c r="E186" s="82"/>
      <c r="F186" s="4">
        <v>0</v>
      </c>
      <c r="G186" s="4">
        <f t="shared" si="8"/>
        <v>505.38056399999988</v>
      </c>
      <c r="H186" s="4" t="s">
        <v>93</v>
      </c>
      <c r="I186" s="230"/>
      <c r="J186" s="231"/>
    </row>
    <row r="187" spans="1:12" s="3" customFormat="1" x14ac:dyDescent="0.3">
      <c r="A187" s="81">
        <v>4</v>
      </c>
      <c r="B187" s="82"/>
      <c r="C187" s="4" t="s">
        <v>192</v>
      </c>
      <c r="D187" s="81">
        <f>(26.88+2.75+2.75)*10.764</f>
        <v>348.53831999999994</v>
      </c>
      <c r="E187" s="82"/>
      <c r="F187" s="4">
        <v>0</v>
      </c>
      <c r="G187" s="4">
        <f t="shared" si="8"/>
        <v>505.38056399999988</v>
      </c>
      <c r="H187" s="4" t="s">
        <v>93</v>
      </c>
      <c r="I187" s="230"/>
      <c r="J187" s="231"/>
    </row>
    <row r="188" spans="1:12" s="3" customFormat="1" x14ac:dyDescent="0.3">
      <c r="A188" s="81">
        <v>5</v>
      </c>
      <c r="B188" s="82"/>
      <c r="C188" s="4" t="s">
        <v>192</v>
      </c>
      <c r="D188" s="81">
        <f>(26.88+2.75+2.75)*10.764</f>
        <v>348.53831999999994</v>
      </c>
      <c r="E188" s="82"/>
      <c r="F188" s="4">
        <v>0</v>
      </c>
      <c r="G188" s="4">
        <f t="shared" si="8"/>
        <v>505.38056399999988</v>
      </c>
      <c r="H188" s="4" t="s">
        <v>93</v>
      </c>
      <c r="I188" s="230"/>
      <c r="J188" s="231"/>
    </row>
    <row r="189" spans="1:12" s="3" customFormat="1" x14ac:dyDescent="0.3">
      <c r="A189" s="81">
        <v>6</v>
      </c>
      <c r="B189" s="82"/>
      <c r="C189" s="4" t="s">
        <v>192</v>
      </c>
      <c r="D189" s="81">
        <f>(26.88+2.75+2.75)*10.764</f>
        <v>348.53831999999994</v>
      </c>
      <c r="E189" s="82"/>
      <c r="F189" s="4">
        <v>0</v>
      </c>
      <c r="G189" s="4">
        <f t="shared" si="8"/>
        <v>505.38056399999988</v>
      </c>
      <c r="H189" s="4" t="s">
        <v>93</v>
      </c>
      <c r="I189" s="232"/>
      <c r="J189" s="233"/>
    </row>
    <row r="190" spans="1:12" s="3" customFormat="1" x14ac:dyDescent="0.3">
      <c r="A190" s="102" t="s">
        <v>201</v>
      </c>
      <c r="B190" s="103"/>
      <c r="C190" s="103"/>
      <c r="D190" s="103"/>
      <c r="E190" s="103"/>
      <c r="F190" s="103"/>
      <c r="G190" s="103"/>
      <c r="H190" s="103"/>
      <c r="I190" s="103"/>
      <c r="J190" s="104"/>
    </row>
    <row r="191" spans="1:12" s="3" customFormat="1" x14ac:dyDescent="0.3">
      <c r="A191" s="102" t="s">
        <v>200</v>
      </c>
      <c r="B191" s="103"/>
      <c r="C191" s="103"/>
      <c r="D191" s="103"/>
      <c r="E191" s="103"/>
      <c r="F191" s="103"/>
      <c r="G191" s="103"/>
      <c r="H191" s="103"/>
      <c r="I191" s="103"/>
      <c r="J191" s="104"/>
    </row>
    <row r="192" spans="1:12" s="3" customFormat="1" x14ac:dyDescent="0.3">
      <c r="A192" s="81">
        <v>1</v>
      </c>
      <c r="B192" s="82"/>
      <c r="C192" s="4" t="s">
        <v>192</v>
      </c>
      <c r="D192" s="81">
        <f>26.85*10.764</f>
        <v>289.01339999999999</v>
      </c>
      <c r="E192" s="82"/>
      <c r="F192" s="4">
        <v>0</v>
      </c>
      <c r="G192" s="4">
        <f t="shared" ref="G192:G197" si="9">D192*1.45+F192</f>
        <v>419.06942999999995</v>
      </c>
      <c r="H192" s="4" t="s">
        <v>93</v>
      </c>
      <c r="I192" s="228" t="s">
        <v>194</v>
      </c>
      <c r="J192" s="229"/>
    </row>
    <row r="193" spans="1:10" s="3" customFormat="1" x14ac:dyDescent="0.3">
      <c r="A193" s="81">
        <v>2</v>
      </c>
      <c r="B193" s="82"/>
      <c r="C193" s="4" t="s">
        <v>192</v>
      </c>
      <c r="D193" s="81">
        <f>27.57*10.764</f>
        <v>296.76347999999996</v>
      </c>
      <c r="E193" s="82"/>
      <c r="F193" s="4">
        <v>0</v>
      </c>
      <c r="G193" s="4">
        <f t="shared" si="9"/>
        <v>430.3070459999999</v>
      </c>
      <c r="H193" s="4" t="s">
        <v>93</v>
      </c>
      <c r="I193" s="230"/>
      <c r="J193" s="231"/>
    </row>
    <row r="194" spans="1:10" s="3" customFormat="1" x14ac:dyDescent="0.3">
      <c r="A194" s="81">
        <v>3</v>
      </c>
      <c r="B194" s="82"/>
      <c r="C194" s="4" t="s">
        <v>192</v>
      </c>
      <c r="D194" s="81">
        <f>29.09*10.764</f>
        <v>313.12475999999998</v>
      </c>
      <c r="E194" s="82"/>
      <c r="F194" s="4">
        <v>0</v>
      </c>
      <c r="G194" s="4">
        <f t="shared" si="9"/>
        <v>454.03090199999997</v>
      </c>
      <c r="H194" s="4" t="s">
        <v>93</v>
      </c>
      <c r="I194" s="230"/>
      <c r="J194" s="231"/>
    </row>
    <row r="195" spans="1:10" s="3" customFormat="1" x14ac:dyDescent="0.3">
      <c r="A195" s="81">
        <v>4</v>
      </c>
      <c r="B195" s="82"/>
      <c r="C195" s="4" t="s">
        <v>198</v>
      </c>
      <c r="D195" s="81">
        <f>19.47*10.764</f>
        <v>209.57507999999999</v>
      </c>
      <c r="E195" s="82"/>
      <c r="F195" s="4">
        <v>0</v>
      </c>
      <c r="G195" s="4">
        <f t="shared" si="9"/>
        <v>303.88386599999995</v>
      </c>
      <c r="H195" s="4" t="s">
        <v>93</v>
      </c>
      <c r="I195" s="230"/>
      <c r="J195" s="231"/>
    </row>
    <row r="196" spans="1:10" s="3" customFormat="1" x14ac:dyDescent="0.3">
      <c r="A196" s="81">
        <v>5</v>
      </c>
      <c r="B196" s="82"/>
      <c r="C196" s="4" t="s">
        <v>192</v>
      </c>
      <c r="D196" s="81">
        <f>27.99*10.764</f>
        <v>301.28435999999999</v>
      </c>
      <c r="E196" s="82"/>
      <c r="F196" s="4">
        <v>0</v>
      </c>
      <c r="G196" s="4">
        <f t="shared" si="9"/>
        <v>436.86232199999995</v>
      </c>
      <c r="H196" s="4" t="s">
        <v>93</v>
      </c>
      <c r="I196" s="230"/>
      <c r="J196" s="231"/>
    </row>
    <row r="197" spans="1:10" s="3" customFormat="1" x14ac:dyDescent="0.3">
      <c r="A197" s="81">
        <v>6</v>
      </c>
      <c r="B197" s="82"/>
      <c r="C197" s="4" t="s">
        <v>195</v>
      </c>
      <c r="D197" s="81">
        <f>39.01*10.764</f>
        <v>419.90363999999994</v>
      </c>
      <c r="E197" s="82"/>
      <c r="F197" s="4">
        <v>0</v>
      </c>
      <c r="G197" s="4">
        <f t="shared" si="9"/>
        <v>608.86027799999988</v>
      </c>
      <c r="H197" s="4" t="s">
        <v>93</v>
      </c>
      <c r="I197" s="232"/>
      <c r="J197" s="233"/>
    </row>
    <row r="198" spans="1:10" s="3" customFormat="1" x14ac:dyDescent="0.3">
      <c r="A198" s="102" t="s">
        <v>196</v>
      </c>
      <c r="B198" s="103"/>
      <c r="C198" s="103"/>
      <c r="D198" s="103"/>
      <c r="E198" s="103"/>
      <c r="F198" s="103"/>
      <c r="G198" s="103"/>
      <c r="H198" s="103"/>
      <c r="I198" s="103"/>
      <c r="J198" s="104"/>
    </row>
    <row r="199" spans="1:10" s="3" customFormat="1" x14ac:dyDescent="0.3">
      <c r="A199" s="81">
        <v>1</v>
      </c>
      <c r="B199" s="82"/>
      <c r="C199" s="4" t="s">
        <v>192</v>
      </c>
      <c r="D199" s="81">
        <f>(26.44+2.75+2.75)*10.764</f>
        <v>343.80216000000001</v>
      </c>
      <c r="E199" s="82"/>
      <c r="F199" s="4">
        <v>0</v>
      </c>
      <c r="G199" s="4">
        <f t="shared" ref="G199:G204" si="10">D199*1.45+F199</f>
        <v>498.51313199999998</v>
      </c>
      <c r="H199" s="4" t="s">
        <v>93</v>
      </c>
      <c r="I199" s="228" t="str">
        <f>A198</f>
        <v>1st, 2nd, 3rd &amp; 4th Floor</v>
      </c>
      <c r="J199" s="229"/>
    </row>
    <row r="200" spans="1:10" s="3" customFormat="1" x14ac:dyDescent="0.3">
      <c r="A200" s="81">
        <v>2</v>
      </c>
      <c r="B200" s="82"/>
      <c r="C200" s="4" t="s">
        <v>192</v>
      </c>
      <c r="D200" s="81">
        <f>(26.88+2.75+2.75)*10.764</f>
        <v>348.53831999999994</v>
      </c>
      <c r="E200" s="82"/>
      <c r="F200" s="4">
        <v>0</v>
      </c>
      <c r="G200" s="4">
        <f t="shared" si="10"/>
        <v>505.38056399999988</v>
      </c>
      <c r="H200" s="4" t="s">
        <v>93</v>
      </c>
      <c r="I200" s="230"/>
      <c r="J200" s="231"/>
    </row>
    <row r="201" spans="1:10" s="3" customFormat="1" x14ac:dyDescent="0.3">
      <c r="A201" s="81">
        <v>3</v>
      </c>
      <c r="B201" s="82"/>
      <c r="C201" s="4" t="s">
        <v>192</v>
      </c>
      <c r="D201" s="81">
        <f t="shared" ref="D201:D203" si="11">(26.88+2.75+2.75)*10.764</f>
        <v>348.53831999999994</v>
      </c>
      <c r="E201" s="82"/>
      <c r="F201" s="4">
        <v>0</v>
      </c>
      <c r="G201" s="4">
        <f t="shared" si="10"/>
        <v>505.38056399999988</v>
      </c>
      <c r="H201" s="4" t="s">
        <v>93</v>
      </c>
      <c r="I201" s="230"/>
      <c r="J201" s="231"/>
    </row>
    <row r="202" spans="1:10" s="3" customFormat="1" x14ac:dyDescent="0.3">
      <c r="A202" s="81">
        <v>4</v>
      </c>
      <c r="B202" s="82"/>
      <c r="C202" s="4" t="s">
        <v>192</v>
      </c>
      <c r="D202" s="81">
        <f t="shared" si="11"/>
        <v>348.53831999999994</v>
      </c>
      <c r="E202" s="82"/>
      <c r="F202" s="4">
        <v>0</v>
      </c>
      <c r="G202" s="4">
        <f t="shared" si="10"/>
        <v>505.38056399999988</v>
      </c>
      <c r="H202" s="4" t="s">
        <v>93</v>
      </c>
      <c r="I202" s="230"/>
      <c r="J202" s="231"/>
    </row>
    <row r="203" spans="1:10" s="3" customFormat="1" x14ac:dyDescent="0.3">
      <c r="A203" s="81">
        <v>5</v>
      </c>
      <c r="B203" s="82"/>
      <c r="C203" s="4" t="s">
        <v>192</v>
      </c>
      <c r="D203" s="81">
        <f t="shared" si="11"/>
        <v>348.53831999999994</v>
      </c>
      <c r="E203" s="82"/>
      <c r="F203" s="4">
        <v>0</v>
      </c>
      <c r="G203" s="4">
        <f t="shared" si="10"/>
        <v>505.38056399999988</v>
      </c>
      <c r="H203" s="4" t="s">
        <v>93</v>
      </c>
      <c r="I203" s="230"/>
      <c r="J203" s="231"/>
    </row>
    <row r="204" spans="1:10" s="3" customFormat="1" x14ac:dyDescent="0.3">
      <c r="A204" s="81">
        <v>6</v>
      </c>
      <c r="B204" s="82"/>
      <c r="C204" s="4" t="s">
        <v>195</v>
      </c>
      <c r="D204" s="81">
        <f>(41.56+2.75+2.75)*10.764</f>
        <v>506.55383999999998</v>
      </c>
      <c r="E204" s="82"/>
      <c r="F204" s="4">
        <v>0</v>
      </c>
      <c r="G204" s="4">
        <f t="shared" si="10"/>
        <v>734.50306799999998</v>
      </c>
      <c r="H204" s="4" t="s">
        <v>93</v>
      </c>
      <c r="I204" s="232"/>
      <c r="J204" s="233"/>
    </row>
    <row r="205" spans="1:10" s="3" customFormat="1" x14ac:dyDescent="0.3">
      <c r="A205" s="102" t="s">
        <v>202</v>
      </c>
      <c r="B205" s="103"/>
      <c r="C205" s="103"/>
      <c r="D205" s="103"/>
      <c r="E205" s="103"/>
      <c r="F205" s="103"/>
      <c r="G205" s="103"/>
      <c r="H205" s="103"/>
      <c r="I205" s="103"/>
      <c r="J205" s="104"/>
    </row>
    <row r="206" spans="1:10" s="3" customFormat="1" x14ac:dyDescent="0.3">
      <c r="A206" s="102" t="s">
        <v>200</v>
      </c>
      <c r="B206" s="103"/>
      <c r="C206" s="103"/>
      <c r="D206" s="103"/>
      <c r="E206" s="103"/>
      <c r="F206" s="103"/>
      <c r="G206" s="103"/>
      <c r="H206" s="103"/>
      <c r="I206" s="103"/>
      <c r="J206" s="104"/>
    </row>
    <row r="207" spans="1:10" s="3" customFormat="1" x14ac:dyDescent="0.3">
      <c r="A207" s="81">
        <v>1</v>
      </c>
      <c r="B207" s="82"/>
      <c r="C207" s="4" t="s">
        <v>192</v>
      </c>
      <c r="D207" s="81">
        <f>24.91*10.764</f>
        <v>268.13123999999999</v>
      </c>
      <c r="E207" s="82"/>
      <c r="F207" s="4">
        <v>0</v>
      </c>
      <c r="G207" s="4">
        <f t="shared" ref="G207:G210" si="12">D207*1.45+F207</f>
        <v>388.79029799999995</v>
      </c>
      <c r="H207" s="4" t="s">
        <v>93</v>
      </c>
      <c r="I207" s="228" t="s">
        <v>194</v>
      </c>
      <c r="J207" s="229"/>
    </row>
    <row r="208" spans="1:10" s="3" customFormat="1" x14ac:dyDescent="0.3">
      <c r="A208" s="81">
        <v>2</v>
      </c>
      <c r="B208" s="82"/>
      <c r="C208" s="4" t="s">
        <v>198</v>
      </c>
      <c r="D208" s="81">
        <f>17.94*10.764</f>
        <v>193.10615999999999</v>
      </c>
      <c r="E208" s="82"/>
      <c r="F208" s="4">
        <v>0</v>
      </c>
      <c r="G208" s="4">
        <f t="shared" si="12"/>
        <v>280.00393199999996</v>
      </c>
      <c r="H208" s="4" t="s">
        <v>93</v>
      </c>
      <c r="I208" s="230"/>
      <c r="J208" s="231"/>
    </row>
    <row r="209" spans="1:10" s="3" customFormat="1" x14ac:dyDescent="0.3">
      <c r="A209" s="81">
        <v>3</v>
      </c>
      <c r="B209" s="82"/>
      <c r="C209" s="4" t="s">
        <v>198</v>
      </c>
      <c r="D209" s="81">
        <f t="shared" ref="D209:D210" si="13">17.94*10.764</f>
        <v>193.10615999999999</v>
      </c>
      <c r="E209" s="82"/>
      <c r="F209" s="4">
        <v>0</v>
      </c>
      <c r="G209" s="4">
        <f t="shared" si="12"/>
        <v>280.00393199999996</v>
      </c>
      <c r="H209" s="4" t="s">
        <v>93</v>
      </c>
      <c r="I209" s="230"/>
      <c r="J209" s="231"/>
    </row>
    <row r="210" spans="1:10" s="3" customFormat="1" x14ac:dyDescent="0.3">
      <c r="A210" s="81">
        <v>4</v>
      </c>
      <c r="B210" s="82"/>
      <c r="C210" s="4" t="s">
        <v>198</v>
      </c>
      <c r="D210" s="81">
        <f t="shared" si="13"/>
        <v>193.10615999999999</v>
      </c>
      <c r="E210" s="82"/>
      <c r="F210" s="4">
        <v>0</v>
      </c>
      <c r="G210" s="4">
        <f t="shared" si="12"/>
        <v>280.00393199999996</v>
      </c>
      <c r="H210" s="4" t="s">
        <v>93</v>
      </c>
      <c r="I210" s="232"/>
      <c r="J210" s="233"/>
    </row>
    <row r="211" spans="1:10" s="3" customFormat="1" x14ac:dyDescent="0.3">
      <c r="A211" s="102" t="s">
        <v>196</v>
      </c>
      <c r="B211" s="103"/>
      <c r="C211" s="103"/>
      <c r="D211" s="103"/>
      <c r="E211" s="103"/>
      <c r="F211" s="103"/>
      <c r="G211" s="103"/>
      <c r="H211" s="103"/>
      <c r="I211" s="103"/>
      <c r="J211" s="104"/>
    </row>
    <row r="212" spans="1:10" s="3" customFormat="1" x14ac:dyDescent="0.3">
      <c r="A212" s="81">
        <v>1</v>
      </c>
      <c r="B212" s="82"/>
      <c r="C212" s="4" t="s">
        <v>192</v>
      </c>
      <c r="D212" s="81">
        <f>22.07*10.764</f>
        <v>237.56147999999999</v>
      </c>
      <c r="E212" s="82"/>
      <c r="F212" s="4">
        <v>0</v>
      </c>
      <c r="G212" s="4">
        <f t="shared" ref="G212:G217" si="14">D212*1.45+F212</f>
        <v>344.46414599999997</v>
      </c>
      <c r="H212" s="4" t="s">
        <v>93</v>
      </c>
      <c r="I212" s="228" t="str">
        <f>A211</f>
        <v>1st, 2nd, 3rd &amp; 4th Floor</v>
      </c>
      <c r="J212" s="229"/>
    </row>
    <row r="213" spans="1:10" s="3" customFormat="1" x14ac:dyDescent="0.3">
      <c r="A213" s="81">
        <v>2</v>
      </c>
      <c r="B213" s="82"/>
      <c r="C213" s="4" t="s">
        <v>192</v>
      </c>
      <c r="D213" s="81">
        <f>(22.45+1.5*0.45)*10.764</f>
        <v>248.91749999999999</v>
      </c>
      <c r="E213" s="82"/>
      <c r="F213" s="4">
        <v>0</v>
      </c>
      <c r="G213" s="4">
        <f t="shared" si="14"/>
        <v>360.93037499999997</v>
      </c>
      <c r="H213" s="4" t="s">
        <v>93</v>
      </c>
      <c r="I213" s="230"/>
      <c r="J213" s="231"/>
    </row>
    <row r="214" spans="1:10" s="3" customFormat="1" x14ac:dyDescent="0.3">
      <c r="A214" s="81">
        <v>3</v>
      </c>
      <c r="B214" s="82"/>
      <c r="C214" s="4" t="s">
        <v>192</v>
      </c>
      <c r="D214" s="81">
        <f>(22.45+1.5*0.45)*10.764</f>
        <v>248.91749999999999</v>
      </c>
      <c r="E214" s="82"/>
      <c r="F214" s="4">
        <v>0</v>
      </c>
      <c r="G214" s="4">
        <f t="shared" si="14"/>
        <v>360.93037499999997</v>
      </c>
      <c r="H214" s="4" t="s">
        <v>93</v>
      </c>
      <c r="I214" s="230"/>
      <c r="J214" s="231"/>
    </row>
    <row r="215" spans="1:10" s="3" customFormat="1" x14ac:dyDescent="0.3">
      <c r="A215" s="81">
        <v>4</v>
      </c>
      <c r="B215" s="82"/>
      <c r="C215" s="4" t="s">
        <v>192</v>
      </c>
      <c r="D215" s="81">
        <f>22.07*10.764</f>
        <v>237.56147999999999</v>
      </c>
      <c r="E215" s="82"/>
      <c r="F215" s="4">
        <v>0</v>
      </c>
      <c r="G215" s="4">
        <f t="shared" si="14"/>
        <v>344.46414599999997</v>
      </c>
      <c r="H215" s="4" t="s">
        <v>93</v>
      </c>
      <c r="I215" s="230"/>
      <c r="J215" s="231"/>
    </row>
    <row r="216" spans="1:10" s="3" customFormat="1" x14ac:dyDescent="0.3">
      <c r="A216" s="81">
        <v>5</v>
      </c>
      <c r="B216" s="82"/>
      <c r="C216" s="4" t="s">
        <v>192</v>
      </c>
      <c r="D216" s="81">
        <f>(22.45+1.5*0.45)*10.764</f>
        <v>248.91749999999999</v>
      </c>
      <c r="E216" s="82"/>
      <c r="F216" s="4">
        <v>0</v>
      </c>
      <c r="G216" s="4">
        <f t="shared" si="14"/>
        <v>360.93037499999997</v>
      </c>
      <c r="H216" s="4" t="s">
        <v>93</v>
      </c>
      <c r="I216" s="230"/>
      <c r="J216" s="231"/>
    </row>
    <row r="217" spans="1:10" s="3" customFormat="1" x14ac:dyDescent="0.3">
      <c r="A217" s="81">
        <v>6</v>
      </c>
      <c r="B217" s="82"/>
      <c r="C217" s="4" t="s">
        <v>192</v>
      </c>
      <c r="D217" s="81">
        <f>(22.45+1.5*0.45)*10.764</f>
        <v>248.91749999999999</v>
      </c>
      <c r="E217" s="82"/>
      <c r="F217" s="4">
        <v>0</v>
      </c>
      <c r="G217" s="4">
        <f t="shared" si="14"/>
        <v>360.93037499999997</v>
      </c>
      <c r="H217" s="4" t="s">
        <v>93</v>
      </c>
      <c r="I217" s="232"/>
      <c r="J217" s="233"/>
    </row>
    <row r="218" spans="1:10" s="3" customFormat="1" x14ac:dyDescent="0.3">
      <c r="A218" s="102" t="s">
        <v>203</v>
      </c>
      <c r="B218" s="103"/>
      <c r="C218" s="103"/>
      <c r="D218" s="103"/>
      <c r="E218" s="103"/>
      <c r="F218" s="103"/>
      <c r="G218" s="103"/>
      <c r="H218" s="103"/>
      <c r="I218" s="103"/>
      <c r="J218" s="104"/>
    </row>
    <row r="219" spans="1:10" s="3" customFormat="1" x14ac:dyDescent="0.3">
      <c r="A219" s="102" t="s">
        <v>200</v>
      </c>
      <c r="B219" s="103"/>
      <c r="C219" s="103"/>
      <c r="D219" s="103"/>
      <c r="E219" s="103"/>
      <c r="F219" s="103"/>
      <c r="G219" s="103"/>
      <c r="H219" s="103"/>
      <c r="I219" s="103"/>
      <c r="J219" s="104"/>
    </row>
    <row r="220" spans="1:10" s="3" customFormat="1" x14ac:dyDescent="0.3">
      <c r="A220" s="81">
        <v>1</v>
      </c>
      <c r="B220" s="82"/>
      <c r="C220" s="4" t="s">
        <v>192</v>
      </c>
      <c r="D220" s="81">
        <f>24.91*10.764</f>
        <v>268.13123999999999</v>
      </c>
      <c r="E220" s="82"/>
      <c r="F220" s="4">
        <v>0</v>
      </c>
      <c r="G220" s="4">
        <f t="shared" ref="G220:G223" si="15">D220*1.45+F220</f>
        <v>388.79029799999995</v>
      </c>
      <c r="H220" s="4" t="s">
        <v>93</v>
      </c>
      <c r="I220" s="228" t="s">
        <v>194</v>
      </c>
      <c r="J220" s="229"/>
    </row>
    <row r="221" spans="1:10" s="3" customFormat="1" x14ac:dyDescent="0.3">
      <c r="A221" s="81">
        <v>2</v>
      </c>
      <c r="B221" s="82"/>
      <c r="C221" s="4" t="s">
        <v>198</v>
      </c>
      <c r="D221" s="81">
        <f>17.94*10.764</f>
        <v>193.10615999999999</v>
      </c>
      <c r="E221" s="82"/>
      <c r="F221" s="4">
        <v>0</v>
      </c>
      <c r="G221" s="4">
        <f t="shared" si="15"/>
        <v>280.00393199999996</v>
      </c>
      <c r="H221" s="4" t="s">
        <v>93</v>
      </c>
      <c r="I221" s="230"/>
      <c r="J221" s="231"/>
    </row>
    <row r="222" spans="1:10" s="3" customFormat="1" x14ac:dyDescent="0.3">
      <c r="A222" s="81">
        <v>3</v>
      </c>
      <c r="B222" s="82"/>
      <c r="C222" s="4" t="s">
        <v>198</v>
      </c>
      <c r="D222" s="81">
        <f t="shared" ref="D222:D223" si="16">17.94*10.764</f>
        <v>193.10615999999999</v>
      </c>
      <c r="E222" s="82"/>
      <c r="F222" s="4">
        <v>0</v>
      </c>
      <c r="G222" s="4">
        <f t="shared" si="15"/>
        <v>280.00393199999996</v>
      </c>
      <c r="H222" s="4" t="s">
        <v>93</v>
      </c>
      <c r="I222" s="230"/>
      <c r="J222" s="231"/>
    </row>
    <row r="223" spans="1:10" s="3" customFormat="1" x14ac:dyDescent="0.3">
      <c r="A223" s="81">
        <v>4</v>
      </c>
      <c r="B223" s="82"/>
      <c r="C223" s="4" t="s">
        <v>198</v>
      </c>
      <c r="D223" s="81">
        <f t="shared" si="16"/>
        <v>193.10615999999999</v>
      </c>
      <c r="E223" s="82"/>
      <c r="F223" s="4">
        <v>0</v>
      </c>
      <c r="G223" s="4">
        <f t="shared" si="15"/>
        <v>280.00393199999996</v>
      </c>
      <c r="H223" s="4" t="s">
        <v>93</v>
      </c>
      <c r="I223" s="232"/>
      <c r="J223" s="233"/>
    </row>
    <row r="224" spans="1:10" s="3" customFormat="1" x14ac:dyDescent="0.3">
      <c r="A224" s="102" t="s">
        <v>196</v>
      </c>
      <c r="B224" s="103"/>
      <c r="C224" s="103"/>
      <c r="D224" s="103"/>
      <c r="E224" s="103"/>
      <c r="F224" s="103"/>
      <c r="G224" s="103"/>
      <c r="H224" s="103"/>
      <c r="I224" s="103"/>
      <c r="J224" s="104"/>
    </row>
    <row r="225" spans="1:11" s="3" customFormat="1" x14ac:dyDescent="0.3">
      <c r="A225" s="81">
        <v>1</v>
      </c>
      <c r="B225" s="82"/>
      <c r="C225" s="4" t="s">
        <v>192</v>
      </c>
      <c r="D225" s="81">
        <f>22.07*10.764</f>
        <v>237.56147999999999</v>
      </c>
      <c r="E225" s="82"/>
      <c r="F225" s="4">
        <v>0</v>
      </c>
      <c r="G225" s="4">
        <f t="shared" ref="G225:G230" si="17">D225*1.45+F225</f>
        <v>344.46414599999997</v>
      </c>
      <c r="H225" s="4" t="s">
        <v>93</v>
      </c>
      <c r="I225" s="228" t="str">
        <f>A224</f>
        <v>1st, 2nd, 3rd &amp; 4th Floor</v>
      </c>
      <c r="J225" s="229"/>
    </row>
    <row r="226" spans="1:11" s="3" customFormat="1" x14ac:dyDescent="0.3">
      <c r="A226" s="81">
        <v>2</v>
      </c>
      <c r="B226" s="82"/>
      <c r="C226" s="4" t="s">
        <v>192</v>
      </c>
      <c r="D226" s="81">
        <f>(22.45+1.5*0.45)*10.764</f>
        <v>248.91749999999999</v>
      </c>
      <c r="E226" s="82"/>
      <c r="F226" s="4">
        <v>0</v>
      </c>
      <c r="G226" s="4">
        <f t="shared" si="17"/>
        <v>360.93037499999997</v>
      </c>
      <c r="H226" s="4" t="s">
        <v>93</v>
      </c>
      <c r="I226" s="230"/>
      <c r="J226" s="231"/>
    </row>
    <row r="227" spans="1:11" s="3" customFormat="1" x14ac:dyDescent="0.3">
      <c r="A227" s="81">
        <v>3</v>
      </c>
      <c r="B227" s="82"/>
      <c r="C227" s="4" t="s">
        <v>192</v>
      </c>
      <c r="D227" s="81">
        <f>(22.45+1.5*0.45)*10.764</f>
        <v>248.91749999999999</v>
      </c>
      <c r="E227" s="82"/>
      <c r="F227" s="4">
        <v>0</v>
      </c>
      <c r="G227" s="4">
        <f t="shared" si="17"/>
        <v>360.93037499999997</v>
      </c>
      <c r="H227" s="4" t="s">
        <v>93</v>
      </c>
      <c r="I227" s="230"/>
      <c r="J227" s="231"/>
    </row>
    <row r="228" spans="1:11" s="3" customFormat="1" x14ac:dyDescent="0.3">
      <c r="A228" s="81">
        <v>4</v>
      </c>
      <c r="B228" s="82"/>
      <c r="C228" s="4" t="s">
        <v>192</v>
      </c>
      <c r="D228" s="81">
        <f>22.07*10.764</f>
        <v>237.56147999999999</v>
      </c>
      <c r="E228" s="82"/>
      <c r="F228" s="4">
        <v>0</v>
      </c>
      <c r="G228" s="4">
        <f t="shared" si="17"/>
        <v>344.46414599999997</v>
      </c>
      <c r="H228" s="4" t="s">
        <v>93</v>
      </c>
      <c r="I228" s="230"/>
      <c r="J228" s="231"/>
    </row>
    <row r="229" spans="1:11" s="3" customFormat="1" x14ac:dyDescent="0.3">
      <c r="A229" s="81">
        <v>5</v>
      </c>
      <c r="B229" s="82"/>
      <c r="C229" s="4" t="s">
        <v>192</v>
      </c>
      <c r="D229" s="81">
        <f>(22.45+1.5*0.45)*10.764</f>
        <v>248.91749999999999</v>
      </c>
      <c r="E229" s="82"/>
      <c r="F229" s="4">
        <v>0</v>
      </c>
      <c r="G229" s="4">
        <f t="shared" si="17"/>
        <v>360.93037499999997</v>
      </c>
      <c r="H229" s="4" t="s">
        <v>93</v>
      </c>
      <c r="I229" s="230"/>
      <c r="J229" s="231"/>
    </row>
    <row r="230" spans="1:11" s="3" customFormat="1" x14ac:dyDescent="0.3">
      <c r="A230" s="81">
        <v>6</v>
      </c>
      <c r="B230" s="82"/>
      <c r="C230" s="4" t="s">
        <v>192</v>
      </c>
      <c r="D230" s="81">
        <f>(22.45+1.5*0.45)*10.764</f>
        <v>248.91749999999999</v>
      </c>
      <c r="E230" s="82"/>
      <c r="F230" s="4">
        <v>0</v>
      </c>
      <c r="G230" s="4">
        <f t="shared" si="17"/>
        <v>360.93037499999997</v>
      </c>
      <c r="H230" s="4" t="s">
        <v>93</v>
      </c>
      <c r="I230" s="232"/>
      <c r="J230" s="233"/>
    </row>
    <row r="231" spans="1:11" s="1" customFormat="1" x14ac:dyDescent="0.3">
      <c r="A231" s="237" t="s">
        <v>103</v>
      </c>
      <c r="B231" s="237"/>
      <c r="C231" s="237"/>
      <c r="D231" s="237"/>
      <c r="E231" s="237"/>
      <c r="F231" s="237"/>
      <c r="G231" s="237"/>
      <c r="H231" s="237"/>
      <c r="I231" s="237"/>
      <c r="J231" s="237"/>
    </row>
    <row r="232" spans="1:11" s="16" customFormat="1" ht="253.2" customHeight="1" x14ac:dyDescent="0.3">
      <c r="A232" s="238" t="s">
        <v>284</v>
      </c>
      <c r="B232" s="238"/>
      <c r="C232" s="238"/>
      <c r="D232" s="238"/>
      <c r="E232" s="238"/>
      <c r="F232" s="238"/>
      <c r="G232" s="238"/>
      <c r="H232" s="238"/>
      <c r="I232" s="238"/>
      <c r="J232" s="238"/>
      <c r="K232" s="16" t="s">
        <v>281</v>
      </c>
    </row>
    <row r="233" spans="1:11" x14ac:dyDescent="0.3">
      <c r="A233" s="234" t="s">
        <v>94</v>
      </c>
      <c r="B233" s="235"/>
      <c r="C233" s="235"/>
      <c r="D233" s="235"/>
      <c r="E233" s="235"/>
      <c r="F233" s="235"/>
      <c r="G233" s="235"/>
      <c r="H233" s="235"/>
      <c r="I233" s="235"/>
      <c r="J233" s="236"/>
    </row>
    <row r="234" spans="1:11" x14ac:dyDescent="0.3">
      <c r="A234" s="91" t="s">
        <v>95</v>
      </c>
      <c r="B234" s="92"/>
      <c r="C234" s="92"/>
      <c r="D234" s="92"/>
      <c r="E234" s="92"/>
      <c r="F234" s="92"/>
      <c r="G234" s="92"/>
      <c r="H234" s="92"/>
      <c r="I234" s="92"/>
      <c r="J234" s="93"/>
    </row>
    <row r="235" spans="1:11" ht="15.75" customHeight="1" x14ac:dyDescent="0.3">
      <c r="A235" s="234" t="s">
        <v>96</v>
      </c>
      <c r="B235" s="235"/>
      <c r="C235" s="235"/>
      <c r="D235" s="235"/>
      <c r="E235" s="235"/>
      <c r="F235" s="235"/>
      <c r="G235" s="235"/>
      <c r="H235" s="235"/>
      <c r="I235" s="235"/>
      <c r="J235" s="236"/>
    </row>
    <row r="236" spans="1:11" x14ac:dyDescent="0.3">
      <c r="A236" s="91" t="s">
        <v>97</v>
      </c>
      <c r="B236" s="92"/>
      <c r="C236" s="92"/>
      <c r="D236" s="92"/>
      <c r="E236" s="92"/>
      <c r="F236" s="92"/>
      <c r="G236" s="92"/>
      <c r="H236" s="92"/>
      <c r="I236" s="92"/>
      <c r="J236" s="93"/>
    </row>
    <row r="237" spans="1:11" x14ac:dyDescent="0.3">
      <c r="A237" s="91" t="s">
        <v>98</v>
      </c>
      <c r="B237" s="92"/>
      <c r="C237" s="92"/>
      <c r="D237" s="92"/>
      <c r="E237" s="92"/>
      <c r="F237" s="92"/>
      <c r="G237" s="92"/>
      <c r="H237" s="92"/>
      <c r="I237" s="92"/>
      <c r="J237" s="93"/>
    </row>
    <row r="238" spans="1:11" hidden="1" x14ac:dyDescent="0.3">
      <c r="A238" s="91" t="s">
        <v>99</v>
      </c>
      <c r="B238" s="92"/>
      <c r="C238" s="92"/>
      <c r="D238" s="92"/>
      <c r="E238" s="92"/>
      <c r="F238" s="92"/>
      <c r="G238" s="92"/>
      <c r="H238" s="92"/>
      <c r="I238" s="92"/>
      <c r="J238" s="93"/>
    </row>
    <row r="239" spans="1:11" ht="35.25" hidden="1" customHeight="1" x14ac:dyDescent="0.3">
      <c r="A239" s="85" t="s">
        <v>100</v>
      </c>
      <c r="B239" s="86"/>
      <c r="C239" s="86"/>
      <c r="D239" s="86"/>
      <c r="E239" s="86"/>
      <c r="F239" s="86"/>
      <c r="G239" s="86"/>
      <c r="H239" s="86"/>
      <c r="I239" s="86"/>
      <c r="J239" s="87"/>
    </row>
    <row r="240" spans="1:11" x14ac:dyDescent="0.3">
      <c r="A240" s="140" t="s">
        <v>177</v>
      </c>
      <c r="B240" s="140"/>
      <c r="C240" s="141" t="s">
        <v>283</v>
      </c>
      <c r="D240" s="141"/>
      <c r="E240" s="141" t="s">
        <v>178</v>
      </c>
      <c r="F240" s="141"/>
      <c r="G240" s="141"/>
      <c r="H240" s="141" t="s">
        <v>282</v>
      </c>
      <c r="I240" s="141"/>
      <c r="J240" s="141"/>
    </row>
    <row r="241" spans="1:10" x14ac:dyDescent="0.3">
      <c r="A241" s="131" t="s">
        <v>179</v>
      </c>
      <c r="B241" s="132"/>
      <c r="C241" s="132"/>
      <c r="D241" s="132"/>
      <c r="E241" s="132"/>
      <c r="F241" s="132"/>
      <c r="G241" s="132"/>
      <c r="H241" s="132"/>
      <c r="I241" s="132"/>
      <c r="J241" s="133"/>
    </row>
    <row r="242" spans="1:10" x14ac:dyDescent="0.3">
      <c r="A242" s="134"/>
      <c r="B242" s="135"/>
      <c r="C242" s="135"/>
      <c r="D242" s="135"/>
      <c r="E242" s="135"/>
      <c r="F242" s="135"/>
      <c r="G242" s="135"/>
      <c r="H242" s="135"/>
      <c r="I242" s="135"/>
      <c r="J242" s="136"/>
    </row>
    <row r="243" spans="1:10" x14ac:dyDescent="0.3">
      <c r="A243" s="134"/>
      <c r="B243" s="135"/>
      <c r="C243" s="135"/>
      <c r="D243" s="135"/>
      <c r="E243" s="135"/>
      <c r="F243" s="135"/>
      <c r="G243" s="135"/>
      <c r="H243" s="135"/>
      <c r="I243" s="135"/>
      <c r="J243" s="136"/>
    </row>
    <row r="244" spans="1:10" x14ac:dyDescent="0.3">
      <c r="A244" s="137"/>
      <c r="B244" s="138"/>
      <c r="C244" s="138"/>
      <c r="D244" s="138"/>
      <c r="E244" s="138"/>
      <c r="F244" s="138"/>
      <c r="G244" s="138"/>
      <c r="H244" s="138"/>
      <c r="I244" s="138"/>
      <c r="J244" s="139"/>
    </row>
    <row r="245" spans="1:10" x14ac:dyDescent="0.3">
      <c r="A245" s="17" t="s">
        <v>101</v>
      </c>
      <c r="B245" s="18"/>
      <c r="C245" s="18"/>
      <c r="D245" s="17" t="str">
        <f>F8</f>
        <v>Samruddhi Residency</v>
      </c>
      <c r="G245" s="36"/>
      <c r="H245" s="36"/>
      <c r="I245" s="36"/>
      <c r="J245" s="36"/>
    </row>
    <row r="246" spans="1:10" x14ac:dyDescent="0.3">
      <c r="A246" s="18"/>
      <c r="B246" s="18"/>
      <c r="C246" s="18"/>
      <c r="D246" s="18"/>
      <c r="E246" s="18"/>
      <c r="F246" s="18"/>
      <c r="G246" s="36"/>
      <c r="H246" s="36"/>
      <c r="I246" s="36"/>
      <c r="J246" s="36"/>
    </row>
    <row r="247" spans="1:10" x14ac:dyDescent="0.3">
      <c r="A247" s="36"/>
      <c r="B247" s="36"/>
      <c r="C247" s="36"/>
      <c r="D247" s="36"/>
      <c r="E247" s="36"/>
      <c r="F247" s="36"/>
      <c r="G247" s="36"/>
      <c r="H247" s="36"/>
      <c r="I247" s="36"/>
      <c r="J247" s="36"/>
    </row>
    <row r="248" spans="1:10" x14ac:dyDescent="0.3">
      <c r="A248" s="36"/>
      <c r="B248" s="36"/>
      <c r="C248" s="36"/>
      <c r="D248" s="36"/>
      <c r="E248" s="36"/>
      <c r="F248" s="36"/>
      <c r="G248" s="36"/>
      <c r="H248" s="36"/>
      <c r="I248" s="36"/>
      <c r="J248" s="36"/>
    </row>
    <row r="249" spans="1:10" x14ac:dyDescent="0.3">
      <c r="A249" s="36"/>
      <c r="B249" s="36"/>
      <c r="C249" s="36"/>
      <c r="D249" s="36"/>
      <c r="E249" s="36"/>
      <c r="F249" s="36"/>
      <c r="G249" s="36"/>
      <c r="H249" s="36"/>
      <c r="I249" s="36"/>
      <c r="J249" s="36"/>
    </row>
    <row r="250" spans="1:10" x14ac:dyDescent="0.3">
      <c r="A250" s="36"/>
      <c r="B250" s="36"/>
      <c r="C250" s="36"/>
      <c r="D250" s="36"/>
      <c r="E250" s="36"/>
      <c r="F250" s="36"/>
      <c r="G250" s="36"/>
      <c r="H250" s="36"/>
      <c r="I250" s="36"/>
      <c r="J250" s="36"/>
    </row>
    <row r="251" spans="1:10" x14ac:dyDescent="0.3">
      <c r="A251" s="36"/>
      <c r="B251" s="36"/>
      <c r="C251" s="36"/>
      <c r="D251" s="36"/>
      <c r="E251" s="36"/>
      <c r="F251" s="36"/>
      <c r="G251" s="36"/>
      <c r="H251" s="36"/>
      <c r="I251" s="36"/>
      <c r="J251" s="36"/>
    </row>
    <row r="252" spans="1:10" x14ac:dyDescent="0.3">
      <c r="A252" s="36"/>
      <c r="B252" s="36"/>
      <c r="C252" s="36"/>
      <c r="D252" s="36"/>
      <c r="E252" s="36"/>
      <c r="F252" s="36"/>
      <c r="G252" s="36"/>
      <c r="H252" s="36"/>
      <c r="I252" s="36"/>
      <c r="J252" s="36"/>
    </row>
    <row r="253" spans="1:10" x14ac:dyDescent="0.3">
      <c r="A253" s="36"/>
      <c r="B253" s="36"/>
      <c r="C253" s="36"/>
      <c r="D253" s="36"/>
      <c r="E253" s="36"/>
      <c r="F253" s="36"/>
      <c r="G253" s="36"/>
      <c r="H253" s="36"/>
      <c r="I253" s="36"/>
      <c r="J253" s="36"/>
    </row>
    <row r="254" spans="1:10" x14ac:dyDescent="0.3">
      <c r="A254" s="36"/>
      <c r="B254" s="36"/>
      <c r="C254" s="36"/>
      <c r="D254" s="36"/>
      <c r="E254" s="36"/>
      <c r="F254" s="36"/>
      <c r="G254" s="36"/>
      <c r="H254" s="36"/>
      <c r="I254" s="36"/>
      <c r="J254" s="36"/>
    </row>
    <row r="255" spans="1:10" x14ac:dyDescent="0.3">
      <c r="A255" s="36"/>
      <c r="B255" s="36"/>
      <c r="C255" s="36"/>
      <c r="D255" s="36"/>
      <c r="E255" s="36"/>
      <c r="F255" s="36"/>
      <c r="G255" s="36"/>
      <c r="H255" s="36"/>
      <c r="I255" s="36"/>
      <c r="J255" s="36"/>
    </row>
    <row r="256" spans="1:10" x14ac:dyDescent="0.3">
      <c r="A256" s="36"/>
      <c r="B256" s="36"/>
      <c r="C256" s="36"/>
      <c r="D256" s="36"/>
      <c r="E256" s="36"/>
      <c r="F256" s="36"/>
      <c r="G256" s="36"/>
      <c r="H256" s="36"/>
      <c r="I256" s="36"/>
      <c r="J256" s="36"/>
    </row>
    <row r="257" spans="1:10" x14ac:dyDescent="0.3">
      <c r="A257" s="36"/>
      <c r="B257" s="36"/>
      <c r="C257" s="36"/>
      <c r="D257" s="36"/>
      <c r="E257" s="36"/>
      <c r="F257" s="36"/>
      <c r="G257" s="36"/>
      <c r="H257" s="36"/>
      <c r="I257" s="36"/>
      <c r="J257" s="36"/>
    </row>
    <row r="258" spans="1:10" x14ac:dyDescent="0.3">
      <c r="A258" s="36"/>
      <c r="B258" s="36"/>
      <c r="C258" s="36"/>
      <c r="D258" s="36"/>
      <c r="E258" s="36"/>
      <c r="F258" s="36"/>
      <c r="G258" s="36"/>
      <c r="H258" s="36"/>
      <c r="I258" s="36"/>
      <c r="J258" s="36"/>
    </row>
    <row r="259" spans="1:10" x14ac:dyDescent="0.3">
      <c r="A259" s="36"/>
      <c r="B259" s="36"/>
      <c r="C259" s="36"/>
      <c r="D259" s="36"/>
      <c r="E259" s="36"/>
      <c r="F259" s="36"/>
      <c r="G259" s="36"/>
      <c r="H259" s="36"/>
      <c r="I259" s="36"/>
      <c r="J259" s="36"/>
    </row>
    <row r="260" spans="1:10" x14ac:dyDescent="0.3">
      <c r="A260" s="36"/>
      <c r="B260" s="36"/>
      <c r="C260" s="36"/>
      <c r="D260" s="36"/>
      <c r="E260" s="36"/>
      <c r="F260" s="36"/>
      <c r="G260" s="36"/>
      <c r="H260" s="36"/>
      <c r="I260" s="36"/>
      <c r="J260" s="36"/>
    </row>
    <row r="261" spans="1:10" x14ac:dyDescent="0.3">
      <c r="A261" s="36"/>
      <c r="B261" s="36"/>
      <c r="C261" s="36"/>
      <c r="D261" s="36"/>
      <c r="E261" s="36"/>
      <c r="F261" s="36"/>
      <c r="G261" s="36"/>
      <c r="H261" s="36"/>
      <c r="I261" s="36"/>
      <c r="J261" s="36"/>
    </row>
    <row r="262" spans="1:10" x14ac:dyDescent="0.3">
      <c r="A262" s="36"/>
      <c r="B262" s="36"/>
      <c r="C262" s="36"/>
      <c r="D262" s="36"/>
      <c r="E262" s="36"/>
      <c r="F262" s="36"/>
      <c r="G262" s="36"/>
      <c r="H262" s="36"/>
      <c r="I262" s="36"/>
      <c r="J262" s="36"/>
    </row>
    <row r="263" spans="1:10" x14ac:dyDescent="0.3">
      <c r="A263" s="36"/>
      <c r="B263" s="36"/>
      <c r="C263" s="36"/>
      <c r="D263" s="36"/>
      <c r="E263" s="36"/>
      <c r="F263" s="36"/>
      <c r="G263" s="36"/>
      <c r="H263" s="36"/>
      <c r="I263" s="36"/>
      <c r="J263" s="36"/>
    </row>
    <row r="264" spans="1:10" x14ac:dyDescent="0.3">
      <c r="A264" s="36"/>
      <c r="B264" s="36"/>
      <c r="C264" s="36"/>
      <c r="D264" s="36"/>
      <c r="E264" s="36"/>
      <c r="F264" s="36"/>
      <c r="G264" s="36"/>
      <c r="H264" s="36"/>
      <c r="I264" s="36"/>
      <c r="J264" s="36"/>
    </row>
    <row r="265" spans="1:10" x14ac:dyDescent="0.3">
      <c r="A265" s="36"/>
      <c r="B265" s="36"/>
      <c r="C265" s="36"/>
      <c r="D265" s="36"/>
      <c r="E265" s="36"/>
      <c r="F265" s="36"/>
      <c r="G265" s="36"/>
      <c r="H265" s="36"/>
      <c r="I265" s="36"/>
      <c r="J265" s="36"/>
    </row>
    <row r="266" spans="1:10" x14ac:dyDescent="0.3">
      <c r="A266" s="36"/>
      <c r="B266" s="36"/>
      <c r="C266" s="36"/>
      <c r="D266" s="36"/>
      <c r="E266" s="36"/>
      <c r="F266" s="36"/>
      <c r="G266" s="36"/>
      <c r="H266" s="36"/>
      <c r="I266" s="36"/>
      <c r="J266" s="36"/>
    </row>
    <row r="267" spans="1:10" x14ac:dyDescent="0.3">
      <c r="A267" s="36"/>
      <c r="B267" s="36"/>
      <c r="C267" s="36"/>
      <c r="D267" s="36"/>
      <c r="E267" s="36"/>
      <c r="F267" s="36"/>
      <c r="G267" s="36"/>
      <c r="H267" s="36"/>
      <c r="I267" s="36"/>
      <c r="J267" s="36"/>
    </row>
    <row r="268" spans="1:10" x14ac:dyDescent="0.3">
      <c r="A268" s="36"/>
      <c r="B268" s="36"/>
      <c r="C268" s="36"/>
      <c r="D268" s="36"/>
      <c r="E268" s="36"/>
      <c r="F268" s="36"/>
      <c r="G268" s="36"/>
      <c r="H268" s="36"/>
      <c r="I268" s="36"/>
      <c r="J268" s="36"/>
    </row>
    <row r="269" spans="1:10" x14ac:dyDescent="0.3">
      <c r="A269" s="36"/>
      <c r="B269" s="36"/>
      <c r="C269" s="36"/>
      <c r="D269" s="36"/>
      <c r="E269" s="36"/>
      <c r="F269" s="36"/>
      <c r="G269" s="36"/>
      <c r="H269" s="36"/>
      <c r="I269" s="36"/>
      <c r="J269" s="36"/>
    </row>
    <row r="270" spans="1:10" x14ac:dyDescent="0.3">
      <c r="A270" s="36"/>
      <c r="B270" s="36"/>
      <c r="C270" s="36"/>
      <c r="D270" s="36"/>
      <c r="E270" s="36"/>
      <c r="F270" s="36"/>
      <c r="G270" s="36"/>
      <c r="H270" s="36"/>
      <c r="I270" s="36"/>
      <c r="J270" s="36"/>
    </row>
    <row r="271" spans="1:10" x14ac:dyDescent="0.3">
      <c r="A271" s="36"/>
      <c r="B271" s="36"/>
      <c r="C271" s="36"/>
      <c r="D271" s="36"/>
      <c r="E271" s="36"/>
      <c r="F271" s="36"/>
      <c r="G271" s="36"/>
      <c r="H271" s="36"/>
      <c r="I271" s="36"/>
      <c r="J271" s="36"/>
    </row>
    <row r="272" spans="1:10" x14ac:dyDescent="0.3">
      <c r="A272" s="36"/>
      <c r="B272" s="36"/>
      <c r="C272" s="36"/>
      <c r="D272" s="36"/>
      <c r="E272" s="36"/>
      <c r="F272" s="36"/>
      <c r="G272" s="36"/>
      <c r="H272" s="36"/>
      <c r="I272" s="36"/>
      <c r="J272" s="36"/>
    </row>
    <row r="273" spans="1:10" x14ac:dyDescent="0.3">
      <c r="A273" s="36"/>
      <c r="B273" s="36"/>
      <c r="C273" s="36"/>
      <c r="D273" s="36"/>
      <c r="E273" s="36"/>
      <c r="F273" s="36"/>
      <c r="G273" s="36"/>
      <c r="H273" s="36"/>
      <c r="I273" s="36"/>
      <c r="J273" s="36"/>
    </row>
    <row r="274" spans="1:10" x14ac:dyDescent="0.3">
      <c r="A274" s="36"/>
      <c r="B274" s="36"/>
      <c r="C274" s="36"/>
      <c r="D274" s="36"/>
      <c r="E274" s="36"/>
      <c r="F274" s="36"/>
      <c r="G274" s="36"/>
      <c r="H274" s="36"/>
      <c r="I274" s="36"/>
      <c r="J274" s="36"/>
    </row>
    <row r="275" spans="1:10" x14ac:dyDescent="0.3">
      <c r="A275" s="36"/>
      <c r="B275" s="36"/>
      <c r="C275" s="36"/>
      <c r="D275" s="36"/>
      <c r="E275" s="36"/>
      <c r="F275" s="36"/>
      <c r="G275" s="36"/>
      <c r="H275" s="36"/>
      <c r="I275" s="36"/>
      <c r="J275" s="36"/>
    </row>
    <row r="276" spans="1:10" x14ac:dyDescent="0.3">
      <c r="A276" s="36"/>
      <c r="B276" s="36"/>
      <c r="C276" s="36"/>
      <c r="D276" s="36"/>
      <c r="E276" s="36"/>
      <c r="F276" s="36"/>
      <c r="G276" s="36"/>
      <c r="H276" s="36"/>
      <c r="I276" s="36"/>
      <c r="J276" s="36"/>
    </row>
    <row r="277" spans="1:10" x14ac:dyDescent="0.3">
      <c r="A277" s="36"/>
      <c r="B277" s="36"/>
      <c r="C277" s="36"/>
      <c r="D277" s="36"/>
      <c r="E277" s="36"/>
      <c r="F277" s="36"/>
      <c r="G277" s="36"/>
      <c r="H277" s="36"/>
      <c r="I277" s="36"/>
      <c r="J277" s="36"/>
    </row>
    <row r="278" spans="1:10" x14ac:dyDescent="0.3">
      <c r="G278" s="18"/>
      <c r="H278" s="18"/>
      <c r="I278" s="18"/>
      <c r="J278" s="18"/>
    </row>
    <row r="279" spans="1:10" x14ac:dyDescent="0.3">
      <c r="G279" s="18"/>
      <c r="H279" s="18"/>
      <c r="I279" s="18"/>
      <c r="J279" s="18"/>
    </row>
    <row r="280" spans="1:10" x14ac:dyDescent="0.3">
      <c r="A280" s="18"/>
      <c r="B280" s="18"/>
      <c r="C280" s="18"/>
      <c r="D280" s="18"/>
      <c r="E280" s="18"/>
      <c r="F280" s="18"/>
      <c r="G280" s="18"/>
      <c r="H280" s="18"/>
      <c r="I280" s="18"/>
      <c r="J280" s="18"/>
    </row>
    <row r="281" spans="1:10" ht="15" customHeight="1" x14ac:dyDescent="0.3"/>
    <row r="287" spans="1:10" x14ac:dyDescent="0.3">
      <c r="A287" s="19" t="s">
        <v>102</v>
      </c>
    </row>
    <row r="301" spans="12:12" ht="19.8" x14ac:dyDescent="0.4">
      <c r="L301" s="41"/>
    </row>
  </sheetData>
  <mergeCells count="502">
    <mergeCell ref="A34:B34"/>
    <mergeCell ref="C34:J34"/>
    <mergeCell ref="A74:B74"/>
    <mergeCell ref="D74:E74"/>
    <mergeCell ref="F74:G83"/>
    <mergeCell ref="H74:J83"/>
    <mergeCell ref="A75:B75"/>
    <mergeCell ref="D75:E75"/>
    <mergeCell ref="A76:B76"/>
    <mergeCell ref="D76:E76"/>
    <mergeCell ref="A77:B77"/>
    <mergeCell ref="D77:E77"/>
    <mergeCell ref="A78:B78"/>
    <mergeCell ref="D78:E78"/>
    <mergeCell ref="A79:B79"/>
    <mergeCell ref="D79:E79"/>
    <mergeCell ref="A80:B80"/>
    <mergeCell ref="D80:E80"/>
    <mergeCell ref="A81:B81"/>
    <mergeCell ref="A82:B82"/>
    <mergeCell ref="D82:E82"/>
    <mergeCell ref="A83:B83"/>
    <mergeCell ref="D83:E83"/>
    <mergeCell ref="I71:J71"/>
    <mergeCell ref="A72:B72"/>
    <mergeCell ref="C72:J72"/>
    <mergeCell ref="A73:B73"/>
    <mergeCell ref="D73:E73"/>
    <mergeCell ref="H73:J73"/>
    <mergeCell ref="A60:B60"/>
    <mergeCell ref="D60:E60"/>
    <mergeCell ref="F60:G69"/>
    <mergeCell ref="H60:J69"/>
    <mergeCell ref="A61:B61"/>
    <mergeCell ref="D61:E61"/>
    <mergeCell ref="A62:B62"/>
    <mergeCell ref="D62:E62"/>
    <mergeCell ref="A63:B63"/>
    <mergeCell ref="D63:E63"/>
    <mergeCell ref="A64:B64"/>
    <mergeCell ref="D64:E64"/>
    <mergeCell ref="A65:B65"/>
    <mergeCell ref="D65:E65"/>
    <mergeCell ref="A235:J235"/>
    <mergeCell ref="A236:J236"/>
    <mergeCell ref="A237:J237"/>
    <mergeCell ref="A238:J238"/>
    <mergeCell ref="A239:J239"/>
    <mergeCell ref="A113:B113"/>
    <mergeCell ref="D113:F113"/>
    <mergeCell ref="G113:J113"/>
    <mergeCell ref="A53:B53"/>
    <mergeCell ref="A54:C54"/>
    <mergeCell ref="D54:J54"/>
    <mergeCell ref="A231:J231"/>
    <mergeCell ref="A232:J232"/>
    <mergeCell ref="A233:J233"/>
    <mergeCell ref="A234:J234"/>
    <mergeCell ref="A230:B230"/>
    <mergeCell ref="D230:E230"/>
    <mergeCell ref="A223:B223"/>
    <mergeCell ref="D223:E223"/>
    <mergeCell ref="A66:B66"/>
    <mergeCell ref="D66:E66"/>
    <mergeCell ref="A67:B67"/>
    <mergeCell ref="D67:E67"/>
    <mergeCell ref="A68:B68"/>
    <mergeCell ref="I220:J223"/>
    <mergeCell ref="A224:J224"/>
    <mergeCell ref="A221:B221"/>
    <mergeCell ref="A41:E41"/>
    <mergeCell ref="F41:J41"/>
    <mergeCell ref="A42:E42"/>
    <mergeCell ref="F42:J42"/>
    <mergeCell ref="A43:E43"/>
    <mergeCell ref="F43:J43"/>
    <mergeCell ref="A44:E44"/>
    <mergeCell ref="F44:J44"/>
    <mergeCell ref="A45:J45"/>
    <mergeCell ref="D221:E221"/>
    <mergeCell ref="A222:B222"/>
    <mergeCell ref="D222:E222"/>
    <mergeCell ref="A220:B220"/>
    <mergeCell ref="D220:E220"/>
    <mergeCell ref="A219:J219"/>
    <mergeCell ref="A217:B217"/>
    <mergeCell ref="D217:E217"/>
    <mergeCell ref="A215:B215"/>
    <mergeCell ref="D215:E215"/>
    <mergeCell ref="A216:B216"/>
    <mergeCell ref="D216:E216"/>
    <mergeCell ref="A229:B229"/>
    <mergeCell ref="D229:E229"/>
    <mergeCell ref="A227:B227"/>
    <mergeCell ref="D227:E227"/>
    <mergeCell ref="A228:B228"/>
    <mergeCell ref="D228:E228"/>
    <mergeCell ref="I225:J230"/>
    <mergeCell ref="A225:B225"/>
    <mergeCell ref="D225:E225"/>
    <mergeCell ref="A226:B226"/>
    <mergeCell ref="D226:E226"/>
    <mergeCell ref="I212:J217"/>
    <mergeCell ref="A218:J218"/>
    <mergeCell ref="A213:B213"/>
    <mergeCell ref="D213:E213"/>
    <mergeCell ref="A214:B214"/>
    <mergeCell ref="D214:E214"/>
    <mergeCell ref="A212:B212"/>
    <mergeCell ref="D212:E212"/>
    <mergeCell ref="A211:J211"/>
    <mergeCell ref="A209:B209"/>
    <mergeCell ref="D209:E209"/>
    <mergeCell ref="A210:B210"/>
    <mergeCell ref="D210:E210"/>
    <mergeCell ref="A207:B207"/>
    <mergeCell ref="D207:E207"/>
    <mergeCell ref="A208:B208"/>
    <mergeCell ref="D208:E208"/>
    <mergeCell ref="I207:J210"/>
    <mergeCell ref="A203:B203"/>
    <mergeCell ref="D203:E203"/>
    <mergeCell ref="A204:B204"/>
    <mergeCell ref="D204:E204"/>
    <mergeCell ref="I199:J204"/>
    <mergeCell ref="A205:J205"/>
    <mergeCell ref="A206:J206"/>
    <mergeCell ref="A201:B201"/>
    <mergeCell ref="D201:E201"/>
    <mergeCell ref="A202:B202"/>
    <mergeCell ref="D202:E202"/>
    <mergeCell ref="A199:B199"/>
    <mergeCell ref="D199:E199"/>
    <mergeCell ref="A200:B200"/>
    <mergeCell ref="D200:E200"/>
    <mergeCell ref="A197:B197"/>
    <mergeCell ref="D197:E197"/>
    <mergeCell ref="A195:B195"/>
    <mergeCell ref="D195:E195"/>
    <mergeCell ref="A196:B196"/>
    <mergeCell ref="D196:E196"/>
    <mergeCell ref="I192:J197"/>
    <mergeCell ref="A198:J198"/>
    <mergeCell ref="A193:B193"/>
    <mergeCell ref="D193:E193"/>
    <mergeCell ref="A194:B194"/>
    <mergeCell ref="D194:E194"/>
    <mergeCell ref="A192:B192"/>
    <mergeCell ref="D192:E192"/>
    <mergeCell ref="A191:J191"/>
    <mergeCell ref="A182:B182"/>
    <mergeCell ref="D182:E182"/>
    <mergeCell ref="A180:B180"/>
    <mergeCell ref="D180:E180"/>
    <mergeCell ref="A181:B181"/>
    <mergeCell ref="D181:E181"/>
    <mergeCell ref="I177:J182"/>
    <mergeCell ref="A190:J190"/>
    <mergeCell ref="A178:B178"/>
    <mergeCell ref="D178:E178"/>
    <mergeCell ref="A179:B179"/>
    <mergeCell ref="D179:E179"/>
    <mergeCell ref="A177:B177"/>
    <mergeCell ref="D177:E177"/>
    <mergeCell ref="A183:J183"/>
    <mergeCell ref="A184:B184"/>
    <mergeCell ref="D184:E184"/>
    <mergeCell ref="I184:J189"/>
    <mergeCell ref="A185:B185"/>
    <mergeCell ref="D185:E185"/>
    <mergeCell ref="A186:B186"/>
    <mergeCell ref="D186:E186"/>
    <mergeCell ref="A187:B187"/>
    <mergeCell ref="A176:J176"/>
    <mergeCell ref="A174:B174"/>
    <mergeCell ref="D174:E174"/>
    <mergeCell ref="A175:B175"/>
    <mergeCell ref="D175:E175"/>
    <mergeCell ref="A172:B172"/>
    <mergeCell ref="D172:E172"/>
    <mergeCell ref="A173:B173"/>
    <mergeCell ref="D173:E173"/>
    <mergeCell ref="I171:J175"/>
    <mergeCell ref="A171:B171"/>
    <mergeCell ref="D171:E171"/>
    <mergeCell ref="A168:B168"/>
    <mergeCell ref="D168:E168"/>
    <mergeCell ref="I163:J168"/>
    <mergeCell ref="A169:J169"/>
    <mergeCell ref="A170:J170"/>
    <mergeCell ref="A166:B166"/>
    <mergeCell ref="D166:E166"/>
    <mergeCell ref="A167:B167"/>
    <mergeCell ref="D167:E167"/>
    <mergeCell ref="A164:B164"/>
    <mergeCell ref="D164:E164"/>
    <mergeCell ref="A165:B165"/>
    <mergeCell ref="D165:E165"/>
    <mergeCell ref="A163:B163"/>
    <mergeCell ref="D163:E163"/>
    <mergeCell ref="I144:J149"/>
    <mergeCell ref="I129:J142"/>
    <mergeCell ref="A150:J150"/>
    <mergeCell ref="A151:J151"/>
    <mergeCell ref="A162:J162"/>
    <mergeCell ref="A158:B158"/>
    <mergeCell ref="D158:E158"/>
    <mergeCell ref="A159:B159"/>
    <mergeCell ref="D159:E159"/>
    <mergeCell ref="A156:B156"/>
    <mergeCell ref="D156:E156"/>
    <mergeCell ref="A157:B157"/>
    <mergeCell ref="D157:E157"/>
    <mergeCell ref="A160:B160"/>
    <mergeCell ref="D160:E160"/>
    <mergeCell ref="A161:B161"/>
    <mergeCell ref="D161:E161"/>
    <mergeCell ref="I152:J161"/>
    <mergeCell ref="A154:B154"/>
    <mergeCell ref="D154:E154"/>
    <mergeCell ref="A155:B155"/>
    <mergeCell ref="D155:E155"/>
    <mergeCell ref="A152:B152"/>
    <mergeCell ref="D152:E152"/>
    <mergeCell ref="D141:E141"/>
    <mergeCell ref="A132:B132"/>
    <mergeCell ref="D132:E132"/>
    <mergeCell ref="A136:B136"/>
    <mergeCell ref="D136:E136"/>
    <mergeCell ref="A137:B137"/>
    <mergeCell ref="D137:E137"/>
    <mergeCell ref="A138:B138"/>
    <mergeCell ref="A153:B153"/>
    <mergeCell ref="D153:E153"/>
    <mergeCell ref="A147:B147"/>
    <mergeCell ref="D147:E147"/>
    <mergeCell ref="A144:B144"/>
    <mergeCell ref="D144:E144"/>
    <mergeCell ref="A145:B145"/>
    <mergeCell ref="D145:E145"/>
    <mergeCell ref="A146:B146"/>
    <mergeCell ref="D146:E146"/>
    <mergeCell ref="A148:B148"/>
    <mergeCell ref="D148:E148"/>
    <mergeCell ref="A149:B149"/>
    <mergeCell ref="D149:E149"/>
    <mergeCell ref="D123:F123"/>
    <mergeCell ref="G123:J123"/>
    <mergeCell ref="A124:J124"/>
    <mergeCell ref="A125:J125"/>
    <mergeCell ref="A126:B126"/>
    <mergeCell ref="D126:E126"/>
    <mergeCell ref="I126:J126"/>
    <mergeCell ref="A127:J127"/>
    <mergeCell ref="A143:J143"/>
    <mergeCell ref="A134:B134"/>
    <mergeCell ref="D134:E134"/>
    <mergeCell ref="A135:B135"/>
    <mergeCell ref="A130:B130"/>
    <mergeCell ref="D130:E130"/>
    <mergeCell ref="A131:B131"/>
    <mergeCell ref="D131:E131"/>
    <mergeCell ref="D135:E135"/>
    <mergeCell ref="A133:B133"/>
    <mergeCell ref="D133:E133"/>
    <mergeCell ref="A142:B142"/>
    <mergeCell ref="D142:E142"/>
    <mergeCell ref="A140:B140"/>
    <mergeCell ref="D140:E140"/>
    <mergeCell ref="A141:B141"/>
    <mergeCell ref="A98:J98"/>
    <mergeCell ref="D81:E81"/>
    <mergeCell ref="A118:B118"/>
    <mergeCell ref="D118:F118"/>
    <mergeCell ref="G118:J118"/>
    <mergeCell ref="D119:F119"/>
    <mergeCell ref="G119:J119"/>
    <mergeCell ref="A111:B111"/>
    <mergeCell ref="D111:F111"/>
    <mergeCell ref="G111:J111"/>
    <mergeCell ref="A112:B112"/>
    <mergeCell ref="D112:F112"/>
    <mergeCell ref="G112:J112"/>
    <mergeCell ref="A115:J115"/>
    <mergeCell ref="A114:B114"/>
    <mergeCell ref="D114:F114"/>
    <mergeCell ref="G114:J114"/>
    <mergeCell ref="A117:B117"/>
    <mergeCell ref="A116:B116"/>
    <mergeCell ref="D116:F116"/>
    <mergeCell ref="G116:J116"/>
    <mergeCell ref="D117:F117"/>
    <mergeCell ref="G117:J117"/>
    <mergeCell ref="A119:B119"/>
    <mergeCell ref="A51:J51"/>
    <mergeCell ref="A52:C52"/>
    <mergeCell ref="D52:E52"/>
    <mergeCell ref="F52:G52"/>
    <mergeCell ref="H52:J52"/>
    <mergeCell ref="F73:G73"/>
    <mergeCell ref="A55:J55"/>
    <mergeCell ref="D68:E68"/>
    <mergeCell ref="A69:B69"/>
    <mergeCell ref="D69:E69"/>
    <mergeCell ref="A56:B56"/>
    <mergeCell ref="C56:J56"/>
    <mergeCell ref="E57:F57"/>
    <mergeCell ref="I57:J57"/>
    <mergeCell ref="A58:B58"/>
    <mergeCell ref="C58:J58"/>
    <mergeCell ref="A59:B59"/>
    <mergeCell ref="D59:E59"/>
    <mergeCell ref="F59:G59"/>
    <mergeCell ref="H59:J59"/>
    <mergeCell ref="C53:J53"/>
    <mergeCell ref="A70:B70"/>
    <mergeCell ref="C70:J70"/>
    <mergeCell ref="E71:F71"/>
    <mergeCell ref="A38:J38"/>
    <mergeCell ref="H49:J49"/>
    <mergeCell ref="A49:B49"/>
    <mergeCell ref="C49:F49"/>
    <mergeCell ref="A50:C50"/>
    <mergeCell ref="D50:E50"/>
    <mergeCell ref="F50:G50"/>
    <mergeCell ref="H50:J50"/>
    <mergeCell ref="A39:E39"/>
    <mergeCell ref="F39:J39"/>
    <mergeCell ref="H46:J46"/>
    <mergeCell ref="H47:J47"/>
    <mergeCell ref="A47:B47"/>
    <mergeCell ref="C47:F47"/>
    <mergeCell ref="A48:B48"/>
    <mergeCell ref="C48:F48"/>
    <mergeCell ref="A46:B46"/>
    <mergeCell ref="C46:F46"/>
    <mergeCell ref="H48:J48"/>
    <mergeCell ref="A16:B16"/>
    <mergeCell ref="C16:E16"/>
    <mergeCell ref="F16:G16"/>
    <mergeCell ref="H16:J16"/>
    <mergeCell ref="A25:E25"/>
    <mergeCell ref="A26:E26"/>
    <mergeCell ref="F26:J26"/>
    <mergeCell ref="F25:J25"/>
    <mergeCell ref="A27:E27"/>
    <mergeCell ref="F27:J27"/>
    <mergeCell ref="A24:E24"/>
    <mergeCell ref="F24:J24"/>
    <mergeCell ref="A18:B18"/>
    <mergeCell ref="C18:E18"/>
    <mergeCell ref="F18:G18"/>
    <mergeCell ref="H18:J18"/>
    <mergeCell ref="A19:B19"/>
    <mergeCell ref="C19:E19"/>
    <mergeCell ref="F19:G19"/>
    <mergeCell ref="H19:J19"/>
    <mergeCell ref="A20:E21"/>
    <mergeCell ref="F20:J21"/>
    <mergeCell ref="A22:E23"/>
    <mergeCell ref="F22:J23"/>
    <mergeCell ref="A11:E11"/>
    <mergeCell ref="F11:J11"/>
    <mergeCell ref="A5:E5"/>
    <mergeCell ref="F5:J5"/>
    <mergeCell ref="A6:E6"/>
    <mergeCell ref="F6:J6"/>
    <mergeCell ref="A7:E7"/>
    <mergeCell ref="F7:J7"/>
    <mergeCell ref="A15:B15"/>
    <mergeCell ref="A12:E12"/>
    <mergeCell ref="F12:J12"/>
    <mergeCell ref="A14:B14"/>
    <mergeCell ref="C14:J14"/>
    <mergeCell ref="C15:J15"/>
    <mergeCell ref="A13:B13"/>
    <mergeCell ref="C13:J13"/>
    <mergeCell ref="A10:E10"/>
    <mergeCell ref="F10:J10"/>
    <mergeCell ref="A1:J1"/>
    <mergeCell ref="A2:J2"/>
    <mergeCell ref="A3:E3"/>
    <mergeCell ref="F3:J3"/>
    <mergeCell ref="A4:E4"/>
    <mergeCell ref="A8:E8"/>
    <mergeCell ref="F8:J8"/>
    <mergeCell ref="A9:E9"/>
    <mergeCell ref="F9:J9"/>
    <mergeCell ref="F4:J4"/>
    <mergeCell ref="A29:B29"/>
    <mergeCell ref="C29:D29"/>
    <mergeCell ref="E29:F29"/>
    <mergeCell ref="G29:H29"/>
    <mergeCell ref="I29:J29"/>
    <mergeCell ref="A40:E40"/>
    <mergeCell ref="F40:J40"/>
    <mergeCell ref="A36:E36"/>
    <mergeCell ref="F36:J36"/>
    <mergeCell ref="A31:J31"/>
    <mergeCell ref="A30:B30"/>
    <mergeCell ref="C30:D30"/>
    <mergeCell ref="E30:F30"/>
    <mergeCell ref="G30:H30"/>
    <mergeCell ref="I30:J30"/>
    <mergeCell ref="A32:J32"/>
    <mergeCell ref="A33:B33"/>
    <mergeCell ref="C33:D33"/>
    <mergeCell ref="E33:F33"/>
    <mergeCell ref="G33:H33"/>
    <mergeCell ref="I33:J33"/>
    <mergeCell ref="A35:J35"/>
    <mergeCell ref="A37:E37"/>
    <mergeCell ref="F37:J37"/>
    <mergeCell ref="A17:B17"/>
    <mergeCell ref="C17:E17"/>
    <mergeCell ref="F17:G17"/>
    <mergeCell ref="H17:J17"/>
    <mergeCell ref="A28:B28"/>
    <mergeCell ref="C28:D28"/>
    <mergeCell ref="E28:F28"/>
    <mergeCell ref="G28:H28"/>
    <mergeCell ref="I28:J28"/>
    <mergeCell ref="A241:J244"/>
    <mergeCell ref="A240:B240"/>
    <mergeCell ref="E240:G240"/>
    <mergeCell ref="C240:D240"/>
    <mergeCell ref="H240:J240"/>
    <mergeCell ref="A99:J99"/>
    <mergeCell ref="A100:B100"/>
    <mergeCell ref="C100:J100"/>
    <mergeCell ref="A103:F103"/>
    <mergeCell ref="G103:J103"/>
    <mergeCell ref="A101:J101"/>
    <mergeCell ref="A102:F102"/>
    <mergeCell ref="G102:J102"/>
    <mergeCell ref="A110:J110"/>
    <mergeCell ref="A108:F108"/>
    <mergeCell ref="G108:J108"/>
    <mergeCell ref="A104:F104"/>
    <mergeCell ref="G104:J104"/>
    <mergeCell ref="A107:F107"/>
    <mergeCell ref="G107:J107"/>
    <mergeCell ref="A109:F109"/>
    <mergeCell ref="G109:J109"/>
    <mergeCell ref="A120:B120"/>
    <mergeCell ref="D120:F120"/>
    <mergeCell ref="A84:B84"/>
    <mergeCell ref="C84:J84"/>
    <mergeCell ref="E85:F85"/>
    <mergeCell ref="I85:J85"/>
    <mergeCell ref="A86:B86"/>
    <mergeCell ref="C86:J86"/>
    <mergeCell ref="A87:B87"/>
    <mergeCell ref="D87:E87"/>
    <mergeCell ref="F87:G87"/>
    <mergeCell ref="H87:J87"/>
    <mergeCell ref="A88:B88"/>
    <mergeCell ref="D88:E88"/>
    <mergeCell ref="F88:G97"/>
    <mergeCell ref="H88:J97"/>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A97:B97"/>
    <mergeCell ref="D97:E97"/>
    <mergeCell ref="D187:E187"/>
    <mergeCell ref="A188:B188"/>
    <mergeCell ref="D188:E188"/>
    <mergeCell ref="A189:B189"/>
    <mergeCell ref="D189:E189"/>
    <mergeCell ref="K101:L101"/>
    <mergeCell ref="A105:F105"/>
    <mergeCell ref="G105:J105"/>
    <mergeCell ref="A106:F106"/>
    <mergeCell ref="G106:J106"/>
    <mergeCell ref="G120:J120"/>
    <mergeCell ref="A121:B121"/>
    <mergeCell ref="D121:F121"/>
    <mergeCell ref="G121:J121"/>
    <mergeCell ref="A122:B122"/>
    <mergeCell ref="D122:F122"/>
    <mergeCell ref="G122:J122"/>
    <mergeCell ref="D138:E138"/>
    <mergeCell ref="A139:B139"/>
    <mergeCell ref="D139:E139"/>
    <mergeCell ref="A129:B129"/>
    <mergeCell ref="D129:E129"/>
    <mergeCell ref="A128:J128"/>
    <mergeCell ref="A123:B123"/>
  </mergeCells>
  <hyperlinks>
    <hyperlink ref="C34" r:id="rId1" xr:uid="{00000000-0004-0000-0000-000000000000}"/>
  </hyperlinks>
  <pageMargins left="0.39370078740157483" right="0.39370078740157483" top="0.78740157480314965" bottom="0.78740157480314965" header="0.19685039370078741" footer="0.19685039370078741"/>
  <pageSetup paperSize="9" scale="96" fitToHeight="0" orientation="portrait" r:id="rId2"/>
  <headerFooter>
    <oddHeader>&amp;C&amp;G</oddHeader>
    <oddFooter>&amp;L&amp;"Times New Roman,Bold"&amp;12Ref No: &amp;F&amp;C&amp;G&amp;R&amp;"Times New Roman,Bold"&amp;12&amp;P</oddFooter>
  </headerFooter>
  <rowBreaks count="3" manualBreakCount="3">
    <brk id="69" max="16383" man="1"/>
    <brk id="244" max="16383" man="1"/>
    <brk id="285"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8" sqref="C8"/>
    </sheetView>
  </sheetViews>
  <sheetFormatPr defaultRowHeight="13.8" x14ac:dyDescent="0.25"/>
  <cols>
    <col min="1" max="1" width="20.5546875" style="21" customWidth="1"/>
    <col min="2" max="2" width="11.6640625" style="21" customWidth="1"/>
    <col min="3" max="4" width="9.109375" style="21"/>
    <col min="5" max="5" width="10.109375" style="21" customWidth="1"/>
    <col min="6" max="6" width="10.6640625" style="21" customWidth="1"/>
    <col min="7" max="7" width="9.109375" style="21"/>
    <col min="8" max="8" width="10.44140625" style="21" customWidth="1"/>
    <col min="9" max="9" width="15.44140625" style="21" customWidth="1"/>
    <col min="10" max="258" width="9.109375" style="21"/>
    <col min="259" max="259" width="11.6640625" style="21" customWidth="1"/>
    <col min="260" max="260" width="9.109375" style="21"/>
    <col min="261" max="261" width="14.6640625" style="21" customWidth="1"/>
    <col min="262" max="262" width="10.6640625" style="21" customWidth="1"/>
    <col min="263" max="514" width="9.109375" style="21"/>
    <col min="515" max="515" width="11.6640625" style="21" customWidth="1"/>
    <col min="516" max="516" width="9.109375" style="21"/>
    <col min="517" max="517" width="14.6640625" style="21" customWidth="1"/>
    <col min="518" max="518" width="10.6640625" style="21" customWidth="1"/>
    <col min="519" max="770" width="9.109375" style="21"/>
    <col min="771" max="771" width="11.6640625" style="21" customWidth="1"/>
    <col min="772" max="772" width="9.109375" style="21"/>
    <col min="773" max="773" width="14.6640625" style="21" customWidth="1"/>
    <col min="774" max="774" width="10.6640625" style="21" customWidth="1"/>
    <col min="775" max="1026" width="9.109375" style="21"/>
    <col min="1027" max="1027" width="11.6640625" style="21" customWidth="1"/>
    <col min="1028" max="1028" width="9.109375" style="21"/>
    <col min="1029" max="1029" width="14.6640625" style="21" customWidth="1"/>
    <col min="1030" max="1030" width="10.6640625" style="21" customWidth="1"/>
    <col min="1031" max="1282" width="9.109375" style="21"/>
    <col min="1283" max="1283" width="11.6640625" style="21" customWidth="1"/>
    <col min="1284" max="1284" width="9.109375" style="21"/>
    <col min="1285" max="1285" width="14.6640625" style="21" customWidth="1"/>
    <col min="1286" max="1286" width="10.6640625" style="21" customWidth="1"/>
    <col min="1287" max="1538" width="9.109375" style="21"/>
    <col min="1539" max="1539" width="11.6640625" style="21" customWidth="1"/>
    <col min="1540" max="1540" width="9.109375" style="21"/>
    <col min="1541" max="1541" width="14.6640625" style="21" customWidth="1"/>
    <col min="1542" max="1542" width="10.6640625" style="21" customWidth="1"/>
    <col min="1543" max="1794" width="9.109375" style="21"/>
    <col min="1795" max="1795" width="11.6640625" style="21" customWidth="1"/>
    <col min="1796" max="1796" width="9.109375" style="21"/>
    <col min="1797" max="1797" width="14.6640625" style="21" customWidth="1"/>
    <col min="1798" max="1798" width="10.6640625" style="21" customWidth="1"/>
    <col min="1799" max="2050" width="9.109375" style="21"/>
    <col min="2051" max="2051" width="11.6640625" style="21" customWidth="1"/>
    <col min="2052" max="2052" width="9.109375" style="21"/>
    <col min="2053" max="2053" width="14.6640625" style="21" customWidth="1"/>
    <col min="2054" max="2054" width="10.6640625" style="21" customWidth="1"/>
    <col min="2055" max="2306" width="9.109375" style="21"/>
    <col min="2307" max="2307" width="11.6640625" style="21" customWidth="1"/>
    <col min="2308" max="2308" width="9.109375" style="21"/>
    <col min="2309" max="2309" width="14.6640625" style="21" customWidth="1"/>
    <col min="2310" max="2310" width="10.6640625" style="21" customWidth="1"/>
    <col min="2311" max="2562" width="9.109375" style="21"/>
    <col min="2563" max="2563" width="11.6640625" style="21" customWidth="1"/>
    <col min="2564" max="2564" width="9.109375" style="21"/>
    <col min="2565" max="2565" width="14.6640625" style="21" customWidth="1"/>
    <col min="2566" max="2566" width="10.6640625" style="21" customWidth="1"/>
    <col min="2567" max="2818" width="9.109375" style="21"/>
    <col min="2819" max="2819" width="11.6640625" style="21" customWidth="1"/>
    <col min="2820" max="2820" width="9.109375" style="21"/>
    <col min="2821" max="2821" width="14.6640625" style="21" customWidth="1"/>
    <col min="2822" max="2822" width="10.6640625" style="21" customWidth="1"/>
    <col min="2823" max="3074" width="9.109375" style="21"/>
    <col min="3075" max="3075" width="11.6640625" style="21" customWidth="1"/>
    <col min="3076" max="3076" width="9.109375" style="21"/>
    <col min="3077" max="3077" width="14.6640625" style="21" customWidth="1"/>
    <col min="3078" max="3078" width="10.6640625" style="21" customWidth="1"/>
    <col min="3079" max="3330" width="9.109375" style="21"/>
    <col min="3331" max="3331" width="11.6640625" style="21" customWidth="1"/>
    <col min="3332" max="3332" width="9.109375" style="21"/>
    <col min="3333" max="3333" width="14.6640625" style="21" customWidth="1"/>
    <col min="3334" max="3334" width="10.6640625" style="21" customWidth="1"/>
    <col min="3335" max="3586" width="9.109375" style="21"/>
    <col min="3587" max="3587" width="11.6640625" style="21" customWidth="1"/>
    <col min="3588" max="3588" width="9.109375" style="21"/>
    <col min="3589" max="3589" width="14.6640625" style="21" customWidth="1"/>
    <col min="3590" max="3590" width="10.6640625" style="21" customWidth="1"/>
    <col min="3591" max="3842" width="9.109375" style="21"/>
    <col min="3843" max="3843" width="11.6640625" style="21" customWidth="1"/>
    <col min="3844" max="3844" width="9.109375" style="21"/>
    <col min="3845" max="3845" width="14.6640625" style="21" customWidth="1"/>
    <col min="3846" max="3846" width="10.6640625" style="21" customWidth="1"/>
    <col min="3847" max="4098" width="9.109375" style="21"/>
    <col min="4099" max="4099" width="11.6640625" style="21" customWidth="1"/>
    <col min="4100" max="4100" width="9.109375" style="21"/>
    <col min="4101" max="4101" width="14.6640625" style="21" customWidth="1"/>
    <col min="4102" max="4102" width="10.6640625" style="21" customWidth="1"/>
    <col min="4103" max="4354" width="9.109375" style="21"/>
    <col min="4355" max="4355" width="11.6640625" style="21" customWidth="1"/>
    <col min="4356" max="4356" width="9.109375" style="21"/>
    <col min="4357" max="4357" width="14.6640625" style="21" customWidth="1"/>
    <col min="4358" max="4358" width="10.6640625" style="21" customWidth="1"/>
    <col min="4359" max="4610" width="9.109375" style="21"/>
    <col min="4611" max="4611" width="11.6640625" style="21" customWidth="1"/>
    <col min="4612" max="4612" width="9.109375" style="21"/>
    <col min="4613" max="4613" width="14.6640625" style="21" customWidth="1"/>
    <col min="4614" max="4614" width="10.6640625" style="21" customWidth="1"/>
    <col min="4615" max="4866" width="9.109375" style="21"/>
    <col min="4867" max="4867" width="11.6640625" style="21" customWidth="1"/>
    <col min="4868" max="4868" width="9.109375" style="21"/>
    <col min="4869" max="4869" width="14.6640625" style="21" customWidth="1"/>
    <col min="4870" max="4870" width="10.6640625" style="21" customWidth="1"/>
    <col min="4871" max="5122" width="9.109375" style="21"/>
    <col min="5123" max="5123" width="11.6640625" style="21" customWidth="1"/>
    <col min="5124" max="5124" width="9.109375" style="21"/>
    <col min="5125" max="5125" width="14.6640625" style="21" customWidth="1"/>
    <col min="5126" max="5126" width="10.6640625" style="21" customWidth="1"/>
    <col min="5127" max="5378" width="9.109375" style="21"/>
    <col min="5379" max="5379" width="11.6640625" style="21" customWidth="1"/>
    <col min="5380" max="5380" width="9.109375" style="21"/>
    <col min="5381" max="5381" width="14.6640625" style="21" customWidth="1"/>
    <col min="5382" max="5382" width="10.6640625" style="21" customWidth="1"/>
    <col min="5383" max="5634" width="9.109375" style="21"/>
    <col min="5635" max="5635" width="11.6640625" style="21" customWidth="1"/>
    <col min="5636" max="5636" width="9.109375" style="21"/>
    <col min="5637" max="5637" width="14.6640625" style="21" customWidth="1"/>
    <col min="5638" max="5638" width="10.6640625" style="21" customWidth="1"/>
    <col min="5639" max="5890" width="9.109375" style="21"/>
    <col min="5891" max="5891" width="11.6640625" style="21" customWidth="1"/>
    <col min="5892" max="5892" width="9.109375" style="21"/>
    <col min="5893" max="5893" width="14.6640625" style="21" customWidth="1"/>
    <col min="5894" max="5894" width="10.6640625" style="21" customWidth="1"/>
    <col min="5895" max="6146" width="9.109375" style="21"/>
    <col min="6147" max="6147" width="11.6640625" style="21" customWidth="1"/>
    <col min="6148" max="6148" width="9.109375" style="21"/>
    <col min="6149" max="6149" width="14.6640625" style="21" customWidth="1"/>
    <col min="6150" max="6150" width="10.6640625" style="21" customWidth="1"/>
    <col min="6151" max="6402" width="9.109375" style="21"/>
    <col min="6403" max="6403" width="11.6640625" style="21" customWidth="1"/>
    <col min="6404" max="6404" width="9.109375" style="21"/>
    <col min="6405" max="6405" width="14.6640625" style="21" customWidth="1"/>
    <col min="6406" max="6406" width="10.6640625" style="21" customWidth="1"/>
    <col min="6407" max="6658" width="9.109375" style="21"/>
    <col min="6659" max="6659" width="11.6640625" style="21" customWidth="1"/>
    <col min="6660" max="6660" width="9.109375" style="21"/>
    <col min="6661" max="6661" width="14.6640625" style="21" customWidth="1"/>
    <col min="6662" max="6662" width="10.6640625" style="21" customWidth="1"/>
    <col min="6663" max="6914" width="9.109375" style="21"/>
    <col min="6915" max="6915" width="11.6640625" style="21" customWidth="1"/>
    <col min="6916" max="6916" width="9.109375" style="21"/>
    <col min="6917" max="6917" width="14.6640625" style="21" customWidth="1"/>
    <col min="6918" max="6918" width="10.6640625" style="21" customWidth="1"/>
    <col min="6919" max="7170" width="9.109375" style="21"/>
    <col min="7171" max="7171" width="11.6640625" style="21" customWidth="1"/>
    <col min="7172" max="7172" width="9.109375" style="21"/>
    <col min="7173" max="7173" width="14.6640625" style="21" customWidth="1"/>
    <col min="7174" max="7174" width="10.6640625" style="21" customWidth="1"/>
    <col min="7175" max="7426" width="9.109375" style="21"/>
    <col min="7427" max="7427" width="11.6640625" style="21" customWidth="1"/>
    <col min="7428" max="7428" width="9.109375" style="21"/>
    <col min="7429" max="7429" width="14.6640625" style="21" customWidth="1"/>
    <col min="7430" max="7430" width="10.6640625" style="21" customWidth="1"/>
    <col min="7431" max="7682" width="9.109375" style="21"/>
    <col min="7683" max="7683" width="11.6640625" style="21" customWidth="1"/>
    <col min="7684" max="7684" width="9.109375" style="21"/>
    <col min="7685" max="7685" width="14.6640625" style="21" customWidth="1"/>
    <col min="7686" max="7686" width="10.6640625" style="21" customWidth="1"/>
    <col min="7687" max="7938" width="9.109375" style="21"/>
    <col min="7939" max="7939" width="11.6640625" style="21" customWidth="1"/>
    <col min="7940" max="7940" width="9.109375" style="21"/>
    <col min="7941" max="7941" width="14.6640625" style="21" customWidth="1"/>
    <col min="7942" max="7942" width="10.6640625" style="21" customWidth="1"/>
    <col min="7943" max="8194" width="9.109375" style="21"/>
    <col min="8195" max="8195" width="11.6640625" style="21" customWidth="1"/>
    <col min="8196" max="8196" width="9.109375" style="21"/>
    <col min="8197" max="8197" width="14.6640625" style="21" customWidth="1"/>
    <col min="8198" max="8198" width="10.6640625" style="21" customWidth="1"/>
    <col min="8199" max="8450" width="9.109375" style="21"/>
    <col min="8451" max="8451" width="11.6640625" style="21" customWidth="1"/>
    <col min="8452" max="8452" width="9.109375" style="21"/>
    <col min="8453" max="8453" width="14.6640625" style="21" customWidth="1"/>
    <col min="8454" max="8454" width="10.6640625" style="21" customWidth="1"/>
    <col min="8455" max="8706" width="9.109375" style="21"/>
    <col min="8707" max="8707" width="11.6640625" style="21" customWidth="1"/>
    <col min="8708" max="8708" width="9.109375" style="21"/>
    <col min="8709" max="8709" width="14.6640625" style="21" customWidth="1"/>
    <col min="8710" max="8710" width="10.6640625" style="21" customWidth="1"/>
    <col min="8711" max="8962" width="9.109375" style="21"/>
    <col min="8963" max="8963" width="11.6640625" style="21" customWidth="1"/>
    <col min="8964" max="8964" width="9.109375" style="21"/>
    <col min="8965" max="8965" width="14.6640625" style="21" customWidth="1"/>
    <col min="8966" max="8966" width="10.6640625" style="21" customWidth="1"/>
    <col min="8967" max="9218" width="9.109375" style="21"/>
    <col min="9219" max="9219" width="11.6640625" style="21" customWidth="1"/>
    <col min="9220" max="9220" width="9.109375" style="21"/>
    <col min="9221" max="9221" width="14.6640625" style="21" customWidth="1"/>
    <col min="9222" max="9222" width="10.6640625" style="21" customWidth="1"/>
    <col min="9223" max="9474" width="9.109375" style="21"/>
    <col min="9475" max="9475" width="11.6640625" style="21" customWidth="1"/>
    <col min="9476" max="9476" width="9.109375" style="21"/>
    <col min="9477" max="9477" width="14.6640625" style="21" customWidth="1"/>
    <col min="9478" max="9478" width="10.6640625" style="21" customWidth="1"/>
    <col min="9479" max="9730" width="9.109375" style="21"/>
    <col min="9731" max="9731" width="11.6640625" style="21" customWidth="1"/>
    <col min="9732" max="9732" width="9.109375" style="21"/>
    <col min="9733" max="9733" width="14.6640625" style="21" customWidth="1"/>
    <col min="9734" max="9734" width="10.6640625" style="21" customWidth="1"/>
    <col min="9735" max="9986" width="9.109375" style="21"/>
    <col min="9987" max="9987" width="11.6640625" style="21" customWidth="1"/>
    <col min="9988" max="9988" width="9.109375" style="21"/>
    <col min="9989" max="9989" width="14.6640625" style="21" customWidth="1"/>
    <col min="9990" max="9990" width="10.6640625" style="21" customWidth="1"/>
    <col min="9991" max="10242" width="9.109375" style="21"/>
    <col min="10243" max="10243" width="11.6640625" style="21" customWidth="1"/>
    <col min="10244" max="10244" width="9.109375" style="21"/>
    <col min="10245" max="10245" width="14.6640625" style="21" customWidth="1"/>
    <col min="10246" max="10246" width="10.6640625" style="21" customWidth="1"/>
    <col min="10247" max="10498" width="9.109375" style="21"/>
    <col min="10499" max="10499" width="11.6640625" style="21" customWidth="1"/>
    <col min="10500" max="10500" width="9.109375" style="21"/>
    <col min="10501" max="10501" width="14.6640625" style="21" customWidth="1"/>
    <col min="10502" max="10502" width="10.6640625" style="21" customWidth="1"/>
    <col min="10503" max="10754" width="9.109375" style="21"/>
    <col min="10755" max="10755" width="11.6640625" style="21" customWidth="1"/>
    <col min="10756" max="10756" width="9.109375" style="21"/>
    <col min="10757" max="10757" width="14.6640625" style="21" customWidth="1"/>
    <col min="10758" max="10758" width="10.6640625" style="21" customWidth="1"/>
    <col min="10759" max="11010" width="9.109375" style="21"/>
    <col min="11011" max="11011" width="11.6640625" style="21" customWidth="1"/>
    <col min="11012" max="11012" width="9.109375" style="21"/>
    <col min="11013" max="11013" width="14.6640625" style="21" customWidth="1"/>
    <col min="11014" max="11014" width="10.6640625" style="21" customWidth="1"/>
    <col min="11015" max="11266" width="9.109375" style="21"/>
    <col min="11267" max="11267" width="11.6640625" style="21" customWidth="1"/>
    <col min="11268" max="11268" width="9.109375" style="21"/>
    <col min="11269" max="11269" width="14.6640625" style="21" customWidth="1"/>
    <col min="11270" max="11270" width="10.6640625" style="21" customWidth="1"/>
    <col min="11271" max="11522" width="9.109375" style="21"/>
    <col min="11523" max="11523" width="11.6640625" style="21" customWidth="1"/>
    <col min="11524" max="11524" width="9.109375" style="21"/>
    <col min="11525" max="11525" width="14.6640625" style="21" customWidth="1"/>
    <col min="11526" max="11526" width="10.6640625" style="21" customWidth="1"/>
    <col min="11527" max="11778" width="9.109375" style="21"/>
    <col min="11779" max="11779" width="11.6640625" style="21" customWidth="1"/>
    <col min="11780" max="11780" width="9.109375" style="21"/>
    <col min="11781" max="11781" width="14.6640625" style="21" customWidth="1"/>
    <col min="11782" max="11782" width="10.6640625" style="21" customWidth="1"/>
    <col min="11783" max="12034" width="9.109375" style="21"/>
    <col min="12035" max="12035" width="11.6640625" style="21" customWidth="1"/>
    <col min="12036" max="12036" width="9.109375" style="21"/>
    <col min="12037" max="12037" width="14.6640625" style="21" customWidth="1"/>
    <col min="12038" max="12038" width="10.6640625" style="21" customWidth="1"/>
    <col min="12039" max="12290" width="9.109375" style="21"/>
    <col min="12291" max="12291" width="11.6640625" style="21" customWidth="1"/>
    <col min="12292" max="12292" width="9.109375" style="21"/>
    <col min="12293" max="12293" width="14.6640625" style="21" customWidth="1"/>
    <col min="12294" max="12294" width="10.6640625" style="21" customWidth="1"/>
    <col min="12295" max="12546" width="9.109375" style="21"/>
    <col min="12547" max="12547" width="11.6640625" style="21" customWidth="1"/>
    <col min="12548" max="12548" width="9.109375" style="21"/>
    <col min="12549" max="12549" width="14.6640625" style="21" customWidth="1"/>
    <col min="12550" max="12550" width="10.6640625" style="21" customWidth="1"/>
    <col min="12551" max="12802" width="9.109375" style="21"/>
    <col min="12803" max="12803" width="11.6640625" style="21" customWidth="1"/>
    <col min="12804" max="12804" width="9.109375" style="21"/>
    <col min="12805" max="12805" width="14.6640625" style="21" customWidth="1"/>
    <col min="12806" max="12806" width="10.6640625" style="21" customWidth="1"/>
    <col min="12807" max="13058" width="9.109375" style="21"/>
    <col min="13059" max="13059" width="11.6640625" style="21" customWidth="1"/>
    <col min="13060" max="13060" width="9.109375" style="21"/>
    <col min="13061" max="13061" width="14.6640625" style="21" customWidth="1"/>
    <col min="13062" max="13062" width="10.6640625" style="21" customWidth="1"/>
    <col min="13063" max="13314" width="9.109375" style="21"/>
    <col min="13315" max="13315" width="11.6640625" style="21" customWidth="1"/>
    <col min="13316" max="13316" width="9.109375" style="21"/>
    <col min="13317" max="13317" width="14.6640625" style="21" customWidth="1"/>
    <col min="13318" max="13318" width="10.6640625" style="21" customWidth="1"/>
    <col min="13319" max="13570" width="9.109375" style="21"/>
    <col min="13571" max="13571" width="11.6640625" style="21" customWidth="1"/>
    <col min="13572" max="13572" width="9.109375" style="21"/>
    <col min="13573" max="13573" width="14.6640625" style="21" customWidth="1"/>
    <col min="13574" max="13574" width="10.6640625" style="21" customWidth="1"/>
    <col min="13575" max="13826" width="9.109375" style="21"/>
    <col min="13827" max="13827" width="11.6640625" style="21" customWidth="1"/>
    <col min="13828" max="13828" width="9.109375" style="21"/>
    <col min="13829" max="13829" width="14.6640625" style="21" customWidth="1"/>
    <col min="13830" max="13830" width="10.6640625" style="21" customWidth="1"/>
    <col min="13831" max="14082" width="9.109375" style="21"/>
    <col min="14083" max="14083" width="11.6640625" style="21" customWidth="1"/>
    <col min="14084" max="14084" width="9.109375" style="21"/>
    <col min="14085" max="14085" width="14.6640625" style="21" customWidth="1"/>
    <col min="14086" max="14086" width="10.6640625" style="21" customWidth="1"/>
    <col min="14087" max="14338" width="9.109375" style="21"/>
    <col min="14339" max="14339" width="11.6640625" style="21" customWidth="1"/>
    <col min="14340" max="14340" width="9.109375" style="21"/>
    <col min="14341" max="14341" width="14.6640625" style="21" customWidth="1"/>
    <col min="14342" max="14342" width="10.6640625" style="21" customWidth="1"/>
    <col min="14343" max="14594" width="9.109375" style="21"/>
    <col min="14595" max="14595" width="11.6640625" style="21" customWidth="1"/>
    <col min="14596" max="14596" width="9.109375" style="21"/>
    <col min="14597" max="14597" width="14.6640625" style="21" customWidth="1"/>
    <col min="14598" max="14598" width="10.6640625" style="21" customWidth="1"/>
    <col min="14599" max="14850" width="9.109375" style="21"/>
    <col min="14851" max="14851" width="11.6640625" style="21" customWidth="1"/>
    <col min="14852" max="14852" width="9.109375" style="21"/>
    <col min="14853" max="14853" width="14.6640625" style="21" customWidth="1"/>
    <col min="14854" max="14854" width="10.6640625" style="21" customWidth="1"/>
    <col min="14855" max="15106" width="9.109375" style="21"/>
    <col min="15107" max="15107" width="11.6640625" style="21" customWidth="1"/>
    <col min="15108" max="15108" width="9.109375" style="21"/>
    <col min="15109" max="15109" width="14.6640625" style="21" customWidth="1"/>
    <col min="15110" max="15110" width="10.6640625" style="21" customWidth="1"/>
    <col min="15111" max="15362" width="9.109375" style="21"/>
    <col min="15363" max="15363" width="11.6640625" style="21" customWidth="1"/>
    <col min="15364" max="15364" width="9.109375" style="21"/>
    <col min="15365" max="15365" width="14.6640625" style="21" customWidth="1"/>
    <col min="15366" max="15366" width="10.6640625" style="21" customWidth="1"/>
    <col min="15367" max="15618" width="9.109375" style="21"/>
    <col min="15619" max="15619" width="11.6640625" style="21" customWidth="1"/>
    <col min="15620" max="15620" width="9.109375" style="21"/>
    <col min="15621" max="15621" width="14.6640625" style="21" customWidth="1"/>
    <col min="15622" max="15622" width="10.6640625" style="21" customWidth="1"/>
    <col min="15623" max="15874" width="9.109375" style="21"/>
    <col min="15875" max="15875" width="11.6640625" style="21" customWidth="1"/>
    <col min="15876" max="15876" width="9.109375" style="21"/>
    <col min="15877" max="15877" width="14.6640625" style="21" customWidth="1"/>
    <col min="15878" max="15878" width="10.6640625" style="21" customWidth="1"/>
    <col min="15879" max="16130" width="9.109375" style="21"/>
    <col min="16131" max="16131" width="11.6640625" style="21" customWidth="1"/>
    <col min="16132" max="16132" width="9.109375" style="21"/>
    <col min="16133" max="16133" width="14.6640625" style="21" customWidth="1"/>
    <col min="16134" max="16134" width="10.6640625" style="21" customWidth="1"/>
    <col min="16135" max="16384" width="9.109375" style="21"/>
  </cols>
  <sheetData>
    <row r="2" spans="1:13" x14ac:dyDescent="0.25">
      <c r="A2" s="22" t="s">
        <v>139</v>
      </c>
      <c r="B2" s="22" t="s">
        <v>140</v>
      </c>
      <c r="C2" s="22" t="s">
        <v>141</v>
      </c>
      <c r="D2" s="242" t="s">
        <v>142</v>
      </c>
      <c r="E2" s="242"/>
    </row>
    <row r="3" spans="1:13" x14ac:dyDescent="0.25">
      <c r="A3" s="25">
        <v>0</v>
      </c>
      <c r="B3" s="25">
        <v>0</v>
      </c>
      <c r="C3" s="25">
        <v>1</v>
      </c>
      <c r="D3" s="243">
        <v>4</v>
      </c>
      <c r="E3" s="243"/>
    </row>
    <row r="5" spans="1:13" hidden="1" x14ac:dyDescent="0.25">
      <c r="A5" s="21" t="s">
        <v>104</v>
      </c>
      <c r="B5" s="23" t="s">
        <v>157</v>
      </c>
      <c r="C5" s="23">
        <f>D3</f>
        <v>4</v>
      </c>
      <c r="D5" s="24"/>
    </row>
    <row r="6" spans="1:13" x14ac:dyDescent="0.25">
      <c r="A6" s="21" t="s">
        <v>105</v>
      </c>
      <c r="B6" s="26">
        <v>10</v>
      </c>
      <c r="C6" s="27">
        <v>10</v>
      </c>
      <c r="D6" s="28">
        <f>((100/B6)*C6)/100</f>
        <v>1</v>
      </c>
    </row>
    <row r="7" spans="1:13" x14ac:dyDescent="0.25">
      <c r="A7" s="21" t="s">
        <v>106</v>
      </c>
      <c r="B7" s="26">
        <f>A3+B3+C3+D3</f>
        <v>5</v>
      </c>
      <c r="C7" s="27">
        <v>2</v>
      </c>
      <c r="D7" s="28">
        <f t="shared" ref="D7:D12" si="0">((100/B7)*C7)/100</f>
        <v>0.4</v>
      </c>
      <c r="F7" s="244" t="s">
        <v>158</v>
      </c>
      <c r="G7" s="244"/>
      <c r="H7" s="29" t="s">
        <v>159</v>
      </c>
      <c r="J7" s="35"/>
    </row>
    <row r="8" spans="1:13" x14ac:dyDescent="0.25">
      <c r="A8" s="21" t="s">
        <v>111</v>
      </c>
      <c r="B8" s="26">
        <f>C5</f>
        <v>4</v>
      </c>
      <c r="C8" s="27">
        <v>0</v>
      </c>
      <c r="D8" s="28">
        <f t="shared" si="0"/>
        <v>0</v>
      </c>
      <c r="F8" s="241" t="s">
        <v>160</v>
      </c>
      <c r="G8" s="241"/>
      <c r="H8" s="26" t="s">
        <v>161</v>
      </c>
    </row>
    <row r="9" spans="1:13" x14ac:dyDescent="0.25">
      <c r="A9" s="21" t="s">
        <v>113</v>
      </c>
      <c r="B9" s="26">
        <f>C5</f>
        <v>4</v>
      </c>
      <c r="C9" s="27">
        <v>0</v>
      </c>
      <c r="D9" s="28">
        <f t="shared" si="0"/>
        <v>0</v>
      </c>
      <c r="F9" s="241" t="s">
        <v>162</v>
      </c>
      <c r="G9" s="241"/>
      <c r="H9" s="26" t="s">
        <v>163</v>
      </c>
    </row>
    <row r="10" spans="1:13" x14ac:dyDescent="0.25">
      <c r="A10" s="21" t="s">
        <v>72</v>
      </c>
      <c r="B10" s="26">
        <f>C5</f>
        <v>4</v>
      </c>
      <c r="C10" s="27">
        <v>0</v>
      </c>
      <c r="D10" s="28">
        <f t="shared" si="0"/>
        <v>0</v>
      </c>
      <c r="F10" s="241" t="s">
        <v>164</v>
      </c>
      <c r="G10" s="241"/>
      <c r="H10" s="26" t="s">
        <v>165</v>
      </c>
    </row>
    <row r="11" spans="1:13" x14ac:dyDescent="0.25">
      <c r="A11" s="30" t="s">
        <v>109</v>
      </c>
      <c r="B11" s="26">
        <f>C5</f>
        <v>4</v>
      </c>
      <c r="C11" s="27">
        <v>0</v>
      </c>
      <c r="D11" s="28">
        <f t="shared" si="0"/>
        <v>0</v>
      </c>
      <c r="F11" s="241" t="s">
        <v>166</v>
      </c>
      <c r="G11" s="241"/>
      <c r="H11" s="26" t="s">
        <v>167</v>
      </c>
    </row>
    <row r="12" spans="1:13" x14ac:dyDescent="0.25">
      <c r="A12" s="21" t="s">
        <v>73</v>
      </c>
      <c r="B12" s="26">
        <f>C5</f>
        <v>4</v>
      </c>
      <c r="C12" s="27">
        <v>0</v>
      </c>
      <c r="D12" s="28">
        <f t="shared" si="0"/>
        <v>0</v>
      </c>
      <c r="F12" s="241" t="s">
        <v>168</v>
      </c>
      <c r="G12" s="241"/>
      <c r="H12" s="26" t="s">
        <v>169</v>
      </c>
    </row>
    <row r="13" spans="1:13" x14ac:dyDescent="0.25">
      <c r="F13" s="241" t="s">
        <v>170</v>
      </c>
      <c r="G13" s="241"/>
      <c r="H13" s="26" t="s">
        <v>171</v>
      </c>
    </row>
    <row r="14" spans="1:13" hidden="1" x14ac:dyDescent="0.25">
      <c r="A14" s="22"/>
      <c r="B14" s="22" t="s">
        <v>110</v>
      </c>
      <c r="C14" s="22" t="s">
        <v>114</v>
      </c>
      <c r="G14" s="22" t="s">
        <v>105</v>
      </c>
      <c r="H14" s="22" t="s">
        <v>107</v>
      </c>
      <c r="I14" s="22" t="s">
        <v>108</v>
      </c>
      <c r="J14" s="22" t="s">
        <v>71</v>
      </c>
      <c r="K14" s="22" t="s">
        <v>72</v>
      </c>
      <c r="L14" s="22" t="s">
        <v>109</v>
      </c>
      <c r="M14" s="22" t="s">
        <v>73</v>
      </c>
    </row>
    <row r="15" spans="1:13" hidden="1" x14ac:dyDescent="0.25">
      <c r="A15" s="22" t="s">
        <v>69</v>
      </c>
      <c r="B15" s="22">
        <f>G15</f>
        <v>10</v>
      </c>
      <c r="C15" s="22">
        <f>G16</f>
        <v>30</v>
      </c>
      <c r="E15" s="242" t="s">
        <v>110</v>
      </c>
      <c r="F15" s="242"/>
      <c r="G15" s="31">
        <f>C6</f>
        <v>10</v>
      </c>
      <c r="H15" s="31">
        <f>40/B7*C7</f>
        <v>16</v>
      </c>
      <c r="I15" s="31">
        <f>15/B8*C8</f>
        <v>0</v>
      </c>
      <c r="J15" s="31">
        <f>10/B9*C9</f>
        <v>0</v>
      </c>
      <c r="K15" s="31">
        <f>10/B10*C10</f>
        <v>0</v>
      </c>
      <c r="L15" s="31">
        <f>5/B11*C11</f>
        <v>0</v>
      </c>
      <c r="M15" s="31">
        <f>5/B12*C12</f>
        <v>0</v>
      </c>
    </row>
    <row r="16" spans="1:13" hidden="1" x14ac:dyDescent="0.25">
      <c r="A16" s="22" t="s">
        <v>70</v>
      </c>
      <c r="B16" s="22">
        <f>H15</f>
        <v>16</v>
      </c>
      <c r="C16" s="22">
        <f>H16</f>
        <v>12</v>
      </c>
      <c r="E16" s="242" t="s">
        <v>112</v>
      </c>
      <c r="F16" s="242"/>
      <c r="G16" s="22">
        <f>G15+20</f>
        <v>30</v>
      </c>
      <c r="H16" s="22">
        <f>30/B7*C7</f>
        <v>12</v>
      </c>
      <c r="I16" s="22">
        <f>15/B8*C8</f>
        <v>0</v>
      </c>
      <c r="J16" s="22">
        <f>10/B9*C9</f>
        <v>0</v>
      </c>
      <c r="K16" s="22">
        <f>5/B10*C10</f>
        <v>0</v>
      </c>
      <c r="L16" s="22">
        <f>5/B11*C11</f>
        <v>0</v>
      </c>
      <c r="M16" s="22">
        <f>5/B12*C12</f>
        <v>0</v>
      </c>
    </row>
    <row r="17" spans="1:8" hidden="1" x14ac:dyDescent="0.25">
      <c r="A17" s="22" t="s">
        <v>108</v>
      </c>
      <c r="B17" s="22">
        <f>I15</f>
        <v>0</v>
      </c>
      <c r="C17" s="22">
        <f>I16</f>
        <v>0</v>
      </c>
    </row>
    <row r="18" spans="1:8" hidden="1" x14ac:dyDescent="0.25">
      <c r="A18" s="22" t="s">
        <v>71</v>
      </c>
      <c r="B18" s="22">
        <f>J15</f>
        <v>0</v>
      </c>
      <c r="C18" s="22">
        <f>J16</f>
        <v>0</v>
      </c>
    </row>
    <row r="19" spans="1:8" hidden="1" x14ac:dyDescent="0.25">
      <c r="A19" s="22" t="s">
        <v>72</v>
      </c>
      <c r="B19" s="22">
        <f>K15</f>
        <v>0</v>
      </c>
      <c r="C19" s="22">
        <f>K16</f>
        <v>0</v>
      </c>
    </row>
    <row r="20" spans="1:8" hidden="1" x14ac:dyDescent="0.25">
      <c r="A20" s="32" t="s">
        <v>109</v>
      </c>
      <c r="B20" s="22">
        <f>L15</f>
        <v>0</v>
      </c>
      <c r="C20" s="22">
        <f>L16</f>
        <v>0</v>
      </c>
    </row>
    <row r="21" spans="1:8" hidden="1" x14ac:dyDescent="0.25">
      <c r="A21" s="22" t="s">
        <v>73</v>
      </c>
      <c r="B21" s="22">
        <f>M15</f>
        <v>0</v>
      </c>
      <c r="C21" s="22">
        <f>M16</f>
        <v>0</v>
      </c>
    </row>
    <row r="22" spans="1:8" x14ac:dyDescent="0.25">
      <c r="A22" s="22" t="s">
        <v>115</v>
      </c>
      <c r="B22" s="33">
        <f>(B15+B16+B17+B18+B19+B20+B21)/100</f>
        <v>0.26</v>
      </c>
      <c r="C22" s="33">
        <f>(C15+C16+C17+C18+C19+C20+C21)/100</f>
        <v>0.42</v>
      </c>
      <c r="F22" s="241" t="s">
        <v>172</v>
      </c>
      <c r="G22" s="241"/>
      <c r="H22" s="26" t="s">
        <v>163</v>
      </c>
    </row>
    <row r="23" spans="1:8" x14ac:dyDescent="0.25">
      <c r="F23" s="241" t="s">
        <v>173</v>
      </c>
      <c r="G23" s="241"/>
      <c r="H23" s="26" t="s">
        <v>174</v>
      </c>
    </row>
    <row r="24" spans="1:8" x14ac:dyDescent="0.25">
      <c r="A24" s="21" t="s">
        <v>146</v>
      </c>
      <c r="B24" s="34">
        <v>0.01</v>
      </c>
      <c r="C24" s="34">
        <v>0.02</v>
      </c>
      <c r="F24" s="241" t="s">
        <v>175</v>
      </c>
      <c r="G24" s="241"/>
      <c r="H24" s="26" t="s">
        <v>176</v>
      </c>
    </row>
    <row r="25" spans="1:8" x14ac:dyDescent="0.25">
      <c r="A25" s="21" t="s">
        <v>147</v>
      </c>
      <c r="B25" s="34">
        <v>0.01</v>
      </c>
      <c r="C25" s="34">
        <v>0.03</v>
      </c>
    </row>
    <row r="26" spans="1:8" x14ac:dyDescent="0.25">
      <c r="A26" s="21" t="s">
        <v>148</v>
      </c>
      <c r="B26" s="34">
        <v>0.03</v>
      </c>
      <c r="C26" s="34">
        <v>0.08</v>
      </c>
    </row>
    <row r="27" spans="1:8" x14ac:dyDescent="0.25">
      <c r="A27" s="21" t="s">
        <v>149</v>
      </c>
      <c r="B27" s="34">
        <v>0.05</v>
      </c>
      <c r="C27" s="34">
        <v>0.15</v>
      </c>
    </row>
    <row r="28" spans="1:8" x14ac:dyDescent="0.25">
      <c r="A28" s="21" t="s">
        <v>150</v>
      </c>
      <c r="B28" s="34">
        <v>7.0000000000000007E-2</v>
      </c>
      <c r="C28" s="34">
        <v>0.2</v>
      </c>
    </row>
    <row r="29" spans="1:8" x14ac:dyDescent="0.25">
      <c r="A29" s="21" t="s">
        <v>151</v>
      </c>
      <c r="B29" s="34">
        <v>0.1</v>
      </c>
      <c r="C29" s="34">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workbookViewId="0">
      <selection activeCell="C9" sqref="C9"/>
    </sheetView>
  </sheetViews>
  <sheetFormatPr defaultRowHeight="13.8" x14ac:dyDescent="0.25"/>
  <cols>
    <col min="1" max="1" width="20.5546875" style="21" customWidth="1"/>
    <col min="2" max="2" width="11.6640625" style="21" customWidth="1"/>
    <col min="3" max="4" width="9.109375" style="21"/>
    <col min="5" max="5" width="10.109375" style="21" customWidth="1"/>
    <col min="6" max="6" width="10.6640625" style="21" customWidth="1"/>
    <col min="7" max="7" width="9.109375" style="21"/>
    <col min="8" max="8" width="10.44140625" style="21" customWidth="1"/>
    <col min="9" max="9" width="15.44140625" style="21" customWidth="1"/>
    <col min="10" max="258" width="9.109375" style="21"/>
    <col min="259" max="259" width="11.6640625" style="21" customWidth="1"/>
    <col min="260" max="260" width="9.109375" style="21"/>
    <col min="261" max="261" width="14.6640625" style="21" customWidth="1"/>
    <col min="262" max="262" width="10.6640625" style="21" customWidth="1"/>
    <col min="263" max="514" width="9.109375" style="21"/>
    <col min="515" max="515" width="11.6640625" style="21" customWidth="1"/>
    <col min="516" max="516" width="9.109375" style="21"/>
    <col min="517" max="517" width="14.6640625" style="21" customWidth="1"/>
    <col min="518" max="518" width="10.6640625" style="21" customWidth="1"/>
    <col min="519" max="770" width="9.109375" style="21"/>
    <col min="771" max="771" width="11.6640625" style="21" customWidth="1"/>
    <col min="772" max="772" width="9.109375" style="21"/>
    <col min="773" max="773" width="14.6640625" style="21" customWidth="1"/>
    <col min="774" max="774" width="10.6640625" style="21" customWidth="1"/>
    <col min="775" max="1026" width="9.109375" style="21"/>
    <col min="1027" max="1027" width="11.6640625" style="21" customWidth="1"/>
    <col min="1028" max="1028" width="9.109375" style="21"/>
    <col min="1029" max="1029" width="14.6640625" style="21" customWidth="1"/>
    <col min="1030" max="1030" width="10.6640625" style="21" customWidth="1"/>
    <col min="1031" max="1282" width="9.109375" style="21"/>
    <col min="1283" max="1283" width="11.6640625" style="21" customWidth="1"/>
    <col min="1284" max="1284" width="9.109375" style="21"/>
    <col min="1285" max="1285" width="14.6640625" style="21" customWidth="1"/>
    <col min="1286" max="1286" width="10.6640625" style="21" customWidth="1"/>
    <col min="1287" max="1538" width="9.109375" style="21"/>
    <col min="1539" max="1539" width="11.6640625" style="21" customWidth="1"/>
    <col min="1540" max="1540" width="9.109375" style="21"/>
    <col min="1541" max="1541" width="14.6640625" style="21" customWidth="1"/>
    <col min="1542" max="1542" width="10.6640625" style="21" customWidth="1"/>
    <col min="1543" max="1794" width="9.109375" style="21"/>
    <col min="1795" max="1795" width="11.6640625" style="21" customWidth="1"/>
    <col min="1796" max="1796" width="9.109375" style="21"/>
    <col min="1797" max="1797" width="14.6640625" style="21" customWidth="1"/>
    <col min="1798" max="1798" width="10.6640625" style="21" customWidth="1"/>
    <col min="1799" max="2050" width="9.109375" style="21"/>
    <col min="2051" max="2051" width="11.6640625" style="21" customWidth="1"/>
    <col min="2052" max="2052" width="9.109375" style="21"/>
    <col min="2053" max="2053" width="14.6640625" style="21" customWidth="1"/>
    <col min="2054" max="2054" width="10.6640625" style="21" customWidth="1"/>
    <col min="2055" max="2306" width="9.109375" style="21"/>
    <col min="2307" max="2307" width="11.6640625" style="21" customWidth="1"/>
    <col min="2308" max="2308" width="9.109375" style="21"/>
    <col min="2309" max="2309" width="14.6640625" style="21" customWidth="1"/>
    <col min="2310" max="2310" width="10.6640625" style="21" customWidth="1"/>
    <col min="2311" max="2562" width="9.109375" style="21"/>
    <col min="2563" max="2563" width="11.6640625" style="21" customWidth="1"/>
    <col min="2564" max="2564" width="9.109375" style="21"/>
    <col min="2565" max="2565" width="14.6640625" style="21" customWidth="1"/>
    <col min="2566" max="2566" width="10.6640625" style="21" customWidth="1"/>
    <col min="2567" max="2818" width="9.109375" style="21"/>
    <col min="2819" max="2819" width="11.6640625" style="21" customWidth="1"/>
    <col min="2820" max="2820" width="9.109375" style="21"/>
    <col min="2821" max="2821" width="14.6640625" style="21" customWidth="1"/>
    <col min="2822" max="2822" width="10.6640625" style="21" customWidth="1"/>
    <col min="2823" max="3074" width="9.109375" style="21"/>
    <col min="3075" max="3075" width="11.6640625" style="21" customWidth="1"/>
    <col min="3076" max="3076" width="9.109375" style="21"/>
    <col min="3077" max="3077" width="14.6640625" style="21" customWidth="1"/>
    <col min="3078" max="3078" width="10.6640625" style="21" customWidth="1"/>
    <col min="3079" max="3330" width="9.109375" style="21"/>
    <col min="3331" max="3331" width="11.6640625" style="21" customWidth="1"/>
    <col min="3332" max="3332" width="9.109375" style="21"/>
    <col min="3333" max="3333" width="14.6640625" style="21" customWidth="1"/>
    <col min="3334" max="3334" width="10.6640625" style="21" customWidth="1"/>
    <col min="3335" max="3586" width="9.109375" style="21"/>
    <col min="3587" max="3587" width="11.6640625" style="21" customWidth="1"/>
    <col min="3588" max="3588" width="9.109375" style="21"/>
    <col min="3589" max="3589" width="14.6640625" style="21" customWidth="1"/>
    <col min="3590" max="3590" width="10.6640625" style="21" customWidth="1"/>
    <col min="3591" max="3842" width="9.109375" style="21"/>
    <col min="3843" max="3843" width="11.6640625" style="21" customWidth="1"/>
    <col min="3844" max="3844" width="9.109375" style="21"/>
    <col min="3845" max="3845" width="14.6640625" style="21" customWidth="1"/>
    <col min="3846" max="3846" width="10.6640625" style="21" customWidth="1"/>
    <col min="3847" max="4098" width="9.109375" style="21"/>
    <col min="4099" max="4099" width="11.6640625" style="21" customWidth="1"/>
    <col min="4100" max="4100" width="9.109375" style="21"/>
    <col min="4101" max="4101" width="14.6640625" style="21" customWidth="1"/>
    <col min="4102" max="4102" width="10.6640625" style="21" customWidth="1"/>
    <col min="4103" max="4354" width="9.109375" style="21"/>
    <col min="4355" max="4355" width="11.6640625" style="21" customWidth="1"/>
    <col min="4356" max="4356" width="9.109375" style="21"/>
    <col min="4357" max="4357" width="14.6640625" style="21" customWidth="1"/>
    <col min="4358" max="4358" width="10.6640625" style="21" customWidth="1"/>
    <col min="4359" max="4610" width="9.109375" style="21"/>
    <col min="4611" max="4611" width="11.6640625" style="21" customWidth="1"/>
    <col min="4612" max="4612" width="9.109375" style="21"/>
    <col min="4613" max="4613" width="14.6640625" style="21" customWidth="1"/>
    <col min="4614" max="4614" width="10.6640625" style="21" customWidth="1"/>
    <col min="4615" max="4866" width="9.109375" style="21"/>
    <col min="4867" max="4867" width="11.6640625" style="21" customWidth="1"/>
    <col min="4868" max="4868" width="9.109375" style="21"/>
    <col min="4869" max="4869" width="14.6640625" style="21" customWidth="1"/>
    <col min="4870" max="4870" width="10.6640625" style="21" customWidth="1"/>
    <col min="4871" max="5122" width="9.109375" style="21"/>
    <col min="5123" max="5123" width="11.6640625" style="21" customWidth="1"/>
    <col min="5124" max="5124" width="9.109375" style="21"/>
    <col min="5125" max="5125" width="14.6640625" style="21" customWidth="1"/>
    <col min="5126" max="5126" width="10.6640625" style="21" customWidth="1"/>
    <col min="5127" max="5378" width="9.109375" style="21"/>
    <col min="5379" max="5379" width="11.6640625" style="21" customWidth="1"/>
    <col min="5380" max="5380" width="9.109375" style="21"/>
    <col min="5381" max="5381" width="14.6640625" style="21" customWidth="1"/>
    <col min="5382" max="5382" width="10.6640625" style="21" customWidth="1"/>
    <col min="5383" max="5634" width="9.109375" style="21"/>
    <col min="5635" max="5635" width="11.6640625" style="21" customWidth="1"/>
    <col min="5636" max="5636" width="9.109375" style="21"/>
    <col min="5637" max="5637" width="14.6640625" style="21" customWidth="1"/>
    <col min="5638" max="5638" width="10.6640625" style="21" customWidth="1"/>
    <col min="5639" max="5890" width="9.109375" style="21"/>
    <col min="5891" max="5891" width="11.6640625" style="21" customWidth="1"/>
    <col min="5892" max="5892" width="9.109375" style="21"/>
    <col min="5893" max="5893" width="14.6640625" style="21" customWidth="1"/>
    <col min="5894" max="5894" width="10.6640625" style="21" customWidth="1"/>
    <col min="5895" max="6146" width="9.109375" style="21"/>
    <col min="6147" max="6147" width="11.6640625" style="21" customWidth="1"/>
    <col min="6148" max="6148" width="9.109375" style="21"/>
    <col min="6149" max="6149" width="14.6640625" style="21" customWidth="1"/>
    <col min="6150" max="6150" width="10.6640625" style="21" customWidth="1"/>
    <col min="6151" max="6402" width="9.109375" style="21"/>
    <col min="6403" max="6403" width="11.6640625" style="21" customWidth="1"/>
    <col min="6404" max="6404" width="9.109375" style="21"/>
    <col min="6405" max="6405" width="14.6640625" style="21" customWidth="1"/>
    <col min="6406" max="6406" width="10.6640625" style="21" customWidth="1"/>
    <col min="6407" max="6658" width="9.109375" style="21"/>
    <col min="6659" max="6659" width="11.6640625" style="21" customWidth="1"/>
    <col min="6660" max="6660" width="9.109375" style="21"/>
    <col min="6661" max="6661" width="14.6640625" style="21" customWidth="1"/>
    <col min="6662" max="6662" width="10.6640625" style="21" customWidth="1"/>
    <col min="6663" max="6914" width="9.109375" style="21"/>
    <col min="6915" max="6915" width="11.6640625" style="21" customWidth="1"/>
    <col min="6916" max="6916" width="9.109375" style="21"/>
    <col min="6917" max="6917" width="14.6640625" style="21" customWidth="1"/>
    <col min="6918" max="6918" width="10.6640625" style="21" customWidth="1"/>
    <col min="6919" max="7170" width="9.109375" style="21"/>
    <col min="7171" max="7171" width="11.6640625" style="21" customWidth="1"/>
    <col min="7172" max="7172" width="9.109375" style="21"/>
    <col min="7173" max="7173" width="14.6640625" style="21" customWidth="1"/>
    <col min="7174" max="7174" width="10.6640625" style="21" customWidth="1"/>
    <col min="7175" max="7426" width="9.109375" style="21"/>
    <col min="7427" max="7427" width="11.6640625" style="21" customWidth="1"/>
    <col min="7428" max="7428" width="9.109375" style="21"/>
    <col min="7429" max="7429" width="14.6640625" style="21" customWidth="1"/>
    <col min="7430" max="7430" width="10.6640625" style="21" customWidth="1"/>
    <col min="7431" max="7682" width="9.109375" style="21"/>
    <col min="7683" max="7683" width="11.6640625" style="21" customWidth="1"/>
    <col min="7684" max="7684" width="9.109375" style="21"/>
    <col min="7685" max="7685" width="14.6640625" style="21" customWidth="1"/>
    <col min="7686" max="7686" width="10.6640625" style="21" customWidth="1"/>
    <col min="7687" max="7938" width="9.109375" style="21"/>
    <col min="7939" max="7939" width="11.6640625" style="21" customWidth="1"/>
    <col min="7940" max="7940" width="9.109375" style="21"/>
    <col min="7941" max="7941" width="14.6640625" style="21" customWidth="1"/>
    <col min="7942" max="7942" width="10.6640625" style="21" customWidth="1"/>
    <col min="7943" max="8194" width="9.109375" style="21"/>
    <col min="8195" max="8195" width="11.6640625" style="21" customWidth="1"/>
    <col min="8196" max="8196" width="9.109375" style="21"/>
    <col min="8197" max="8197" width="14.6640625" style="21" customWidth="1"/>
    <col min="8198" max="8198" width="10.6640625" style="21" customWidth="1"/>
    <col min="8199" max="8450" width="9.109375" style="21"/>
    <col min="8451" max="8451" width="11.6640625" style="21" customWidth="1"/>
    <col min="8452" max="8452" width="9.109375" style="21"/>
    <col min="8453" max="8453" width="14.6640625" style="21" customWidth="1"/>
    <col min="8454" max="8454" width="10.6640625" style="21" customWidth="1"/>
    <col min="8455" max="8706" width="9.109375" style="21"/>
    <col min="8707" max="8707" width="11.6640625" style="21" customWidth="1"/>
    <col min="8708" max="8708" width="9.109375" style="21"/>
    <col min="8709" max="8709" width="14.6640625" style="21" customWidth="1"/>
    <col min="8710" max="8710" width="10.6640625" style="21" customWidth="1"/>
    <col min="8711" max="8962" width="9.109375" style="21"/>
    <col min="8963" max="8963" width="11.6640625" style="21" customWidth="1"/>
    <col min="8964" max="8964" width="9.109375" style="21"/>
    <col min="8965" max="8965" width="14.6640625" style="21" customWidth="1"/>
    <col min="8966" max="8966" width="10.6640625" style="21" customWidth="1"/>
    <col min="8967" max="9218" width="9.109375" style="21"/>
    <col min="9219" max="9219" width="11.6640625" style="21" customWidth="1"/>
    <col min="9220" max="9220" width="9.109375" style="21"/>
    <col min="9221" max="9221" width="14.6640625" style="21" customWidth="1"/>
    <col min="9222" max="9222" width="10.6640625" style="21" customWidth="1"/>
    <col min="9223" max="9474" width="9.109375" style="21"/>
    <col min="9475" max="9475" width="11.6640625" style="21" customWidth="1"/>
    <col min="9476" max="9476" width="9.109375" style="21"/>
    <col min="9477" max="9477" width="14.6640625" style="21" customWidth="1"/>
    <col min="9478" max="9478" width="10.6640625" style="21" customWidth="1"/>
    <col min="9479" max="9730" width="9.109375" style="21"/>
    <col min="9731" max="9731" width="11.6640625" style="21" customWidth="1"/>
    <col min="9732" max="9732" width="9.109375" style="21"/>
    <col min="9733" max="9733" width="14.6640625" style="21" customWidth="1"/>
    <col min="9734" max="9734" width="10.6640625" style="21" customWidth="1"/>
    <col min="9735" max="9986" width="9.109375" style="21"/>
    <col min="9987" max="9987" width="11.6640625" style="21" customWidth="1"/>
    <col min="9988" max="9988" width="9.109375" style="21"/>
    <col min="9989" max="9989" width="14.6640625" style="21" customWidth="1"/>
    <col min="9990" max="9990" width="10.6640625" style="21" customWidth="1"/>
    <col min="9991" max="10242" width="9.109375" style="21"/>
    <col min="10243" max="10243" width="11.6640625" style="21" customWidth="1"/>
    <col min="10244" max="10244" width="9.109375" style="21"/>
    <col min="10245" max="10245" width="14.6640625" style="21" customWidth="1"/>
    <col min="10246" max="10246" width="10.6640625" style="21" customWidth="1"/>
    <col min="10247" max="10498" width="9.109375" style="21"/>
    <col min="10499" max="10499" width="11.6640625" style="21" customWidth="1"/>
    <col min="10500" max="10500" width="9.109375" style="21"/>
    <col min="10501" max="10501" width="14.6640625" style="21" customWidth="1"/>
    <col min="10502" max="10502" width="10.6640625" style="21" customWidth="1"/>
    <col min="10503" max="10754" width="9.109375" style="21"/>
    <col min="10755" max="10755" width="11.6640625" style="21" customWidth="1"/>
    <col min="10756" max="10756" width="9.109375" style="21"/>
    <col min="10757" max="10757" width="14.6640625" style="21" customWidth="1"/>
    <col min="10758" max="10758" width="10.6640625" style="21" customWidth="1"/>
    <col min="10759" max="11010" width="9.109375" style="21"/>
    <col min="11011" max="11011" width="11.6640625" style="21" customWidth="1"/>
    <col min="11012" max="11012" width="9.109375" style="21"/>
    <col min="11013" max="11013" width="14.6640625" style="21" customWidth="1"/>
    <col min="11014" max="11014" width="10.6640625" style="21" customWidth="1"/>
    <col min="11015" max="11266" width="9.109375" style="21"/>
    <col min="11267" max="11267" width="11.6640625" style="21" customWidth="1"/>
    <col min="11268" max="11268" width="9.109375" style="21"/>
    <col min="11269" max="11269" width="14.6640625" style="21" customWidth="1"/>
    <col min="11270" max="11270" width="10.6640625" style="21" customWidth="1"/>
    <col min="11271" max="11522" width="9.109375" style="21"/>
    <col min="11523" max="11523" width="11.6640625" style="21" customWidth="1"/>
    <col min="11524" max="11524" width="9.109375" style="21"/>
    <col min="11525" max="11525" width="14.6640625" style="21" customWidth="1"/>
    <col min="11526" max="11526" width="10.6640625" style="21" customWidth="1"/>
    <col min="11527" max="11778" width="9.109375" style="21"/>
    <col min="11779" max="11779" width="11.6640625" style="21" customWidth="1"/>
    <col min="11780" max="11780" width="9.109375" style="21"/>
    <col min="11781" max="11781" width="14.6640625" style="21" customWidth="1"/>
    <col min="11782" max="11782" width="10.6640625" style="21" customWidth="1"/>
    <col min="11783" max="12034" width="9.109375" style="21"/>
    <col min="12035" max="12035" width="11.6640625" style="21" customWidth="1"/>
    <col min="12036" max="12036" width="9.109375" style="21"/>
    <col min="12037" max="12037" width="14.6640625" style="21" customWidth="1"/>
    <col min="12038" max="12038" width="10.6640625" style="21" customWidth="1"/>
    <col min="12039" max="12290" width="9.109375" style="21"/>
    <col min="12291" max="12291" width="11.6640625" style="21" customWidth="1"/>
    <col min="12292" max="12292" width="9.109375" style="21"/>
    <col min="12293" max="12293" width="14.6640625" style="21" customWidth="1"/>
    <col min="12294" max="12294" width="10.6640625" style="21" customWidth="1"/>
    <col min="12295" max="12546" width="9.109375" style="21"/>
    <col min="12547" max="12547" width="11.6640625" style="21" customWidth="1"/>
    <col min="12548" max="12548" width="9.109375" style="21"/>
    <col min="12549" max="12549" width="14.6640625" style="21" customWidth="1"/>
    <col min="12550" max="12550" width="10.6640625" style="21" customWidth="1"/>
    <col min="12551" max="12802" width="9.109375" style="21"/>
    <col min="12803" max="12803" width="11.6640625" style="21" customWidth="1"/>
    <col min="12804" max="12804" width="9.109375" style="21"/>
    <col min="12805" max="12805" width="14.6640625" style="21" customWidth="1"/>
    <col min="12806" max="12806" width="10.6640625" style="21" customWidth="1"/>
    <col min="12807" max="13058" width="9.109375" style="21"/>
    <col min="13059" max="13059" width="11.6640625" style="21" customWidth="1"/>
    <col min="13060" max="13060" width="9.109375" style="21"/>
    <col min="13061" max="13061" width="14.6640625" style="21" customWidth="1"/>
    <col min="13062" max="13062" width="10.6640625" style="21" customWidth="1"/>
    <col min="13063" max="13314" width="9.109375" style="21"/>
    <col min="13315" max="13315" width="11.6640625" style="21" customWidth="1"/>
    <col min="13316" max="13316" width="9.109375" style="21"/>
    <col min="13317" max="13317" width="14.6640625" style="21" customWidth="1"/>
    <col min="13318" max="13318" width="10.6640625" style="21" customWidth="1"/>
    <col min="13319" max="13570" width="9.109375" style="21"/>
    <col min="13571" max="13571" width="11.6640625" style="21" customWidth="1"/>
    <col min="13572" max="13572" width="9.109375" style="21"/>
    <col min="13573" max="13573" width="14.6640625" style="21" customWidth="1"/>
    <col min="13574" max="13574" width="10.6640625" style="21" customWidth="1"/>
    <col min="13575" max="13826" width="9.109375" style="21"/>
    <col min="13827" max="13827" width="11.6640625" style="21" customWidth="1"/>
    <col min="13828" max="13828" width="9.109375" style="21"/>
    <col min="13829" max="13829" width="14.6640625" style="21" customWidth="1"/>
    <col min="13830" max="13830" width="10.6640625" style="21" customWidth="1"/>
    <col min="13831" max="14082" width="9.109375" style="21"/>
    <col min="14083" max="14083" width="11.6640625" style="21" customWidth="1"/>
    <col min="14084" max="14084" width="9.109375" style="21"/>
    <col min="14085" max="14085" width="14.6640625" style="21" customWidth="1"/>
    <col min="14086" max="14086" width="10.6640625" style="21" customWidth="1"/>
    <col min="14087" max="14338" width="9.109375" style="21"/>
    <col min="14339" max="14339" width="11.6640625" style="21" customWidth="1"/>
    <col min="14340" max="14340" width="9.109375" style="21"/>
    <col min="14341" max="14341" width="14.6640625" style="21" customWidth="1"/>
    <col min="14342" max="14342" width="10.6640625" style="21" customWidth="1"/>
    <col min="14343" max="14594" width="9.109375" style="21"/>
    <col min="14595" max="14595" width="11.6640625" style="21" customWidth="1"/>
    <col min="14596" max="14596" width="9.109375" style="21"/>
    <col min="14597" max="14597" width="14.6640625" style="21" customWidth="1"/>
    <col min="14598" max="14598" width="10.6640625" style="21" customWidth="1"/>
    <col min="14599" max="14850" width="9.109375" style="21"/>
    <col min="14851" max="14851" width="11.6640625" style="21" customWidth="1"/>
    <col min="14852" max="14852" width="9.109375" style="21"/>
    <col min="14853" max="14853" width="14.6640625" style="21" customWidth="1"/>
    <col min="14854" max="14854" width="10.6640625" style="21" customWidth="1"/>
    <col min="14855" max="15106" width="9.109375" style="21"/>
    <col min="15107" max="15107" width="11.6640625" style="21" customWidth="1"/>
    <col min="15108" max="15108" width="9.109375" style="21"/>
    <col min="15109" max="15109" width="14.6640625" style="21" customWidth="1"/>
    <col min="15110" max="15110" width="10.6640625" style="21" customWidth="1"/>
    <col min="15111" max="15362" width="9.109375" style="21"/>
    <col min="15363" max="15363" width="11.6640625" style="21" customWidth="1"/>
    <col min="15364" max="15364" width="9.109375" style="21"/>
    <col min="15365" max="15365" width="14.6640625" style="21" customWidth="1"/>
    <col min="15366" max="15366" width="10.6640625" style="21" customWidth="1"/>
    <col min="15367" max="15618" width="9.109375" style="21"/>
    <col min="15619" max="15619" width="11.6640625" style="21" customWidth="1"/>
    <col min="15620" max="15620" width="9.109375" style="21"/>
    <col min="15621" max="15621" width="14.6640625" style="21" customWidth="1"/>
    <col min="15622" max="15622" width="10.6640625" style="21" customWidth="1"/>
    <col min="15623" max="15874" width="9.109375" style="21"/>
    <col min="15875" max="15875" width="11.6640625" style="21" customWidth="1"/>
    <col min="15876" max="15876" width="9.109375" style="21"/>
    <col min="15877" max="15877" width="14.6640625" style="21" customWidth="1"/>
    <col min="15878" max="15878" width="10.6640625" style="21" customWidth="1"/>
    <col min="15879" max="16130" width="9.109375" style="21"/>
    <col min="16131" max="16131" width="11.6640625" style="21" customWidth="1"/>
    <col min="16132" max="16132" width="9.109375" style="21"/>
    <col min="16133" max="16133" width="14.6640625" style="21" customWidth="1"/>
    <col min="16134" max="16134" width="10.6640625" style="21" customWidth="1"/>
    <col min="16135" max="16384" width="9.109375" style="21"/>
  </cols>
  <sheetData>
    <row r="2" spans="1:13" x14ac:dyDescent="0.25">
      <c r="A2" s="22" t="s">
        <v>139</v>
      </c>
      <c r="B2" s="22" t="s">
        <v>140</v>
      </c>
      <c r="C2" s="22" t="s">
        <v>141</v>
      </c>
      <c r="D2" s="242" t="s">
        <v>142</v>
      </c>
      <c r="E2" s="242"/>
    </row>
    <row r="3" spans="1:13" x14ac:dyDescent="0.25">
      <c r="A3" s="25">
        <v>0</v>
      </c>
      <c r="B3" s="25">
        <v>0</v>
      </c>
      <c r="C3" s="25">
        <v>1</v>
      </c>
      <c r="D3" s="243">
        <v>4</v>
      </c>
      <c r="E3" s="243"/>
    </row>
    <row r="5" spans="1:13" hidden="1" x14ac:dyDescent="0.25">
      <c r="A5" s="21" t="s">
        <v>104</v>
      </c>
      <c r="B5" s="23" t="s">
        <v>157</v>
      </c>
      <c r="C5" s="23">
        <f>D3</f>
        <v>4</v>
      </c>
      <c r="D5" s="24"/>
    </row>
    <row r="6" spans="1:13" x14ac:dyDescent="0.25">
      <c r="A6" s="21" t="s">
        <v>105</v>
      </c>
      <c r="B6" s="26">
        <v>10</v>
      </c>
      <c r="C6" s="27">
        <v>10</v>
      </c>
      <c r="D6" s="28">
        <f>((100/B6)*C6)/100</f>
        <v>1</v>
      </c>
    </row>
    <row r="7" spans="1:13" x14ac:dyDescent="0.25">
      <c r="A7" s="21" t="s">
        <v>106</v>
      </c>
      <c r="B7" s="26">
        <f>A3+B3+C3+D3</f>
        <v>5</v>
      </c>
      <c r="C7" s="27">
        <v>2</v>
      </c>
      <c r="D7" s="28">
        <f t="shared" ref="D7:D12" si="0">((100/B7)*C7)/100</f>
        <v>0.4</v>
      </c>
      <c r="F7" s="244" t="s">
        <v>158</v>
      </c>
      <c r="G7" s="244"/>
      <c r="H7" s="29" t="s">
        <v>159</v>
      </c>
      <c r="J7" s="35"/>
    </row>
    <row r="8" spans="1:13" x14ac:dyDescent="0.25">
      <c r="A8" s="21" t="s">
        <v>111</v>
      </c>
      <c r="B8" s="26">
        <f>C5</f>
        <v>4</v>
      </c>
      <c r="C8" s="27">
        <v>1</v>
      </c>
      <c r="D8" s="28">
        <f t="shared" si="0"/>
        <v>0.25</v>
      </c>
      <c r="F8" s="241" t="s">
        <v>160</v>
      </c>
      <c r="G8" s="241"/>
      <c r="H8" s="26" t="s">
        <v>161</v>
      </c>
    </row>
    <row r="9" spans="1:13" x14ac:dyDescent="0.25">
      <c r="A9" s="21" t="s">
        <v>113</v>
      </c>
      <c r="B9" s="26">
        <f>C5</f>
        <v>4</v>
      </c>
      <c r="C9" s="27">
        <v>0</v>
      </c>
      <c r="D9" s="28">
        <f t="shared" si="0"/>
        <v>0</v>
      </c>
      <c r="F9" s="241" t="s">
        <v>162</v>
      </c>
      <c r="G9" s="241"/>
      <c r="H9" s="26" t="s">
        <v>163</v>
      </c>
    </row>
    <row r="10" spans="1:13" x14ac:dyDescent="0.25">
      <c r="A10" s="21" t="s">
        <v>72</v>
      </c>
      <c r="B10" s="26">
        <f>C5</f>
        <v>4</v>
      </c>
      <c r="C10" s="27">
        <v>0</v>
      </c>
      <c r="D10" s="28">
        <f t="shared" si="0"/>
        <v>0</v>
      </c>
      <c r="F10" s="241" t="s">
        <v>164</v>
      </c>
      <c r="G10" s="241"/>
      <c r="H10" s="26" t="s">
        <v>165</v>
      </c>
    </row>
    <row r="11" spans="1:13" x14ac:dyDescent="0.25">
      <c r="A11" s="30" t="s">
        <v>109</v>
      </c>
      <c r="B11" s="26">
        <f>C5</f>
        <v>4</v>
      </c>
      <c r="C11" s="27">
        <v>0</v>
      </c>
      <c r="D11" s="28">
        <f t="shared" si="0"/>
        <v>0</v>
      </c>
      <c r="F11" s="241" t="s">
        <v>166</v>
      </c>
      <c r="G11" s="241"/>
      <c r="H11" s="26" t="s">
        <v>167</v>
      </c>
    </row>
    <row r="12" spans="1:13" x14ac:dyDescent="0.25">
      <c r="A12" s="21" t="s">
        <v>73</v>
      </c>
      <c r="B12" s="26">
        <f>C5</f>
        <v>4</v>
      </c>
      <c r="C12" s="27">
        <v>0</v>
      </c>
      <c r="D12" s="28">
        <f t="shared" si="0"/>
        <v>0</v>
      </c>
      <c r="F12" s="241" t="s">
        <v>168</v>
      </c>
      <c r="G12" s="241"/>
      <c r="H12" s="26" t="s">
        <v>169</v>
      </c>
    </row>
    <row r="13" spans="1:13" x14ac:dyDescent="0.25">
      <c r="F13" s="241" t="s">
        <v>170</v>
      </c>
      <c r="G13" s="241"/>
      <c r="H13" s="26" t="s">
        <v>171</v>
      </c>
    </row>
    <row r="14" spans="1:13" hidden="1" x14ac:dyDescent="0.25">
      <c r="A14" s="22"/>
      <c r="B14" s="22" t="s">
        <v>110</v>
      </c>
      <c r="C14" s="22" t="s">
        <v>114</v>
      </c>
      <c r="G14" s="22" t="s">
        <v>105</v>
      </c>
      <c r="H14" s="22" t="s">
        <v>107</v>
      </c>
      <c r="I14" s="22" t="s">
        <v>108</v>
      </c>
      <c r="J14" s="22" t="s">
        <v>71</v>
      </c>
      <c r="K14" s="22" t="s">
        <v>72</v>
      </c>
      <c r="L14" s="22" t="s">
        <v>109</v>
      </c>
      <c r="M14" s="22" t="s">
        <v>73</v>
      </c>
    </row>
    <row r="15" spans="1:13" hidden="1" x14ac:dyDescent="0.25">
      <c r="A15" s="22" t="s">
        <v>69</v>
      </c>
      <c r="B15" s="22">
        <f>G15</f>
        <v>10</v>
      </c>
      <c r="C15" s="22">
        <f>G16</f>
        <v>30</v>
      </c>
      <c r="E15" s="242" t="s">
        <v>110</v>
      </c>
      <c r="F15" s="242"/>
      <c r="G15" s="31">
        <f>C6</f>
        <v>10</v>
      </c>
      <c r="H15" s="31">
        <f>40/B7*C7</f>
        <v>16</v>
      </c>
      <c r="I15" s="31">
        <f>15/B8*C8</f>
        <v>3.75</v>
      </c>
      <c r="J15" s="31">
        <f>10/B9*C9</f>
        <v>0</v>
      </c>
      <c r="K15" s="31">
        <f>10/B10*C10</f>
        <v>0</v>
      </c>
      <c r="L15" s="31">
        <f>5/B11*C11</f>
        <v>0</v>
      </c>
      <c r="M15" s="31">
        <f>5/B12*C12</f>
        <v>0</v>
      </c>
    </row>
    <row r="16" spans="1:13" hidden="1" x14ac:dyDescent="0.25">
      <c r="A16" s="22" t="s">
        <v>70</v>
      </c>
      <c r="B16" s="22">
        <f>H15</f>
        <v>16</v>
      </c>
      <c r="C16" s="22">
        <f>H16</f>
        <v>12</v>
      </c>
      <c r="E16" s="242" t="s">
        <v>112</v>
      </c>
      <c r="F16" s="242"/>
      <c r="G16" s="22">
        <f>G15+20</f>
        <v>30</v>
      </c>
      <c r="H16" s="22">
        <f>30/B7*C7</f>
        <v>12</v>
      </c>
      <c r="I16" s="22">
        <f>15/B8*C8</f>
        <v>3.75</v>
      </c>
      <c r="J16" s="22">
        <f>10/B9*C9</f>
        <v>0</v>
      </c>
      <c r="K16" s="22">
        <f>5/B10*C10</f>
        <v>0</v>
      </c>
      <c r="L16" s="22">
        <f>5/B11*C11</f>
        <v>0</v>
      </c>
      <c r="M16" s="22">
        <f>5/B12*C12</f>
        <v>0</v>
      </c>
    </row>
    <row r="17" spans="1:8" hidden="1" x14ac:dyDescent="0.25">
      <c r="A17" s="22" t="s">
        <v>108</v>
      </c>
      <c r="B17" s="22">
        <f>I15</f>
        <v>3.75</v>
      </c>
      <c r="C17" s="22">
        <f>I16</f>
        <v>3.75</v>
      </c>
    </row>
    <row r="18" spans="1:8" hidden="1" x14ac:dyDescent="0.25">
      <c r="A18" s="22" t="s">
        <v>71</v>
      </c>
      <c r="B18" s="22">
        <f>J15</f>
        <v>0</v>
      </c>
      <c r="C18" s="22">
        <f>J16</f>
        <v>0</v>
      </c>
    </row>
    <row r="19" spans="1:8" hidden="1" x14ac:dyDescent="0.25">
      <c r="A19" s="22" t="s">
        <v>72</v>
      </c>
      <c r="B19" s="22">
        <f>K15</f>
        <v>0</v>
      </c>
      <c r="C19" s="22">
        <f>K16</f>
        <v>0</v>
      </c>
    </row>
    <row r="20" spans="1:8" hidden="1" x14ac:dyDescent="0.25">
      <c r="A20" s="32" t="s">
        <v>109</v>
      </c>
      <c r="B20" s="22">
        <f>L15</f>
        <v>0</v>
      </c>
      <c r="C20" s="22">
        <f>L16</f>
        <v>0</v>
      </c>
    </row>
    <row r="21" spans="1:8" hidden="1" x14ac:dyDescent="0.25">
      <c r="A21" s="22" t="s">
        <v>73</v>
      </c>
      <c r="B21" s="22">
        <f>M15</f>
        <v>0</v>
      </c>
      <c r="C21" s="22">
        <f>M16</f>
        <v>0</v>
      </c>
    </row>
    <row r="22" spans="1:8" x14ac:dyDescent="0.25">
      <c r="A22" s="22" t="s">
        <v>115</v>
      </c>
      <c r="B22" s="33">
        <f>(B15+B16+B17+B18+B19+B20+B21)/100</f>
        <v>0.29749999999999999</v>
      </c>
      <c r="C22" s="33">
        <f>(C15+C16+C17+C18+C19+C20+C21)/100</f>
        <v>0.45750000000000002</v>
      </c>
      <c r="F22" s="241" t="s">
        <v>172</v>
      </c>
      <c r="G22" s="241"/>
      <c r="H22" s="26" t="s">
        <v>163</v>
      </c>
    </row>
    <row r="23" spans="1:8" x14ac:dyDescent="0.25">
      <c r="F23" s="241" t="s">
        <v>173</v>
      </c>
      <c r="G23" s="241"/>
      <c r="H23" s="26" t="s">
        <v>174</v>
      </c>
    </row>
    <row r="24" spans="1:8" x14ac:dyDescent="0.25">
      <c r="A24" s="21" t="s">
        <v>146</v>
      </c>
      <c r="B24" s="34">
        <v>0.01</v>
      </c>
      <c r="C24" s="34">
        <v>0.02</v>
      </c>
      <c r="F24" s="241" t="s">
        <v>175</v>
      </c>
      <c r="G24" s="241"/>
      <c r="H24" s="26" t="s">
        <v>176</v>
      </c>
    </row>
    <row r="25" spans="1:8" x14ac:dyDescent="0.25">
      <c r="A25" s="21" t="s">
        <v>147</v>
      </c>
      <c r="B25" s="34">
        <v>0.01</v>
      </c>
      <c r="C25" s="34">
        <v>0.03</v>
      </c>
    </row>
    <row r="26" spans="1:8" x14ac:dyDescent="0.25">
      <c r="A26" s="21" t="s">
        <v>148</v>
      </c>
      <c r="B26" s="34">
        <v>0.03</v>
      </c>
      <c r="C26" s="34">
        <v>0.08</v>
      </c>
    </row>
    <row r="27" spans="1:8" x14ac:dyDescent="0.25">
      <c r="A27" s="21" t="s">
        <v>149</v>
      </c>
      <c r="B27" s="34">
        <v>0.05</v>
      </c>
      <c r="C27" s="34">
        <v>0.15</v>
      </c>
    </row>
    <row r="28" spans="1:8" x14ac:dyDescent="0.25">
      <c r="A28" s="21" t="s">
        <v>150</v>
      </c>
      <c r="B28" s="34">
        <v>7.0000000000000007E-2</v>
      </c>
      <c r="C28" s="34">
        <v>0.2</v>
      </c>
    </row>
    <row r="29" spans="1:8" x14ac:dyDescent="0.25">
      <c r="A29" s="21" t="s">
        <v>151</v>
      </c>
      <c r="B29" s="34">
        <v>0.1</v>
      </c>
      <c r="C29" s="34">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2"/>
  <sheetViews>
    <sheetView workbookViewId="0">
      <selection activeCell="I28" sqref="I28"/>
    </sheetView>
  </sheetViews>
  <sheetFormatPr defaultRowHeight="14.4" x14ac:dyDescent="0.3"/>
  <cols>
    <col min="1" max="1" width="10.33203125" bestFit="1" customWidth="1"/>
  </cols>
  <sheetData>
    <row r="2" spans="1:2" x14ac:dyDescent="0.3">
      <c r="A2" s="42">
        <v>44117</v>
      </c>
      <c r="B2" t="s">
        <v>216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
  <sheetViews>
    <sheetView workbookViewId="0">
      <selection sqref="A1:XFD1048576"/>
    </sheetView>
  </sheetViews>
  <sheetFormatPr defaultColWidth="8.6640625" defaultRowHeight="14.4" x14ac:dyDescent="0.3"/>
  <cols>
    <col min="1" max="1" width="10.33203125" style="44" bestFit="1" customWidth="1"/>
    <col min="2" max="2" width="22.109375" style="44" customWidth="1"/>
    <col min="3" max="3" width="37" style="44" customWidth="1"/>
    <col min="4" max="5" width="11.44140625" style="44" customWidth="1"/>
    <col min="6" max="6" width="14" style="44" customWidth="1"/>
    <col min="7" max="7" width="20" style="44" customWidth="1"/>
    <col min="8" max="8" width="16.44140625" style="44" customWidth="1"/>
    <col min="9" max="16384" width="8.6640625" style="44"/>
  </cols>
  <sheetData>
    <row r="1" spans="1:9" ht="15" customHeight="1" x14ac:dyDescent="0.3">
      <c r="A1" s="43">
        <v>44117</v>
      </c>
      <c r="B1" s="44" t="s">
        <v>216</v>
      </c>
    </row>
    <row r="2" spans="1:9" ht="15" customHeight="1" x14ac:dyDescent="0.3">
      <c r="A2" s="45"/>
      <c r="B2" s="45"/>
      <c r="C2" s="45"/>
      <c r="D2" s="45"/>
      <c r="E2" s="45"/>
      <c r="F2" s="45"/>
      <c r="G2" s="45"/>
      <c r="H2" s="45"/>
    </row>
    <row r="3" spans="1:9" ht="15.75" customHeight="1" x14ac:dyDescent="0.3">
      <c r="A3" s="45"/>
      <c r="B3" s="245" t="s">
        <v>217</v>
      </c>
      <c r="C3" s="245"/>
      <c r="D3" s="245"/>
      <c r="E3" s="245"/>
      <c r="F3" s="245"/>
      <c r="G3" s="245"/>
      <c r="H3" s="245"/>
    </row>
    <row r="4" spans="1:9" x14ac:dyDescent="0.3">
      <c r="A4" s="45"/>
      <c r="B4" s="46" t="s">
        <v>218</v>
      </c>
      <c r="C4" s="46" t="s">
        <v>219</v>
      </c>
      <c r="D4" s="46" t="s">
        <v>117</v>
      </c>
      <c r="E4" s="46" t="s">
        <v>220</v>
      </c>
      <c r="F4" s="46" t="s">
        <v>221</v>
      </c>
      <c r="G4" s="46" t="s">
        <v>222</v>
      </c>
      <c r="H4" s="46" t="s">
        <v>223</v>
      </c>
    </row>
    <row r="5" spans="1:9" ht="15" customHeight="1" x14ac:dyDescent="0.3">
      <c r="A5" s="45"/>
      <c r="B5" s="47" t="s">
        <v>224</v>
      </c>
      <c r="C5" s="48"/>
      <c r="D5" s="47"/>
      <c r="E5" s="47"/>
      <c r="F5" s="49"/>
      <c r="G5" s="49"/>
      <c r="H5" s="50">
        <v>55800000</v>
      </c>
    </row>
    <row r="6" spans="1:9" x14ac:dyDescent="0.3">
      <c r="A6" s="45"/>
      <c r="B6" s="47" t="s">
        <v>224</v>
      </c>
      <c r="C6" s="51"/>
      <c r="D6" s="47"/>
      <c r="E6" s="47"/>
      <c r="F6" s="49"/>
      <c r="G6" s="49"/>
      <c r="H6" s="50">
        <v>120000000</v>
      </c>
    </row>
    <row r="7" spans="1:9" ht="15" customHeight="1" x14ac:dyDescent="0.3">
      <c r="A7" s="45"/>
      <c r="B7" s="47" t="s">
        <v>224</v>
      </c>
      <c r="C7" s="48"/>
      <c r="D7" s="47"/>
      <c r="E7" s="47"/>
      <c r="F7" s="49"/>
      <c r="G7" s="49"/>
      <c r="H7" s="50">
        <v>76300000</v>
      </c>
    </row>
    <row r="8" spans="1:9" x14ac:dyDescent="0.3">
      <c r="A8" s="45"/>
      <c r="B8" s="47" t="s">
        <v>224</v>
      </c>
      <c r="C8" s="51"/>
      <c r="D8" s="47"/>
      <c r="E8" s="47"/>
      <c r="F8" s="49"/>
      <c r="G8" s="49"/>
      <c r="H8" s="50">
        <v>118500000</v>
      </c>
    </row>
    <row r="9" spans="1:9" ht="15" customHeight="1" x14ac:dyDescent="0.3">
      <c r="A9" s="45"/>
      <c r="B9" s="47" t="s">
        <v>224</v>
      </c>
      <c r="C9" s="51"/>
      <c r="D9" s="47"/>
      <c r="E9" s="47"/>
      <c r="F9" s="49"/>
      <c r="G9" s="49"/>
      <c r="H9" s="50">
        <v>139000000</v>
      </c>
    </row>
    <row r="10" spans="1:9" ht="15" customHeight="1" x14ac:dyDescent="0.3">
      <c r="A10" s="45"/>
      <c r="B10" s="47" t="s">
        <v>225</v>
      </c>
      <c r="C10" s="48"/>
      <c r="D10" s="47"/>
      <c r="E10" s="47"/>
      <c r="F10" s="49"/>
      <c r="G10" s="49"/>
      <c r="H10" s="50">
        <v>77400000</v>
      </c>
    </row>
    <row r="11" spans="1:9" ht="15" customHeight="1" x14ac:dyDescent="0.3">
      <c r="A11" s="45"/>
      <c r="B11" s="47" t="s">
        <v>225</v>
      </c>
      <c r="C11" s="48"/>
      <c r="D11" s="47"/>
      <c r="E11" s="47"/>
      <c r="F11" s="49"/>
      <c r="G11" s="49"/>
      <c r="H11" s="50">
        <v>86300000</v>
      </c>
    </row>
    <row r="12" spans="1:9" ht="15" customHeight="1" x14ac:dyDescent="0.3">
      <c r="A12" s="45"/>
      <c r="B12" s="52" t="s">
        <v>226</v>
      </c>
      <c r="C12" s="47"/>
      <c r="D12" s="47"/>
      <c r="E12" s="47"/>
      <c r="F12" s="47"/>
      <c r="G12" s="53" t="e">
        <f>AVERAGE(G5:G11)</f>
        <v>#DIV/0!</v>
      </c>
      <c r="H12" s="47"/>
    </row>
    <row r="13" spans="1:9" ht="15" customHeight="1" x14ac:dyDescent="0.3">
      <c r="B13" s="52" t="s">
        <v>227</v>
      </c>
      <c r="C13" s="47"/>
      <c r="D13" s="47"/>
      <c r="E13" s="47"/>
      <c r="F13" s="54"/>
      <c r="G13" s="52">
        <v>32000</v>
      </c>
      <c r="H13" s="52"/>
      <c r="I13" s="55"/>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36"/>
  <sheetViews>
    <sheetView topLeftCell="A19" workbookViewId="0">
      <selection activeCell="D28" sqref="D28"/>
    </sheetView>
  </sheetViews>
  <sheetFormatPr defaultRowHeight="14.4" x14ac:dyDescent="0.3"/>
  <cols>
    <col min="2" max="2" width="12.33203125" customWidth="1"/>
  </cols>
  <sheetData>
    <row r="2" spans="1:12" x14ac:dyDescent="0.3">
      <c r="B2" s="5" t="s">
        <v>116</v>
      </c>
      <c r="C2" s="246"/>
      <c r="D2" s="246"/>
    </row>
    <row r="3" spans="1:12" x14ac:dyDescent="0.3">
      <c r="D3" s="6"/>
      <c r="E3" s="6"/>
      <c r="F3" s="6"/>
      <c r="G3" s="6"/>
      <c r="H3" s="6"/>
      <c r="I3" s="6"/>
    </row>
    <row r="4" spans="1:12" x14ac:dyDescent="0.3">
      <c r="A4" s="5" t="s">
        <v>117</v>
      </c>
      <c r="B4" s="7" t="s">
        <v>118</v>
      </c>
      <c r="C4" s="247" t="s">
        <v>119</v>
      </c>
      <c r="D4" s="247"/>
      <c r="E4" s="247"/>
      <c r="F4" s="8"/>
      <c r="G4" s="247" t="s">
        <v>120</v>
      </c>
      <c r="H4" s="247"/>
      <c r="I4" s="247"/>
      <c r="J4" s="247" t="s">
        <v>121</v>
      </c>
      <c r="K4" s="247"/>
      <c r="L4" s="247"/>
    </row>
    <row r="5" spans="1:12" x14ac:dyDescent="0.3">
      <c r="A5" s="5">
        <v>1</v>
      </c>
      <c r="B5" s="7"/>
      <c r="C5" s="7" t="s">
        <v>122</v>
      </c>
      <c r="D5" s="7" t="s">
        <v>123</v>
      </c>
      <c r="E5" s="7" t="s">
        <v>83</v>
      </c>
      <c r="F5" s="7"/>
      <c r="G5" s="7" t="s">
        <v>122</v>
      </c>
      <c r="H5" s="7" t="s">
        <v>123</v>
      </c>
      <c r="I5" s="7" t="s">
        <v>83</v>
      </c>
      <c r="J5" s="7" t="s">
        <v>122</v>
      </c>
      <c r="K5" s="7" t="s">
        <v>123</v>
      </c>
      <c r="L5" s="7" t="s">
        <v>83</v>
      </c>
    </row>
    <row r="6" spans="1:12" x14ac:dyDescent="0.3">
      <c r="B6" s="9" t="s">
        <v>124</v>
      </c>
      <c r="C6" s="9">
        <v>3.5</v>
      </c>
      <c r="D6" s="9">
        <v>2.74</v>
      </c>
      <c r="E6" s="9">
        <f>C6*D6</f>
        <v>9.59</v>
      </c>
      <c r="F6" s="9" t="s">
        <v>125</v>
      </c>
      <c r="G6" s="9"/>
      <c r="H6" s="9"/>
      <c r="I6" s="9">
        <f>G6*H6</f>
        <v>0</v>
      </c>
      <c r="J6" s="9"/>
      <c r="K6" s="9"/>
      <c r="L6" s="9">
        <f>J6*K6</f>
        <v>0</v>
      </c>
    </row>
    <row r="7" spans="1:12" x14ac:dyDescent="0.3">
      <c r="B7" s="9"/>
      <c r="C7" s="9"/>
      <c r="D7" s="9"/>
      <c r="E7" s="9">
        <f t="shared" ref="E7:E33" si="0">C7*D7</f>
        <v>0</v>
      </c>
      <c r="F7" s="9" t="s">
        <v>126</v>
      </c>
      <c r="G7" s="9"/>
      <c r="H7" s="9"/>
      <c r="I7" s="9">
        <f t="shared" ref="I7:I29" si="1">G7*H7</f>
        <v>0</v>
      </c>
      <c r="J7" s="9"/>
      <c r="K7" s="9"/>
      <c r="L7" s="9">
        <f t="shared" ref="L7:L29" si="2">J7*K7</f>
        <v>0</v>
      </c>
    </row>
    <row r="8" spans="1:12" x14ac:dyDescent="0.3">
      <c r="B8" s="9"/>
      <c r="C8" s="9"/>
      <c r="D8" s="9"/>
      <c r="E8" s="9">
        <f t="shared" si="0"/>
        <v>0</v>
      </c>
      <c r="F8" s="9"/>
      <c r="G8" s="9"/>
      <c r="H8" s="9"/>
      <c r="I8" s="9">
        <f t="shared" si="1"/>
        <v>0</v>
      </c>
      <c r="J8" s="9"/>
      <c r="K8" s="9"/>
      <c r="L8" s="9">
        <f t="shared" si="2"/>
        <v>0</v>
      </c>
    </row>
    <row r="9" spans="1:12" x14ac:dyDescent="0.3">
      <c r="B9" s="9" t="s">
        <v>127</v>
      </c>
      <c r="C9" s="9">
        <v>2.6</v>
      </c>
      <c r="D9" s="9">
        <v>2.13</v>
      </c>
      <c r="E9" s="9">
        <f t="shared" si="0"/>
        <v>5.5380000000000003</v>
      </c>
      <c r="F9" s="9" t="s">
        <v>125</v>
      </c>
      <c r="G9" s="9"/>
      <c r="H9" s="9"/>
      <c r="I9" s="9">
        <f t="shared" si="1"/>
        <v>0</v>
      </c>
      <c r="J9" s="9"/>
      <c r="K9" s="9"/>
      <c r="L9" s="9">
        <f t="shared" si="2"/>
        <v>0</v>
      </c>
    </row>
    <row r="10" spans="1:12" x14ac:dyDescent="0.3">
      <c r="B10" s="9"/>
      <c r="C10" s="9"/>
      <c r="D10" s="9"/>
      <c r="E10" s="9">
        <f t="shared" si="0"/>
        <v>0</v>
      </c>
      <c r="F10" s="9" t="s">
        <v>126</v>
      </c>
      <c r="G10" s="9"/>
      <c r="H10" s="9"/>
      <c r="I10" s="9">
        <f t="shared" si="1"/>
        <v>0</v>
      </c>
      <c r="J10" s="9"/>
      <c r="K10" s="9"/>
      <c r="L10" s="9">
        <f t="shared" si="2"/>
        <v>0</v>
      </c>
    </row>
    <row r="11" spans="1:12" x14ac:dyDescent="0.3">
      <c r="B11" s="9"/>
      <c r="C11" s="9"/>
      <c r="D11" s="9"/>
      <c r="E11" s="9">
        <f t="shared" si="0"/>
        <v>0</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128</v>
      </c>
      <c r="C13" s="9">
        <v>2.2999999999999998</v>
      </c>
      <c r="D13" s="9">
        <v>2.75</v>
      </c>
      <c r="E13" s="9">
        <f t="shared" si="0"/>
        <v>6.3249999999999993</v>
      </c>
      <c r="F13" s="9" t="s">
        <v>125</v>
      </c>
      <c r="G13" s="9"/>
      <c r="H13" s="9"/>
      <c r="I13" s="9">
        <f t="shared" si="1"/>
        <v>0</v>
      </c>
      <c r="J13" s="9"/>
      <c r="K13" s="9"/>
      <c r="L13" s="9">
        <f t="shared" si="2"/>
        <v>0</v>
      </c>
    </row>
    <row r="14" spans="1:12" x14ac:dyDescent="0.3">
      <c r="B14" s="9"/>
      <c r="C14" s="9"/>
      <c r="D14" s="9"/>
      <c r="E14" s="9">
        <f t="shared" si="0"/>
        <v>0</v>
      </c>
      <c r="F14" s="9" t="s">
        <v>126</v>
      </c>
      <c r="G14" s="9"/>
      <c r="H14" s="9"/>
      <c r="I14" s="9">
        <f t="shared" si="1"/>
        <v>0</v>
      </c>
      <c r="J14" s="9"/>
      <c r="K14" s="9"/>
      <c r="L14" s="9">
        <f t="shared" si="2"/>
        <v>0</v>
      </c>
    </row>
    <row r="15" spans="1:12" x14ac:dyDescent="0.3">
      <c r="B15" s="9"/>
      <c r="C15" s="9"/>
      <c r="D15" s="9"/>
      <c r="E15" s="9">
        <f t="shared" si="0"/>
        <v>0</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129</v>
      </c>
      <c r="C17" s="9"/>
      <c r="D17" s="9"/>
      <c r="E17" s="9">
        <f t="shared" si="0"/>
        <v>0</v>
      </c>
      <c r="F17" s="9" t="s">
        <v>125</v>
      </c>
      <c r="G17" s="9"/>
      <c r="H17" s="9"/>
      <c r="I17" s="9">
        <f t="shared" si="1"/>
        <v>0</v>
      </c>
      <c r="J17" s="9"/>
      <c r="K17" s="9"/>
      <c r="L17" s="9">
        <f t="shared" si="2"/>
        <v>0</v>
      </c>
    </row>
    <row r="18" spans="2:12" x14ac:dyDescent="0.3">
      <c r="B18" s="9"/>
      <c r="C18" s="9"/>
      <c r="D18" s="9"/>
      <c r="E18" s="9">
        <f t="shared" si="0"/>
        <v>0</v>
      </c>
      <c r="F18" s="9" t="s">
        <v>126</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129</v>
      </c>
      <c r="C20" s="9"/>
      <c r="D20" s="9"/>
      <c r="E20" s="9">
        <f t="shared" si="0"/>
        <v>0</v>
      </c>
      <c r="F20" s="9" t="s">
        <v>125</v>
      </c>
      <c r="G20" s="9"/>
      <c r="H20" s="9"/>
      <c r="I20" s="9">
        <f t="shared" si="1"/>
        <v>0</v>
      </c>
      <c r="J20" s="9"/>
      <c r="K20" s="9"/>
      <c r="L20" s="9">
        <f t="shared" si="2"/>
        <v>0</v>
      </c>
    </row>
    <row r="21" spans="2:12" x14ac:dyDescent="0.3">
      <c r="B21" s="9"/>
      <c r="C21" s="9"/>
      <c r="D21" s="9"/>
      <c r="E21" s="9">
        <f t="shared" si="0"/>
        <v>0</v>
      </c>
      <c r="F21" s="9" t="s">
        <v>126</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130</v>
      </c>
      <c r="C23" s="9">
        <v>0.9</v>
      </c>
      <c r="D23" s="9">
        <v>1.2</v>
      </c>
      <c r="E23" s="9">
        <f t="shared" si="0"/>
        <v>1.08</v>
      </c>
      <c r="F23" s="9" t="s">
        <v>131</v>
      </c>
      <c r="G23" s="9"/>
      <c r="H23" s="9"/>
      <c r="I23" s="9">
        <f t="shared" si="1"/>
        <v>0</v>
      </c>
      <c r="J23" s="9"/>
      <c r="K23" s="9"/>
      <c r="L23" s="9">
        <f t="shared" si="2"/>
        <v>0</v>
      </c>
    </row>
    <row r="24" spans="2:12" x14ac:dyDescent="0.3">
      <c r="B24" s="9" t="s">
        <v>132</v>
      </c>
      <c r="C24" s="9">
        <v>1.2</v>
      </c>
      <c r="D24" s="9">
        <v>1.5</v>
      </c>
      <c r="E24" s="9">
        <f t="shared" si="0"/>
        <v>1.7999999999999998</v>
      </c>
      <c r="F24" s="9" t="s">
        <v>131</v>
      </c>
      <c r="G24" s="9"/>
      <c r="H24" s="9"/>
      <c r="I24" s="9">
        <f t="shared" si="1"/>
        <v>0</v>
      </c>
      <c r="J24" s="9"/>
      <c r="K24" s="9"/>
      <c r="L24" s="9">
        <f t="shared" si="2"/>
        <v>0</v>
      </c>
    </row>
    <row r="25" spans="2:12" x14ac:dyDescent="0.3">
      <c r="B25" s="9" t="s">
        <v>133</v>
      </c>
      <c r="C25" s="9"/>
      <c r="D25" s="9"/>
      <c r="E25" s="9">
        <f t="shared" si="0"/>
        <v>0</v>
      </c>
      <c r="F25" s="9" t="s">
        <v>131</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134</v>
      </c>
      <c r="C27" s="9">
        <v>1</v>
      </c>
      <c r="D27" s="9">
        <v>2.4300000000000002</v>
      </c>
      <c r="E27" s="9">
        <f t="shared" si="0"/>
        <v>2.4300000000000002</v>
      </c>
      <c r="F27" s="9"/>
      <c r="G27" s="9"/>
      <c r="H27" s="9"/>
      <c r="I27" s="9">
        <f t="shared" si="1"/>
        <v>0</v>
      </c>
      <c r="J27" s="9"/>
      <c r="K27" s="9"/>
      <c r="L27" s="9">
        <f t="shared" si="2"/>
        <v>0</v>
      </c>
    </row>
    <row r="28" spans="2:12" x14ac:dyDescent="0.3">
      <c r="B28" s="9" t="s">
        <v>135</v>
      </c>
      <c r="C28" s="9"/>
      <c r="D28" s="9"/>
      <c r="E28" s="9">
        <f t="shared" si="0"/>
        <v>0</v>
      </c>
      <c r="F28" s="9"/>
      <c r="G28" s="9"/>
      <c r="H28" s="9"/>
      <c r="I28" s="9">
        <f t="shared" si="1"/>
        <v>0</v>
      </c>
      <c r="J28" s="9"/>
      <c r="K28" s="9"/>
      <c r="L28" s="9">
        <f t="shared" si="2"/>
        <v>0</v>
      </c>
    </row>
    <row r="29" spans="2:12" x14ac:dyDescent="0.3">
      <c r="B29" s="9" t="s">
        <v>136</v>
      </c>
      <c r="C29" s="9"/>
      <c r="D29" s="9"/>
      <c r="E29" s="9">
        <f t="shared" si="0"/>
        <v>0</v>
      </c>
      <c r="F29" s="9"/>
      <c r="G29" s="9"/>
      <c r="H29" s="9"/>
      <c r="I29" s="9">
        <f t="shared" si="1"/>
        <v>0</v>
      </c>
      <c r="J29" s="9"/>
      <c r="K29" s="9"/>
      <c r="L29" s="9">
        <f t="shared" si="2"/>
        <v>0</v>
      </c>
    </row>
    <row r="30" spans="2:12" x14ac:dyDescent="0.3">
      <c r="B30" s="9" t="s">
        <v>137</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84</v>
      </c>
      <c r="C34" s="9"/>
      <c r="D34" s="9">
        <f>E34*10.764</f>
        <v>288.076932</v>
      </c>
      <c r="E34" s="9">
        <f>SUM(E6:E33)</f>
        <v>26.763000000000002</v>
      </c>
      <c r="F34" s="9"/>
      <c r="G34" s="9"/>
      <c r="H34" s="9">
        <f>I34*10.764</f>
        <v>0</v>
      </c>
      <c r="I34" s="9">
        <f>SUM(I6:I33)</f>
        <v>0</v>
      </c>
      <c r="J34" s="9"/>
      <c r="K34" s="9">
        <f>L34*10.764</f>
        <v>0</v>
      </c>
      <c r="L34" s="9">
        <f>SUM(L6:L33)</f>
        <v>0</v>
      </c>
    </row>
    <row r="36" spans="2:12" x14ac:dyDescent="0.3">
      <c r="D36">
        <f>D34+H34</f>
        <v>288.076932</v>
      </c>
      <c r="E36">
        <f>E34+I34</f>
        <v>26.763000000000002</v>
      </c>
    </row>
  </sheetData>
  <mergeCells count="4">
    <mergeCell ref="C2:D2"/>
    <mergeCell ref="C4:E4"/>
    <mergeCell ref="G4:I4"/>
    <mergeCell ref="J4:L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
  <sheetViews>
    <sheetView topLeftCell="B1" workbookViewId="0">
      <selection activeCell="D6" sqref="D6"/>
    </sheetView>
  </sheetViews>
  <sheetFormatPr defaultRowHeight="14.4" x14ac:dyDescent="0.3"/>
  <cols>
    <col min="2" max="2" width="23.109375" customWidth="1"/>
    <col min="3" max="3" width="34.44140625" customWidth="1"/>
    <col min="7" max="7" width="21.5546875" customWidth="1"/>
    <col min="8" max="8" width="24.33203125" customWidth="1"/>
  </cols>
  <sheetData>
    <row r="1" spans="1:9" x14ac:dyDescent="0.3">
      <c r="A1" s="44"/>
      <c r="B1" s="44"/>
      <c r="C1" s="44"/>
      <c r="D1" s="44"/>
      <c r="E1" s="44"/>
      <c r="F1" s="44"/>
      <c r="G1" s="44"/>
      <c r="H1" s="44"/>
    </row>
    <row r="2" spans="1:9" x14ac:dyDescent="0.3">
      <c r="A2" s="56"/>
      <c r="B2" s="56"/>
      <c r="C2" s="56"/>
      <c r="D2" s="56"/>
      <c r="E2" s="56"/>
      <c r="F2" s="56"/>
      <c r="G2" s="56"/>
      <c r="H2" s="56"/>
    </row>
    <row r="3" spans="1:9" x14ac:dyDescent="0.3">
      <c r="A3" s="56"/>
      <c r="B3" s="248" t="s">
        <v>217</v>
      </c>
      <c r="C3" s="248"/>
      <c r="D3" s="248"/>
      <c r="E3" s="248"/>
      <c r="F3" s="248"/>
      <c r="G3" s="248"/>
      <c r="H3" s="248"/>
    </row>
    <row r="4" spans="1:9" ht="28.8" x14ac:dyDescent="0.3">
      <c r="A4" s="56"/>
      <c r="B4" s="57" t="s">
        <v>218</v>
      </c>
      <c r="C4" s="57" t="s">
        <v>219</v>
      </c>
      <c r="D4" s="57" t="s">
        <v>117</v>
      </c>
      <c r="E4" s="57" t="s">
        <v>220</v>
      </c>
      <c r="F4" s="57" t="s">
        <v>221</v>
      </c>
      <c r="G4" s="57" t="s">
        <v>222</v>
      </c>
      <c r="H4" s="57" t="s">
        <v>223</v>
      </c>
    </row>
    <row r="5" spans="1:9" x14ac:dyDescent="0.3">
      <c r="A5" s="56"/>
      <c r="B5" s="58" t="s">
        <v>228</v>
      </c>
      <c r="C5" s="59" t="s">
        <v>213</v>
      </c>
      <c r="D5" s="58" t="s">
        <v>192</v>
      </c>
      <c r="E5" s="58">
        <v>385</v>
      </c>
      <c r="F5" s="60">
        <f>E5*1.45</f>
        <v>558.25</v>
      </c>
      <c r="G5" s="60">
        <f>H5/F5</f>
        <v>2771.1598746081504</v>
      </c>
      <c r="H5" s="61">
        <v>1547000</v>
      </c>
    </row>
    <row r="6" spans="1:9" x14ac:dyDescent="0.3">
      <c r="A6" s="56"/>
      <c r="B6" s="58" t="s">
        <v>228</v>
      </c>
      <c r="C6" s="59" t="s">
        <v>213</v>
      </c>
      <c r="D6" s="58" t="s">
        <v>198</v>
      </c>
      <c r="E6" s="58">
        <v>227</v>
      </c>
      <c r="F6" s="60">
        <f>E6*1.45</f>
        <v>329.15</v>
      </c>
      <c r="G6" s="60">
        <f>H6/F6</f>
        <v>2795.0782318092056</v>
      </c>
      <c r="H6" s="61">
        <v>920000</v>
      </c>
    </row>
    <row r="7" spans="1:9" x14ac:dyDescent="0.3">
      <c r="A7" s="56"/>
      <c r="B7" s="62" t="s">
        <v>226</v>
      </c>
      <c r="C7" s="58"/>
      <c r="D7" s="58"/>
      <c r="E7" s="58"/>
      <c r="F7" s="58"/>
      <c r="G7" s="63">
        <f>AVERAGE(G5:G6)</f>
        <v>2783.119053208678</v>
      </c>
      <c r="H7" s="58"/>
    </row>
    <row r="8" spans="1:9" x14ac:dyDescent="0.3">
      <c r="A8" s="44"/>
      <c r="B8" s="62" t="s">
        <v>227</v>
      </c>
      <c r="C8" s="58"/>
      <c r="D8" s="58"/>
      <c r="E8" s="58"/>
      <c r="F8" s="54"/>
      <c r="G8" s="62">
        <v>2800</v>
      </c>
      <c r="H8" s="62"/>
      <c r="I8" s="55"/>
    </row>
    <row r="9" spans="1:9" x14ac:dyDescent="0.3">
      <c r="B9" s="44"/>
      <c r="C9" s="44"/>
      <c r="D9" s="44"/>
      <c r="E9" s="44"/>
    </row>
    <row r="10" spans="1:9" x14ac:dyDescent="0.3">
      <c r="B10" s="44"/>
      <c r="C10" s="44"/>
      <c r="D10" s="44"/>
      <c r="E10" s="44"/>
    </row>
    <row r="11" spans="1:9" x14ac:dyDescent="0.3">
      <c r="B11" s="44"/>
      <c r="C11" s="44"/>
      <c r="D11" s="44"/>
      <c r="E11" s="44"/>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Report (2)</vt:lpstr>
      <vt:lpstr>3%</vt:lpstr>
      <vt:lpstr>4%</vt:lpstr>
      <vt:lpstr>Note</vt:lpstr>
      <vt:lpstr>Sheet2</vt:lpstr>
      <vt:lpstr>Flat detail</vt:lpstr>
      <vt:lpstr>VALUATION</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2025-08-12T07:42:14Z</cp:lastPrinted>
  <dcterms:created xsi:type="dcterms:W3CDTF">2019-07-16T09:29:46Z</dcterms:created>
  <dcterms:modified xsi:type="dcterms:W3CDTF">2025-08-12T07:44:14Z</dcterms:modified>
</cp:coreProperties>
</file>