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E437F425-3432-40FE-AED2-166972108819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4" i="1"/>
  <c r="D115" i="1"/>
  <c r="K115" i="1"/>
  <c r="J115" i="1"/>
  <c r="D112" i="1"/>
  <c r="I104" i="1"/>
  <c r="A117" i="1"/>
  <c r="I115" i="1" l="1"/>
  <c r="D105" i="1"/>
  <c r="D106" i="1"/>
  <c r="D107" i="1"/>
  <c r="D104" i="1"/>
  <c r="F120" i="1"/>
  <c r="D119" i="1"/>
  <c r="F119" i="1" s="1"/>
  <c r="D118" i="1"/>
  <c r="F118" i="1" s="1"/>
  <c r="D117" i="1"/>
  <c r="F117" i="1" s="1"/>
  <c r="E115" i="1"/>
  <c r="E114" i="1"/>
  <c r="D113" i="1"/>
  <c r="G117" i="1"/>
  <c r="I44" i="1"/>
  <c r="E42" i="1"/>
  <c r="A118" i="1"/>
  <c r="C97" i="1" l="1"/>
  <c r="C94" i="1"/>
  <c r="E94" i="1"/>
  <c r="E97" i="1"/>
  <c r="Z12" i="1"/>
  <c r="I14" i="1"/>
  <c r="A119" i="1"/>
  <c r="C98" i="1" l="1"/>
  <c r="E98" i="1"/>
  <c r="F112" i="1"/>
  <c r="L112" i="1" s="1"/>
  <c r="F104" i="1"/>
  <c r="A120" i="1"/>
  <c r="E43" i="1" l="1"/>
  <c r="E44" i="1" s="1"/>
  <c r="C15" i="1" l="1"/>
  <c r="E30" i="1" l="1"/>
  <c r="F113" i="1" l="1"/>
  <c r="L113" i="1" s="1"/>
  <c r="F114" i="1"/>
  <c r="L114" i="1" s="1"/>
  <c r="F115" i="1"/>
  <c r="L115" i="1" s="1"/>
  <c r="A113" i="1"/>
  <c r="A114" i="1" s="1"/>
  <c r="A115" i="1" s="1"/>
  <c r="G112" i="1"/>
  <c r="G97" i="1" l="1"/>
  <c r="F91" i="1"/>
  <c r="F105" i="1" l="1"/>
  <c r="F106" i="1"/>
  <c r="F107" i="1"/>
  <c r="G94" i="1" l="1"/>
  <c r="G98" i="1" s="1"/>
  <c r="B123" i="1"/>
  <c r="B12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43" i="1"/>
  <c r="A105" i="1"/>
  <c r="A106" i="1" s="1"/>
  <c r="A107" i="1" s="1"/>
  <c r="G104" i="1"/>
  <c r="C66" i="1"/>
  <c r="B67" i="1" s="1"/>
  <c r="D55" i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C70" i="1" l="1"/>
  <c r="D70" i="1" s="1"/>
  <c r="J79" i="1"/>
  <c r="C71" i="1" l="1"/>
  <c r="G70" i="1" s="1"/>
  <c r="D64" i="1" s="1"/>
  <c r="J67" i="1" l="1"/>
  <c r="E70" i="1"/>
  <c r="D71" i="1"/>
  <c r="I67" i="1" s="1"/>
  <c r="I68" i="1" s="1"/>
  <c r="D65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<sst xmlns="http://schemas.openxmlformats.org/spreadsheetml/2006/main" count="380" uniqueCount="270">
  <si>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</si>
  <si>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</si>
  <si>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</si>
  <si>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</si>
  <si>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</si>
  <si>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</si>
  <si>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</si>
  <si>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</si>
  <si>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</si>
  <si>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</si>
  <si>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</si>
  <si>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</si>
  <si>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</si>
  <si>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</si>
  <si>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</si>
  <si>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</si>
  <si>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</si>
  <si>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</si>
  <si>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</si>
  <si>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</si>
  <si>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</si>
  <si>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</si>
  <si>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</si>
  <si>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</si>
  <si>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</si>
  <si>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</si>
  <si>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</si>
  <si>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</si>
  <si>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</si>
  <si>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</si>
  <si>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</si>
  <si>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</si>
  <si>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</si>
  <si>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</si>
  <si>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</si>
  <si>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</si>
  <si>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</si>
  <si>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</si>
  <si>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</si>
  <si>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</si>
  <si>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</si>
  <si>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</si>
  <si>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</si>
  <si>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</si>
  <si>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</si>
  <si>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</si>
  <si>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</si>
  <si>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</si>
  <si>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</si>
  <si>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</si>
  <si>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</si>
  <si>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</si>
  <si>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</si>
  <si>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</si>
  <si>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</si>
  <si>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</si>
  <si>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</si>
  <si>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</si>
  <si>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</si>
  <si>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</si>
  <si>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</si>
  <si>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</si>
  <si>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</si>
  <si>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</si>
  <si>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</si>
  <si>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</si>
  <si>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</si>
  <si>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</si>
  <si>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</si>
  <si>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</si>
  <si>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</si>
  <si>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</si>
  <si>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</si>
  <si>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</si>
  <si>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</si>
  <si>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</si>
  <si>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</si>
  <si>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</si>
  <si>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</si>
  <si>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</si>
  <si>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</si>
  <si>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</si>
  <si>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</si>
  <si>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</si>
  <si>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</si>
  <si>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</si>
  <si>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</si>
  <si>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</si>
  <si>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</si>
  <si>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</si>
  <si>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</si>
  <si>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</si>
  <si>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</si>
  <si>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</si>
  <si>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</si>
  <si>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</si>
  <si>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</si>
  <si>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</si>
  <si>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</si>
  <si>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</si>
  <si>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</si>
  <si>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</si>
  <si>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</si>
  <si>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</si>
  <si>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</si>
  <si>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</si>
  <si>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</si>
  <si>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</si>
  <si>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</si>
  <si>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</si>
  <si>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</si>
  <si>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</si>
  <si>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</si>
  <si>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</si>
  <si>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</si>
  <si>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</si>
  <si>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</si>
  <si>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</si>
  <si>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</si>
  <si>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</si>
  <si>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</si>
  <si>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</si>
  <si>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</si>
  <si>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</si>
  <si>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</si>
  <si>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</si>
  <si>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</si>
  <si>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</si>
  <si>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</si>
  <si>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</si>
  <si>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</si>
  <si>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</si>
  <si>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</si>
  <si>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</si>
  <si>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</si>
  <si>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</si>
  <si>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</si>
  <si>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</si>
  <si>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</si>
  <si>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</si>
  <si>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</si>
  <si>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</si>
  <si>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</si>
  <si>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</si>
  <si>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</si>
  <si>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</si>
  <si>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</si>
  <si>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</si>
  <si>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</si>
  <si>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</si>
  <si>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</si>
  <si>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</si>
  <si>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</si>
  <si>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</si>
  <si>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</si>
  <si>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</si>
  <si>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</si>
  <si>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</si>
  <si>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</si>
  <si>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</si>
  <si>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</si>
  <si>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</si>
  <si>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</si>
  <si>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</si>
  <si>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</si>
  <si>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</si>
  <si>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</si>
  <si>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</si>
  <si>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</si>
  <si>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</si>
  <si>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</si>
  <si>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</si>
  <si>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</si>
  <si>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</si>
  <si>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</si>
  <si>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</si>
  <si>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</si>
  <si>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</si>
  <si>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</si>
  <si>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</si>
  <si>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</si>
  <si>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</si>
  <si>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</si>
  <si>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</si>
  <si>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</si>
  <si>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</si>
  <si>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</si>
  <si>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</si>
  <si>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</si>
  <si>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</si>
  <si>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</si>
  <si>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</si>
  <si>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</si>
  <si>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</si>
  <si>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</si>
  <si>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</si>
  <si>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</si>
  <si>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</si>
  <si>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</si>
  <si>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</si>
  <si>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</si>
  <si>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</si>
  <si>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</si>
  <si>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</si>
  <si>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</si>
  <si>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</si>
  <si>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</si>
  <si>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</si>
  <si>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</si>
  <si>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</si>
  <si>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</si>
  <si>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</si>
  <si>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</si>
  <si>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</si>
  <si>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</si>
  <si>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</si>
  <si>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</si>
  <si>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</si>
  <si>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</si>
  <si>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</si>
  <si>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</si>
  <si>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</si>
  <si>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</si>
  <si>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</si>
  <si>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</si>
  <si>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</si>
  <si>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</si>
  <si>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</si>
  <si>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</si>
  <si>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</si>
  <si>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Thane</t>
  </si>
  <si>
    <t>Sahil Developers</t>
  </si>
  <si>
    <t>Sahil Plaza</t>
  </si>
  <si>
    <t>Survey No</t>
  </si>
  <si>
    <t>175, Plot No. 9</t>
  </si>
  <si>
    <t>Mamdapur</t>
  </si>
  <si>
    <t>19.032483,73.305949</t>
  </si>
  <si>
    <t>1.70KM from Neral Railway Station</t>
  </si>
  <si>
    <t>Internal Road</t>
  </si>
  <si>
    <t>Neral West</t>
  </si>
  <si>
    <t>Matru Chhaya Apartment</t>
  </si>
  <si>
    <t>Plot No. 8</t>
  </si>
  <si>
    <t>Plot No. 11</t>
  </si>
  <si>
    <t>12.00 M. Wide Road</t>
  </si>
  <si>
    <t>Open Plot</t>
  </si>
  <si>
    <t>Raigad Zilla Parishad, Alibag</t>
  </si>
  <si>
    <t>RZP/BDKM/NSVP/27/2023</t>
  </si>
  <si>
    <t>Ground + 1st to 7th Floor</t>
  </si>
  <si>
    <t>https://maps.app.goo.gl/sN8RKTRPcwTnV83W6</t>
  </si>
  <si>
    <t>Ground Floor For Commercial &amp; Parking</t>
  </si>
  <si>
    <t>Shop</t>
  </si>
  <si>
    <t>1BHK</t>
  </si>
  <si>
    <t>1st Floor For Residential</t>
  </si>
  <si>
    <t>2nd to 7th Floor For Residential</t>
  </si>
  <si>
    <t>We considered Gross carpet area = Net carpet + Enclose balcony + W.S. Area.</t>
  </si>
  <si>
    <t>Shops</t>
  </si>
  <si>
    <t>Flats</t>
  </si>
  <si>
    <t>Flats - 28, Shops - 04</t>
  </si>
  <si>
    <t>Gr + 1st to 7th Floor</t>
  </si>
  <si>
    <t>RZP BD/NSVP/27 2023</t>
  </si>
  <si>
    <t>Not Registered (Plot area is less than 500 Sq. M)</t>
  </si>
  <si>
    <t>As per Builder - 2021</t>
  </si>
  <si>
    <t>Mr. Shanawaz Sultan Shaikn - 9967891822</t>
  </si>
  <si>
    <t>Approved Plans, CC, Sale Plans &amp; Cost Sheet.</t>
  </si>
  <si>
    <t>Society Formation Charges + Advance Maintenance Charges</t>
  </si>
  <si>
    <t>Water, Electricity, Development Charges</t>
  </si>
  <si>
    <t>Vitrified tiles flooring, Granite Kitchen Platform, Decorative Entrance &amp; Landscape Garden, etc.</t>
  </si>
  <si>
    <t>Mr. Naynesh Sunil Lovanshi</t>
  </si>
  <si>
    <t>Kunal Kadam</t>
  </si>
  <si>
    <t xml:space="preserve">Lisft and Finishing work is in process at the time of Visit. (Slow Speed).
Tenent has occupied the flat.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</si>
</sst>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13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271096</xdr:colOff>
      <xdr:row>187</xdr:row>
      <xdr:rowOff>18693</xdr:rowOff>
    </xdr:from>
    <xdr:to>
      <xdr:col>6</xdr:col>
      <xdr:colOff>136326</xdr:colOff>
      <xdr:row>203</xdr:row>
      <xdr:rowOff>93462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1631711" y="40721943"/>
          <a:ext cx="3240000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697399</xdr:colOff>
      <xdr:row>204</xdr:row>
      <xdr:rowOff>27842</xdr:rowOff>
    </xdr:from>
    <xdr:to>
      <xdr:col>6</xdr:col>
      <xdr:colOff>459168</xdr:colOff>
      <xdr:row>225</xdr:row>
      <xdr:rowOff>193477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7399" y="44634150"/>
          <a:ext cx="5037154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337758</xdr:colOff>
      <xdr:row>248</xdr:row>
      <xdr:rowOff>179662</xdr:rowOff>
    </xdr:from>
    <xdr:to>
      <xdr:col>7</xdr:col>
      <xdr:colOff>418272</xdr:colOff>
      <xdr:row>267</xdr:row>
      <xdr:rowOff>164813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7758" y="53886008"/>
          <a:ext cx="6176514" cy="37438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322385</xdr:colOff>
      <xdr:row>229</xdr:row>
      <xdr:rowOff>21981</xdr:rowOff>
    </xdr:from>
    <xdr:to>
      <xdr:col>7</xdr:col>
      <xdr:colOff>418272</xdr:colOff>
      <xdr:row>248</xdr:row>
      <xdr:rowOff>7135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2385" y="49969616"/>
          <a:ext cx="6191887" cy="37438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156917</xdr:colOff>
      <xdr:row>253</xdr:row>
      <xdr:rowOff>135735</xdr:rowOff>
    </xdr:from>
    <xdr:to>
      <xdr:col>3</xdr:col>
      <xdr:colOff>990605</xdr:colOff>
      <xdr:row>258</xdr:row>
      <xdr:rowOff>196687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1127407">
          <a:off x="2750648" y="54831216"/>
          <a:ext cx="833688" cy="105008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775336</xdr:colOff>
      <xdr:row>138</xdr:row>
      <xdr:rowOff>104775</xdr:rowOff>
    </xdr:from>
    <xdr:to>
      <xdr:col>16</xdr:col>
      <xdr:colOff>363856</xdr:colOff>
      <xdr:row>179</xdr:row>
      <xdr:rowOff>104775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7328536" y="29693235"/>
          <a:ext cx="6172200" cy="8115300"/>
          <a:chOff x="179290" y="-120162"/>
          <a:chExt cx="6499420" cy="9395822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179290" y="7083260"/>
            <a:ext cx="6499420" cy="2192400"/>
            <a:chOff x="-44711" y="7025204"/>
            <a:chExt cx="6499420" cy="2192400"/>
          </a:xfrm>
        </xdr:grpSpPr>
        <xdr:grpSp>
          <xdr:nvGrpSpPr>
            <xdr:cNvPr id="26" name="Group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616819" y="7025204"/>
              <a:ext cx="4837890" cy="2192400"/>
              <a:chOff x="101992" y="7162447"/>
              <a:chExt cx="4837890" cy="2192400"/>
            </a:xfrm>
          </xdr:grpSpPr>
          <xdr:pic>
            <xdr:nvPicPr>
              <xdr:cNvPr id="34" name="Picture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406161" y="7162447"/>
                <a:ext cx="1533721" cy="21924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5" name="Picture 3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754077" y="7162447"/>
                <a:ext cx="1533720" cy="21924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6" name="Picture 35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101992" y="7162447"/>
                <a:ext cx="1533721" cy="21924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44711" y="7025204"/>
              <a:ext cx="1543166" cy="21924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184013" y="4753939"/>
            <a:ext cx="6489974" cy="2192400"/>
            <a:chOff x="-35265" y="4695883"/>
            <a:chExt cx="6489974" cy="2192400"/>
          </a:xfrm>
        </xdr:grpSpPr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35265" y="4695883"/>
              <a:ext cx="1533721" cy="21924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68904" y="4695883"/>
              <a:ext cx="1533721" cy="21924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16821" y="4695883"/>
              <a:ext cx="1533720" cy="21924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920988" y="4695883"/>
              <a:ext cx="1533721" cy="21924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/>
        </xdr:nvGrpSpPr>
        <xdr:grpSpPr>
          <a:xfrm>
            <a:off x="895534" y="-120162"/>
            <a:ext cx="5066933" cy="4752728"/>
            <a:chOff x="-44711" y="-120162"/>
            <a:chExt cx="5066933" cy="4752728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-44711" y="-120162"/>
              <a:ext cx="3323062" cy="475272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3411815" y="-120162"/>
              <a:ext cx="1610407" cy="4744921"/>
              <a:chOff x="3455356" y="8562"/>
              <a:chExt cx="1610407" cy="4744921"/>
            </a:xfrm>
          </xdr:grpSpPr>
          <xdr:pic>
            <xdr:nvPicPr>
              <xdr:cNvPr id="20" name="Picture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455356" y="8562"/>
                <a:ext cx="1610407" cy="2304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21" name="Picture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455356" y="2449483"/>
                <a:ext cx="1610407" cy="2304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</xdr:grpSp>
    </xdr:grpSp>
    <xdr:clientData/>
  </xdr:twoCellAnchor>
  <xdr:twoCellAnchor>
    <xdr:from>
      <xdr:col>0</xdr:col>
      <xdr:colOff>205741</xdr:colOff>
      <xdr:row>144</xdr:row>
      <xdr:rowOff>22861</xdr:rowOff>
    </xdr:from>
    <xdr:to>
      <xdr:col>7</xdr:col>
      <xdr:colOff>236221</xdr:colOff>
      <xdr:row>183</xdr:row>
      <xdr:rowOff>106681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4206ACC-2873-6556-D179-61F3BFBC9DFF}"/>
            </a:ext>
          </a:extLst>
        </xdr:cNvPr>
        <xdr:cNvGrpSpPr/>
      </xdr:nvGrpSpPr>
      <xdr:grpSpPr>
        <a:xfrm>
          <a:off x="205741" y="30800041"/>
          <a:ext cx="5859780" cy="7604760"/>
          <a:chOff x="532421" y="199994"/>
          <a:chExt cx="6099687" cy="856633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0763A69-316B-1023-E4F9-D5BC54E4CCCD}"/>
              </a:ext>
            </a:extLst>
          </xdr:cNvPr>
          <xdr:cNvGrpSpPr/>
        </xdr:nvGrpSpPr>
        <xdr:grpSpPr>
          <a:xfrm>
            <a:off x="617343" y="199994"/>
            <a:ext cx="5929843" cy="3844005"/>
            <a:chOff x="532421" y="199994"/>
            <a:chExt cx="5929843" cy="3844005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6F8AAC45-C616-5205-0BA3-70A3D91A0F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2264" y="19999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2A338124-440F-32A5-8D0F-57FA02E8C7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2421" y="19999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D495B78A-2AB5-4ACF-3807-8EA4581241C6}"/>
              </a:ext>
            </a:extLst>
          </xdr:cNvPr>
          <xdr:cNvGrpSpPr/>
        </xdr:nvGrpSpPr>
        <xdr:grpSpPr>
          <a:xfrm>
            <a:off x="532421" y="4214685"/>
            <a:ext cx="6099687" cy="2550480"/>
            <a:chOff x="532421" y="3108960"/>
            <a:chExt cx="6099687" cy="2550480"/>
          </a:xfrm>
        </xdr:grpSpPr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979F4C12-F1F1-50C8-C795-1B7660E371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2421" y="31394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852FECD3-750B-15CA-9017-5ED577BDF6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38249" y="313944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DFD029D6-0B79-8735-1E75-B827F83EB24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44077" y="31089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EB4020E-7B3A-6A4F-1139-04B47031EF0F}"/>
              </a:ext>
            </a:extLst>
          </xdr:cNvPr>
          <xdr:cNvGrpSpPr/>
        </xdr:nvGrpSpPr>
        <xdr:grpSpPr>
          <a:xfrm>
            <a:off x="2148749" y="6966331"/>
            <a:ext cx="2867031" cy="1800000"/>
            <a:chOff x="2063827" y="6966331"/>
            <a:chExt cx="2867031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6A288846-C974-BFBB-6233-E233E07E7C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2264" y="696633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A905D743-7A1D-6B6D-441A-8FA48CD194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63827" y="696633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sN8RKTRPcwTnV83W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28"/>
  <sheetViews>
    <sheetView tabSelected="1" view="pageBreakPreview" topLeftCell="A175" zoomScaleNormal="120" zoomScaleSheetLayoutView="100" workbookViewId="0">
      <selection activeCell="K189" sqref="K189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6" width="11.6640625" style="39" customWidth="1"/>
    <col min="7" max="7" width="11.44140625" style="39" customWidth="1"/>
    <col min="8" max="8" width="10.554687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26" ht="46.5" customHeight="1" x14ac:dyDescent="0.3">
      <c r="A1" s="136" t="s">
        <v>162</v>
      </c>
      <c r="B1" s="136"/>
      <c r="C1" s="136"/>
      <c r="D1" s="136"/>
      <c r="E1" s="136"/>
      <c r="F1" s="136"/>
      <c r="G1" s="136"/>
      <c r="H1" s="136"/>
    </row>
    <row r="2" spans="1:26" ht="16.5" customHeight="1" x14ac:dyDescent="0.3">
      <c r="A2" s="80" t="s">
        <v>0</v>
      </c>
      <c r="B2" s="80"/>
      <c r="C2" s="80"/>
      <c r="D2" s="80"/>
      <c r="E2" s="80"/>
      <c r="F2" s="80"/>
      <c r="G2" s="80"/>
      <c r="H2" s="80"/>
    </row>
    <row r="3" spans="1:26" x14ac:dyDescent="0.3">
      <c r="A3" s="76" t="s">
        <v>1</v>
      </c>
      <c r="B3" s="76"/>
      <c r="C3" s="76"/>
      <c r="D3" s="76"/>
      <c r="E3" s="76" t="str">
        <f ca="1">TEXT(TODAY(),"DD/MM/YYYY")</f>
        <v>14/08/2025</v>
      </c>
      <c r="F3" s="76"/>
      <c r="G3" s="76"/>
      <c r="H3" s="76"/>
    </row>
    <row r="4" spans="1:26" ht="15" customHeight="1" x14ac:dyDescent="0.3">
      <c r="A4" s="76" t="s">
        <v>2</v>
      </c>
      <c r="B4" s="76"/>
      <c r="C4" s="76"/>
      <c r="D4" s="76"/>
      <c r="E4" s="76" t="s">
        <v>230</v>
      </c>
      <c r="F4" s="76"/>
      <c r="G4" s="76"/>
      <c r="H4" s="76"/>
    </row>
    <row r="5" spans="1:26" x14ac:dyDescent="0.3">
      <c r="A5" s="76" t="s">
        <v>3</v>
      </c>
      <c r="B5" s="76"/>
      <c r="C5" s="76"/>
      <c r="D5" s="76"/>
      <c r="E5" s="137">
        <v>45882</v>
      </c>
      <c r="F5" s="76"/>
      <c r="G5" s="76"/>
      <c r="H5" s="76"/>
    </row>
    <row r="6" spans="1:26" ht="16.5" customHeight="1" x14ac:dyDescent="0.3">
      <c r="A6" s="76" t="s">
        <v>4</v>
      </c>
      <c r="B6" s="76"/>
      <c r="C6" s="76"/>
      <c r="D6" s="76"/>
      <c r="E6" s="76" t="s">
        <v>231</v>
      </c>
      <c r="F6" s="76"/>
      <c r="G6" s="76"/>
      <c r="H6" s="76"/>
    </row>
    <row r="7" spans="1:26" ht="15" customHeight="1" x14ac:dyDescent="0.3">
      <c r="A7" s="76" t="s">
        <v>5</v>
      </c>
      <c r="B7" s="76"/>
      <c r="C7" s="76"/>
      <c r="D7" s="76"/>
      <c r="E7" s="76" t="str">
        <f>E6</f>
        <v>Sahil Developers</v>
      </c>
      <c r="F7" s="76"/>
      <c r="G7" s="76"/>
      <c r="H7" s="76"/>
    </row>
    <row r="8" spans="1:26" x14ac:dyDescent="0.3">
      <c r="A8" s="76" t="s">
        <v>6</v>
      </c>
      <c r="B8" s="76"/>
      <c r="C8" s="76"/>
      <c r="D8" s="76"/>
      <c r="E8" s="127" t="s">
        <v>232</v>
      </c>
      <c r="F8" s="127"/>
      <c r="G8" s="127"/>
      <c r="H8" s="127"/>
    </row>
    <row r="9" spans="1:26" x14ac:dyDescent="0.3">
      <c r="A9" s="76" t="s">
        <v>165</v>
      </c>
      <c r="B9" s="76"/>
      <c r="C9" s="76"/>
      <c r="D9" s="76"/>
      <c r="E9" s="76" t="s">
        <v>262</v>
      </c>
      <c r="F9" s="76"/>
      <c r="G9" s="76"/>
      <c r="H9" s="76"/>
    </row>
    <row r="10" spans="1:26" x14ac:dyDescent="0.3">
      <c r="A10" s="76" t="s">
        <v>166</v>
      </c>
      <c r="B10" s="76"/>
      <c r="C10" s="76"/>
      <c r="D10" s="76"/>
      <c r="E10" s="76" t="s">
        <v>262</v>
      </c>
      <c r="F10" s="76"/>
      <c r="G10" s="76"/>
      <c r="H10" s="76"/>
    </row>
    <row r="11" spans="1:26" x14ac:dyDescent="0.3">
      <c r="A11" s="76" t="s">
        <v>7</v>
      </c>
      <c r="B11" s="76"/>
      <c r="C11" s="76"/>
      <c r="D11" s="76"/>
      <c r="E11" s="76" t="s">
        <v>120</v>
      </c>
      <c r="F11" s="76"/>
      <c r="G11" s="76"/>
      <c r="H11" s="76"/>
    </row>
    <row r="12" spans="1:26" x14ac:dyDescent="0.3">
      <c r="A12" s="76" t="s">
        <v>168</v>
      </c>
      <c r="B12" s="76"/>
      <c r="C12" s="76"/>
      <c r="D12" s="76"/>
      <c r="E12" s="76" t="s">
        <v>29</v>
      </c>
      <c r="F12" s="76"/>
      <c r="G12" s="76"/>
      <c r="H12" s="76"/>
      <c r="S12" s="54" t="s">
        <v>174</v>
      </c>
      <c r="T12" s="54" t="s">
        <v>184</v>
      </c>
      <c r="U12" s="54" t="s">
        <v>169</v>
      </c>
      <c r="V12" s="54" t="s">
        <v>189</v>
      </c>
      <c r="W12" s="54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x14ac:dyDescent="0.3">
      <c r="A13" s="60" t="s">
        <v>8</v>
      </c>
      <c r="B13" s="60"/>
      <c r="C13" s="60"/>
      <c r="D13" s="60"/>
      <c r="E13" s="75" t="s">
        <v>263</v>
      </c>
      <c r="F13" s="75"/>
      <c r="G13" s="75"/>
      <c r="H13" s="75"/>
      <c r="S13" s="54" t="s">
        <v>175</v>
      </c>
      <c r="T13" s="54" t="s">
        <v>182</v>
      </c>
      <c r="U13" s="54" t="s">
        <v>204</v>
      </c>
      <c r="V13" s="54" t="s">
        <v>190</v>
      </c>
      <c r="W13" s="54" t="s">
        <v>208</v>
      </c>
      <c r="X13"/>
      <c r="Y13"/>
      <c r="Z13"/>
    </row>
    <row r="14" spans="1:26" x14ac:dyDescent="0.3">
      <c r="A14" s="60" t="s">
        <v>9</v>
      </c>
      <c r="B14" s="60"/>
      <c r="C14" s="60"/>
      <c r="D14" s="60"/>
      <c r="E14" s="75" t="s">
        <v>260</v>
      </c>
      <c r="F14" s="138"/>
      <c r="G14" s="138"/>
      <c r="H14" s="138"/>
      <c r="I14" s="84" t="e">
        <f ca="1">OFFSET($D$4,1,MATCH($J12,$D$4:$H$4,0)-1,15,1)</f>
        <v>#N/A</v>
      </c>
      <c r="J14" s="85"/>
      <c r="K14" s="85"/>
      <c r="L14" s="85"/>
      <c r="M14" s="85"/>
      <c r="N14" s="85"/>
      <c r="O14" s="85"/>
      <c r="P14" s="85"/>
      <c r="S14" s="54" t="s">
        <v>176</v>
      </c>
      <c r="T14" s="54" t="s">
        <v>183</v>
      </c>
      <c r="U14" s="54" t="s">
        <v>205</v>
      </c>
      <c r="V14" s="54" t="s">
        <v>191</v>
      </c>
      <c r="W14" s="54" t="s">
        <v>221</v>
      </c>
      <c r="X14"/>
      <c r="Y14"/>
      <c r="Z14"/>
    </row>
    <row r="15" spans="1:26" ht="35.25" customHeight="1" x14ac:dyDescent="0.3">
      <c r="A15" s="75" t="s">
        <v>10</v>
      </c>
      <c r="B15" s="75"/>
      <c r="C15" s="7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Sahil Plaza, Survey No.175, Plot No. 9, near Matru Chhaya Apartment, Internal Road, Mamdapur, Mamdapur, Neral West, Karjat, Raigad - 410101.</v>
      </c>
      <c r="D15" s="75"/>
      <c r="E15" s="75"/>
      <c r="F15" s="75"/>
      <c r="G15" s="75"/>
      <c r="H15" s="75"/>
      <c r="S15" s="54" t="s">
        <v>177</v>
      </c>
      <c r="T15" s="54" t="s">
        <v>185</v>
      </c>
      <c r="U15" s="54" t="s">
        <v>206</v>
      </c>
      <c r="V15" s="54" t="s">
        <v>192</v>
      </c>
      <c r="W15" s="54" t="s">
        <v>209</v>
      </c>
      <c r="X15"/>
      <c r="Y15"/>
      <c r="Z15"/>
    </row>
    <row r="16" spans="1:26" x14ac:dyDescent="0.3">
      <c r="A16" s="75" t="s">
        <v>233</v>
      </c>
      <c r="B16" s="75"/>
      <c r="C16" s="75" t="s">
        <v>234</v>
      </c>
      <c r="D16" s="75"/>
      <c r="E16" s="75"/>
      <c r="F16" s="75"/>
      <c r="G16" s="75"/>
      <c r="H16" s="75"/>
      <c r="S16" s="54" t="s">
        <v>178</v>
      </c>
      <c r="T16" s="54" t="s">
        <v>186</v>
      </c>
      <c r="U16" s="54"/>
      <c r="V16" s="54" t="s">
        <v>193</v>
      </c>
      <c r="W16" s="54" t="s">
        <v>210</v>
      </c>
      <c r="X16"/>
      <c r="Y16"/>
      <c r="Z16"/>
    </row>
    <row r="17" spans="1:26" ht="15.75" customHeight="1" x14ac:dyDescent="0.3">
      <c r="A17" s="75" t="s">
        <v>160</v>
      </c>
      <c r="B17" s="75"/>
      <c r="C17" s="75" t="s">
        <v>235</v>
      </c>
      <c r="D17" s="75"/>
      <c r="E17" s="75"/>
      <c r="F17" s="75"/>
      <c r="G17" s="75"/>
      <c r="H17" s="75"/>
      <c r="S17" s="54" t="s">
        <v>179</v>
      </c>
      <c r="T17" s="54" t="s">
        <v>184</v>
      </c>
      <c r="U17" s="54"/>
      <c r="V17" s="54" t="s">
        <v>194</v>
      </c>
      <c r="W17" s="54" t="s">
        <v>211</v>
      </c>
      <c r="X17"/>
      <c r="Y17"/>
      <c r="Z17"/>
    </row>
    <row r="18" spans="1:26" ht="15.75" customHeight="1" x14ac:dyDescent="0.3">
      <c r="A18" s="72" t="s">
        <v>11</v>
      </c>
      <c r="B18" s="72"/>
      <c r="C18" s="76" t="s">
        <v>238</v>
      </c>
      <c r="D18" s="76"/>
      <c r="E18" s="72" t="s">
        <v>73</v>
      </c>
      <c r="F18" s="72"/>
      <c r="G18" s="75" t="s">
        <v>235</v>
      </c>
      <c r="H18" s="75"/>
      <c r="S18" s="54" t="s">
        <v>180</v>
      </c>
      <c r="T18" s="54" t="s">
        <v>187</v>
      </c>
      <c r="U18" s="54"/>
      <c r="V18" s="54" t="s">
        <v>195</v>
      </c>
      <c r="W18" s="54" t="s">
        <v>212</v>
      </c>
      <c r="X18"/>
      <c r="Y18"/>
      <c r="Z18"/>
    </row>
    <row r="19" spans="1:26" x14ac:dyDescent="0.3">
      <c r="A19" s="60" t="s">
        <v>13</v>
      </c>
      <c r="B19" s="60"/>
      <c r="C19" s="75" t="s">
        <v>239</v>
      </c>
      <c r="D19" s="75"/>
      <c r="E19" s="72" t="s">
        <v>12</v>
      </c>
      <c r="F19" s="72"/>
      <c r="G19" s="139" t="s">
        <v>189</v>
      </c>
      <c r="H19" s="139"/>
      <c r="S19" s="54" t="s">
        <v>181</v>
      </c>
      <c r="T19" s="54" t="s">
        <v>188</v>
      </c>
      <c r="U19" s="54"/>
      <c r="V19" s="54" t="s">
        <v>196</v>
      </c>
      <c r="W19" s="54" t="s">
        <v>213</v>
      </c>
      <c r="X19"/>
      <c r="Y19"/>
      <c r="Z19"/>
    </row>
    <row r="20" spans="1:26" x14ac:dyDescent="0.3">
      <c r="A20" s="60" t="s">
        <v>74</v>
      </c>
      <c r="B20" s="60"/>
      <c r="C20" s="75" t="s">
        <v>193</v>
      </c>
      <c r="D20" s="75"/>
      <c r="E20" s="72" t="s">
        <v>14</v>
      </c>
      <c r="F20" s="72"/>
      <c r="G20" s="75">
        <v>410101</v>
      </c>
      <c r="H20" s="75"/>
      <c r="S20" s="54"/>
      <c r="T20" s="54"/>
      <c r="U20" s="54"/>
      <c r="V20" s="54" t="s">
        <v>197</v>
      </c>
      <c r="W20" s="54" t="s">
        <v>214</v>
      </c>
      <c r="X20"/>
      <c r="Y20"/>
      <c r="Z20"/>
    </row>
    <row r="21" spans="1:26" ht="32.25" customHeight="1" x14ac:dyDescent="0.3">
      <c r="A21" s="60" t="s">
        <v>121</v>
      </c>
      <c r="B21" s="60"/>
      <c r="C21" s="75" t="s">
        <v>240</v>
      </c>
      <c r="D21" s="75"/>
      <c r="E21" s="72" t="s">
        <v>15</v>
      </c>
      <c r="F21" s="72"/>
      <c r="G21" s="75" t="s">
        <v>237</v>
      </c>
      <c r="H21" s="75"/>
      <c r="S21" s="54"/>
      <c r="T21" s="54"/>
      <c r="U21" s="54"/>
      <c r="V21" s="54" t="s">
        <v>198</v>
      </c>
      <c r="W21" s="54" t="s">
        <v>215</v>
      </c>
      <c r="X21"/>
      <c r="Y21"/>
      <c r="Z21"/>
    </row>
    <row r="22" spans="1:26" ht="15" customHeight="1" x14ac:dyDescent="0.3">
      <c r="A22" s="72" t="s">
        <v>76</v>
      </c>
      <c r="B22" s="72"/>
      <c r="C22" s="72"/>
      <c r="D22" s="72"/>
      <c r="E22" s="76" t="s">
        <v>16</v>
      </c>
      <c r="F22" s="76"/>
      <c r="G22" s="76"/>
      <c r="H22" s="76"/>
      <c r="S22" s="54"/>
      <c r="T22" s="54"/>
      <c r="U22" s="54"/>
      <c r="V22" s="54" t="s">
        <v>199</v>
      </c>
      <c r="W22" s="54" t="s">
        <v>216</v>
      </c>
      <c r="X22"/>
      <c r="Y22"/>
      <c r="Z22"/>
    </row>
    <row r="23" spans="1:26" ht="18.75" customHeight="1" x14ac:dyDescent="0.3">
      <c r="A23" s="72"/>
      <c r="B23" s="72"/>
      <c r="C23" s="72"/>
      <c r="D23" s="72"/>
      <c r="E23" s="76"/>
      <c r="F23" s="76"/>
      <c r="G23" s="76"/>
      <c r="H23" s="76"/>
      <c r="S23" s="54"/>
      <c r="T23" s="54"/>
      <c r="U23" s="54"/>
      <c r="V23" s="54" t="s">
        <v>200</v>
      </c>
      <c r="W23" s="54" t="s">
        <v>217</v>
      </c>
      <c r="X23"/>
      <c r="Y23"/>
      <c r="Z23"/>
    </row>
    <row r="24" spans="1:26" ht="15" customHeight="1" x14ac:dyDescent="0.3">
      <c r="A24" s="72" t="s">
        <v>17</v>
      </c>
      <c r="B24" s="72"/>
      <c r="C24" s="72"/>
      <c r="D24" s="72"/>
      <c r="E24" s="75" t="s">
        <v>18</v>
      </c>
      <c r="F24" s="75"/>
      <c r="G24" s="75"/>
      <c r="H24" s="75"/>
      <c r="S24" s="54"/>
      <c r="T24" s="54"/>
      <c r="U24" s="54"/>
      <c r="V24" s="54" t="s">
        <v>201</v>
      </c>
      <c r="W24" s="54" t="s">
        <v>218</v>
      </c>
      <c r="X24"/>
      <c r="Y24"/>
      <c r="Z24"/>
    </row>
    <row r="25" spans="1:26" ht="15" customHeight="1" x14ac:dyDescent="0.3">
      <c r="A25" s="60" t="s">
        <v>19</v>
      </c>
      <c r="B25" s="60"/>
      <c r="C25" s="60"/>
      <c r="D25" s="60"/>
      <c r="E25" s="75" t="str">
        <f>IF(AND(G19="Mumbai"),"Upper Class","Middle Class")</f>
        <v>Middle Class</v>
      </c>
      <c r="F25" s="75"/>
      <c r="G25" s="75"/>
      <c r="H25" s="75"/>
      <c r="S25" s="54"/>
      <c r="T25" s="54"/>
      <c r="U25" s="54"/>
      <c r="V25" s="54" t="s">
        <v>202</v>
      </c>
      <c r="W25" s="54" t="s">
        <v>219</v>
      </c>
      <c r="X25"/>
      <c r="Y25"/>
      <c r="Z25"/>
    </row>
    <row r="26" spans="1:26" x14ac:dyDescent="0.3">
      <c r="A26" s="60" t="s">
        <v>20</v>
      </c>
      <c r="B26" s="60"/>
      <c r="C26" s="60"/>
      <c r="D26" s="60"/>
      <c r="E26" s="75" t="s">
        <v>21</v>
      </c>
      <c r="F26" s="75"/>
      <c r="G26" s="75"/>
      <c r="H26" s="75"/>
      <c r="S26" s="54"/>
      <c r="T26" s="54"/>
      <c r="U26" s="54"/>
      <c r="V26" s="54" t="s">
        <v>203</v>
      </c>
      <c r="W26" s="54" t="s">
        <v>220</v>
      </c>
      <c r="X26"/>
      <c r="Y26"/>
      <c r="Z26"/>
    </row>
    <row r="27" spans="1:26" ht="15.75" customHeight="1" x14ac:dyDescent="0.3">
      <c r="A27" s="60" t="s">
        <v>22</v>
      </c>
      <c r="B27" s="60"/>
      <c r="C27" s="60"/>
      <c r="D27" s="60"/>
      <c r="E27" s="75" t="str">
        <f>IF(AND(G19="Mumbai"),"Developed","Developing")</f>
        <v>Developing</v>
      </c>
      <c r="F27" s="75"/>
      <c r="G27" s="75"/>
      <c r="H27" s="75"/>
    </row>
    <row r="28" spans="1:26" x14ac:dyDescent="0.3">
      <c r="A28" s="60" t="s">
        <v>23</v>
      </c>
      <c r="B28" s="60"/>
      <c r="C28" s="60"/>
      <c r="D28" s="60"/>
      <c r="E28" s="75" t="s">
        <v>24</v>
      </c>
      <c r="F28" s="75"/>
      <c r="G28" s="75"/>
      <c r="H28" s="75"/>
    </row>
    <row r="29" spans="1:26" ht="15.75" customHeight="1" x14ac:dyDescent="0.3">
      <c r="A29" s="60" t="s">
        <v>81</v>
      </c>
      <c r="B29" s="60"/>
      <c r="C29" s="60"/>
      <c r="D29" s="60"/>
      <c r="E29" s="75" t="s">
        <v>82</v>
      </c>
      <c r="F29" s="75"/>
      <c r="G29" s="75"/>
      <c r="H29" s="75"/>
    </row>
    <row r="30" spans="1:26" ht="15" customHeight="1" x14ac:dyDescent="0.3">
      <c r="A30" s="60" t="s">
        <v>32</v>
      </c>
      <c r="B30" s="60"/>
      <c r="C30" s="60"/>
      <c r="D30" s="60"/>
      <c r="E30" s="7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75"/>
      <c r="G30" s="75"/>
      <c r="H30" s="75"/>
    </row>
    <row r="31" spans="1:26" ht="15.75" customHeight="1" x14ac:dyDescent="0.3">
      <c r="A31" s="60" t="s">
        <v>93</v>
      </c>
      <c r="B31" s="60"/>
      <c r="C31" s="60"/>
      <c r="D31" s="60"/>
      <c r="E31" s="75" t="s">
        <v>33</v>
      </c>
      <c r="F31" s="75"/>
      <c r="G31" s="75"/>
      <c r="H31" s="75"/>
    </row>
    <row r="32" spans="1:26" s="21" customFormat="1" x14ac:dyDescent="0.3">
      <c r="A32" s="142" t="s">
        <v>94</v>
      </c>
      <c r="B32" s="142"/>
      <c r="C32" s="141" t="s">
        <v>170</v>
      </c>
      <c r="D32" s="141"/>
      <c r="E32" s="141"/>
      <c r="F32" s="141" t="s">
        <v>30</v>
      </c>
      <c r="G32" s="141"/>
      <c r="H32" s="141"/>
    </row>
    <row r="33" spans="1:9" s="21" customFormat="1" x14ac:dyDescent="0.3">
      <c r="A33" s="140" t="s">
        <v>25</v>
      </c>
      <c r="B33" s="140" t="s">
        <v>29</v>
      </c>
      <c r="C33" s="93" t="s">
        <v>241</v>
      </c>
      <c r="D33" s="93"/>
      <c r="E33" s="93"/>
      <c r="F33" s="93" t="s">
        <v>244</v>
      </c>
      <c r="G33" s="93"/>
      <c r="H33" s="93"/>
    </row>
    <row r="34" spans="1:9" x14ac:dyDescent="0.3">
      <c r="A34" s="140" t="s">
        <v>26</v>
      </c>
      <c r="B34" s="140" t="s">
        <v>29</v>
      </c>
      <c r="C34" s="93" t="s">
        <v>242</v>
      </c>
      <c r="D34" s="93"/>
      <c r="E34" s="93"/>
      <c r="F34" s="93" t="s">
        <v>240</v>
      </c>
      <c r="G34" s="93"/>
      <c r="H34" s="93"/>
    </row>
    <row r="35" spans="1:9" s="21" customFormat="1" x14ac:dyDescent="0.3">
      <c r="A35" s="140" t="s">
        <v>28</v>
      </c>
      <c r="B35" s="140" t="s">
        <v>29</v>
      </c>
      <c r="C35" s="93" t="s">
        <v>241</v>
      </c>
      <c r="D35" s="93"/>
      <c r="E35" s="93"/>
      <c r="F35" s="93" t="s">
        <v>244</v>
      </c>
      <c r="G35" s="93"/>
      <c r="H35" s="93"/>
    </row>
    <row r="36" spans="1:9" x14ac:dyDescent="0.3">
      <c r="A36" s="140" t="s">
        <v>27</v>
      </c>
      <c r="B36" s="140" t="s">
        <v>29</v>
      </c>
      <c r="C36" s="93" t="s">
        <v>243</v>
      </c>
      <c r="D36" s="93"/>
      <c r="E36" s="93"/>
      <c r="F36" s="93" t="s">
        <v>238</v>
      </c>
      <c r="G36" s="93"/>
      <c r="H36" s="93"/>
    </row>
    <row r="37" spans="1:9" x14ac:dyDescent="0.3">
      <c r="A37" s="60" t="s">
        <v>31</v>
      </c>
      <c r="B37" s="60"/>
      <c r="C37" s="60"/>
      <c r="D37" s="60"/>
      <c r="E37" s="60"/>
      <c r="F37" s="60"/>
      <c r="G37" s="60"/>
      <c r="H37" s="60"/>
    </row>
    <row r="38" spans="1:9" ht="15.75" customHeight="1" x14ac:dyDescent="0.3">
      <c r="A38" s="60" t="s">
        <v>163</v>
      </c>
      <c r="B38" s="60"/>
      <c r="C38" s="60" t="s">
        <v>236</v>
      </c>
      <c r="D38" s="60"/>
      <c r="E38" s="60"/>
      <c r="F38" s="60"/>
      <c r="G38" s="60"/>
      <c r="H38" s="60"/>
    </row>
    <row r="39" spans="1:9" x14ac:dyDescent="0.3">
      <c r="A39" s="60" t="s">
        <v>159</v>
      </c>
      <c r="B39" s="60"/>
      <c r="C39" s="158" t="s">
        <v>248</v>
      </c>
      <c r="D39" s="75"/>
      <c r="E39" s="75"/>
      <c r="F39" s="75"/>
      <c r="G39" s="75"/>
      <c r="H39" s="75"/>
    </row>
    <row r="40" spans="1:9" x14ac:dyDescent="0.3">
      <c r="A40" s="121" t="s">
        <v>34</v>
      </c>
      <c r="B40" s="121"/>
      <c r="C40" s="121"/>
      <c r="D40" s="121"/>
      <c r="E40" s="121"/>
      <c r="F40" s="121"/>
      <c r="G40" s="121"/>
      <c r="H40" s="121"/>
    </row>
    <row r="41" spans="1:9" x14ac:dyDescent="0.3">
      <c r="A41" s="60" t="s">
        <v>35</v>
      </c>
      <c r="B41" s="60"/>
      <c r="C41" s="60"/>
      <c r="D41" s="60"/>
      <c r="E41" s="143">
        <v>484.96</v>
      </c>
      <c r="F41" s="143"/>
      <c r="G41" s="143"/>
      <c r="H41" s="143"/>
    </row>
    <row r="42" spans="1:9" x14ac:dyDescent="0.3">
      <c r="A42" s="60" t="s">
        <v>36</v>
      </c>
      <c r="B42" s="60"/>
      <c r="C42" s="60"/>
      <c r="D42" s="60"/>
      <c r="E42" s="97">
        <f>533.45/E41</f>
        <v>1.0999876278455956</v>
      </c>
      <c r="F42" s="97"/>
      <c r="G42" s="97"/>
      <c r="H42" s="97"/>
    </row>
    <row r="43" spans="1:9" x14ac:dyDescent="0.3">
      <c r="A43" s="60" t="s">
        <v>37</v>
      </c>
      <c r="B43" s="60"/>
      <c r="C43" s="60"/>
      <c r="D43" s="60"/>
      <c r="E43" s="97">
        <f>E45/E41-E42</f>
        <v>1.1398465852853845</v>
      </c>
      <c r="F43" s="97"/>
      <c r="G43" s="97"/>
      <c r="H43" s="97"/>
    </row>
    <row r="44" spans="1:9" x14ac:dyDescent="0.3">
      <c r="A44" s="60" t="s">
        <v>38</v>
      </c>
      <c r="B44" s="60"/>
      <c r="C44" s="60"/>
      <c r="D44" s="60"/>
      <c r="E44" s="97">
        <f>E42+E43</f>
        <v>2.2398342131309801</v>
      </c>
      <c r="F44" s="97"/>
      <c r="G44" s="97"/>
      <c r="H44" s="97"/>
      <c r="I44" s="55">
        <f>E45/E41</f>
        <v>2.2398342131309801</v>
      </c>
    </row>
    <row r="45" spans="1:9" x14ac:dyDescent="0.3">
      <c r="A45" s="60" t="s">
        <v>92</v>
      </c>
      <c r="B45" s="60"/>
      <c r="C45" s="60"/>
      <c r="D45" s="60"/>
      <c r="E45" s="163">
        <v>1086.23</v>
      </c>
      <c r="F45" s="163"/>
      <c r="G45" s="163"/>
      <c r="H45" s="163"/>
    </row>
    <row r="46" spans="1:9" x14ac:dyDescent="0.3">
      <c r="A46" s="76" t="s">
        <v>39</v>
      </c>
      <c r="B46" s="76"/>
      <c r="C46" s="76"/>
      <c r="D46" s="76"/>
      <c r="E46" s="76" t="s">
        <v>120</v>
      </c>
      <c r="F46" s="76"/>
      <c r="G46" s="76"/>
      <c r="H46" s="76"/>
    </row>
    <row r="47" spans="1:9" x14ac:dyDescent="0.3">
      <c r="A47" s="121" t="s">
        <v>40</v>
      </c>
      <c r="B47" s="121"/>
      <c r="C47" s="121"/>
      <c r="D47" s="121"/>
      <c r="E47" s="121"/>
      <c r="F47" s="121"/>
      <c r="G47" s="121"/>
      <c r="H47" s="121"/>
    </row>
    <row r="48" spans="1:9" ht="33.75" customHeight="1" x14ac:dyDescent="0.3">
      <c r="A48" s="61" t="s">
        <v>149</v>
      </c>
      <c r="B48" s="63"/>
      <c r="C48" s="159" t="s">
        <v>245</v>
      </c>
      <c r="D48" s="160"/>
      <c r="E48" s="160"/>
      <c r="F48" s="160"/>
      <c r="G48" s="160"/>
      <c r="H48" s="161"/>
    </row>
    <row r="49" spans="1:14" ht="15.75" customHeight="1" x14ac:dyDescent="0.3">
      <c r="A49" s="61" t="s">
        <v>41</v>
      </c>
      <c r="B49" s="63"/>
      <c r="C49" s="61" t="s">
        <v>259</v>
      </c>
      <c r="D49" s="62"/>
      <c r="E49" s="63"/>
      <c r="F49" s="18" t="s">
        <v>42</v>
      </c>
      <c r="G49" s="147">
        <v>44946</v>
      </c>
      <c r="H49" s="63"/>
    </row>
    <row r="50" spans="1:14" x14ac:dyDescent="0.3">
      <c r="A50" s="61" t="s">
        <v>43</v>
      </c>
      <c r="B50" s="63"/>
      <c r="C50" s="61" t="str">
        <f>C49</f>
        <v>RZP BD/NSVP/27 2023</v>
      </c>
      <c r="D50" s="62"/>
      <c r="E50" s="63"/>
      <c r="F50" s="18" t="s">
        <v>42</v>
      </c>
      <c r="G50" s="147">
        <f>G49</f>
        <v>44946</v>
      </c>
      <c r="H50" s="148"/>
    </row>
    <row r="51" spans="1:14" s="22" customFormat="1" ht="15.75" customHeight="1" x14ac:dyDescent="0.3">
      <c r="A51" s="72" t="s">
        <v>227</v>
      </c>
      <c r="B51" s="72"/>
      <c r="C51" s="61" t="s">
        <v>246</v>
      </c>
      <c r="D51" s="62"/>
      <c r="E51" s="63"/>
      <c r="F51" s="18" t="s">
        <v>42</v>
      </c>
      <c r="G51" s="147">
        <f>G50</f>
        <v>44946</v>
      </c>
      <c r="H51" s="148"/>
    </row>
    <row r="52" spans="1:14" s="22" customFormat="1" x14ac:dyDescent="0.3">
      <c r="A52" s="72" t="s">
        <v>228</v>
      </c>
      <c r="B52" s="72"/>
      <c r="C52" s="61" t="s">
        <v>247</v>
      </c>
      <c r="D52" s="62"/>
      <c r="E52" s="62"/>
      <c r="F52" s="62"/>
      <c r="G52" s="62"/>
      <c r="H52" s="63"/>
    </row>
    <row r="53" spans="1:14" x14ac:dyDescent="0.3">
      <c r="A53" s="87" t="s">
        <v>44</v>
      </c>
      <c r="B53" s="88"/>
      <c r="C53" s="87" t="s">
        <v>104</v>
      </c>
      <c r="D53" s="89"/>
      <c r="E53" s="88"/>
      <c r="F53" s="44" t="s">
        <v>42</v>
      </c>
      <c r="G53" s="149" t="s">
        <v>29</v>
      </c>
      <c r="H53" s="150"/>
    </row>
    <row r="54" spans="1:14" x14ac:dyDescent="0.3">
      <c r="A54" s="124" t="s">
        <v>46</v>
      </c>
      <c r="B54" s="124"/>
      <c r="C54" s="124"/>
      <c r="D54" s="124"/>
      <c r="E54" s="124"/>
      <c r="F54" s="124"/>
      <c r="G54" s="124"/>
      <c r="H54" s="124"/>
    </row>
    <row r="55" spans="1:14" x14ac:dyDescent="0.3">
      <c r="A55" s="72" t="s">
        <v>91</v>
      </c>
      <c r="B55" s="72"/>
      <c r="C55" s="72"/>
      <c r="D55" s="60">
        <f>E45</f>
        <v>1086.23</v>
      </c>
      <c r="E55" s="60"/>
      <c r="F55" s="60"/>
      <c r="G55" s="60"/>
      <c r="H55" s="60"/>
    </row>
    <row r="56" spans="1:14" x14ac:dyDescent="0.3">
      <c r="A56" s="75" t="s">
        <v>47</v>
      </c>
      <c r="B56" s="76"/>
      <c r="C56" s="76"/>
      <c r="D56" s="76" t="s">
        <v>257</v>
      </c>
      <c r="E56" s="76"/>
      <c r="F56" s="76"/>
      <c r="G56" s="76"/>
      <c r="H56" s="76"/>
      <c r="I56" s="23"/>
    </row>
    <row r="57" spans="1:14" x14ac:dyDescent="0.3">
      <c r="A57" s="73" t="s">
        <v>48</v>
      </c>
      <c r="B57" s="74"/>
      <c r="C57" s="146"/>
      <c r="D57" s="78" t="s">
        <v>258</v>
      </c>
      <c r="E57" s="145"/>
      <c r="F57" s="145"/>
      <c r="G57" s="145"/>
      <c r="H57" s="145"/>
    </row>
    <row r="58" spans="1:14" ht="15.75" customHeight="1" x14ac:dyDescent="0.3">
      <c r="A58" s="73" t="s">
        <v>89</v>
      </c>
      <c r="B58" s="74"/>
      <c r="C58" s="74"/>
      <c r="D58" s="75" t="s">
        <v>258</v>
      </c>
      <c r="E58" s="76"/>
      <c r="F58" s="76"/>
      <c r="G58" s="76"/>
      <c r="H58" s="76"/>
    </row>
    <row r="59" spans="1:14" ht="15.75" customHeight="1" x14ac:dyDescent="0.3">
      <c r="A59" s="60" t="s">
        <v>45</v>
      </c>
      <c r="B59" s="60"/>
      <c r="C59" s="60"/>
      <c r="D59" s="144" t="s">
        <v>261</v>
      </c>
      <c r="E59" s="144"/>
      <c r="F59" s="144"/>
      <c r="G59" s="144"/>
      <c r="H59" s="144"/>
      <c r="J59" s="24"/>
      <c r="K59" s="23"/>
      <c r="N59" s="23"/>
    </row>
    <row r="60" spans="1:14" ht="15.75" customHeight="1" x14ac:dyDescent="0.3">
      <c r="A60" s="60" t="s">
        <v>87</v>
      </c>
      <c r="B60" s="60"/>
      <c r="C60" s="60"/>
      <c r="D60" s="162" t="str">
        <f>(IF(G53="NA","60 Years After Completion",IF(G53&lt;&gt;"NA",""&amp;60-ROUNDDOWN((E3-G53)/360,0)&amp;" Years"," ")))</f>
        <v>60 Years After Completion</v>
      </c>
      <c r="E60" s="162"/>
      <c r="F60" s="162"/>
      <c r="G60" s="162"/>
      <c r="H60" s="162"/>
      <c r="N60" s="23"/>
    </row>
    <row r="61" spans="1:14" ht="15.75" customHeight="1" x14ac:dyDescent="0.3">
      <c r="A61" s="60" t="s">
        <v>88</v>
      </c>
      <c r="B61" s="60"/>
      <c r="C61" s="60"/>
      <c r="D61" s="72" t="s">
        <v>24</v>
      </c>
      <c r="E61" s="72"/>
      <c r="F61" s="72"/>
      <c r="G61" s="72"/>
      <c r="H61" s="72"/>
      <c r="J61" s="25"/>
      <c r="K61" s="25"/>
    </row>
    <row r="62" spans="1:14" ht="33" customHeight="1" x14ac:dyDescent="0.3">
      <c r="A62" s="76" t="s">
        <v>229</v>
      </c>
      <c r="B62" s="76"/>
      <c r="C62" s="76"/>
      <c r="D62" s="75" t="s">
        <v>266</v>
      </c>
      <c r="E62" s="72"/>
      <c r="F62" s="72"/>
      <c r="G62" s="72"/>
      <c r="H62" s="72"/>
    </row>
    <row r="63" spans="1:14" x14ac:dyDescent="0.3">
      <c r="A63" s="72" t="s">
        <v>147</v>
      </c>
      <c r="B63" s="72"/>
      <c r="C63" s="72"/>
      <c r="D63" s="72" t="s">
        <v>29</v>
      </c>
      <c r="E63" s="72"/>
      <c r="F63" s="72"/>
      <c r="G63" s="72"/>
      <c r="H63" s="72"/>
      <c r="I63" s="26"/>
      <c r="J63" s="26"/>
      <c r="K63" s="26"/>
      <c r="L63" s="26"/>
      <c r="M63" s="26"/>
      <c r="N63" s="26"/>
    </row>
    <row r="64" spans="1:14" ht="15.75" customHeight="1" x14ac:dyDescent="0.3">
      <c r="A64" s="92" t="s">
        <v>86</v>
      </c>
      <c r="B64" s="92"/>
      <c r="C64" s="92"/>
      <c r="D64" s="78" t="str">
        <f ca="1">(IF(G70&gt;95%,"Nothing",IF(G70&gt;0%,"Cement, Aggregate, Steel, etc",IF(G70=0%,"Work not yet Started"))))</f>
        <v>Cement, Aggregate, Steel, etc</v>
      </c>
      <c r="E64" s="78"/>
      <c r="F64" s="78"/>
      <c r="G64" s="78"/>
      <c r="H64" s="78"/>
      <c r="J64" s="25"/>
    </row>
    <row r="65" spans="1:10" ht="33.75" customHeight="1" thickBot="1" x14ac:dyDescent="0.35">
      <c r="A65" s="135" t="s">
        <v>117</v>
      </c>
      <c r="B65" s="135"/>
      <c r="C65" s="135"/>
      <c r="D65" s="78" t="str">
        <f ca="1">(IF(D64="Nothing","Yes",IF(D64="Cement, Aggregate, Steel, etc","Under Construction",IF(D64="Work not yet Started","Work not yet Started"))))</f>
        <v>Under Construction</v>
      </c>
      <c r="E65" s="78"/>
      <c r="F65" s="78" t="str">
        <f ca="1">(IF(D64="Nothing","Yes",IF(D64="Cement, Aggregate, Steel, etc","Under Construction",IF(D64="Work not yet Started","Work not yet Started"))))</f>
        <v>Under Construction</v>
      </c>
      <c r="G65" s="78"/>
      <c r="H65" s="78"/>
    </row>
    <row r="66" spans="1:10" ht="15.75" customHeight="1" x14ac:dyDescent="0.3">
      <c r="A66" s="128" t="s">
        <v>139</v>
      </c>
      <c r="B66" s="129"/>
      <c r="C66" s="130" t="str">
        <f>D58</f>
        <v>Gr + 1st to 7th Floor</v>
      </c>
      <c r="D66" s="131"/>
      <c r="E66" s="131"/>
      <c r="F66" s="131"/>
      <c r="G66" s="131"/>
      <c r="H66" s="132"/>
      <c r="I66" s="48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6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6 Floor</v>
      </c>
    </row>
    <row r="67" spans="1:10" x14ac:dyDescent="0.3">
      <c r="A67" s="16" t="s">
        <v>141</v>
      </c>
      <c r="B67" s="46">
        <f>IF(AND(ISNUMBER(SEARCH("1B",C66))),1,IF(AND(ISNUMBER(SEARCH("2B",C66))),2,IF(AND(ISNUMBER(SEARCH("3B",C66))),3,IF(AND(ISNUMBER(SEARCH("4B",C66))),4,IF(ISNUMBER(SEARCH("5B",C66)),5,0)))))</f>
        <v>0</v>
      </c>
      <c r="C67" s="46" t="s">
        <v>72</v>
      </c>
      <c r="D67" s="46">
        <v>1</v>
      </c>
      <c r="E67" s="46" t="s">
        <v>71</v>
      </c>
      <c r="F67" s="46">
        <v>0</v>
      </c>
      <c r="G67" s="47" t="s">
        <v>80</v>
      </c>
      <c r="H67" s="17">
        <f ca="1">--TRIM(RIGHT(SUBSTITUTE(LEFT(C66,_xlfn.AGGREGATE(16,6,FIND({0,1,2,3,4,5,6,7,8,9},C66,ROW(INDIRECT("1:"&amp;LEN(C66)))),1))," ",REPT(" ",LEN(C66))),LEN(C66)))</f>
        <v>7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3">
      <c r="A68" s="126" t="s">
        <v>90</v>
      </c>
      <c r="B68" s="127"/>
      <c r="C68" s="133" t="str">
        <f ca="1">I66</f>
        <v>Excavation, Plinth, RCC Slab, Brickwork, Internal Plaster, External Plaster, Flooring Completed, Painting upto 6 Floor Completed</v>
      </c>
      <c r="D68" s="133"/>
      <c r="E68" s="133"/>
      <c r="F68" s="133"/>
      <c r="G68" s="133"/>
      <c r="H68" s="134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">
      <c r="A69" s="125" t="s">
        <v>49</v>
      </c>
      <c r="B69" s="77"/>
      <c r="C69" s="43" t="s">
        <v>138</v>
      </c>
      <c r="D69" s="43" t="s">
        <v>83</v>
      </c>
      <c r="E69" s="77" t="s">
        <v>85</v>
      </c>
      <c r="F69" s="77"/>
      <c r="G69" s="77" t="s">
        <v>84</v>
      </c>
      <c r="H69" s="79"/>
      <c r="I69" s="14" t="s">
        <v>140</v>
      </c>
      <c r="J69" s="27">
        <f ca="1">H67*25%</f>
        <v>1.75</v>
      </c>
    </row>
    <row r="70" spans="1:10" x14ac:dyDescent="0.3">
      <c r="A70" s="77" t="s">
        <v>127</v>
      </c>
      <c r="B70" s="77"/>
      <c r="C70" s="43">
        <f ca="1">J71</f>
        <v>7</v>
      </c>
      <c r="D70" s="19">
        <f ca="1">((100/H67)*C70)/100</f>
        <v>1</v>
      </c>
      <c r="E70" s="156">
        <f ca="1">(((C71/H67*10)+(40/(D67+F67+H67)*C72)+(7.5/(H67)*C73)+(7.5/(H67)*C74)+(10/H67*C75)+(10/H67*C76)+(5/H67*C77)+(5/H67*C78)+(5/H67*C79))/100)</f>
        <v>0.8928571428571429</v>
      </c>
      <c r="F70" s="156"/>
      <c r="G70" s="156">
        <f ca="1">((((C70/H67)*20)+((C71/H67)*25)+(30/(H67+F67+D67)*C72)+(5/H67*C73)+(5/H67*C74)+(5/H67*C75)+(5/H67*C76)+(0/H67*C77)+(0/H67*C78)+(5/H67*C79))/100)</f>
        <v>0.95</v>
      </c>
      <c r="H70" s="156"/>
      <c r="I70" s="14" t="s">
        <v>99</v>
      </c>
      <c r="J70" s="28">
        <f ca="1">H67*50%</f>
        <v>3.5</v>
      </c>
    </row>
    <row r="71" spans="1:10" x14ac:dyDescent="0.3">
      <c r="A71" s="77" t="s">
        <v>50</v>
      </c>
      <c r="B71" s="77"/>
      <c r="C71" s="52">
        <f ca="1">J79</f>
        <v>7</v>
      </c>
      <c r="D71" s="19">
        <f ca="1">((100/H67)*C71)/100</f>
        <v>1</v>
      </c>
      <c r="E71" s="156"/>
      <c r="F71" s="156"/>
      <c r="G71" s="156"/>
      <c r="H71" s="156"/>
      <c r="I71" s="14" t="s">
        <v>100</v>
      </c>
      <c r="J71" s="28">
        <f ca="1">H67</f>
        <v>7</v>
      </c>
    </row>
    <row r="72" spans="1:10" ht="15.75" customHeight="1" x14ac:dyDescent="0.3">
      <c r="A72" s="77" t="s">
        <v>128</v>
      </c>
      <c r="B72" s="77"/>
      <c r="C72" s="43">
        <v>8</v>
      </c>
      <c r="D72" s="19">
        <f ca="1">((100/(D67+F67+H67))*C72)/100</f>
        <v>1</v>
      </c>
      <c r="E72" s="156"/>
      <c r="F72" s="156"/>
      <c r="G72" s="156"/>
      <c r="H72" s="156"/>
      <c r="I72" s="14" t="s">
        <v>101</v>
      </c>
      <c r="J72" s="29">
        <f ca="1">(IF(B67&gt;1,(H67/(B67+2)),H67/4))</f>
        <v>1.75</v>
      </c>
    </row>
    <row r="73" spans="1:10" ht="15.75" customHeight="1" x14ac:dyDescent="0.3">
      <c r="A73" s="77" t="s">
        <v>135</v>
      </c>
      <c r="B73" s="77" t="s">
        <v>129</v>
      </c>
      <c r="C73" s="43">
        <v>7</v>
      </c>
      <c r="D73" s="19">
        <f ca="1">((100/H67)*C73)/100</f>
        <v>1</v>
      </c>
      <c r="E73" s="156"/>
      <c r="F73" s="156"/>
      <c r="G73" s="156"/>
      <c r="H73" s="156"/>
      <c r="I73" s="14" t="s">
        <v>102</v>
      </c>
      <c r="J73" s="29">
        <f ca="1">(IF(B67&gt;1,(H67/(B67+2)+J72),H67/4+J72))</f>
        <v>3.5</v>
      </c>
    </row>
    <row r="74" spans="1:10" ht="15.75" customHeight="1" x14ac:dyDescent="0.3">
      <c r="A74" s="77" t="s">
        <v>136</v>
      </c>
      <c r="B74" s="77" t="s">
        <v>129</v>
      </c>
      <c r="C74" s="43">
        <v>7</v>
      </c>
      <c r="D74" s="19">
        <f ca="1">((100/H67)*C74)/100</f>
        <v>1</v>
      </c>
      <c r="E74" s="156"/>
      <c r="F74" s="156"/>
      <c r="G74" s="156"/>
      <c r="H74" s="156"/>
      <c r="I74" s="14" t="s">
        <v>145</v>
      </c>
      <c r="J74" s="29">
        <f>(IF(B67&gt;1,(H67/(B67+2)+J73),0))</f>
        <v>0</v>
      </c>
    </row>
    <row r="75" spans="1:10" ht="15" customHeight="1" x14ac:dyDescent="0.3">
      <c r="A75" s="77" t="s">
        <v>134</v>
      </c>
      <c r="B75" s="77" t="s">
        <v>131</v>
      </c>
      <c r="C75" s="43">
        <v>7</v>
      </c>
      <c r="D75" s="19">
        <f ca="1">((100/(H67))*C75)/100</f>
        <v>1</v>
      </c>
      <c r="E75" s="156"/>
      <c r="F75" s="156"/>
      <c r="G75" s="156"/>
      <c r="H75" s="156"/>
      <c r="I75" s="14" t="s">
        <v>142</v>
      </c>
      <c r="J75" s="29">
        <f>(IF(B67&gt;2,(H67/(B67+2)+J74),0))</f>
        <v>0</v>
      </c>
    </row>
    <row r="76" spans="1:10" ht="15.75" customHeight="1" x14ac:dyDescent="0.3">
      <c r="A76" s="77" t="s">
        <v>130</v>
      </c>
      <c r="B76" s="77" t="s">
        <v>130</v>
      </c>
      <c r="C76" s="43">
        <v>7</v>
      </c>
      <c r="D76" s="19">
        <f ca="1">((100/H67)*C76)/100</f>
        <v>1</v>
      </c>
      <c r="E76" s="156"/>
      <c r="F76" s="156"/>
      <c r="G76" s="156"/>
      <c r="H76" s="156"/>
      <c r="I76" s="14" t="s">
        <v>143</v>
      </c>
      <c r="J76" s="30">
        <f>(IF(B67&gt;3,(H67/(B67+2)+J75),0))</f>
        <v>0</v>
      </c>
    </row>
    <row r="77" spans="1:10" ht="15.75" customHeight="1" x14ac:dyDescent="0.3">
      <c r="A77" s="77" t="s">
        <v>137</v>
      </c>
      <c r="B77" s="77"/>
      <c r="C77" s="43">
        <v>6</v>
      </c>
      <c r="D77" s="19">
        <f ca="1">((100/H67)*C77)/100</f>
        <v>0.85714285714285721</v>
      </c>
      <c r="E77" s="156"/>
      <c r="F77" s="156"/>
      <c r="G77" s="156"/>
      <c r="H77" s="156"/>
      <c r="I77" s="14" t="s">
        <v>144</v>
      </c>
      <c r="J77" s="29">
        <f>(IF(B67&gt;4,(H67/(B67+2)+J76),0))</f>
        <v>0</v>
      </c>
    </row>
    <row r="78" spans="1:10" ht="15.75" customHeight="1" x14ac:dyDescent="0.3">
      <c r="A78" s="77" t="s">
        <v>132</v>
      </c>
      <c r="B78" s="77" t="s">
        <v>132</v>
      </c>
      <c r="C78" s="43">
        <v>0</v>
      </c>
      <c r="D78" s="19">
        <f ca="1">((100/(H67))*C78)/100</f>
        <v>0</v>
      </c>
      <c r="E78" s="156"/>
      <c r="F78" s="156"/>
      <c r="G78" s="156"/>
      <c r="H78" s="156"/>
      <c r="I78" s="14" t="s">
        <v>146</v>
      </c>
      <c r="J78" s="29">
        <f ca="1">(IF(B67=1,(H67/(B67+3)+J73),IF(B67=0,(H67/4+J73),IF(B67&gt;1,0))))</f>
        <v>5.25</v>
      </c>
    </row>
    <row r="79" spans="1:10" ht="16.2" thickBot="1" x14ac:dyDescent="0.35">
      <c r="A79" s="77" t="s">
        <v>133</v>
      </c>
      <c r="B79" s="77"/>
      <c r="C79" s="43">
        <v>0</v>
      </c>
      <c r="D79" s="19">
        <f ca="1">((100/(H67))*C79)/100</f>
        <v>0</v>
      </c>
      <c r="E79" s="156"/>
      <c r="F79" s="156"/>
      <c r="G79" s="156"/>
      <c r="H79" s="156"/>
      <c r="I79" s="15" t="s">
        <v>103</v>
      </c>
      <c r="J79" s="31">
        <f ca="1">(IF(B67&gt;1.5,(H67/(B67+2)+J73+MAX(0,J74-J73)+MAX(0,J75-J74)+MAX(0,J76-J75)+MAX(0,J77-J76)+MAX(0,J78-J77)),IF(B67=1,(H67/(B67+3)+J78),IF(B67=0,H67/4+J78))))</f>
        <v>7</v>
      </c>
    </row>
    <row r="80" spans="1:10" ht="16.5" customHeight="1" x14ac:dyDescent="0.3">
      <c r="A80" s="121" t="s">
        <v>154</v>
      </c>
      <c r="B80" s="121"/>
      <c r="C80" s="121"/>
      <c r="D80" s="121"/>
      <c r="E80" s="121"/>
      <c r="F80" s="80" t="s">
        <v>157</v>
      </c>
      <c r="G80" s="80"/>
      <c r="H80" s="80"/>
    </row>
    <row r="81" spans="1:8" x14ac:dyDescent="0.3">
      <c r="A81" s="60" t="s">
        <v>156</v>
      </c>
      <c r="B81" s="60"/>
      <c r="C81" s="60"/>
      <c r="D81" s="60"/>
      <c r="E81" s="60"/>
      <c r="F81" s="83">
        <v>3500</v>
      </c>
      <c r="G81" s="83"/>
      <c r="H81" s="83"/>
    </row>
    <row r="82" spans="1:8" x14ac:dyDescent="0.3">
      <c r="A82" s="60" t="s">
        <v>155</v>
      </c>
      <c r="B82" s="60"/>
      <c r="C82" s="60"/>
      <c r="D82" s="60"/>
      <c r="E82" s="60"/>
      <c r="F82" s="83">
        <v>7000</v>
      </c>
      <c r="G82" s="83"/>
      <c r="H82" s="83"/>
    </row>
    <row r="83" spans="1:8" s="32" customFormat="1" x14ac:dyDescent="0.25">
      <c r="A83" s="60" t="s">
        <v>265</v>
      </c>
      <c r="B83" s="60"/>
      <c r="C83" s="60"/>
      <c r="D83" s="60"/>
      <c r="E83" s="60"/>
      <c r="F83" s="83">
        <v>150000</v>
      </c>
      <c r="G83" s="83"/>
      <c r="H83" s="83"/>
    </row>
    <row r="84" spans="1:8" s="32" customFormat="1" hidden="1" x14ac:dyDescent="0.25">
      <c r="A84" s="60" t="s">
        <v>95</v>
      </c>
      <c r="B84" s="60"/>
      <c r="C84" s="60"/>
      <c r="D84" s="60"/>
      <c r="E84" s="60"/>
      <c r="F84" s="83"/>
      <c r="G84" s="83"/>
      <c r="H84" s="83"/>
    </row>
    <row r="85" spans="1:8" s="32" customFormat="1" hidden="1" x14ac:dyDescent="0.25">
      <c r="A85" s="60" t="s">
        <v>158</v>
      </c>
      <c r="B85" s="60"/>
      <c r="C85" s="60"/>
      <c r="D85" s="60"/>
      <c r="E85" s="60"/>
      <c r="F85" s="83"/>
      <c r="G85" s="83"/>
      <c r="H85" s="83"/>
    </row>
    <row r="86" spans="1:8" s="32" customFormat="1" hidden="1" x14ac:dyDescent="0.25">
      <c r="A86" s="60" t="s">
        <v>96</v>
      </c>
      <c r="B86" s="60"/>
      <c r="C86" s="60"/>
      <c r="D86" s="60"/>
      <c r="E86" s="60"/>
      <c r="F86" s="83"/>
      <c r="G86" s="83"/>
      <c r="H86" s="83"/>
    </row>
    <row r="87" spans="1:8" s="32" customFormat="1" hidden="1" x14ac:dyDescent="0.25">
      <c r="A87" s="60" t="s">
        <v>97</v>
      </c>
      <c r="B87" s="60"/>
      <c r="C87" s="60"/>
      <c r="D87" s="60"/>
      <c r="E87" s="60"/>
      <c r="F87" s="83"/>
      <c r="G87" s="83"/>
      <c r="H87" s="83"/>
    </row>
    <row r="88" spans="1:8" s="32" customFormat="1" x14ac:dyDescent="0.25">
      <c r="A88" s="60" t="s">
        <v>264</v>
      </c>
      <c r="B88" s="60"/>
      <c r="C88" s="60"/>
      <c r="D88" s="60"/>
      <c r="E88" s="60"/>
      <c r="F88" s="83">
        <v>50000</v>
      </c>
      <c r="G88" s="83"/>
      <c r="H88" s="83"/>
    </row>
    <row r="89" spans="1:8" s="32" customFormat="1" hidden="1" x14ac:dyDescent="0.25">
      <c r="A89" s="60" t="s">
        <v>98</v>
      </c>
      <c r="B89" s="60"/>
      <c r="C89" s="60"/>
      <c r="D89" s="60"/>
      <c r="E89" s="60"/>
      <c r="F89" s="83"/>
      <c r="G89" s="83"/>
      <c r="H89" s="83"/>
    </row>
    <row r="90" spans="1:8" x14ac:dyDescent="0.3">
      <c r="A90" s="60" t="s">
        <v>51</v>
      </c>
      <c r="B90" s="60"/>
      <c r="C90" s="60"/>
      <c r="D90" s="60"/>
      <c r="E90" s="60"/>
      <c r="F90" s="83">
        <v>100000</v>
      </c>
      <c r="G90" s="83"/>
      <c r="H90" s="83"/>
    </row>
    <row r="91" spans="1:8" s="33" customFormat="1" x14ac:dyDescent="0.3">
      <c r="A91" s="121" t="s">
        <v>52</v>
      </c>
      <c r="B91" s="121"/>
      <c r="C91" s="121"/>
      <c r="D91" s="121"/>
      <c r="E91" s="121"/>
      <c r="F91" s="83">
        <f>F81*0.8</f>
        <v>2800</v>
      </c>
      <c r="G91" s="83"/>
      <c r="H91" s="83"/>
    </row>
    <row r="92" spans="1:8" s="34" customFormat="1" ht="15.75" customHeight="1" x14ac:dyDescent="0.3">
      <c r="A92" s="120" t="s">
        <v>75</v>
      </c>
      <c r="B92" s="120"/>
      <c r="C92" s="120"/>
      <c r="D92" s="120"/>
      <c r="E92" s="120"/>
      <c r="F92" s="120"/>
      <c r="G92" s="120"/>
      <c r="H92" s="120"/>
    </row>
    <row r="93" spans="1:8" s="34" customFormat="1" ht="15.75" customHeight="1" x14ac:dyDescent="0.3">
      <c r="A93" s="86" t="s">
        <v>53</v>
      </c>
      <c r="B93" s="86"/>
      <c r="C93" s="91" t="s">
        <v>78</v>
      </c>
      <c r="D93" s="91"/>
      <c r="E93" s="90" t="s">
        <v>54</v>
      </c>
      <c r="F93" s="90"/>
      <c r="G93" s="86" t="s">
        <v>55</v>
      </c>
      <c r="H93" s="86"/>
    </row>
    <row r="94" spans="1:8" s="34" customFormat="1" x14ac:dyDescent="0.3">
      <c r="A94" s="123" t="s">
        <v>255</v>
      </c>
      <c r="B94" s="123"/>
      <c r="C94" s="151">
        <f>COUNT(D104:D107)</f>
        <v>4</v>
      </c>
      <c r="D94" s="155"/>
      <c r="E94" s="107">
        <f>SUM(D104:D107)</f>
        <v>705.25727999999992</v>
      </c>
      <c r="F94" s="108"/>
      <c r="G94" s="107">
        <f>SUM(F104:F107)</f>
        <v>1057.8859199999999</v>
      </c>
      <c r="H94" s="108"/>
    </row>
    <row r="95" spans="1:8" s="34" customFormat="1" x14ac:dyDescent="0.3">
      <c r="A95" s="120" t="s">
        <v>70</v>
      </c>
      <c r="B95" s="120"/>
      <c r="C95" s="120"/>
      <c r="D95" s="120"/>
      <c r="E95" s="120"/>
      <c r="F95" s="120"/>
      <c r="G95" s="120"/>
      <c r="H95" s="120"/>
    </row>
    <row r="96" spans="1:8" s="34" customFormat="1" ht="15.75" customHeight="1" x14ac:dyDescent="0.3">
      <c r="A96" s="86" t="s">
        <v>53</v>
      </c>
      <c r="B96" s="86"/>
      <c r="C96" s="91" t="s">
        <v>78</v>
      </c>
      <c r="D96" s="91"/>
      <c r="E96" s="90" t="s">
        <v>54</v>
      </c>
      <c r="F96" s="90"/>
      <c r="G96" s="86" t="s">
        <v>55</v>
      </c>
      <c r="H96" s="86"/>
    </row>
    <row r="97" spans="1:14" s="34" customFormat="1" ht="16.2" thickBot="1" x14ac:dyDescent="0.35">
      <c r="A97" s="123" t="s">
        <v>256</v>
      </c>
      <c r="B97" s="123"/>
      <c r="C97" s="151">
        <f>COUNT(D112:D115)+COUNT(D117:D120)*6</f>
        <v>28</v>
      </c>
      <c r="D97" s="151"/>
      <c r="E97" s="107">
        <f>SUM(D112:D115)+SUM(D117:D120)*6</f>
        <v>10979.010899999999</v>
      </c>
      <c r="F97" s="107"/>
      <c r="G97" s="107">
        <f>SUM(F112:F115)+SUM(F117:F120)*6</f>
        <v>16073.491004999998</v>
      </c>
      <c r="H97" s="107"/>
    </row>
    <row r="98" spans="1:14" s="34" customFormat="1" ht="16.2" thickBot="1" x14ac:dyDescent="0.35">
      <c r="A98" s="94" t="s">
        <v>164</v>
      </c>
      <c r="B98" s="95"/>
      <c r="C98" s="96">
        <f>C94+C97</f>
        <v>32</v>
      </c>
      <c r="D98" s="96"/>
      <c r="E98" s="96">
        <f t="shared" ref="E98" si="0">E94+E97</f>
        <v>11684.268179999999</v>
      </c>
      <c r="F98" s="96"/>
      <c r="G98" s="96">
        <f t="shared" ref="G98" si="1">G94+G97</f>
        <v>17131.376924999997</v>
      </c>
      <c r="H98" s="96"/>
    </row>
    <row r="99" spans="1:14" s="33" customFormat="1" x14ac:dyDescent="0.3">
      <c r="A99" s="116" t="s">
        <v>56</v>
      </c>
      <c r="B99" s="116"/>
      <c r="C99" s="116"/>
      <c r="D99" s="116"/>
      <c r="E99" s="116"/>
      <c r="F99" s="116"/>
      <c r="G99" s="116"/>
      <c r="H99" s="116"/>
    </row>
    <row r="100" spans="1:14" x14ac:dyDescent="0.3">
      <c r="A100" s="80" t="s">
        <v>171</v>
      </c>
      <c r="B100" s="80"/>
      <c r="C100" s="80"/>
      <c r="D100" s="80"/>
      <c r="E100" s="80"/>
      <c r="F100" s="80"/>
      <c r="G100" s="80"/>
      <c r="H100" s="80"/>
    </row>
    <row r="101" spans="1:14" ht="47.25" customHeight="1" x14ac:dyDescent="0.3">
      <c r="A101" s="99" t="s">
        <v>118</v>
      </c>
      <c r="B101" s="99" t="s">
        <v>172</v>
      </c>
      <c r="C101" s="99" t="s">
        <v>57</v>
      </c>
      <c r="D101" s="99" t="s">
        <v>58</v>
      </c>
      <c r="E101" s="101" t="s">
        <v>153</v>
      </c>
      <c r="F101" s="42" t="s">
        <v>148</v>
      </c>
      <c r="G101" s="103" t="s">
        <v>60</v>
      </c>
      <c r="H101" s="104"/>
    </row>
    <row r="102" spans="1:14" s="36" customFormat="1" x14ac:dyDescent="0.3">
      <c r="A102" s="100"/>
      <c r="B102" s="100"/>
      <c r="C102" s="100"/>
      <c r="D102" s="100"/>
      <c r="E102" s="102"/>
      <c r="F102" s="13">
        <v>0.5</v>
      </c>
      <c r="G102" s="105"/>
      <c r="H102" s="106"/>
    </row>
    <row r="103" spans="1:14" s="36" customFormat="1" x14ac:dyDescent="0.3">
      <c r="A103" s="152" t="s">
        <v>249</v>
      </c>
      <c r="B103" s="153"/>
      <c r="C103" s="153"/>
      <c r="D103" s="153"/>
      <c r="E103" s="153"/>
      <c r="F103" s="153"/>
      <c r="G103" s="153"/>
      <c r="H103" s="154"/>
      <c r="J103" s="35"/>
    </row>
    <row r="104" spans="1:14" s="36" customFormat="1" ht="15.75" customHeight="1" x14ac:dyDescent="0.3">
      <c r="A104" s="81">
        <v>1</v>
      </c>
      <c r="B104" s="82"/>
      <c r="C104" s="41" t="s">
        <v>250</v>
      </c>
      <c r="D104" s="41">
        <f>(2.6*6.3)*10.764</f>
        <v>176.31431999999998</v>
      </c>
      <c r="E104" s="41">
        <v>0</v>
      </c>
      <c r="F104" s="41">
        <f>(D104+E104)*(($F$102)+1)</f>
        <v>264.47147999999999</v>
      </c>
      <c r="G104" s="64" t="str">
        <f>A103</f>
        <v>Ground Floor For Commercial &amp; Parking</v>
      </c>
      <c r="H104" s="65"/>
      <c r="I104" s="35">
        <f>17.32*10.764</f>
        <v>186.43248</v>
      </c>
      <c r="L104" s="71"/>
      <c r="M104" s="71"/>
      <c r="N104" s="35"/>
    </row>
    <row r="105" spans="1:14" s="36" customFormat="1" ht="15.75" customHeight="1" x14ac:dyDescent="0.3">
      <c r="A105" s="81">
        <f t="shared" ref="A105:A107" si="2">A104+1</f>
        <v>2</v>
      </c>
      <c r="B105" s="82"/>
      <c r="C105" s="41" t="s">
        <v>250</v>
      </c>
      <c r="D105" s="41">
        <f t="shared" ref="D105:D107" si="3">(2.6*6.3)*10.764</f>
        <v>176.31431999999998</v>
      </c>
      <c r="E105" s="41">
        <v>0</v>
      </c>
      <c r="F105" s="41">
        <f t="shared" ref="F105:F107" si="4">(D105+E105)*(($F$102)+1)</f>
        <v>264.47147999999999</v>
      </c>
      <c r="G105" s="66"/>
      <c r="H105" s="67"/>
      <c r="I105" s="35"/>
      <c r="L105" s="71"/>
      <c r="M105" s="71"/>
      <c r="N105" s="35"/>
    </row>
    <row r="106" spans="1:14" s="36" customFormat="1" ht="15.75" customHeight="1" x14ac:dyDescent="0.3">
      <c r="A106" s="81">
        <f t="shared" si="2"/>
        <v>3</v>
      </c>
      <c r="B106" s="82"/>
      <c r="C106" s="41" t="s">
        <v>250</v>
      </c>
      <c r="D106" s="41">
        <f t="shared" si="3"/>
        <v>176.31431999999998</v>
      </c>
      <c r="E106" s="41">
        <v>0</v>
      </c>
      <c r="F106" s="41">
        <f t="shared" si="4"/>
        <v>264.47147999999999</v>
      </c>
      <c r="G106" s="66"/>
      <c r="H106" s="67"/>
      <c r="I106" s="35"/>
      <c r="L106" s="71"/>
      <c r="M106" s="71"/>
      <c r="N106" s="35"/>
    </row>
    <row r="107" spans="1:14" s="36" customFormat="1" ht="15.75" customHeight="1" x14ac:dyDescent="0.3">
      <c r="A107" s="81">
        <f t="shared" si="2"/>
        <v>4</v>
      </c>
      <c r="B107" s="82"/>
      <c r="C107" s="41" t="s">
        <v>250</v>
      </c>
      <c r="D107" s="41">
        <f t="shared" si="3"/>
        <v>176.31431999999998</v>
      </c>
      <c r="E107" s="41">
        <v>0</v>
      </c>
      <c r="F107" s="41">
        <f t="shared" si="4"/>
        <v>264.47147999999999</v>
      </c>
      <c r="G107" s="68"/>
      <c r="H107" s="69"/>
      <c r="I107" s="35"/>
      <c r="L107" s="71"/>
      <c r="M107" s="71"/>
      <c r="N107" s="35"/>
    </row>
    <row r="108" spans="1:14" s="36" customFormat="1" x14ac:dyDescent="0.3">
      <c r="A108" s="81"/>
      <c r="B108" s="117"/>
      <c r="C108" s="117"/>
      <c r="D108" s="117"/>
      <c r="E108" s="117"/>
      <c r="F108" s="117"/>
      <c r="G108" s="117"/>
      <c r="H108" s="82"/>
      <c r="I108" s="35"/>
      <c r="N108" s="35"/>
    </row>
    <row r="109" spans="1:14" ht="47.25" customHeight="1" x14ac:dyDescent="0.3">
      <c r="A109" s="103" t="s">
        <v>119</v>
      </c>
      <c r="B109" s="99" t="s">
        <v>173</v>
      </c>
      <c r="C109" s="99" t="s">
        <v>57</v>
      </c>
      <c r="D109" s="99" t="s">
        <v>58</v>
      </c>
      <c r="E109" s="101" t="s">
        <v>59</v>
      </c>
      <c r="F109" s="42" t="s">
        <v>148</v>
      </c>
      <c r="G109" s="103" t="s">
        <v>60</v>
      </c>
      <c r="H109" s="104"/>
      <c r="I109" s="35"/>
    </row>
    <row r="110" spans="1:14" s="36" customFormat="1" x14ac:dyDescent="0.3">
      <c r="A110" s="105"/>
      <c r="B110" s="100"/>
      <c r="C110" s="100"/>
      <c r="D110" s="100"/>
      <c r="E110" s="102"/>
      <c r="F110" s="13">
        <v>0.45</v>
      </c>
      <c r="G110" s="105"/>
      <c r="H110" s="106"/>
      <c r="I110" s="35"/>
    </row>
    <row r="111" spans="1:14" s="36" customFormat="1" x14ac:dyDescent="0.3">
      <c r="A111" s="109" t="s">
        <v>252</v>
      </c>
      <c r="B111" s="109"/>
      <c r="C111" s="109"/>
      <c r="D111" s="109"/>
      <c r="E111" s="109"/>
      <c r="F111" s="109"/>
      <c r="G111" s="109"/>
      <c r="H111" s="109"/>
      <c r="J111" s="35"/>
    </row>
    <row r="112" spans="1:14" s="36" customFormat="1" ht="15.75" customHeight="1" x14ac:dyDescent="0.3">
      <c r="A112" s="70">
        <v>101</v>
      </c>
      <c r="B112" s="70"/>
      <c r="C112" s="59" t="s">
        <v>251</v>
      </c>
      <c r="D112" s="59">
        <f>(2.75*4.27+2.5*2.17+2.75*3+1.2*1.5+1.2*1.2+1.3*1.2+1*2.5+0.75*(2.75+3))*10.764</f>
        <v>398.59091999999998</v>
      </c>
      <c r="E112" s="59">
        <v>0</v>
      </c>
      <c r="F112" s="59">
        <f>D112*(($F$110)+1)+(IF(E112&lt;101,E112,IF(E112&lt;201,E112/2,IF(E112&lt;=301,E112/3,E112/4))))</f>
        <v>577.95683399999996</v>
      </c>
      <c r="G112" s="70" t="str">
        <f>A111</f>
        <v>1st Floor For Residential</v>
      </c>
      <c r="H112" s="70"/>
      <c r="I112" s="35"/>
      <c r="L112" s="71">
        <f>3500*F112</f>
        <v>2022848.9189999998</v>
      </c>
      <c r="M112" s="71"/>
      <c r="N112" s="35"/>
    </row>
    <row r="113" spans="1:14" s="36" customFormat="1" ht="15.75" customHeight="1" x14ac:dyDescent="0.3">
      <c r="A113" s="70">
        <f t="shared" ref="A113:A115" si="5">A112+1</f>
        <v>102</v>
      </c>
      <c r="B113" s="70"/>
      <c r="C113" s="59" t="s">
        <v>251</v>
      </c>
      <c r="D113" s="59">
        <f>(2.75*4.27+2.5*2.17+2.75*3+1.2*1.5+1.2*1.2+1.3*1.2+1*2.5+0.75*(2.75+3))*10.764</f>
        <v>398.59091999999998</v>
      </c>
      <c r="E113" s="59">
        <v>0</v>
      </c>
      <c r="F113" s="59">
        <f>D113*(($F$110)+1)+(IF(E113&lt;101,E113,IF(E113&lt;201,E113/2,IF(E113&lt;=301,E113/3,E113/4))))</f>
        <v>577.95683399999996</v>
      </c>
      <c r="G113" s="70"/>
      <c r="H113" s="70"/>
      <c r="I113" s="35"/>
      <c r="L113" s="71">
        <f t="shared" ref="L113:L115" si="6">3500*F113</f>
        <v>2022848.9189999998</v>
      </c>
      <c r="M113" s="71"/>
      <c r="N113" s="35"/>
    </row>
    <row r="114" spans="1:14" s="36" customFormat="1" ht="15.75" customHeight="1" x14ac:dyDescent="0.3">
      <c r="A114" s="70">
        <f t="shared" si="5"/>
        <v>103</v>
      </c>
      <c r="B114" s="70"/>
      <c r="C114" s="59" t="s">
        <v>251</v>
      </c>
      <c r="D114" s="59">
        <f>(2.75*4.27+2.75*1.8+2.75*2.75+1.2*1.5+1.2*1.2+0.9*1.5+1.5*1.2+0.75*(1.8+2.75))*10.764</f>
        <v>366.59493000000003</v>
      </c>
      <c r="E114" s="59">
        <f>(2.75*2.6)*10.764</f>
        <v>76.962599999999995</v>
      </c>
      <c r="F114" s="59">
        <f>D114*(($F$110)+1)+(IF(E114&lt;101,E114,IF(E114&lt;201,E114/2,IF(E114&lt;=301,E114/3,E114/4))))</f>
        <v>608.52524849999998</v>
      </c>
      <c r="G114" s="70"/>
      <c r="H114" s="70"/>
      <c r="I114" s="35"/>
      <c r="L114" s="71">
        <f t="shared" si="6"/>
        <v>2129838.3697500001</v>
      </c>
      <c r="M114" s="71"/>
      <c r="N114" s="35"/>
    </row>
    <row r="115" spans="1:14" s="36" customFormat="1" ht="15.75" customHeight="1" x14ac:dyDescent="0.3">
      <c r="A115" s="70">
        <f t="shared" si="5"/>
        <v>104</v>
      </c>
      <c r="B115" s="70"/>
      <c r="C115" s="59" t="s">
        <v>251</v>
      </c>
      <c r="D115" s="59">
        <f>(2.75*4.27+2.75*1.8+2.75*2.75+1.2*1.5+1.2*1.2+0.9*1.5+1.5*1.2+0.75*(1.8+2.75))*10.764</f>
        <v>366.59493000000003</v>
      </c>
      <c r="E115" s="59">
        <f>(2.75*2.6)*10.764</f>
        <v>76.962599999999995</v>
      </c>
      <c r="F115" s="59">
        <f>D115*(($F$110)+1)+(IF(E115&lt;101,E115,IF(E115&lt;201,E115/2,IF(E115&lt;=301,E115/3,E115/4))))</f>
        <v>608.52524849999998</v>
      </c>
      <c r="G115" s="70"/>
      <c r="H115" s="70"/>
      <c r="I115" s="57">
        <f>7.15-(1.8+1.5+1.2)</f>
        <v>2.6500000000000004</v>
      </c>
      <c r="J115" s="58">
        <f>2.75*3.3</f>
        <v>9.0749999999999993</v>
      </c>
      <c r="K115" s="58">
        <f>2.75*2.75</f>
        <v>7.5625</v>
      </c>
      <c r="L115" s="71">
        <f t="shared" si="6"/>
        <v>2129838.3697500001</v>
      </c>
      <c r="M115" s="71"/>
      <c r="N115" s="35"/>
    </row>
    <row r="116" spans="1:14" s="36" customFormat="1" x14ac:dyDescent="0.3">
      <c r="A116" s="122" t="s">
        <v>253</v>
      </c>
      <c r="B116" s="122"/>
      <c r="C116" s="122"/>
      <c r="D116" s="122"/>
      <c r="E116" s="122"/>
      <c r="F116" s="122"/>
      <c r="G116" s="122"/>
      <c r="H116" s="122"/>
      <c r="J116" s="35"/>
    </row>
    <row r="117" spans="1:14" s="36" customFormat="1" ht="15.75" customHeight="1" x14ac:dyDescent="0.3">
      <c r="A117" s="70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10^ROW(INDIRECT("1:"&amp;LEN((LEFT(A116,SUM(LEN(A116)-LEN(SUBSTITUTE(A116,{"0","1","2"},""))))))))/10))*100+1&amp;""&amp;" to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",LEN(A116))),LEN(A116)))))))/10))*100+1</f>
        <v>201 to 701</v>
      </c>
      <c r="B117" s="70"/>
      <c r="C117" s="59" t="s">
        <v>251</v>
      </c>
      <c r="D117" s="59">
        <f>(2.75*4.27+2.5*2.17+2.75*3+1.2*1.5+1.2*1.2+1.3*1.2+1*2.5+0.75*(2.75+3))*10.764</f>
        <v>398.59091999999998</v>
      </c>
      <c r="E117" s="59">
        <v>0</v>
      </c>
      <c r="F117" s="59">
        <f>D117*(($F$110)+1)+(IF(E117&lt;101,E117,IF(E117&lt;201,E117/2,IF(E117&lt;=301,E117/3,E117/4))))</f>
        <v>577.95683399999996</v>
      </c>
      <c r="G117" s="70" t="str">
        <f>A116</f>
        <v>2nd to 7th Floor For Residential</v>
      </c>
      <c r="H117" s="70"/>
      <c r="I117" s="56"/>
      <c r="J117" s="56"/>
      <c r="L117" s="71"/>
      <c r="M117" s="71"/>
      <c r="N117" s="35"/>
    </row>
    <row r="118" spans="1:14" s="36" customFormat="1" ht="15.75" customHeight="1" x14ac:dyDescent="0.3">
      <c r="A118" s="70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to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202 to 702</v>
      </c>
      <c r="B118" s="70"/>
      <c r="C118" s="59" t="s">
        <v>251</v>
      </c>
      <c r="D118" s="59">
        <f>(2.75*4.27+2.5*2.17+2.75*3+1.2*1.5+1.2*1.2+1.3*1.2+1*2.5+0.75*(2.75+3))*10.764</f>
        <v>398.59091999999998</v>
      </c>
      <c r="E118" s="59">
        <v>0</v>
      </c>
      <c r="F118" s="59">
        <f>D118*(($F$110)+1)+(IF(E118&lt;101,E118,IF(E118&lt;201,E118/2,IF(E118&lt;=301,E118/3,E118/4))))</f>
        <v>577.95683399999996</v>
      </c>
      <c r="G118" s="70"/>
      <c r="H118" s="70"/>
      <c r="I118" s="56"/>
      <c r="J118" s="56"/>
      <c r="L118" s="71"/>
      <c r="M118" s="71"/>
      <c r="N118" s="35"/>
    </row>
    <row r="119" spans="1:14" s="36" customFormat="1" ht="15.75" customHeight="1" x14ac:dyDescent="0.3">
      <c r="A119" s="70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to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203 to 703</v>
      </c>
      <c r="B119" s="70"/>
      <c r="C119" s="59" t="s">
        <v>251</v>
      </c>
      <c r="D119" s="59">
        <f>(2.75*4.27+2.75*1.8+2.75*2.75+1.2*1.5+1.2*1.2+0.9*1.5+1.5*1.2+0.75*(2.75+1.8+2.75))*10.764</f>
        <v>388.79568</v>
      </c>
      <c r="E119" s="59">
        <v>0</v>
      </c>
      <c r="F119" s="59">
        <f>D119*(($F$110)+1)+(IF(E119&lt;101,E119,IF(E119&lt;201,E119/2,IF(E119&lt;=301,E119/3,E119/4))))</f>
        <v>563.753736</v>
      </c>
      <c r="G119" s="70"/>
      <c r="H119" s="70"/>
      <c r="I119" s="56"/>
      <c r="J119" s="56"/>
      <c r="L119" s="71"/>
      <c r="M119" s="71"/>
      <c r="N119" s="35"/>
    </row>
    <row r="120" spans="1:14" s="36" customFormat="1" ht="15.75" customHeight="1" x14ac:dyDescent="0.3">
      <c r="A120" s="70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to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204 to 704</v>
      </c>
      <c r="B120" s="70"/>
      <c r="C120" s="59" t="s">
        <v>251</v>
      </c>
      <c r="D120" s="59">
        <f>(2.75*4.27+2.75*1.8+2.75*2.75+1.2*1.5+1.2*1.2+0.9*1.5+1.5*1.2+0.75*(2.75+1.8+2.75))*10.764</f>
        <v>388.79568</v>
      </c>
      <c r="E120" s="59">
        <v>0</v>
      </c>
      <c r="F120" s="59">
        <f>D120*(($F$110)+1)+(IF(E120&lt;101,E120,IF(E120&lt;201,E120/2,IF(E120&lt;=301,E120/3,E120/4))))</f>
        <v>563.753736</v>
      </c>
      <c r="G120" s="70"/>
      <c r="H120" s="70"/>
      <c r="I120" s="56"/>
      <c r="J120" s="56"/>
      <c r="L120" s="71"/>
      <c r="M120" s="71"/>
      <c r="N120" s="35"/>
    </row>
    <row r="121" spans="1:14" s="34" customFormat="1" x14ac:dyDescent="0.3">
      <c r="A121" s="157" t="s">
        <v>68</v>
      </c>
      <c r="B121" s="157"/>
      <c r="C121" s="157"/>
      <c r="D121" s="157"/>
      <c r="E121" s="157"/>
      <c r="F121" s="157"/>
      <c r="G121" s="157"/>
      <c r="H121" s="157"/>
    </row>
    <row r="122" spans="1:14" s="34" customFormat="1" ht="34.200000000000003" customHeight="1" x14ac:dyDescent="0.3">
      <c r="A122" s="45" t="s">
        <v>151</v>
      </c>
      <c r="B122" s="113" t="s">
        <v>269</v>
      </c>
      <c r="C122" s="114"/>
      <c r="D122" s="114"/>
      <c r="E122" s="114"/>
      <c r="F122" s="114"/>
      <c r="G122" s="114"/>
      <c r="H122" s="115"/>
    </row>
    <row r="123" spans="1:14" s="34" customFormat="1" x14ac:dyDescent="0.3">
      <c r="A123" s="45" t="s">
        <v>151</v>
      </c>
      <c r="B123" s="113" t="str">
        <f>(IF(F109="Saleable area Loading :","We have considered Saleable area of Flats as per our Calculation.","We considered Saleable area of Flat as per Builder area Sheet."))</f>
        <v>We have considered Saleable area of Flats as per our Calculation.</v>
      </c>
      <c r="C123" s="114"/>
      <c r="D123" s="114"/>
      <c r="E123" s="114"/>
      <c r="F123" s="114"/>
      <c r="G123" s="114"/>
      <c r="H123" s="115"/>
    </row>
    <row r="124" spans="1:14" s="34" customFormat="1" x14ac:dyDescent="0.3">
      <c r="A124" s="45" t="s">
        <v>151</v>
      </c>
      <c r="B124" s="113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24" s="114"/>
      <c r="D124" s="114"/>
      <c r="E124" s="114"/>
      <c r="F124" s="114"/>
      <c r="G124" s="114"/>
      <c r="H124" s="115"/>
    </row>
    <row r="125" spans="1:14" s="34" customFormat="1" x14ac:dyDescent="0.3">
      <c r="A125" s="45" t="s">
        <v>151</v>
      </c>
      <c r="B125" s="110" t="s">
        <v>122</v>
      </c>
      <c r="C125" s="111"/>
      <c r="D125" s="111"/>
      <c r="E125" s="111"/>
      <c r="F125" s="111"/>
      <c r="G125" s="111"/>
      <c r="H125" s="112"/>
    </row>
    <row r="126" spans="1:14" s="34" customFormat="1" x14ac:dyDescent="0.3">
      <c r="A126" s="45" t="s">
        <v>151</v>
      </c>
      <c r="B126" s="110" t="s">
        <v>254</v>
      </c>
      <c r="C126" s="111"/>
      <c r="D126" s="111"/>
      <c r="E126" s="111"/>
      <c r="F126" s="111"/>
      <c r="G126" s="111"/>
      <c r="H126" s="112"/>
    </row>
    <row r="127" spans="1:14" s="34" customFormat="1" x14ac:dyDescent="0.3">
      <c r="A127" s="45" t="s">
        <v>151</v>
      </c>
      <c r="B127" s="110" t="s">
        <v>150</v>
      </c>
      <c r="C127" s="111"/>
      <c r="D127" s="111"/>
      <c r="E127" s="111"/>
      <c r="F127" s="111"/>
      <c r="G127" s="111"/>
      <c r="H127" s="112"/>
    </row>
    <row r="128" spans="1:14" s="34" customFormat="1" x14ac:dyDescent="0.3">
      <c r="A128" s="45" t="s">
        <v>151</v>
      </c>
      <c r="B128" s="110" t="s">
        <v>123</v>
      </c>
      <c r="C128" s="111"/>
      <c r="D128" s="111"/>
      <c r="E128" s="111"/>
      <c r="F128" s="111"/>
      <c r="G128" s="111"/>
      <c r="H128" s="112"/>
    </row>
    <row r="129" spans="1:8" s="34" customFormat="1" ht="32.4" customHeight="1" x14ac:dyDescent="0.3">
      <c r="A129" s="45" t="s">
        <v>151</v>
      </c>
      <c r="B129" s="110" t="s">
        <v>152</v>
      </c>
      <c r="C129" s="111"/>
      <c r="D129" s="111"/>
      <c r="E129" s="111"/>
      <c r="F129" s="111"/>
      <c r="G129" s="111"/>
      <c r="H129" s="112"/>
    </row>
    <row r="130" spans="1:8" s="34" customFormat="1" x14ac:dyDescent="0.3">
      <c r="A130" s="45" t="s">
        <v>151</v>
      </c>
      <c r="B130" s="110" t="s">
        <v>124</v>
      </c>
      <c r="C130" s="111"/>
      <c r="D130" s="111"/>
      <c r="E130" s="111"/>
      <c r="F130" s="111"/>
      <c r="G130" s="111"/>
      <c r="H130" s="112"/>
    </row>
    <row r="131" spans="1:8" x14ac:dyDescent="0.3">
      <c r="A131" s="124" t="s">
        <v>61</v>
      </c>
      <c r="B131" s="124"/>
      <c r="C131" s="124"/>
      <c r="D131" s="124"/>
      <c r="E131" s="124"/>
      <c r="F131" s="124"/>
      <c r="G131" s="124"/>
      <c r="H131" s="124"/>
    </row>
    <row r="132" spans="1:8" x14ac:dyDescent="0.3">
      <c r="A132" s="60" t="s">
        <v>62</v>
      </c>
      <c r="B132" s="60"/>
      <c r="C132" s="60"/>
      <c r="D132" s="60"/>
      <c r="E132" s="60"/>
      <c r="F132" s="60"/>
      <c r="G132" s="60"/>
      <c r="H132" s="60"/>
    </row>
    <row r="133" spans="1:8" ht="15.75" customHeight="1" x14ac:dyDescent="0.3">
      <c r="A133" s="98" t="s">
        <v>63</v>
      </c>
      <c r="B133" s="98"/>
      <c r="C133" s="98"/>
      <c r="D133" s="98"/>
      <c r="E133" s="98"/>
      <c r="F133" s="98"/>
      <c r="G133" s="98"/>
      <c r="H133" s="98"/>
    </row>
    <row r="134" spans="1:8" x14ac:dyDescent="0.3">
      <c r="A134" s="60" t="s">
        <v>64</v>
      </c>
      <c r="B134" s="60"/>
      <c r="C134" s="60"/>
      <c r="D134" s="60"/>
      <c r="E134" s="60"/>
      <c r="F134" s="60"/>
      <c r="G134" s="60"/>
      <c r="H134" s="60"/>
    </row>
    <row r="135" spans="1:8" x14ac:dyDescent="0.3">
      <c r="A135" s="60" t="s">
        <v>65</v>
      </c>
      <c r="B135" s="60"/>
      <c r="C135" s="60"/>
      <c r="D135" s="60"/>
      <c r="E135" s="60"/>
      <c r="F135" s="60"/>
      <c r="G135" s="60"/>
      <c r="H135" s="60"/>
    </row>
    <row r="136" spans="1:8" x14ac:dyDescent="0.3">
      <c r="A136" s="60" t="s">
        <v>125</v>
      </c>
      <c r="B136" s="60"/>
      <c r="C136" s="60"/>
      <c r="D136" s="60"/>
      <c r="E136" s="60"/>
      <c r="F136" s="60"/>
      <c r="G136" s="60"/>
      <c r="H136" s="60"/>
    </row>
    <row r="137" spans="1:8" ht="33.9" customHeight="1" x14ac:dyDescent="0.3">
      <c r="A137" s="72" t="s">
        <v>126</v>
      </c>
      <c r="B137" s="72"/>
      <c r="C137" s="72"/>
      <c r="D137" s="72"/>
      <c r="E137" s="72"/>
      <c r="F137" s="72"/>
      <c r="G137" s="72"/>
      <c r="H137" s="72"/>
    </row>
    <row r="138" spans="1:8" x14ac:dyDescent="0.3">
      <c r="A138" s="119" t="s">
        <v>77</v>
      </c>
      <c r="B138" s="119"/>
      <c r="C138" s="119" t="s">
        <v>267</v>
      </c>
      <c r="D138" s="119"/>
      <c r="E138" s="119" t="s">
        <v>105</v>
      </c>
      <c r="F138" s="119"/>
      <c r="G138" s="119" t="s">
        <v>268</v>
      </c>
      <c r="H138" s="119"/>
    </row>
    <row r="139" spans="1:8" x14ac:dyDescent="0.3">
      <c r="A139" s="118" t="s">
        <v>79</v>
      </c>
      <c r="B139" s="118"/>
      <c r="C139" s="118"/>
      <c r="D139" s="118"/>
      <c r="E139" s="118"/>
      <c r="F139" s="118"/>
      <c r="G139" s="118"/>
      <c r="H139" s="118"/>
    </row>
    <row r="140" spans="1:8" x14ac:dyDescent="0.3">
      <c r="A140" s="118"/>
      <c r="B140" s="118"/>
      <c r="C140" s="118"/>
      <c r="D140" s="118"/>
      <c r="E140" s="118"/>
      <c r="F140" s="118"/>
      <c r="G140" s="118"/>
      <c r="H140" s="118"/>
    </row>
    <row r="141" spans="1:8" x14ac:dyDescent="0.3">
      <c r="A141" s="118"/>
      <c r="B141" s="118"/>
      <c r="C141" s="118"/>
      <c r="D141" s="118"/>
      <c r="E141" s="118"/>
      <c r="F141" s="118"/>
      <c r="G141" s="118"/>
      <c r="H141" s="118"/>
    </row>
    <row r="142" spans="1:8" x14ac:dyDescent="0.3">
      <c r="A142" s="118"/>
      <c r="B142" s="118"/>
      <c r="C142" s="118"/>
      <c r="D142" s="118"/>
      <c r="E142" s="118"/>
      <c r="F142" s="118"/>
      <c r="G142" s="118"/>
      <c r="H142" s="118"/>
    </row>
    <row r="143" spans="1:8" x14ac:dyDescent="0.3">
      <c r="A143" s="37" t="s">
        <v>66</v>
      </c>
      <c r="B143" s="38"/>
      <c r="C143" s="38"/>
      <c r="D143" s="37" t="str">
        <f>E8</f>
        <v>Sahil Plaza</v>
      </c>
      <c r="F143" s="38"/>
      <c r="G143" s="38"/>
      <c r="H143" s="38"/>
    </row>
    <row r="144" spans="1:8" x14ac:dyDescent="0.3">
      <c r="A144" s="38"/>
      <c r="B144" s="38"/>
      <c r="C144" s="38"/>
      <c r="D144" s="38"/>
      <c r="E144" s="38"/>
      <c r="F144" s="38"/>
      <c r="G144" s="38"/>
      <c r="H144" s="38"/>
    </row>
    <row r="145" spans="1:8" x14ac:dyDescent="0.3">
      <c r="A145" s="38"/>
      <c r="B145" s="38"/>
      <c r="C145" s="38"/>
      <c r="D145" s="38"/>
      <c r="E145" s="38"/>
      <c r="F145" s="38"/>
      <c r="G145" s="38"/>
      <c r="H145" s="38"/>
    </row>
    <row r="146" spans="1:8" ht="15" customHeight="1" x14ac:dyDescent="0.3"/>
    <row r="183" spans="1:1" hidden="1" x14ac:dyDescent="0.3"/>
    <row r="186" spans="1:1" x14ac:dyDescent="0.3">
      <c r="A186" s="40" t="s">
        <v>161</v>
      </c>
    </row>
    <row r="228" spans="1:1" x14ac:dyDescent="0.3">
      <c r="A228" s="40" t="s">
        <v>67</v>
      </c>
    </row>
  </sheetData>
  <mergeCells count="272">
    <mergeCell ref="A80:E80"/>
    <mergeCell ref="A83:E83"/>
    <mergeCell ref="A39:B39"/>
    <mergeCell ref="C39:H39"/>
    <mergeCell ref="B129:H129"/>
    <mergeCell ref="A48:B48"/>
    <mergeCell ref="C48:H48"/>
    <mergeCell ref="B127:H127"/>
    <mergeCell ref="F82:H82"/>
    <mergeCell ref="A82:E82"/>
    <mergeCell ref="D101:D102"/>
    <mergeCell ref="C109:C110"/>
    <mergeCell ref="C101:C102"/>
    <mergeCell ref="B109:B110"/>
    <mergeCell ref="G70:H79"/>
    <mergeCell ref="A78:B78"/>
    <mergeCell ref="A79:B79"/>
    <mergeCell ref="D60:H60"/>
    <mergeCell ref="A43:D43"/>
    <mergeCell ref="E43:H43"/>
    <mergeCell ref="E44:H44"/>
    <mergeCell ref="E45:H45"/>
    <mergeCell ref="E46:H46"/>
    <mergeCell ref="A44:D44"/>
    <mergeCell ref="L113:M113"/>
    <mergeCell ref="A114:B114"/>
    <mergeCell ref="L114:M114"/>
    <mergeCell ref="B125:H125"/>
    <mergeCell ref="B126:H126"/>
    <mergeCell ref="A121:H121"/>
    <mergeCell ref="A115:B115"/>
    <mergeCell ref="A120:B120"/>
    <mergeCell ref="L115:M115"/>
    <mergeCell ref="L112:M112"/>
    <mergeCell ref="A113:B113"/>
    <mergeCell ref="A38:B38"/>
    <mergeCell ref="C38:H38"/>
    <mergeCell ref="A45:D45"/>
    <mergeCell ref="L107:M107"/>
    <mergeCell ref="L106:M106"/>
    <mergeCell ref="L105:M105"/>
    <mergeCell ref="L104:M104"/>
    <mergeCell ref="A77:B77"/>
    <mergeCell ref="C97:D97"/>
    <mergeCell ref="E97:F97"/>
    <mergeCell ref="G97:H97"/>
    <mergeCell ref="F85:H85"/>
    <mergeCell ref="A81:E81"/>
    <mergeCell ref="A103:H103"/>
    <mergeCell ref="E101:E102"/>
    <mergeCell ref="G101:H102"/>
    <mergeCell ref="A89:E89"/>
    <mergeCell ref="C94:D94"/>
    <mergeCell ref="E94:F94"/>
    <mergeCell ref="B101:B102"/>
    <mergeCell ref="A101:A102"/>
    <mergeCell ref="E70:F79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F36:H36"/>
    <mergeCell ref="A46:D46"/>
    <mergeCell ref="A47:H47"/>
    <mergeCell ref="D57:H57"/>
    <mergeCell ref="A57:C57"/>
    <mergeCell ref="G50:H50"/>
    <mergeCell ref="G53:H53"/>
    <mergeCell ref="A49:B49"/>
    <mergeCell ref="C49:E49"/>
    <mergeCell ref="G49:H49"/>
    <mergeCell ref="G51:H51"/>
    <mergeCell ref="A50:B50"/>
    <mergeCell ref="A54:H54"/>
    <mergeCell ref="A55:C55"/>
    <mergeCell ref="A56:C5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A86:E86"/>
    <mergeCell ref="A108:H108"/>
    <mergeCell ref="A139:H142"/>
    <mergeCell ref="A138:B138"/>
    <mergeCell ref="E138:F138"/>
    <mergeCell ref="C138:D138"/>
    <mergeCell ref="G138:H138"/>
    <mergeCell ref="A92:H92"/>
    <mergeCell ref="A90:E90"/>
    <mergeCell ref="F90:H90"/>
    <mergeCell ref="A91:E91"/>
    <mergeCell ref="F91:H91"/>
    <mergeCell ref="A116:H116"/>
    <mergeCell ref="A97:B97"/>
    <mergeCell ref="A94:B94"/>
    <mergeCell ref="A134:H134"/>
    <mergeCell ref="A95:H95"/>
    <mergeCell ref="A137:H137"/>
    <mergeCell ref="A135:H135"/>
    <mergeCell ref="A131:H131"/>
    <mergeCell ref="G96:H96"/>
    <mergeCell ref="A118:B118"/>
    <mergeCell ref="A119:B119"/>
    <mergeCell ref="A136:H136"/>
    <mergeCell ref="A133:H133"/>
    <mergeCell ref="A117:B117"/>
    <mergeCell ref="A96:B96"/>
    <mergeCell ref="D109:D110"/>
    <mergeCell ref="E109:E110"/>
    <mergeCell ref="G109:H110"/>
    <mergeCell ref="F81:H81"/>
    <mergeCell ref="G94:H94"/>
    <mergeCell ref="F86:H86"/>
    <mergeCell ref="C93:D93"/>
    <mergeCell ref="A111:H111"/>
    <mergeCell ref="A104:B104"/>
    <mergeCell ref="A132:H132"/>
    <mergeCell ref="E96:F96"/>
    <mergeCell ref="B130:H130"/>
    <mergeCell ref="B128:H128"/>
    <mergeCell ref="B124:H124"/>
    <mergeCell ref="A99:H99"/>
    <mergeCell ref="B122:H122"/>
    <mergeCell ref="B123:H123"/>
    <mergeCell ref="A109:A110"/>
    <mergeCell ref="F83:H83"/>
    <mergeCell ref="A112:B112"/>
    <mergeCell ref="A87:E87"/>
    <mergeCell ref="D56:H56"/>
    <mergeCell ref="C50:E50"/>
    <mergeCell ref="I14:P14"/>
    <mergeCell ref="F89:H89"/>
    <mergeCell ref="F87:H87"/>
    <mergeCell ref="A100:H100"/>
    <mergeCell ref="G93:H93"/>
    <mergeCell ref="A88:E88"/>
    <mergeCell ref="A105:B105"/>
    <mergeCell ref="A53:B53"/>
    <mergeCell ref="C53:E53"/>
    <mergeCell ref="D55:H55"/>
    <mergeCell ref="F88:H88"/>
    <mergeCell ref="E93:F93"/>
    <mergeCell ref="A93:B93"/>
    <mergeCell ref="C96:D96"/>
    <mergeCell ref="D63:H63"/>
    <mergeCell ref="A64:C64"/>
    <mergeCell ref="F34:H34"/>
    <mergeCell ref="A98:B98"/>
    <mergeCell ref="C98:D98"/>
    <mergeCell ref="E98:F98"/>
    <mergeCell ref="G98:H98"/>
    <mergeCell ref="E42:H42"/>
    <mergeCell ref="A42:D42"/>
    <mergeCell ref="C52:H52"/>
    <mergeCell ref="G104:H107"/>
    <mergeCell ref="G112:H115"/>
    <mergeCell ref="G117:H120"/>
    <mergeCell ref="L117:M117"/>
    <mergeCell ref="L118:M118"/>
    <mergeCell ref="L119:M119"/>
    <mergeCell ref="L120:M120"/>
    <mergeCell ref="A51:B51"/>
    <mergeCell ref="A52:B52"/>
    <mergeCell ref="C51:E51"/>
    <mergeCell ref="A58:C58"/>
    <mergeCell ref="D58:H58"/>
    <mergeCell ref="A75:B75"/>
    <mergeCell ref="D64:H64"/>
    <mergeCell ref="A70:B70"/>
    <mergeCell ref="G69:H69"/>
    <mergeCell ref="F80:H80"/>
    <mergeCell ref="A107:B107"/>
    <mergeCell ref="A106:B106"/>
    <mergeCell ref="A84:E84"/>
    <mergeCell ref="F84:H84"/>
    <mergeCell ref="A85:E85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1:E102" xr:uid="{00000000-0002-0000-0000-000003000000}">
      <formula1>"Attached Loft area,Attached Terrace area,Attached Mezzanine area"</formula1>
    </dataValidation>
    <dataValidation type="list" allowBlank="1" showInputMessage="1" showErrorMessage="1" sqref="F102 F110" xr:uid="{00000000-0002-0000-0000-000004000000}">
      <formula1>"45%,50%,55%,60%"</formula1>
    </dataValidation>
    <dataValidation type="list" allowBlank="1" showInputMessage="1" showErrorMessage="1" sqref="G138:H138" xr:uid="{00000000-0002-0000-0000-000005000000}">
      <formula1>"Saurav Panse, Kunal Kadam,Pranita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0:H90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1 F109" xr:uid="{00000000-0002-0000-0000-000008000000}">
      <formula1>"Saleable area Loading :,Builder Saleable area"</formula1>
    </dataValidation>
    <dataValidation type="list" allowBlank="1" showInputMessage="1" showErrorMessage="1" sqref="B101:B102" xr:uid="{00000000-0002-0000-0000-000009000000}">
      <formula1>"Shop No. (Sale Plan),Sale / Rehab,Sale / Mhada"</formula1>
    </dataValidation>
    <dataValidation type="list" allowBlank="1" showInputMessage="1" showErrorMessage="1" sqref="B109:B110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42" max="16383" man="1"/>
    <brk id="185" max="16383" man="1"/>
    <brk id="22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4" t="s">
        <v>106</v>
      </c>
      <c r="C3" s="164"/>
      <c r="D3" s="164"/>
      <c r="E3" s="164"/>
      <c r="F3" s="164"/>
      <c r="G3" s="164"/>
      <c r="H3" s="164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3"/>
      <c r="C4" s="53" t="s">
        <v>12</v>
      </c>
      <c r="D4" s="54" t="s">
        <v>174</v>
      </c>
      <c r="E4" s="54" t="s">
        <v>184</v>
      </c>
      <c r="F4" s="54" t="s">
        <v>169</v>
      </c>
      <c r="G4" s="54" t="s">
        <v>189</v>
      </c>
      <c r="H4" s="54" t="s">
        <v>207</v>
      </c>
      <c r="J4" t="s">
        <v>189</v>
      </c>
      <c r="K4" t="s">
        <v>205</v>
      </c>
    </row>
    <row r="5" spans="2:11" x14ac:dyDescent="0.3">
      <c r="B5" s="53"/>
      <c r="C5" s="53"/>
      <c r="D5" s="54" t="s">
        <v>175</v>
      </c>
      <c r="E5" s="54" t="s">
        <v>182</v>
      </c>
      <c r="F5" s="54" t="s">
        <v>204</v>
      </c>
      <c r="G5" s="54" t="s">
        <v>190</v>
      </c>
      <c r="H5" s="54" t="s">
        <v>208</v>
      </c>
    </row>
    <row r="6" spans="2:11" x14ac:dyDescent="0.3">
      <c r="B6" s="53"/>
      <c r="C6" s="53"/>
      <c r="D6" s="54" t="s">
        <v>176</v>
      </c>
      <c r="E6" s="54" t="s">
        <v>183</v>
      </c>
      <c r="F6" s="54" t="s">
        <v>205</v>
      </c>
      <c r="G6" s="54" t="s">
        <v>191</v>
      </c>
      <c r="H6" s="54" t="s">
        <v>221</v>
      </c>
    </row>
    <row r="7" spans="2:11" x14ac:dyDescent="0.3">
      <c r="B7" s="53"/>
      <c r="C7" s="53"/>
      <c r="D7" s="54" t="s">
        <v>177</v>
      </c>
      <c r="E7" s="54" t="s">
        <v>185</v>
      </c>
      <c r="F7" s="54" t="s">
        <v>206</v>
      </c>
      <c r="G7" s="54" t="s">
        <v>192</v>
      </c>
      <c r="H7" s="54" t="s">
        <v>209</v>
      </c>
    </row>
    <row r="8" spans="2:11" x14ac:dyDescent="0.3">
      <c r="B8" s="53"/>
      <c r="C8" s="53"/>
      <c r="D8" s="54" t="s">
        <v>178</v>
      </c>
      <c r="E8" s="54" t="s">
        <v>186</v>
      </c>
      <c r="F8" s="54"/>
      <c r="G8" s="54" t="s">
        <v>193</v>
      </c>
      <c r="H8" s="54" t="s">
        <v>210</v>
      </c>
    </row>
    <row r="9" spans="2:11" x14ac:dyDescent="0.3">
      <c r="B9" s="53"/>
      <c r="C9" s="53"/>
      <c r="D9" s="54" t="s">
        <v>179</v>
      </c>
      <c r="E9" s="54" t="s">
        <v>184</v>
      </c>
      <c r="F9" s="54"/>
      <c r="G9" s="54" t="s">
        <v>194</v>
      </c>
      <c r="H9" s="54" t="s">
        <v>211</v>
      </c>
    </row>
    <row r="10" spans="2:11" x14ac:dyDescent="0.3">
      <c r="B10" s="53"/>
      <c r="C10" s="53"/>
      <c r="D10" s="54" t="s">
        <v>180</v>
      </c>
      <c r="E10" s="54" t="s">
        <v>187</v>
      </c>
      <c r="F10" s="54"/>
      <c r="G10" s="54" t="s">
        <v>195</v>
      </c>
      <c r="H10" s="54" t="s">
        <v>212</v>
      </c>
    </row>
    <row r="11" spans="2:11" x14ac:dyDescent="0.3">
      <c r="B11" s="53"/>
      <c r="C11" s="53"/>
      <c r="D11" s="54" t="s">
        <v>181</v>
      </c>
      <c r="E11" s="54" t="s">
        <v>188</v>
      </c>
      <c r="F11" s="54"/>
      <c r="G11" s="54" t="s">
        <v>196</v>
      </c>
      <c r="H11" s="54" t="s">
        <v>213</v>
      </c>
    </row>
    <row r="12" spans="2:11" x14ac:dyDescent="0.3">
      <c r="B12" s="53"/>
      <c r="C12" s="53"/>
      <c r="D12" s="54"/>
      <c r="E12" s="54"/>
      <c r="F12" s="54"/>
      <c r="G12" s="54" t="s">
        <v>197</v>
      </c>
      <c r="H12" s="54" t="s">
        <v>214</v>
      </c>
    </row>
    <row r="13" spans="2:11" x14ac:dyDescent="0.3">
      <c r="B13" s="53"/>
      <c r="C13" s="53"/>
      <c r="D13" s="54"/>
      <c r="E13" s="54"/>
      <c r="F13" s="54"/>
      <c r="G13" s="54" t="s">
        <v>198</v>
      </c>
      <c r="H13" s="54" t="s">
        <v>215</v>
      </c>
    </row>
    <row r="14" spans="2:11" x14ac:dyDescent="0.3">
      <c r="B14" s="53"/>
      <c r="C14" s="53"/>
      <c r="D14" s="54"/>
      <c r="E14" s="54"/>
      <c r="F14" s="54"/>
      <c r="G14" s="54" t="s">
        <v>199</v>
      </c>
      <c r="H14" s="54" t="s">
        <v>216</v>
      </c>
    </row>
    <row r="15" spans="2:11" x14ac:dyDescent="0.3">
      <c r="B15" s="53"/>
      <c r="C15" s="53"/>
      <c r="D15" s="54"/>
      <c r="E15" s="54"/>
      <c r="F15" s="54"/>
      <c r="G15" s="54" t="s">
        <v>200</v>
      </c>
      <c r="H15" s="54" t="s">
        <v>217</v>
      </c>
    </row>
    <row r="16" spans="2:11" x14ac:dyDescent="0.3">
      <c r="B16" s="53"/>
      <c r="C16" s="53"/>
      <c r="D16" s="54"/>
      <c r="E16" s="54"/>
      <c r="F16" s="54"/>
      <c r="G16" s="54" t="s">
        <v>201</v>
      </c>
      <c r="H16" s="54" t="s">
        <v>218</v>
      </c>
    </row>
    <row r="17" spans="2:8" x14ac:dyDescent="0.3">
      <c r="B17" s="53"/>
      <c r="C17" s="53"/>
      <c r="D17" s="54"/>
      <c r="E17" s="54"/>
      <c r="F17" s="54"/>
      <c r="G17" s="54" t="s">
        <v>202</v>
      </c>
      <c r="H17" s="54" t="s">
        <v>219</v>
      </c>
    </row>
    <row r="18" spans="2:8" x14ac:dyDescent="0.3">
      <c r="B18" s="53"/>
      <c r="C18" s="53"/>
      <c r="D18" s="54"/>
      <c r="E18" s="54"/>
      <c r="F18" s="54"/>
      <c r="G18" s="54" t="s">
        <v>203</v>
      </c>
      <c r="H18" s="54" t="s">
        <v>220</v>
      </c>
    </row>
    <row r="24" spans="2:8" x14ac:dyDescent="0.3">
      <c r="C24" t="s">
        <v>167</v>
      </c>
    </row>
    <row r="25" spans="2:8" x14ac:dyDescent="0.3">
      <c r="C25" t="s">
        <v>222</v>
      </c>
    </row>
    <row r="26" spans="2:8" x14ac:dyDescent="0.3">
      <c r="C26" t="s">
        <v>223</v>
      </c>
    </row>
    <row r="27" spans="2:8" x14ac:dyDescent="0.3">
      <c r="C27" t="s">
        <v>224</v>
      </c>
    </row>
    <row r="28" spans="2:8" x14ac:dyDescent="0.3">
      <c r="C28" t="s">
        <v>225</v>
      </c>
    </row>
    <row r="29" spans="2:8" x14ac:dyDescent="0.3">
      <c r="C29" t="s">
        <v>226</v>
      </c>
    </row>
    <row r="30" spans="2:8" x14ac:dyDescent="0.3">
      <c r="C30" t="s">
        <v>167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2025-08-14T13:49:49Z</cp:lastPrinted>
  <dcterms:created xsi:type="dcterms:W3CDTF">2019-07-16T09:29:46Z</dcterms:created>
  <dcterms:modified xsi:type="dcterms:W3CDTF">2025-08-14T13:49:50Z</dcterms:modified>
</cp:coreProperties>
</file>