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0A71FBE4-F8E1-4C2C-A32A-E1083E610E36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4" i="1" l="1"/>
  <c r="D383" i="1" l="1"/>
  <c r="F383" i="1" s="1"/>
  <c r="D382" i="1"/>
  <c r="F382" i="1" s="1"/>
  <c r="D380" i="1"/>
  <c r="F380" i="1" s="1"/>
  <c r="D379" i="1"/>
  <c r="F379" i="1" s="1"/>
  <c r="D378" i="1"/>
  <c r="D377" i="1"/>
  <c r="F377" i="1" s="1"/>
  <c r="D376" i="1"/>
  <c r="F376" i="1" s="1"/>
  <c r="D374" i="1"/>
  <c r="F374" i="1" s="1"/>
  <c r="D373" i="1"/>
  <c r="F373" i="1" s="1"/>
  <c r="D372" i="1"/>
  <c r="F372" i="1" s="1"/>
  <c r="D370" i="1"/>
  <c r="F370" i="1" s="1"/>
  <c r="D369" i="1"/>
  <c r="F369" i="1" s="1"/>
  <c r="D368" i="1"/>
  <c r="D366" i="1"/>
  <c r="F366" i="1" s="1"/>
  <c r="D365" i="1"/>
  <c r="F365" i="1" s="1"/>
  <c r="D364" i="1"/>
  <c r="F364" i="1" s="1"/>
  <c r="D363" i="1"/>
  <c r="F363" i="1" s="1"/>
  <c r="D361" i="1"/>
  <c r="F361" i="1" s="1"/>
  <c r="D360" i="1"/>
  <c r="F360" i="1" s="1"/>
  <c r="D359" i="1"/>
  <c r="F359" i="1" s="1"/>
  <c r="D358" i="1"/>
  <c r="D356" i="1"/>
  <c r="F356" i="1" s="1"/>
  <c r="D355" i="1"/>
  <c r="F355" i="1" s="1"/>
  <c r="D354" i="1"/>
  <c r="F354" i="1" s="1"/>
  <c r="D353" i="1"/>
  <c r="F353" i="1" s="1"/>
  <c r="D351" i="1"/>
  <c r="D350" i="1"/>
  <c r="F350" i="1" s="1"/>
  <c r="D349" i="1"/>
  <c r="D348" i="1"/>
  <c r="F348" i="1" s="1"/>
  <c r="D346" i="1"/>
  <c r="F346" i="1" s="1"/>
  <c r="D345" i="1"/>
  <c r="F345" i="1" s="1"/>
  <c r="D344" i="1"/>
  <c r="F344" i="1" s="1"/>
  <c r="D342" i="1"/>
  <c r="F342" i="1" s="1"/>
  <c r="D341" i="1"/>
  <c r="F341" i="1" s="1"/>
  <c r="D340" i="1"/>
  <c r="F340" i="1" s="1"/>
  <c r="D339" i="1"/>
  <c r="F339" i="1" s="1"/>
  <c r="D337" i="1"/>
  <c r="D336" i="1"/>
  <c r="D335" i="1"/>
  <c r="D334" i="1"/>
  <c r="D332" i="1"/>
  <c r="D331" i="1"/>
  <c r="D330" i="1"/>
  <c r="D329" i="1"/>
  <c r="D327" i="1"/>
  <c r="D326" i="1"/>
  <c r="D325" i="1"/>
  <c r="D324" i="1"/>
  <c r="D323" i="1"/>
  <c r="D321" i="1"/>
  <c r="D320" i="1"/>
  <c r="D319" i="1"/>
  <c r="D318" i="1"/>
  <c r="D316" i="1"/>
  <c r="D315" i="1"/>
  <c r="D314" i="1"/>
  <c r="D313" i="1"/>
  <c r="D312" i="1"/>
  <c r="D310" i="1"/>
  <c r="D309" i="1"/>
  <c r="D308" i="1"/>
  <c r="D307" i="1"/>
  <c r="D306" i="1"/>
  <c r="D303" i="1"/>
  <c r="D302" i="1"/>
  <c r="D300" i="1"/>
  <c r="D299" i="1"/>
  <c r="D298" i="1"/>
  <c r="D297" i="1"/>
  <c r="D296" i="1"/>
  <c r="D294" i="1"/>
  <c r="D293" i="1"/>
  <c r="D292" i="1"/>
  <c r="D291" i="1"/>
  <c r="D290" i="1"/>
  <c r="D288" i="1"/>
  <c r="D287" i="1"/>
  <c r="D286" i="1"/>
  <c r="D285" i="1"/>
  <c r="D284" i="1"/>
  <c r="D282" i="1"/>
  <c r="D281" i="1"/>
  <c r="D280" i="1"/>
  <c r="D279" i="1"/>
  <c r="D278" i="1"/>
  <c r="D276" i="1"/>
  <c r="D275" i="1"/>
  <c r="D274" i="1"/>
  <c r="D273" i="1"/>
  <c r="D272" i="1"/>
  <c r="D270" i="1"/>
  <c r="D269" i="1"/>
  <c r="D268" i="1"/>
  <c r="D267" i="1"/>
  <c r="D266" i="1"/>
  <c r="D264" i="1"/>
  <c r="D263" i="1"/>
  <c r="D262" i="1"/>
  <c r="D261" i="1"/>
  <c r="D260" i="1"/>
  <c r="D258" i="1"/>
  <c r="D257" i="1"/>
  <c r="D255" i="1"/>
  <c r="D254" i="1"/>
  <c r="D253" i="1"/>
  <c r="D252" i="1"/>
  <c r="D251" i="1"/>
  <c r="D249" i="1"/>
  <c r="D248" i="1"/>
  <c r="D247" i="1"/>
  <c r="D246" i="1"/>
  <c r="D245" i="1"/>
  <c r="D243" i="1"/>
  <c r="D242" i="1"/>
  <c r="D241" i="1"/>
  <c r="D240" i="1"/>
  <c r="D239" i="1"/>
  <c r="D237" i="1"/>
  <c r="D236" i="1"/>
  <c r="D235" i="1"/>
  <c r="D234" i="1"/>
  <c r="D233" i="1"/>
  <c r="D231" i="1"/>
  <c r="D230" i="1"/>
  <c r="D229" i="1"/>
  <c r="D228" i="1"/>
  <c r="D227" i="1"/>
  <c r="D206" i="1"/>
  <c r="D218" i="1"/>
  <c r="D225" i="1"/>
  <c r="D224" i="1"/>
  <c r="D223" i="1"/>
  <c r="D222" i="1"/>
  <c r="D221" i="1"/>
  <c r="D219" i="1"/>
  <c r="D212" i="1"/>
  <c r="D216" i="1"/>
  <c r="D215" i="1"/>
  <c r="D214" i="1"/>
  <c r="D213" i="1"/>
  <c r="D210" i="1"/>
  <c r="D209" i="1"/>
  <c r="D208" i="1"/>
  <c r="D207" i="1"/>
  <c r="D204" i="1"/>
  <c r="D203" i="1"/>
  <c r="D202" i="1"/>
  <c r="D201" i="1"/>
  <c r="D200" i="1"/>
  <c r="D198" i="1"/>
  <c r="D197" i="1"/>
  <c r="D196" i="1"/>
  <c r="D195" i="1"/>
  <c r="D194" i="1"/>
  <c r="D192" i="1"/>
  <c r="D191" i="1"/>
  <c r="D190" i="1"/>
  <c r="D189" i="1"/>
  <c r="D188" i="1"/>
  <c r="D186" i="1"/>
  <c r="D185" i="1"/>
  <c r="D184" i="1"/>
  <c r="D183" i="1"/>
  <c r="D182" i="1"/>
  <c r="D181" i="1"/>
  <c r="D180" i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2" i="1"/>
  <c r="F162" i="1" s="1"/>
  <c r="D161" i="1"/>
  <c r="F161" i="1" s="1"/>
  <c r="D160" i="1"/>
  <c r="F160" i="1" s="1"/>
  <c r="D159" i="1"/>
  <c r="F159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0" i="1"/>
  <c r="D149" i="1"/>
  <c r="D148" i="1"/>
  <c r="D147" i="1"/>
  <c r="D145" i="1"/>
  <c r="D144" i="1"/>
  <c r="D143" i="1"/>
  <c r="D142" i="1"/>
  <c r="D141" i="1"/>
  <c r="D140" i="1"/>
  <c r="D137" i="1"/>
  <c r="C113" i="1" s="1"/>
  <c r="G140" i="1"/>
  <c r="G137" i="1"/>
  <c r="G159" i="1"/>
  <c r="A165" i="1"/>
  <c r="A166" i="1" s="1"/>
  <c r="A167" i="1" s="1"/>
  <c r="A168" i="1" s="1"/>
  <c r="A169" i="1" s="1"/>
  <c r="G164" i="1"/>
  <c r="A160" i="1"/>
  <c r="A161" i="1" s="1"/>
  <c r="A162" i="1" s="1"/>
  <c r="A153" i="1"/>
  <c r="A154" i="1" s="1"/>
  <c r="A155" i="1" s="1"/>
  <c r="A156" i="1" s="1"/>
  <c r="A157" i="1" s="1"/>
  <c r="G152" i="1"/>
  <c r="G382" i="1"/>
  <c r="A382" i="1"/>
  <c r="A383" i="1" s="1"/>
  <c r="F378" i="1"/>
  <c r="G376" i="1"/>
  <c r="A376" i="1"/>
  <c r="A377" i="1" s="1"/>
  <c r="A378" i="1" s="1"/>
  <c r="A379" i="1" s="1"/>
  <c r="A380" i="1" s="1"/>
  <c r="G372" i="1"/>
  <c r="A372" i="1"/>
  <c r="A373" i="1" s="1"/>
  <c r="A374" i="1" s="1"/>
  <c r="G368" i="1"/>
  <c r="F368" i="1"/>
  <c r="A368" i="1"/>
  <c r="A369" i="1" s="1"/>
  <c r="A370" i="1" s="1"/>
  <c r="G363" i="1"/>
  <c r="A363" i="1"/>
  <c r="A364" i="1" s="1"/>
  <c r="A365" i="1" s="1"/>
  <c r="A366" i="1" s="1"/>
  <c r="F358" i="1"/>
  <c r="G358" i="1"/>
  <c r="A358" i="1"/>
  <c r="A359" i="1" s="1"/>
  <c r="A360" i="1" s="1"/>
  <c r="A361" i="1" s="1"/>
  <c r="G353" i="1"/>
  <c r="A353" i="1"/>
  <c r="A354" i="1" s="1"/>
  <c r="A355" i="1" s="1"/>
  <c r="A356" i="1" s="1"/>
  <c r="G344" i="1"/>
  <c r="A344" i="1"/>
  <c r="A345" i="1" s="1"/>
  <c r="A346" i="1" s="1"/>
  <c r="F351" i="1"/>
  <c r="F349" i="1"/>
  <c r="G348" i="1"/>
  <c r="A348" i="1"/>
  <c r="A349" i="1" s="1"/>
  <c r="A350" i="1" s="1"/>
  <c r="A351" i="1" s="1"/>
  <c r="G339" i="1"/>
  <c r="A339" i="1"/>
  <c r="A340" i="1" s="1"/>
  <c r="A341" i="1" s="1"/>
  <c r="A342" i="1" s="1"/>
  <c r="E124" i="1" l="1"/>
  <c r="C127" i="1"/>
  <c r="E113" i="1"/>
  <c r="C120" i="1"/>
  <c r="C128" i="1"/>
  <c r="C119" i="1"/>
  <c r="C115" i="1"/>
  <c r="E115" i="1"/>
  <c r="E120" i="1"/>
  <c r="E119" i="1"/>
  <c r="C124" i="1"/>
  <c r="C114" i="1"/>
  <c r="C116" i="1" s="1"/>
  <c r="E114" i="1"/>
  <c r="E127" i="1"/>
  <c r="E128" i="1"/>
  <c r="F337" i="1"/>
  <c r="F336" i="1"/>
  <c r="F335" i="1"/>
  <c r="G334" i="1"/>
  <c r="F334" i="1"/>
  <c r="I334" i="1" s="1"/>
  <c r="A334" i="1"/>
  <c r="A335" i="1" s="1"/>
  <c r="A336" i="1" s="1"/>
  <c r="A337" i="1" s="1"/>
  <c r="F332" i="1"/>
  <c r="F331" i="1"/>
  <c r="F330" i="1"/>
  <c r="F329" i="1"/>
  <c r="A329" i="1"/>
  <c r="A330" i="1" s="1"/>
  <c r="A331" i="1" s="1"/>
  <c r="A332" i="1" s="1"/>
  <c r="G329" i="1"/>
  <c r="F327" i="1"/>
  <c r="F326" i="1"/>
  <c r="F323" i="1"/>
  <c r="F324" i="1"/>
  <c r="F325" i="1"/>
  <c r="G323" i="1"/>
  <c r="F321" i="1"/>
  <c r="F320" i="1"/>
  <c r="F319" i="1"/>
  <c r="G318" i="1"/>
  <c r="F318" i="1"/>
  <c r="A318" i="1"/>
  <c r="A319" i="1" s="1"/>
  <c r="A320" i="1" s="1"/>
  <c r="A321" i="1" s="1"/>
  <c r="F309" i="1"/>
  <c r="F314" i="1"/>
  <c r="F308" i="1"/>
  <c r="F313" i="1"/>
  <c r="F312" i="1"/>
  <c r="F307" i="1"/>
  <c r="F316" i="1"/>
  <c r="F315" i="1"/>
  <c r="G312" i="1"/>
  <c r="A312" i="1"/>
  <c r="A313" i="1" s="1"/>
  <c r="A314" i="1" s="1"/>
  <c r="A315" i="1" s="1"/>
  <c r="A316" i="1" s="1"/>
  <c r="F310" i="1"/>
  <c r="G306" i="1"/>
  <c r="F306" i="1"/>
  <c r="A306" i="1"/>
  <c r="A307" i="1" s="1"/>
  <c r="A308" i="1" s="1"/>
  <c r="A309" i="1" s="1"/>
  <c r="A310" i="1" s="1"/>
  <c r="G302" i="1"/>
  <c r="G218" i="1"/>
  <c r="G257" i="1"/>
  <c r="F303" i="1"/>
  <c r="F302" i="1"/>
  <c r="A302" i="1"/>
  <c r="A303" i="1" s="1"/>
  <c r="F300" i="1"/>
  <c r="I300" i="1" s="1"/>
  <c r="F299" i="1"/>
  <c r="F298" i="1"/>
  <c r="F297" i="1"/>
  <c r="G296" i="1"/>
  <c r="F296" i="1"/>
  <c r="A296" i="1"/>
  <c r="A297" i="1" s="1"/>
  <c r="A298" i="1" s="1"/>
  <c r="A299" i="1" s="1"/>
  <c r="A300" i="1" s="1"/>
  <c r="F294" i="1"/>
  <c r="F293" i="1"/>
  <c r="F292" i="1"/>
  <c r="F291" i="1"/>
  <c r="G290" i="1"/>
  <c r="F290" i="1"/>
  <c r="A290" i="1"/>
  <c r="A291" i="1" s="1"/>
  <c r="A292" i="1" s="1"/>
  <c r="A293" i="1" s="1"/>
  <c r="A294" i="1" s="1"/>
  <c r="F288" i="1"/>
  <c r="F287" i="1"/>
  <c r="F286" i="1"/>
  <c r="F285" i="1"/>
  <c r="G284" i="1"/>
  <c r="F284" i="1"/>
  <c r="A284" i="1"/>
  <c r="A285" i="1" s="1"/>
  <c r="A286" i="1" s="1"/>
  <c r="A287" i="1" s="1"/>
  <c r="A288" i="1" s="1"/>
  <c r="F279" i="1"/>
  <c r="F282" i="1"/>
  <c r="F281" i="1"/>
  <c r="F280" i="1"/>
  <c r="G278" i="1"/>
  <c r="F278" i="1"/>
  <c r="A278" i="1"/>
  <c r="A279" i="1" s="1"/>
  <c r="A280" i="1" s="1"/>
  <c r="A281" i="1" s="1"/>
  <c r="A282" i="1" s="1"/>
  <c r="F266" i="1"/>
  <c r="F272" i="1"/>
  <c r="F273" i="1"/>
  <c r="F276" i="1"/>
  <c r="F275" i="1"/>
  <c r="F274" i="1"/>
  <c r="G272" i="1"/>
  <c r="A272" i="1"/>
  <c r="A273" i="1" s="1"/>
  <c r="A274" i="1" s="1"/>
  <c r="A275" i="1" s="1"/>
  <c r="A276" i="1" s="1"/>
  <c r="F267" i="1"/>
  <c r="F270" i="1"/>
  <c r="F269" i="1"/>
  <c r="F268" i="1"/>
  <c r="G266" i="1"/>
  <c r="A266" i="1"/>
  <c r="A267" i="1" s="1"/>
  <c r="A268" i="1" s="1"/>
  <c r="A269" i="1" s="1"/>
  <c r="A270" i="1" s="1"/>
  <c r="F257" i="1"/>
  <c r="F258" i="1"/>
  <c r="A257" i="1"/>
  <c r="A258" i="1" s="1"/>
  <c r="F219" i="1"/>
  <c r="F264" i="1"/>
  <c r="F263" i="1"/>
  <c r="F262" i="1"/>
  <c r="F261" i="1"/>
  <c r="G260" i="1"/>
  <c r="F260" i="1"/>
  <c r="A260" i="1"/>
  <c r="A261" i="1" s="1"/>
  <c r="A262" i="1" s="1"/>
  <c r="A263" i="1" s="1"/>
  <c r="A264" i="1" s="1"/>
  <c r="F255" i="1"/>
  <c r="F254" i="1"/>
  <c r="F253" i="1"/>
  <c r="F252" i="1"/>
  <c r="G251" i="1"/>
  <c r="F251" i="1"/>
  <c r="A251" i="1"/>
  <c r="A252" i="1" s="1"/>
  <c r="A253" i="1" s="1"/>
  <c r="A254" i="1" s="1"/>
  <c r="A255" i="1" s="1"/>
  <c r="F249" i="1"/>
  <c r="F248" i="1"/>
  <c r="F247" i="1"/>
  <c r="F246" i="1"/>
  <c r="G245" i="1"/>
  <c r="F245" i="1"/>
  <c r="A245" i="1"/>
  <c r="A246" i="1" s="1"/>
  <c r="A247" i="1" s="1"/>
  <c r="A248" i="1" s="1"/>
  <c r="A249" i="1" s="1"/>
  <c r="F243" i="1"/>
  <c r="F242" i="1"/>
  <c r="F241" i="1"/>
  <c r="F240" i="1"/>
  <c r="G239" i="1"/>
  <c r="F239" i="1"/>
  <c r="A239" i="1"/>
  <c r="A240" i="1" s="1"/>
  <c r="A241" i="1" s="1"/>
  <c r="A242" i="1" s="1"/>
  <c r="A243" i="1" s="1"/>
  <c r="F237" i="1"/>
  <c r="F236" i="1"/>
  <c r="F235" i="1"/>
  <c r="F234" i="1"/>
  <c r="G233" i="1"/>
  <c r="F233" i="1"/>
  <c r="A233" i="1"/>
  <c r="A234" i="1" s="1"/>
  <c r="A235" i="1" s="1"/>
  <c r="A236" i="1" s="1"/>
  <c r="A237" i="1" s="1"/>
  <c r="F225" i="1"/>
  <c r="F224" i="1"/>
  <c r="F223" i="1"/>
  <c r="F222" i="1"/>
  <c r="F221" i="1"/>
  <c r="G221" i="1"/>
  <c r="A221" i="1"/>
  <c r="A222" i="1" s="1"/>
  <c r="A223" i="1" s="1"/>
  <c r="A224" i="1" s="1"/>
  <c r="A225" i="1" s="1"/>
  <c r="F231" i="1"/>
  <c r="F230" i="1"/>
  <c r="F229" i="1"/>
  <c r="F228" i="1"/>
  <c r="G227" i="1"/>
  <c r="F227" i="1"/>
  <c r="A227" i="1"/>
  <c r="A228" i="1" s="1"/>
  <c r="A229" i="1" s="1"/>
  <c r="A230" i="1" s="1"/>
  <c r="A231" i="1" s="1"/>
  <c r="F218" i="1"/>
  <c r="A218" i="1"/>
  <c r="A219" i="1" s="1"/>
  <c r="F216" i="1"/>
  <c r="F215" i="1"/>
  <c r="F214" i="1"/>
  <c r="I214" i="1" s="1"/>
  <c r="F213" i="1"/>
  <c r="G212" i="1"/>
  <c r="F212" i="1"/>
  <c r="A212" i="1"/>
  <c r="A213" i="1" s="1"/>
  <c r="A214" i="1" s="1"/>
  <c r="A215" i="1" s="1"/>
  <c r="A216" i="1" s="1"/>
  <c r="F210" i="1"/>
  <c r="F209" i="1"/>
  <c r="F208" i="1"/>
  <c r="F207" i="1"/>
  <c r="G206" i="1"/>
  <c r="F206" i="1"/>
  <c r="A206" i="1"/>
  <c r="A207" i="1" s="1"/>
  <c r="A208" i="1" s="1"/>
  <c r="A209" i="1" s="1"/>
  <c r="A210" i="1" s="1"/>
  <c r="F204" i="1"/>
  <c r="F203" i="1"/>
  <c r="F202" i="1"/>
  <c r="F201" i="1"/>
  <c r="G200" i="1"/>
  <c r="F200" i="1"/>
  <c r="A200" i="1"/>
  <c r="A201" i="1" s="1"/>
  <c r="A202" i="1" s="1"/>
  <c r="A203" i="1" s="1"/>
  <c r="A204" i="1" s="1"/>
  <c r="F192" i="1"/>
  <c r="F191" i="1"/>
  <c r="F198" i="1"/>
  <c r="F197" i="1"/>
  <c r="F196" i="1"/>
  <c r="F195" i="1"/>
  <c r="F189" i="1"/>
  <c r="F188" i="1"/>
  <c r="F180" i="1"/>
  <c r="F194" i="1"/>
  <c r="G194" i="1"/>
  <c r="A194" i="1"/>
  <c r="A195" i="1" s="1"/>
  <c r="A196" i="1" s="1"/>
  <c r="A197" i="1" s="1"/>
  <c r="A198" i="1" s="1"/>
  <c r="F190" i="1"/>
  <c r="G188" i="1"/>
  <c r="A188" i="1"/>
  <c r="A189" i="1" s="1"/>
  <c r="A190" i="1" s="1"/>
  <c r="A191" i="1" s="1"/>
  <c r="A192" i="1" s="1"/>
  <c r="F182" i="1"/>
  <c r="F183" i="1"/>
  <c r="F184" i="1"/>
  <c r="F181" i="1"/>
  <c r="J179" i="1"/>
  <c r="F186" i="1"/>
  <c r="J186" i="1"/>
  <c r="F185" i="1"/>
  <c r="A181" i="1"/>
  <c r="A182" i="1" s="1"/>
  <c r="A183" i="1" s="1"/>
  <c r="A184" i="1" s="1"/>
  <c r="A185" i="1" s="1"/>
  <c r="A186" i="1" s="1"/>
  <c r="G180" i="1"/>
  <c r="F150" i="1"/>
  <c r="F147" i="1"/>
  <c r="F149" i="1"/>
  <c r="G124" i="1" s="1"/>
  <c r="F148" i="1"/>
  <c r="A148" i="1"/>
  <c r="A149" i="1" s="1"/>
  <c r="A150" i="1" s="1"/>
  <c r="G147" i="1"/>
  <c r="F145" i="1"/>
  <c r="F144" i="1"/>
  <c r="F137" i="1"/>
  <c r="G113" i="1" s="1"/>
  <c r="F143" i="1"/>
  <c r="F142" i="1"/>
  <c r="F141" i="1"/>
  <c r="F140" i="1"/>
  <c r="A141" i="1"/>
  <c r="A142" i="1" s="1"/>
  <c r="A143" i="1" s="1"/>
  <c r="A144" i="1" s="1"/>
  <c r="A145" i="1" s="1"/>
  <c r="E7" i="1"/>
  <c r="A323" i="1"/>
  <c r="C129" i="1" l="1"/>
  <c r="E121" i="1"/>
  <c r="E116" i="1"/>
  <c r="C121" i="1"/>
  <c r="E129" i="1"/>
  <c r="G128" i="1"/>
  <c r="G114" i="1"/>
  <c r="G116" i="1" s="1"/>
  <c r="G127" i="1"/>
  <c r="G119" i="1"/>
  <c r="G115" i="1"/>
  <c r="G120" i="1"/>
  <c r="C14" i="1"/>
  <c r="A324" i="1"/>
  <c r="C130" i="1" l="1"/>
  <c r="E130" i="1"/>
  <c r="G121" i="1"/>
  <c r="G129" i="1"/>
  <c r="E29" i="1"/>
  <c r="A325" i="1"/>
  <c r="G130" i="1" l="1"/>
  <c r="F386" i="1"/>
  <c r="F387" i="1"/>
  <c r="F388" i="1"/>
  <c r="F385" i="1"/>
  <c r="A386" i="1"/>
  <c r="A387" i="1" s="1"/>
  <c r="A388" i="1" s="1"/>
  <c r="G385" i="1"/>
  <c r="A326" i="1"/>
  <c r="F110" i="1" l="1"/>
  <c r="A327" i="1"/>
  <c r="F172" i="1" l="1"/>
  <c r="F173" i="1"/>
  <c r="F174" i="1"/>
  <c r="F171" i="1"/>
  <c r="B415" i="1" l="1"/>
  <c r="A396" i="1"/>
  <c r="A408" i="1"/>
  <c r="A402" i="1"/>
  <c r="F412" i="1" l="1"/>
  <c r="F411" i="1"/>
  <c r="F410" i="1"/>
  <c r="F409" i="1"/>
  <c r="F408" i="1"/>
  <c r="F406" i="1"/>
  <c r="F405" i="1"/>
  <c r="F404" i="1"/>
  <c r="F403" i="1"/>
  <c r="F402" i="1"/>
  <c r="F400" i="1"/>
  <c r="F399" i="1"/>
  <c r="F398" i="1"/>
  <c r="F397" i="1"/>
  <c r="F396" i="1"/>
  <c r="F394" i="1"/>
  <c r="F393" i="1"/>
  <c r="F391" i="1"/>
  <c r="F390" i="1"/>
  <c r="F392" i="1"/>
  <c r="A397" i="1"/>
  <c r="A409" i="1"/>
  <c r="A403" i="1"/>
  <c r="B416" i="1" l="1"/>
  <c r="A398" i="1"/>
  <c r="A410" i="1"/>
  <c r="A40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37" i="1"/>
  <c r="G408" i="1"/>
  <c r="G402" i="1"/>
  <c r="G396" i="1"/>
  <c r="G390" i="1"/>
  <c r="A390" i="1"/>
  <c r="A391" i="1" s="1"/>
  <c r="A392" i="1" s="1"/>
  <c r="A393" i="1" s="1"/>
  <c r="A394" i="1" s="1"/>
  <c r="A172" i="1"/>
  <c r="A173" i="1" s="1"/>
  <c r="A174" i="1" s="1"/>
  <c r="G171" i="1"/>
  <c r="J93" i="1"/>
  <c r="J92" i="1"/>
  <c r="J91" i="1"/>
  <c r="J90" i="1"/>
  <c r="C82" i="1"/>
  <c r="J79" i="1"/>
  <c r="J78" i="1"/>
  <c r="J77" i="1"/>
  <c r="J76" i="1"/>
  <c r="C68" i="1"/>
  <c r="D56" i="1"/>
  <c r="G49" i="1"/>
  <c r="C49" i="1"/>
  <c r="E42" i="1"/>
  <c r="E43" i="1" s="1"/>
  <c r="E26" i="1"/>
  <c r="E24" i="1"/>
  <c r="E3" i="1"/>
  <c r="H69" i="1"/>
  <c r="A405" i="1"/>
  <c r="A411" i="1"/>
  <c r="A399" i="1"/>
  <c r="H83" i="1"/>
  <c r="D62" i="1" l="1"/>
  <c r="D93" i="1"/>
  <c r="D94" i="1"/>
  <c r="D95" i="1"/>
  <c r="D89" i="1"/>
  <c r="D90" i="1"/>
  <c r="D91" i="1"/>
  <c r="D92" i="1"/>
  <c r="J82" i="1"/>
  <c r="J84" i="1" s="1"/>
  <c r="D81" i="1"/>
  <c r="D79" i="1"/>
  <c r="D78" i="1"/>
  <c r="D77" i="1"/>
  <c r="D75" i="1"/>
  <c r="J68" i="1"/>
  <c r="D80" i="1"/>
  <c r="D76" i="1"/>
  <c r="J72" i="1"/>
  <c r="J73" i="1"/>
  <c r="J71" i="1"/>
  <c r="J74" i="1"/>
  <c r="J88" i="1"/>
  <c r="J86" i="1"/>
  <c r="J87" i="1"/>
  <c r="J85" i="1"/>
  <c r="A400" i="1"/>
  <c r="A412" i="1"/>
  <c r="A406" i="1"/>
  <c r="J89" i="1" l="1"/>
  <c r="J94" i="1" s="1"/>
  <c r="J95" i="1" s="1"/>
  <c r="C87" i="1" s="1"/>
  <c r="D87" i="1" s="1"/>
  <c r="J75" i="1"/>
  <c r="J80" i="1" s="1"/>
  <c r="J81" i="1" s="1"/>
  <c r="C73" i="1" s="1"/>
  <c r="D73" i="1" s="1"/>
  <c r="D88" i="1"/>
  <c r="D74" i="1"/>
  <c r="J70" i="1"/>
  <c r="D72" i="1"/>
  <c r="D86" i="1"/>
  <c r="E86" i="1" l="1"/>
  <c r="E72" i="1"/>
  <c r="J83" i="1"/>
  <c r="G86" i="1"/>
  <c r="G72" i="1"/>
  <c r="D66" i="1" s="1"/>
  <c r="D67" i="1" s="1"/>
  <c r="I69" i="1"/>
  <c r="J69" i="1"/>
  <c r="I83" i="1"/>
  <c r="F67" i="1" l="1"/>
  <c r="I70" i="1"/>
  <c r="I68" i="1" s="1"/>
  <c r="C70" i="1" s="1"/>
  <c r="I84" i="1"/>
  <c r="I82" i="1" s="1"/>
  <c r="C84" i="1" s="1"/>
</calcChain>
</file>

<file path=xl/sharedStrings.xml><?xml version="1.0" encoding="utf-8"?>
<sst xmlns="http://schemas.openxmlformats.org/spreadsheetml/2006/main" count="633" uniqueCount="266">
  <si>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</si>
  <si>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</si>
  <si>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</si>
  <si>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</si>
  <si>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</si>
  <si>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</si>
  <si>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</si>
  <si>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</si>
  <si>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</si>
  <si>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</si>
  <si>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</si>
  <si>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</si>
  <si>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</si>
  <si>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</si>
  <si>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</si>
  <si>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</si>
  <si>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</si>
  <si>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</si>
  <si>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</si>
  <si>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</si>
  <si>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</si>
  <si>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</si>
  <si>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</si>
  <si>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</si>
  <si>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</si>
  <si>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</si>
  <si>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</si>
  <si>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</si>
  <si>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</si>
  <si>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</si>
  <si>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</si>
  <si>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</si>
  <si>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</si>
  <si>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</si>
  <si>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</si>
  <si>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</si>
  <si>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</si>
  <si>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</si>
  <si>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</si>
  <si>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</si>
  <si>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</si>
  <si>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</si>
  <si>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</si>
  <si>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</si>
  <si>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</si>
  <si>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</si>
  <si>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</si>
  <si>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</si>
  <si>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</si>
  <si>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</si>
  <si>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</si>
  <si>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</si>
  <si>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</si>
  <si>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</si>
  <si>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</si>
  <si>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</si>
  <si>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</si>
  <si>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</si>
  <si>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</si>
  <si>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</si>
  <si>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</si>
  <si>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</si>
  <si>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</si>
  <si>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</si>
  <si>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</si>
  <si>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</si>
  <si>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</si>
  <si>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</si>
  <si>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</si>
  <si>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</si>
  <si>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</si>
  <si>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</si>
  <si>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</si>
  <si>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</si>
  <si>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</si>
  <si>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</si>
  <si>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</si>
  <si>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</si>
  <si>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</si>
  <si>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</si>
  <si>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</si>
  <si>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</si>
  <si>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</si>
  <si>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</si>
  <si>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</si>
  <si>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</si>
  <si>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</si>
  <si>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</si>
  <si>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</si>
  <si>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</si>
  <si>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</si>
  <si>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</si>
  <si>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</si>
  <si>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</si>
  <si>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</si>
  <si>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</si>
  <si>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</si>
  <si>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</si>
  <si>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</si>
  <si>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</si>
  <si>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</si>
  <si>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</si>
  <si>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</si>
  <si>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</si>
  <si>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</si>
  <si>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</si>
  <si>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</si>
  <si>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</si>
  <si>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</si>
  <si>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</si>
  <si>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</si>
  <si>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</si>
  <si>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</si>
  <si>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</si>
  <si>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</si>
  <si>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</si>
  <si>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</si>
  <si>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</si>
  <si>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</si>
  <si>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</si>
  <si>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</si>
  <si>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</si>
  <si>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</si>
  <si>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</si>
  <si>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</si>
  <si>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</si>
  <si>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</si>
  <si>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</si>
  <si>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</si>
  <si>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</si>
  <si>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</si>
  <si>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</si>
  <si>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</si>
  <si>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</si>
  <si>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</si>
  <si>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</si>
  <si>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</si>
  <si>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</si>
  <si>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</si>
  <si>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</si>
  <si>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</si>
  <si>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</si>
  <si>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</si>
  <si>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</si>
  <si>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</si>
  <si>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</si>
  <si>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</si>
  <si>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</si>
  <si>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</si>
  <si>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</si>
  <si>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</si>
  <si>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</si>
  <si>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</si>
  <si>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</si>
  <si>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</si>
  <si>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</si>
  <si>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</si>
  <si>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</si>
  <si>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</si>
  <si>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</si>
  <si>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</si>
  <si>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</si>
  <si>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</si>
  <si>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</si>
  <si>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</si>
  <si>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</si>
  <si>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</si>
  <si>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</si>
  <si>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</si>
  <si>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</si>
  <si>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</si>
  <si>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</si>
  <si>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</si>
  <si>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</si>
  <si>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</si>
  <si>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</si>
  <si>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</si>
  <si>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Sejal Aquarius</t>
  </si>
  <si>
    <t>Balaji Realty Developers</t>
  </si>
  <si>
    <t>9137220013/ 9326028155/ 9819253808</t>
  </si>
  <si>
    <t>Wing A &amp; B</t>
  </si>
  <si>
    <t>P51900047328</t>
  </si>
  <si>
    <t>CS No</t>
  </si>
  <si>
    <t>02 Buildings</t>
  </si>
  <si>
    <t>Municipal Corporation of Greater Mumbai</t>
  </si>
  <si>
    <t>P-8484/2021/(1996 And Other)/C
Ward/BHULESHWAR/CC/1/New</t>
  </si>
  <si>
    <t xml:space="preserve">Commencement-CC No
Valid Up to: </t>
  </si>
  <si>
    <t>https://goo.gl/maps/3HhaoJyhHuhaGXyb7</t>
  </si>
  <si>
    <t>D Parulekar Lane</t>
  </si>
  <si>
    <t>South Girgaon Muncipal Marathi School</t>
  </si>
  <si>
    <t>Building No.10</t>
  </si>
  <si>
    <t>Wing A</t>
  </si>
  <si>
    <t>Ground Floor For Commercial</t>
  </si>
  <si>
    <t>Shop</t>
  </si>
  <si>
    <t>Shop Duplex with 1st Floor</t>
  </si>
  <si>
    <t>Wing B</t>
  </si>
  <si>
    <t>Rehab</t>
  </si>
  <si>
    <t>1st Floor</t>
  </si>
  <si>
    <t>Sale</t>
  </si>
  <si>
    <t>1st Floor For Residentisl</t>
  </si>
  <si>
    <t>1996, 1997 &amp; 2011 &amp; Existing Building Name - Moti Building &amp; Nand Bhuvan Building</t>
  </si>
  <si>
    <t>3rd Floor</t>
  </si>
  <si>
    <t>4th Floor</t>
  </si>
  <si>
    <t>5th Floor</t>
  </si>
  <si>
    <t>6th Floor</t>
  </si>
  <si>
    <t>7th Floor (Part Refuge Area)</t>
  </si>
  <si>
    <t>8th Floor</t>
  </si>
  <si>
    <t>1.5BHK</t>
  </si>
  <si>
    <t>9th Floor</t>
  </si>
  <si>
    <t>10th Floor</t>
  </si>
  <si>
    <t>11th Floor</t>
  </si>
  <si>
    <t>12th Floor</t>
  </si>
  <si>
    <t>13th Floor</t>
  </si>
  <si>
    <t>15th Floor</t>
  </si>
  <si>
    <t>14th Floor (Part Refuge Area)</t>
  </si>
  <si>
    <t>16th Floor</t>
  </si>
  <si>
    <t>2.5BHK</t>
  </si>
  <si>
    <t>17th Floor</t>
  </si>
  <si>
    <t>18th Floor</t>
  </si>
  <si>
    <t>19th Floor</t>
  </si>
  <si>
    <t>20th Floor</t>
  </si>
  <si>
    <t>21st Floor</t>
  </si>
  <si>
    <t>22nd Floor &amp; Part Amenity Area</t>
  </si>
  <si>
    <t>MP Room</t>
  </si>
  <si>
    <t>8th to 10th Floor</t>
  </si>
  <si>
    <t>3.5BHK</t>
  </si>
  <si>
    <t>22nd Floor For Part Amenity Area &amp; Part Terrace Area</t>
  </si>
  <si>
    <t>Commercial</t>
  </si>
  <si>
    <t>Commercial Area Details (Rehab) :</t>
  </si>
  <si>
    <t>Commercial Area Details (Sale) :</t>
  </si>
  <si>
    <t>Kalbadevi</t>
  </si>
  <si>
    <t>Bhuleshwar</t>
  </si>
  <si>
    <t>Mumbai</t>
  </si>
  <si>
    <t>Navi Wadi Road</t>
  </si>
  <si>
    <t>1.1KM from Charni Road Railway Station</t>
  </si>
  <si>
    <t>Charni Road East</t>
  </si>
  <si>
    <t>Fitness Center, Car Parking Tower</t>
  </si>
  <si>
    <t>As per RERA - 31/07/2026</t>
  </si>
  <si>
    <t>A Wing = B + G + 1st to 22nd Floor</t>
  </si>
  <si>
    <t>A Wing = B + G + 1st to 22nd Floor
B Wing = G + 1st to 22nd Floor</t>
  </si>
  <si>
    <t>B Wing = G + 1st to 22nd Floor</t>
  </si>
  <si>
    <t>Residential Area Details (Sale Flats):</t>
  </si>
  <si>
    <t>Residential Area Details (Rehab Flats):</t>
  </si>
  <si>
    <t>Shops</t>
  </si>
  <si>
    <t>Wing A Shops</t>
  </si>
  <si>
    <t>Rehab Flats - 89, Rehab Shops - 7, Rehab Commercial - 16,
Sale MP Room- 4, Sale Flats - 87</t>
  </si>
  <si>
    <t>Approved Plans, CC, Cost Sheet</t>
  </si>
  <si>
    <t>Recommended rate of the Commercial Per Sq. Ft.</t>
  </si>
  <si>
    <t>Development &amp; Infrastructure Charges</t>
  </si>
  <si>
    <t>Advance Maintenance Charges (1Year)</t>
  </si>
  <si>
    <t>Share Money</t>
  </si>
  <si>
    <t>We considered Gross carpet area = Net carpet</t>
  </si>
  <si>
    <t>5th Floor For Residential</t>
  </si>
  <si>
    <t>Grand Total</t>
  </si>
  <si>
    <t>Office No. 1031, Wing J, Akshar Business Park, Plot No. 03 Sector 25, Near APMC Market,
Vashi, Navi Mumbai, Maharashtra 400703 TEL: 022-46090378/79/80                                                                                                                                   Email : vsjcapf@gmail.com. Web site : www.vsjadon.com</t>
  </si>
  <si>
    <t>Further C.C. up to 20th floor for Wing A and Wing B as per last amended approved plan dated 01/08/2022.</t>
  </si>
  <si>
    <t>P-8484/2021/(1996 And Other)/C
Ward/BHULESHWAR/FCC/1/New</t>
  </si>
  <si>
    <t>Karan Misal</t>
  </si>
  <si>
    <t>Construction work is in process at the time of Visit.</t>
  </si>
  <si>
    <t>26000 to 28000</t>
  </si>
  <si>
    <t>aakash</t>
  </si>
  <si>
    <t xml:space="preserve">Recommended Rates/Other Charges of the Property have been revised on 19/08/2024.
</t>
  </si>
  <si>
    <t>P-8484/2021/(1996 And Other)/C
Ward/BHULESHWAR/FCC/1/Amend</t>
  </si>
  <si>
    <t xml:space="preserve">Full C.C. Including LMR &amp; OHT Is Issued As Per Last Amended Approved Plan Dated. 01.08.2022 For Wing ‘A’ And ‘B’ Subject To Taking All Preecautions During Construction In Regards Of Air Polution Guidlines Issued U/No. Mgc/F/1102 Dtd. 25.10.2023 And D.O.No. Cap-2023/Cr-170/Tc-2 Dtd. 27.10.2023. </t>
  </si>
  <si>
    <t xml:space="preserve">We have updated CC from MCGM site (on 19/08/2025).
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</si>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</sst>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27" fillId="0" borderId="1" xfId="0" applyNumberFormat="1" applyFont="1" applyBorder="1" applyAlignment="1" applyProtection="1">
      <alignment horizontal="center" vertical="center" wrapText="1"/>
      <protection locked="0"/>
    </xf>
    <xf numFmtId="167" fontId="16" fillId="0" borderId="0" xfId="1" applyNumberFormat="1" applyFont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top" wrapText="1"/>
      <protection locked="0"/>
    </xf>
    <xf numFmtId="1" fontId="6" fillId="0" borderId="9" xfId="1" applyNumberFormat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437028</xdr:colOff>
      <xdr:row>524</xdr:row>
      <xdr:rowOff>67236</xdr:rowOff>
    </xdr:from>
    <xdr:to>
      <xdr:col>7</xdr:col>
      <xdr:colOff>501176</xdr:colOff>
      <xdr:row>540</xdr:row>
      <xdr:rowOff>66221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7028" y="104954295"/>
          <a:ext cx="6193766" cy="322627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437028</xdr:colOff>
      <xdr:row>541</xdr:row>
      <xdr:rowOff>19790</xdr:rowOff>
    </xdr:from>
    <xdr:to>
      <xdr:col>7</xdr:col>
      <xdr:colOff>518429</xdr:colOff>
      <xdr:row>561</xdr:row>
      <xdr:rowOff>178111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7028" y="108335849"/>
          <a:ext cx="6211019" cy="419243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358591</xdr:colOff>
      <xdr:row>482</xdr:row>
      <xdr:rowOff>56030</xdr:rowOff>
    </xdr:from>
    <xdr:to>
      <xdr:col>7</xdr:col>
      <xdr:colOff>582148</xdr:colOff>
      <xdr:row>495</xdr:row>
      <xdr:rowOff>91327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8591" y="96068030"/>
          <a:ext cx="6353175" cy="26574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768951</xdr:colOff>
      <xdr:row>496</xdr:row>
      <xdr:rowOff>74144</xdr:rowOff>
    </xdr:from>
    <xdr:to>
      <xdr:col>7</xdr:col>
      <xdr:colOff>171786</xdr:colOff>
      <xdr:row>517</xdr:row>
      <xdr:rowOff>158322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8951" y="98910026"/>
          <a:ext cx="5532453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427617</xdr:colOff>
      <xdr:row>435</xdr:row>
      <xdr:rowOff>21963</xdr:rowOff>
    </xdr:from>
    <xdr:to>
      <xdr:col>15</xdr:col>
      <xdr:colOff>606662</xdr:colOff>
      <xdr:row>477</xdr:row>
      <xdr:rowOff>38784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B2DE085F-B290-F2A2-5A9D-EF9A04FE00FF}"/>
            </a:ext>
          </a:extLst>
        </xdr:cNvPr>
        <xdr:cNvGrpSpPr/>
      </xdr:nvGrpSpPr>
      <xdr:grpSpPr>
        <a:xfrm>
          <a:off x="7125597" y="87377643"/>
          <a:ext cx="6015965" cy="8291457"/>
          <a:chOff x="336177" y="87114529"/>
          <a:chExt cx="5875219" cy="8477262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561385A-DAA9-6ADF-CD07-0355369C22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25614" y="93431791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9DD1648B-9AE6-030A-7951-69E20346E9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177" y="90813160"/>
            <a:ext cx="1888250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BBF7F7DA-E1AA-8B5E-36D5-0565880B0B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23146" y="90813160"/>
            <a:ext cx="1888250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2848C0AD-AF00-EA8A-0042-5DE698DF90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32548" y="87114529"/>
            <a:ext cx="269750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7C973155-E974-F2A4-B4C6-49D6AB1E07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26768" y="90813160"/>
            <a:ext cx="1888250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E06AD7F5-5F78-E361-3786-5762D71235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3427" y="87114529"/>
            <a:ext cx="269750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CE62C0FA-D8BC-9EB2-D758-4C6A9A3E7E5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67264" y="93431791"/>
            <a:ext cx="16185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312420</xdr:colOff>
      <xdr:row>438</xdr:row>
      <xdr:rowOff>30480</xdr:rowOff>
    </xdr:from>
    <xdr:to>
      <xdr:col>7</xdr:col>
      <xdr:colOff>480285</xdr:colOff>
      <xdr:row>475</xdr:row>
      <xdr:rowOff>60506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47080E5-0068-B695-9D96-4C04752C0BB8}"/>
            </a:ext>
          </a:extLst>
        </xdr:cNvPr>
        <xdr:cNvGrpSpPr/>
      </xdr:nvGrpSpPr>
      <xdr:grpSpPr>
        <a:xfrm>
          <a:off x="312420" y="87980520"/>
          <a:ext cx="6012405" cy="7352846"/>
          <a:chOff x="238704" y="222069"/>
          <a:chExt cx="6012405" cy="7352846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96C77080-E681-0C99-DF93-4831A734D4FF}"/>
              </a:ext>
            </a:extLst>
          </xdr:cNvPr>
          <xdr:cNvGrpSpPr/>
        </xdr:nvGrpSpPr>
        <xdr:grpSpPr>
          <a:xfrm>
            <a:off x="238704" y="222069"/>
            <a:ext cx="6012405" cy="2520000"/>
            <a:chOff x="238704" y="222069"/>
            <a:chExt cx="6012405" cy="2520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BEA93BF7-33BA-2430-2777-607BB7320A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3078" y="2220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CC3735F7-EE99-A5BB-2A1D-2FED2A0ADE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8704" y="2220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5BC0FEBE-1F22-F360-B163-1962758180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21781" y="222069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731B86CC-41E8-3AA0-5D6E-FB842DDEA7E3}"/>
              </a:ext>
            </a:extLst>
          </xdr:cNvPr>
          <xdr:cNvGrpSpPr/>
        </xdr:nvGrpSpPr>
        <xdr:grpSpPr>
          <a:xfrm>
            <a:off x="238704" y="2998492"/>
            <a:ext cx="6012404" cy="2525966"/>
            <a:chOff x="238704" y="2998492"/>
            <a:chExt cx="6012404" cy="2525966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5FB2B52D-1A20-86C0-7448-87FB982756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21780" y="300445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8A8DCB49-901B-4F52-73BE-D056D0CA7A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63077" y="299849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47CA9CB2-FADA-1A82-52CA-7A975C5797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8704" y="299849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5198DA9-71EC-327D-C1CA-7E92D484B614}"/>
              </a:ext>
            </a:extLst>
          </xdr:cNvPr>
          <xdr:cNvGrpSpPr/>
        </xdr:nvGrpSpPr>
        <xdr:grpSpPr>
          <a:xfrm>
            <a:off x="1798790" y="5774915"/>
            <a:ext cx="2892233" cy="1800000"/>
            <a:chOff x="778141" y="5774915"/>
            <a:chExt cx="2892233" cy="180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A1BC002F-47AD-A3D6-43E6-79BA7C6C3D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21780" y="577491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FB44C342-2872-6AFB-32D7-E0E782FD9B5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78141" y="5774915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3HhaoJyhHuhaGXyb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23"/>
  <sheetViews>
    <sheetView tabSelected="1" view="pageBreakPreview" topLeftCell="A79" zoomScaleNormal="100" zoomScaleSheetLayoutView="100" zoomScalePageLayoutView="85" workbookViewId="0">
      <selection activeCell="L75" sqref="L75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7" width="11.6640625" style="40" customWidth="1"/>
    <col min="8" max="8" width="12.44140625" style="40" customWidth="1"/>
    <col min="9" max="9" width="17.44140625" style="21" customWidth="1"/>
    <col min="10" max="10" width="11.44140625" style="21" customWidth="1"/>
    <col min="11" max="11" width="11.3320312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8" ht="46.5" customHeight="1" x14ac:dyDescent="0.3">
      <c r="A1" s="138" t="s">
        <v>254</v>
      </c>
      <c r="B1" s="138"/>
      <c r="C1" s="138"/>
      <c r="D1" s="138"/>
      <c r="E1" s="138"/>
      <c r="F1" s="138"/>
      <c r="G1" s="138"/>
      <c r="H1" s="138"/>
    </row>
    <row r="2" spans="1:8" ht="16.5" customHeight="1" x14ac:dyDescent="0.3">
      <c r="A2" s="139" t="s">
        <v>0</v>
      </c>
      <c r="B2" s="139"/>
      <c r="C2" s="139"/>
      <c r="D2" s="139"/>
      <c r="E2" s="139"/>
      <c r="F2" s="139"/>
      <c r="G2" s="139"/>
      <c r="H2" s="139"/>
    </row>
    <row r="3" spans="1:8" x14ac:dyDescent="0.3">
      <c r="A3" s="127" t="s">
        <v>1</v>
      </c>
      <c r="B3" s="127"/>
      <c r="C3" s="127"/>
      <c r="D3" s="127"/>
      <c r="E3" s="127" t="str">
        <f ca="1">TEXT(TODAY(),"DD/MM/YYYY")</f>
        <v>19/08/2025</v>
      </c>
      <c r="F3" s="127"/>
      <c r="G3" s="127"/>
      <c r="H3" s="127"/>
    </row>
    <row r="4" spans="1:8" ht="15" customHeight="1" x14ac:dyDescent="0.3">
      <c r="A4" s="127" t="s">
        <v>2</v>
      </c>
      <c r="B4" s="127"/>
      <c r="C4" s="127"/>
      <c r="D4" s="127"/>
      <c r="E4" s="127" t="s">
        <v>176</v>
      </c>
      <c r="F4" s="127"/>
      <c r="G4" s="127"/>
      <c r="H4" s="127"/>
    </row>
    <row r="5" spans="1:8" x14ac:dyDescent="0.3">
      <c r="A5" s="127" t="s">
        <v>3</v>
      </c>
      <c r="B5" s="127"/>
      <c r="C5" s="127"/>
      <c r="D5" s="127"/>
      <c r="E5" s="141">
        <v>45881</v>
      </c>
      <c r="F5" s="127"/>
      <c r="G5" s="127"/>
      <c r="H5" s="127"/>
    </row>
    <row r="6" spans="1:8" ht="16.5" customHeight="1" x14ac:dyDescent="0.3">
      <c r="A6" s="127" t="s">
        <v>4</v>
      </c>
      <c r="B6" s="127"/>
      <c r="C6" s="127"/>
      <c r="D6" s="127"/>
      <c r="E6" s="127" t="s">
        <v>178</v>
      </c>
      <c r="F6" s="127"/>
      <c r="G6" s="127"/>
      <c r="H6" s="127"/>
    </row>
    <row r="7" spans="1:8" ht="15" customHeight="1" x14ac:dyDescent="0.3">
      <c r="A7" s="127" t="s">
        <v>5</v>
      </c>
      <c r="B7" s="127"/>
      <c r="C7" s="127"/>
      <c r="D7" s="127"/>
      <c r="E7" s="127" t="str">
        <f>E6</f>
        <v>Balaji Realty Developers</v>
      </c>
      <c r="F7" s="127"/>
      <c r="G7" s="127"/>
      <c r="H7" s="127"/>
    </row>
    <row r="8" spans="1:8" x14ac:dyDescent="0.3">
      <c r="A8" s="127" t="s">
        <v>6</v>
      </c>
      <c r="B8" s="127"/>
      <c r="C8" s="127"/>
      <c r="D8" s="127"/>
      <c r="E8" s="140" t="s">
        <v>177</v>
      </c>
      <c r="F8" s="140"/>
      <c r="G8" s="140"/>
      <c r="H8" s="140"/>
    </row>
    <row r="9" spans="1:8" x14ac:dyDescent="0.3">
      <c r="A9" s="127" t="s">
        <v>173</v>
      </c>
      <c r="B9" s="127"/>
      <c r="C9" s="127"/>
      <c r="D9" s="127"/>
      <c r="E9" s="127" t="s">
        <v>179</v>
      </c>
      <c r="F9" s="127"/>
      <c r="G9" s="127"/>
      <c r="H9" s="127"/>
    </row>
    <row r="10" spans="1:8" x14ac:dyDescent="0.3">
      <c r="A10" s="127" t="s">
        <v>174</v>
      </c>
      <c r="B10" s="127"/>
      <c r="C10" s="127"/>
      <c r="D10" s="127"/>
      <c r="E10" s="127" t="s">
        <v>30</v>
      </c>
      <c r="F10" s="127"/>
      <c r="G10" s="127"/>
      <c r="H10" s="127"/>
    </row>
    <row r="11" spans="1:8" x14ac:dyDescent="0.3">
      <c r="A11" s="127" t="s">
        <v>7</v>
      </c>
      <c r="B11" s="127"/>
      <c r="C11" s="127"/>
      <c r="D11" s="127"/>
      <c r="E11" s="127" t="s">
        <v>180</v>
      </c>
      <c r="F11" s="127"/>
      <c r="G11" s="127"/>
      <c r="H11" s="127"/>
    </row>
    <row r="12" spans="1:8" x14ac:dyDescent="0.3">
      <c r="A12" s="89" t="s">
        <v>8</v>
      </c>
      <c r="B12" s="89"/>
      <c r="C12" s="89"/>
      <c r="D12" s="89"/>
      <c r="E12" s="87" t="s">
        <v>246</v>
      </c>
      <c r="F12" s="87"/>
      <c r="G12" s="87"/>
      <c r="H12" s="87"/>
    </row>
    <row r="13" spans="1:8" x14ac:dyDescent="0.3">
      <c r="A13" s="89" t="s">
        <v>9</v>
      </c>
      <c r="B13" s="89"/>
      <c r="C13" s="89"/>
      <c r="D13" s="89"/>
      <c r="E13" s="87" t="s">
        <v>181</v>
      </c>
      <c r="F13" s="127"/>
      <c r="G13" s="127"/>
      <c r="H13" s="127"/>
    </row>
    <row r="14" spans="1:8" ht="64.5" customHeight="1" x14ac:dyDescent="0.3">
      <c r="A14" s="126" t="s">
        <v>10</v>
      </c>
      <c r="B14" s="126"/>
      <c r="C14" s="12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Sejal Aquarius, CS No.1996, 1997 &amp; 2011 &amp; Existing Building Name - Moti Building &amp; Nand Bhuvan Building, near South Girgaon Muncipal Marathi School, D Parulekar Lane, Kalbadevi, Bhuleshwar, Charni Road East, Mumbai, Mumbai - 400002.</v>
      </c>
      <c r="D14" s="126"/>
      <c r="E14" s="126"/>
      <c r="F14" s="126"/>
      <c r="G14" s="126"/>
      <c r="H14" s="126"/>
    </row>
    <row r="15" spans="1:8" ht="34.5" customHeight="1" x14ac:dyDescent="0.3">
      <c r="A15" s="87" t="s">
        <v>182</v>
      </c>
      <c r="B15" s="87"/>
      <c r="C15" s="87" t="s">
        <v>200</v>
      </c>
      <c r="D15" s="87"/>
      <c r="E15" s="87"/>
      <c r="F15" s="87"/>
      <c r="G15" s="87"/>
      <c r="H15" s="87"/>
    </row>
    <row r="16" spans="1:8" ht="15.75" customHeight="1" x14ac:dyDescent="0.3">
      <c r="A16" s="87" t="s">
        <v>172</v>
      </c>
      <c r="B16" s="87"/>
      <c r="C16" s="87" t="s">
        <v>230</v>
      </c>
      <c r="D16" s="87"/>
      <c r="E16" s="87"/>
      <c r="F16" s="87"/>
      <c r="G16" s="87"/>
      <c r="H16" s="87"/>
    </row>
    <row r="17" spans="1:8" ht="15.75" customHeight="1" x14ac:dyDescent="0.3">
      <c r="A17" s="126" t="s">
        <v>11</v>
      </c>
      <c r="B17" s="126"/>
      <c r="C17" s="127" t="s">
        <v>188</v>
      </c>
      <c r="D17" s="127"/>
      <c r="E17" s="126" t="s">
        <v>76</v>
      </c>
      <c r="F17" s="126"/>
      <c r="G17" s="87" t="s">
        <v>231</v>
      </c>
      <c r="H17" s="87"/>
    </row>
    <row r="18" spans="1:8" x14ac:dyDescent="0.3">
      <c r="A18" s="89" t="s">
        <v>13</v>
      </c>
      <c r="B18" s="89"/>
      <c r="C18" s="87" t="s">
        <v>235</v>
      </c>
      <c r="D18" s="87"/>
      <c r="E18" s="126" t="s">
        <v>12</v>
      </c>
      <c r="F18" s="126"/>
      <c r="G18" s="142" t="s">
        <v>232</v>
      </c>
      <c r="H18" s="142"/>
    </row>
    <row r="19" spans="1:8" x14ac:dyDescent="0.3">
      <c r="A19" s="89" t="s">
        <v>77</v>
      </c>
      <c r="B19" s="89"/>
      <c r="C19" s="142" t="s">
        <v>232</v>
      </c>
      <c r="D19" s="142"/>
      <c r="E19" s="126" t="s">
        <v>14</v>
      </c>
      <c r="F19" s="126"/>
      <c r="G19" s="87">
        <v>400002</v>
      </c>
      <c r="H19" s="87"/>
    </row>
    <row r="20" spans="1:8" ht="32.25" customHeight="1" x14ac:dyDescent="0.3">
      <c r="A20" s="89" t="s">
        <v>128</v>
      </c>
      <c r="B20" s="89"/>
      <c r="C20" s="87" t="s">
        <v>189</v>
      </c>
      <c r="D20" s="87"/>
      <c r="E20" s="126" t="s">
        <v>15</v>
      </c>
      <c r="F20" s="126"/>
      <c r="G20" s="87" t="s">
        <v>234</v>
      </c>
      <c r="H20" s="87"/>
    </row>
    <row r="21" spans="1:8" ht="15" customHeight="1" x14ac:dyDescent="0.3">
      <c r="A21" s="126" t="s">
        <v>79</v>
      </c>
      <c r="B21" s="126"/>
      <c r="C21" s="126"/>
      <c r="D21" s="126"/>
      <c r="E21" s="127" t="s">
        <v>16</v>
      </c>
      <c r="F21" s="127"/>
      <c r="G21" s="127"/>
      <c r="H21" s="127"/>
    </row>
    <row r="22" spans="1:8" ht="18.75" customHeight="1" x14ac:dyDescent="0.3">
      <c r="A22" s="126"/>
      <c r="B22" s="126"/>
      <c r="C22" s="126"/>
      <c r="D22" s="126"/>
      <c r="E22" s="127"/>
      <c r="F22" s="127"/>
      <c r="G22" s="127"/>
      <c r="H22" s="127"/>
    </row>
    <row r="23" spans="1:8" ht="15" customHeight="1" x14ac:dyDescent="0.3">
      <c r="A23" s="126" t="s">
        <v>17</v>
      </c>
      <c r="B23" s="126"/>
      <c r="C23" s="126"/>
      <c r="D23" s="126"/>
      <c r="E23" s="87" t="s">
        <v>18</v>
      </c>
      <c r="F23" s="87"/>
      <c r="G23" s="87"/>
      <c r="H23" s="87"/>
    </row>
    <row r="24" spans="1:8" ht="15" customHeight="1" x14ac:dyDescent="0.3">
      <c r="A24" s="89" t="s">
        <v>19</v>
      </c>
      <c r="B24" s="89"/>
      <c r="C24" s="89"/>
      <c r="D24" s="89"/>
      <c r="E24" s="87" t="str">
        <f>IF(AND(G18="Mumbai"),"Upper Class","Middle Class")</f>
        <v>Upper Class</v>
      </c>
      <c r="F24" s="87"/>
      <c r="G24" s="87"/>
      <c r="H24" s="87"/>
    </row>
    <row r="25" spans="1:8" x14ac:dyDescent="0.3">
      <c r="A25" s="89" t="s">
        <v>20</v>
      </c>
      <c r="B25" s="89"/>
      <c r="C25" s="89"/>
      <c r="D25" s="89"/>
      <c r="E25" s="87" t="s">
        <v>21</v>
      </c>
      <c r="F25" s="87"/>
      <c r="G25" s="87"/>
      <c r="H25" s="87"/>
    </row>
    <row r="26" spans="1:8" ht="15.75" customHeight="1" x14ac:dyDescent="0.3">
      <c r="A26" s="89" t="s">
        <v>22</v>
      </c>
      <c r="B26" s="89"/>
      <c r="C26" s="89"/>
      <c r="D26" s="89"/>
      <c r="E26" s="87" t="str">
        <f>IF(AND(G18="Mumbai"),"Developed","Developing")</f>
        <v>Developed</v>
      </c>
      <c r="F26" s="87"/>
      <c r="G26" s="87"/>
      <c r="H26" s="87"/>
    </row>
    <row r="27" spans="1:8" x14ac:dyDescent="0.3">
      <c r="A27" s="89" t="s">
        <v>23</v>
      </c>
      <c r="B27" s="89"/>
      <c r="C27" s="89"/>
      <c r="D27" s="89"/>
      <c r="E27" s="87" t="s">
        <v>24</v>
      </c>
      <c r="F27" s="87"/>
      <c r="G27" s="87"/>
      <c r="H27" s="87"/>
    </row>
    <row r="28" spans="1:8" ht="15.75" customHeight="1" x14ac:dyDescent="0.3">
      <c r="A28" s="89" t="s">
        <v>84</v>
      </c>
      <c r="B28" s="89"/>
      <c r="C28" s="89"/>
      <c r="D28" s="89"/>
      <c r="E28" s="87" t="s">
        <v>85</v>
      </c>
      <c r="F28" s="87"/>
      <c r="G28" s="87"/>
      <c r="H28" s="87"/>
    </row>
    <row r="29" spans="1:8" ht="15" customHeight="1" x14ac:dyDescent="0.3">
      <c r="A29" s="89" t="s">
        <v>35</v>
      </c>
      <c r="B29" s="89"/>
      <c r="C29" s="89"/>
      <c r="D29" s="89"/>
      <c r="E29" s="87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29" s="87"/>
      <c r="G29" s="87"/>
      <c r="H29" s="87"/>
    </row>
    <row r="30" spans="1:8" ht="15.75" customHeight="1" x14ac:dyDescent="0.3">
      <c r="A30" s="89" t="s">
        <v>96</v>
      </c>
      <c r="B30" s="89"/>
      <c r="C30" s="89"/>
      <c r="D30" s="89"/>
      <c r="E30" s="87" t="s">
        <v>36</v>
      </c>
      <c r="F30" s="87"/>
      <c r="G30" s="87"/>
      <c r="H30" s="87"/>
    </row>
    <row r="31" spans="1:8" s="22" customFormat="1" x14ac:dyDescent="0.3">
      <c r="A31" s="146" t="s">
        <v>97</v>
      </c>
      <c r="B31" s="146"/>
      <c r="C31" s="145" t="s">
        <v>29</v>
      </c>
      <c r="D31" s="145"/>
      <c r="E31" s="145"/>
      <c r="F31" s="145" t="s">
        <v>31</v>
      </c>
      <c r="G31" s="145"/>
      <c r="H31" s="145"/>
    </row>
    <row r="32" spans="1:8" s="22" customFormat="1" x14ac:dyDescent="0.3">
      <c r="A32" s="143" t="s">
        <v>25</v>
      </c>
      <c r="B32" s="143" t="s">
        <v>30</v>
      </c>
      <c r="C32" s="144" t="s">
        <v>30</v>
      </c>
      <c r="D32" s="144"/>
      <c r="E32" s="144"/>
      <c r="F32" s="144" t="s">
        <v>188</v>
      </c>
      <c r="G32" s="144"/>
      <c r="H32" s="144"/>
    </row>
    <row r="33" spans="1:8" x14ac:dyDescent="0.3">
      <c r="A33" s="143" t="s">
        <v>26</v>
      </c>
      <c r="B33" s="143" t="s">
        <v>30</v>
      </c>
      <c r="C33" s="144" t="s">
        <v>30</v>
      </c>
      <c r="D33" s="144"/>
      <c r="E33" s="144"/>
      <c r="F33" s="144" t="s">
        <v>233</v>
      </c>
      <c r="G33" s="144"/>
      <c r="H33" s="144"/>
    </row>
    <row r="34" spans="1:8" s="22" customFormat="1" x14ac:dyDescent="0.3">
      <c r="A34" s="143" t="s">
        <v>28</v>
      </c>
      <c r="B34" s="143" t="s">
        <v>30</v>
      </c>
      <c r="C34" s="144" t="s">
        <v>30</v>
      </c>
      <c r="D34" s="144"/>
      <c r="E34" s="144"/>
      <c r="F34" s="144" t="s">
        <v>189</v>
      </c>
      <c r="G34" s="144"/>
      <c r="H34" s="144"/>
    </row>
    <row r="35" spans="1:8" x14ac:dyDescent="0.3">
      <c r="A35" s="143" t="s">
        <v>27</v>
      </c>
      <c r="B35" s="143" t="s">
        <v>30</v>
      </c>
      <c r="C35" s="144" t="s">
        <v>30</v>
      </c>
      <c r="D35" s="144"/>
      <c r="E35" s="144"/>
      <c r="F35" s="144" t="s">
        <v>190</v>
      </c>
      <c r="G35" s="144"/>
      <c r="H35" s="144"/>
    </row>
    <row r="36" spans="1:8" x14ac:dyDescent="0.3">
      <c r="A36" s="89" t="s">
        <v>32</v>
      </c>
      <c r="B36" s="89"/>
      <c r="C36" s="89"/>
      <c r="D36" s="89"/>
      <c r="E36" s="89"/>
      <c r="F36" s="89"/>
      <c r="G36" s="89"/>
      <c r="H36" s="89"/>
    </row>
    <row r="37" spans="1:8" ht="15.75" customHeight="1" x14ac:dyDescent="0.3">
      <c r="A37" s="139" t="s">
        <v>33</v>
      </c>
      <c r="B37" s="139"/>
      <c r="C37" s="148">
        <v>18.950642999999999</v>
      </c>
      <c r="D37" s="148"/>
      <c r="E37" s="139" t="s">
        <v>34</v>
      </c>
      <c r="F37" s="139"/>
      <c r="G37" s="149">
        <v>72.825644999999994</v>
      </c>
      <c r="H37" s="149"/>
    </row>
    <row r="38" spans="1:8" x14ac:dyDescent="0.3">
      <c r="A38" s="139" t="s">
        <v>171</v>
      </c>
      <c r="B38" s="139"/>
      <c r="C38" s="150" t="s">
        <v>187</v>
      </c>
      <c r="D38" s="87"/>
      <c r="E38" s="87"/>
      <c r="F38" s="87"/>
      <c r="G38" s="87"/>
      <c r="H38" s="87"/>
    </row>
    <row r="39" spans="1:8" x14ac:dyDescent="0.3">
      <c r="A39" s="132" t="s">
        <v>37</v>
      </c>
      <c r="B39" s="132"/>
      <c r="C39" s="132"/>
      <c r="D39" s="132"/>
      <c r="E39" s="132"/>
      <c r="F39" s="132"/>
      <c r="G39" s="132"/>
      <c r="H39" s="132"/>
    </row>
    <row r="40" spans="1:8" x14ac:dyDescent="0.3">
      <c r="A40" s="89" t="s">
        <v>38</v>
      </c>
      <c r="B40" s="89"/>
      <c r="C40" s="89"/>
      <c r="D40" s="89"/>
      <c r="E40" s="147">
        <v>1109.32</v>
      </c>
      <c r="F40" s="147"/>
      <c r="G40" s="147"/>
      <c r="H40" s="147"/>
    </row>
    <row r="41" spans="1:8" x14ac:dyDescent="0.3">
      <c r="A41" s="89" t="s">
        <v>39</v>
      </c>
      <c r="B41" s="89"/>
      <c r="C41" s="89"/>
      <c r="D41" s="89"/>
      <c r="E41" s="88">
        <v>3</v>
      </c>
      <c r="F41" s="88"/>
      <c r="G41" s="88"/>
      <c r="H41" s="88"/>
    </row>
    <row r="42" spans="1:8" x14ac:dyDescent="0.3">
      <c r="A42" s="89" t="s">
        <v>40</v>
      </c>
      <c r="B42" s="89"/>
      <c r="C42" s="89"/>
      <c r="D42" s="89"/>
      <c r="E42" s="88">
        <f>E44/E40-E41</f>
        <v>4.5175242490895329</v>
      </c>
      <c r="F42" s="88"/>
      <c r="G42" s="88"/>
      <c r="H42" s="88"/>
    </row>
    <row r="43" spans="1:8" x14ac:dyDescent="0.3">
      <c r="A43" s="89" t="s">
        <v>41</v>
      </c>
      <c r="B43" s="89"/>
      <c r="C43" s="89"/>
      <c r="D43" s="89"/>
      <c r="E43" s="88">
        <f>E41+E42</f>
        <v>7.5175242490895329</v>
      </c>
      <c r="F43" s="88"/>
      <c r="G43" s="88"/>
      <c r="H43" s="88"/>
    </row>
    <row r="44" spans="1:8" x14ac:dyDescent="0.3">
      <c r="A44" s="89" t="s">
        <v>95</v>
      </c>
      <c r="B44" s="89"/>
      <c r="C44" s="89"/>
      <c r="D44" s="89"/>
      <c r="E44" s="158">
        <v>8339.34</v>
      </c>
      <c r="F44" s="158"/>
      <c r="G44" s="158"/>
      <c r="H44" s="158"/>
    </row>
    <row r="45" spans="1:8" x14ac:dyDescent="0.3">
      <c r="A45" s="127" t="s">
        <v>42</v>
      </c>
      <c r="B45" s="127"/>
      <c r="C45" s="127"/>
      <c r="D45" s="127"/>
      <c r="E45" s="127" t="s">
        <v>183</v>
      </c>
      <c r="F45" s="127"/>
      <c r="G45" s="127"/>
      <c r="H45" s="127"/>
    </row>
    <row r="46" spans="1:8" x14ac:dyDescent="0.3">
      <c r="A46" s="132" t="s">
        <v>43</v>
      </c>
      <c r="B46" s="132"/>
      <c r="C46" s="132"/>
      <c r="D46" s="132"/>
      <c r="E46" s="132"/>
      <c r="F46" s="132"/>
      <c r="G46" s="132"/>
      <c r="H46" s="132"/>
    </row>
    <row r="47" spans="1:8" ht="33.75" customHeight="1" x14ac:dyDescent="0.3">
      <c r="A47" s="107" t="s">
        <v>160</v>
      </c>
      <c r="B47" s="108"/>
      <c r="C47" s="188" t="s">
        <v>184</v>
      </c>
      <c r="D47" s="189"/>
      <c r="E47" s="189"/>
      <c r="F47" s="189"/>
      <c r="G47" s="189"/>
      <c r="H47" s="190"/>
    </row>
    <row r="48" spans="1:8" ht="31.5" customHeight="1" x14ac:dyDescent="0.3">
      <c r="A48" s="107" t="s">
        <v>44</v>
      </c>
      <c r="B48" s="108"/>
      <c r="C48" s="107" t="s">
        <v>185</v>
      </c>
      <c r="D48" s="109"/>
      <c r="E48" s="108"/>
      <c r="F48" s="18" t="s">
        <v>45</v>
      </c>
      <c r="G48" s="110">
        <v>44774</v>
      </c>
      <c r="H48" s="108"/>
    </row>
    <row r="49" spans="1:14" ht="31.5" customHeight="1" x14ac:dyDescent="0.3">
      <c r="A49" s="107" t="s">
        <v>46</v>
      </c>
      <c r="B49" s="108"/>
      <c r="C49" s="107" t="str">
        <f>C48</f>
        <v>P-8484/2021/(1996 And Other)/C
Ward/BHULESHWAR/CC/1/New</v>
      </c>
      <c r="D49" s="109"/>
      <c r="E49" s="108"/>
      <c r="F49" s="18" t="s">
        <v>45</v>
      </c>
      <c r="G49" s="110">
        <f>G48</f>
        <v>44774</v>
      </c>
      <c r="H49" s="111"/>
    </row>
    <row r="50" spans="1:14" s="23" customFormat="1" ht="31.5" customHeight="1" x14ac:dyDescent="0.3">
      <c r="A50" s="154" t="s">
        <v>186</v>
      </c>
      <c r="B50" s="155"/>
      <c r="C50" s="107" t="s">
        <v>256</v>
      </c>
      <c r="D50" s="109"/>
      <c r="E50" s="108"/>
      <c r="F50" s="18" t="s">
        <v>45</v>
      </c>
      <c r="G50" s="110">
        <v>45212</v>
      </c>
      <c r="H50" s="111"/>
    </row>
    <row r="51" spans="1:14" s="23" customFormat="1" ht="50.25" customHeight="1" x14ac:dyDescent="0.3">
      <c r="A51" s="156"/>
      <c r="B51" s="157"/>
      <c r="C51" s="107" t="s">
        <v>255</v>
      </c>
      <c r="D51" s="109"/>
      <c r="E51" s="108"/>
      <c r="F51" s="18" t="s">
        <v>127</v>
      </c>
      <c r="G51" s="110">
        <v>45929</v>
      </c>
      <c r="H51" s="111"/>
    </row>
    <row r="52" spans="1:14" s="23" customFormat="1" ht="31.5" customHeight="1" x14ac:dyDescent="0.3">
      <c r="A52" s="154" t="s">
        <v>186</v>
      </c>
      <c r="B52" s="155"/>
      <c r="C52" s="107" t="s">
        <v>262</v>
      </c>
      <c r="D52" s="109"/>
      <c r="E52" s="108"/>
      <c r="F52" s="18" t="s">
        <v>45</v>
      </c>
      <c r="G52" s="110">
        <v>45630</v>
      </c>
      <c r="H52" s="111"/>
    </row>
    <row r="53" spans="1:14" s="23" customFormat="1" ht="128.4" customHeight="1" x14ac:dyDescent="0.3">
      <c r="A53" s="156"/>
      <c r="B53" s="157"/>
      <c r="C53" s="107" t="s">
        <v>263</v>
      </c>
      <c r="D53" s="109"/>
      <c r="E53" s="108"/>
      <c r="F53" s="18" t="s">
        <v>127</v>
      </c>
      <c r="G53" s="110">
        <v>45929</v>
      </c>
      <c r="H53" s="111"/>
    </row>
    <row r="54" spans="1:14" x14ac:dyDescent="0.3">
      <c r="A54" s="122" t="s">
        <v>47</v>
      </c>
      <c r="B54" s="123"/>
      <c r="C54" s="122" t="s">
        <v>107</v>
      </c>
      <c r="D54" s="124"/>
      <c r="E54" s="123"/>
      <c r="F54" s="46" t="s">
        <v>45</v>
      </c>
      <c r="G54" s="128" t="s">
        <v>30</v>
      </c>
      <c r="H54" s="129"/>
    </row>
    <row r="55" spans="1:14" x14ac:dyDescent="0.3">
      <c r="A55" s="125" t="s">
        <v>49</v>
      </c>
      <c r="B55" s="125"/>
      <c r="C55" s="125"/>
      <c r="D55" s="125"/>
      <c r="E55" s="125"/>
      <c r="F55" s="125"/>
      <c r="G55" s="125"/>
      <c r="H55" s="125"/>
    </row>
    <row r="56" spans="1:14" x14ac:dyDescent="0.3">
      <c r="A56" s="126" t="s">
        <v>94</v>
      </c>
      <c r="B56" s="126"/>
      <c r="C56" s="126"/>
      <c r="D56" s="89">
        <f>E44</f>
        <v>8339.34</v>
      </c>
      <c r="E56" s="89"/>
      <c r="F56" s="89"/>
      <c r="G56" s="89"/>
      <c r="H56" s="89"/>
    </row>
    <row r="57" spans="1:14" ht="33.75" customHeight="1" x14ac:dyDescent="0.3">
      <c r="A57" s="87" t="s">
        <v>50</v>
      </c>
      <c r="B57" s="127"/>
      <c r="C57" s="127"/>
      <c r="D57" s="87" t="s">
        <v>245</v>
      </c>
      <c r="E57" s="87"/>
      <c r="F57" s="87"/>
      <c r="G57" s="87"/>
      <c r="H57" s="87"/>
      <c r="I57" s="24"/>
    </row>
    <row r="58" spans="1:14" ht="33.75" customHeight="1" x14ac:dyDescent="0.3">
      <c r="A58" s="112" t="s">
        <v>51</v>
      </c>
      <c r="B58" s="113"/>
      <c r="C58" s="153"/>
      <c r="D58" s="151" t="s">
        <v>239</v>
      </c>
      <c r="E58" s="152"/>
      <c r="F58" s="152"/>
      <c r="G58" s="152"/>
      <c r="H58" s="152"/>
    </row>
    <row r="59" spans="1:14" ht="15.75" customHeight="1" x14ac:dyDescent="0.3">
      <c r="A59" s="112" t="s">
        <v>92</v>
      </c>
      <c r="B59" s="113"/>
      <c r="C59" s="113"/>
      <c r="D59" s="116" t="s">
        <v>238</v>
      </c>
      <c r="E59" s="117"/>
      <c r="F59" s="117"/>
      <c r="G59" s="117"/>
      <c r="H59" s="118"/>
    </row>
    <row r="60" spans="1:14" ht="15.75" customHeight="1" x14ac:dyDescent="0.3">
      <c r="A60" s="114"/>
      <c r="B60" s="115"/>
      <c r="C60" s="115"/>
      <c r="D60" s="119" t="s">
        <v>240</v>
      </c>
      <c r="E60" s="120"/>
      <c r="F60" s="120"/>
      <c r="G60" s="120"/>
      <c r="H60" s="121"/>
    </row>
    <row r="61" spans="1:14" ht="15.75" customHeight="1" x14ac:dyDescent="0.3">
      <c r="A61" s="89" t="s">
        <v>48</v>
      </c>
      <c r="B61" s="89"/>
      <c r="C61" s="89"/>
      <c r="D61" s="169" t="s">
        <v>237</v>
      </c>
      <c r="E61" s="169"/>
      <c r="F61" s="169"/>
      <c r="G61" s="169"/>
      <c r="H61" s="169"/>
      <c r="J61" s="25"/>
      <c r="K61" s="24"/>
      <c r="N61" s="24"/>
    </row>
    <row r="62" spans="1:14" ht="15.75" customHeight="1" x14ac:dyDescent="0.3">
      <c r="A62" s="89" t="s">
        <v>90</v>
      </c>
      <c r="B62" s="89"/>
      <c r="C62" s="89"/>
      <c r="D62" s="181" t="str">
        <f>(IF(G54="NA","60 Years After Completion",IF(G54&lt;&gt;"NA",""&amp;60-ROUNDDOWN((E3-G54)/360,0)&amp;" Years"," ")))</f>
        <v>60 Years After Completion</v>
      </c>
      <c r="E62" s="181"/>
      <c r="F62" s="181"/>
      <c r="G62" s="181"/>
      <c r="H62" s="181"/>
      <c r="N62" s="24"/>
    </row>
    <row r="63" spans="1:14" ht="15.75" customHeight="1" x14ac:dyDescent="0.3">
      <c r="A63" s="89" t="s">
        <v>91</v>
      </c>
      <c r="B63" s="89"/>
      <c r="C63" s="89"/>
      <c r="D63" s="126" t="s">
        <v>24</v>
      </c>
      <c r="E63" s="126"/>
      <c r="F63" s="126"/>
      <c r="G63" s="126"/>
      <c r="H63" s="126"/>
      <c r="J63" s="26"/>
      <c r="K63" s="26"/>
    </row>
    <row r="64" spans="1:14" ht="15" customHeight="1" x14ac:dyDescent="0.3">
      <c r="A64" s="89" t="s">
        <v>78</v>
      </c>
      <c r="B64" s="89"/>
      <c r="C64" s="89"/>
      <c r="D64" s="87" t="s">
        <v>236</v>
      </c>
      <c r="E64" s="87"/>
      <c r="F64" s="87"/>
      <c r="G64" s="87"/>
      <c r="H64" s="87"/>
    </row>
    <row r="65" spans="1:14" x14ac:dyDescent="0.3">
      <c r="A65" s="126" t="s">
        <v>156</v>
      </c>
      <c r="B65" s="126"/>
      <c r="C65" s="126"/>
      <c r="D65" s="126" t="s">
        <v>30</v>
      </c>
      <c r="E65" s="126"/>
      <c r="F65" s="126"/>
      <c r="G65" s="126"/>
      <c r="H65" s="126"/>
      <c r="I65" s="27"/>
      <c r="J65" s="27"/>
      <c r="K65" s="27"/>
      <c r="L65" s="27"/>
      <c r="M65" s="27"/>
      <c r="N65" s="27"/>
    </row>
    <row r="66" spans="1:14" ht="15.75" customHeight="1" x14ac:dyDescent="0.3">
      <c r="A66" s="167" t="s">
        <v>89</v>
      </c>
      <c r="B66" s="167"/>
      <c r="C66" s="167"/>
      <c r="D66" s="151" t="str">
        <f ca="1">(IF(G72&gt;95%,"Nothing",IF(G72&gt;0%,"Cement, Aggregate, Steel, etc",IF(G72=0%,"Work not yet Started"))))</f>
        <v>Cement, Aggregate, Steel, etc</v>
      </c>
      <c r="E66" s="151"/>
      <c r="F66" s="151"/>
      <c r="G66" s="151"/>
      <c r="H66" s="151"/>
      <c r="J66" s="26"/>
    </row>
    <row r="67" spans="1:14" ht="33.75" customHeight="1" thickBot="1" x14ac:dyDescent="0.35">
      <c r="A67" s="184" t="s">
        <v>120</v>
      </c>
      <c r="B67" s="184"/>
      <c r="C67" s="184"/>
      <c r="D67" s="151" t="str">
        <f ca="1">(IF(D66="Nothing","Yes",IF(D66="Cement, Aggregate, Steel, etc","Under Construction",IF(D66="Work not yet Started","Work not yet Started"))))</f>
        <v>Under Construction</v>
      </c>
      <c r="E67" s="151"/>
      <c r="F67" s="151" t="str">
        <f ca="1">(IF(D66="Nothing","Yes",IF(D66="Cement, Aggregate, Steel, etc","Under Construction",IF(D66="Work not yet Started","Work not yet Started"))))</f>
        <v>Under Construction</v>
      </c>
      <c r="G67" s="151"/>
      <c r="H67" s="151"/>
    </row>
    <row r="68" spans="1:14" ht="15.75" customHeight="1" x14ac:dyDescent="0.3">
      <c r="A68" s="160" t="s">
        <v>146</v>
      </c>
      <c r="B68" s="161"/>
      <c r="C68" s="162" t="str">
        <f>D59</f>
        <v>A Wing = B + G + 1st to 22nd Floor</v>
      </c>
      <c r="D68" s="163"/>
      <c r="E68" s="163"/>
      <c r="F68" s="163"/>
      <c r="G68" s="163"/>
      <c r="H68" s="164"/>
      <c r="I68" s="50" t="str">
        <f ca="1">IF(D81=100%,"All work Completed. Possession granted to the Building.",IF(D80=100%,"All work Completed, Waiting for OC",I69&amp;""&amp;I70&amp;""&amp;J69&amp;""&amp;J68&amp;" "&amp;J70))</f>
        <v>Excavation, Plinth, RCC Slab, Brickwork Completed, Internal Plaster upto 18 Floor, External Plaster upto 16 Floor, Flooring upto 12 Floor Completed</v>
      </c>
      <c r="J68" s="51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18 Floor, External Plaster upto 16 Floor, Flooring upto 12 Floor</v>
      </c>
    </row>
    <row r="69" spans="1:14" x14ac:dyDescent="0.3">
      <c r="A69" s="16" t="s">
        <v>148</v>
      </c>
      <c r="B69" s="48">
        <v>1</v>
      </c>
      <c r="C69" s="48" t="s">
        <v>75</v>
      </c>
      <c r="D69" s="48">
        <v>1</v>
      </c>
      <c r="E69" s="48" t="s">
        <v>74</v>
      </c>
      <c r="F69" s="48">
        <v>0</v>
      </c>
      <c r="G69" s="48" t="s">
        <v>83</v>
      </c>
      <c r="H69" s="17">
        <f ca="1">--TRIM(RIGHT(SUBSTITUTE(LEFT(C68,_xlfn.AGGREGATE(16,6,FIND({0,1,2,3,4,5,6,7,8,9},C68,ROW(INDIRECT("1:"&amp;LEN(C68)))),1))," ",REPT(" ",LEN(C68))),LEN(C68)))</f>
        <v>22</v>
      </c>
      <c r="I69" s="52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53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7.200000000000003" customHeight="1" x14ac:dyDescent="0.3">
      <c r="A70" s="159" t="s">
        <v>93</v>
      </c>
      <c r="B70" s="140"/>
      <c r="C70" s="165" t="str">
        <f ca="1">I68</f>
        <v>Excavation, Plinth, RCC Slab, Brickwork Completed, Internal Plaster upto 18 Floor, External Plaster upto 16 Floor, Flooring upto 12 Floor Completed</v>
      </c>
      <c r="D70" s="165"/>
      <c r="E70" s="165"/>
      <c r="F70" s="165"/>
      <c r="G70" s="165"/>
      <c r="H70" s="166"/>
      <c r="I70" s="52" t="str">
        <f ca="1">IF(I69&lt;&gt;""," Completed","")</f>
        <v xml:space="preserve"> Completed</v>
      </c>
      <c r="J70" s="53" t="str">
        <f ca="1">IF(J68&lt;&gt;"","Completed","")</f>
        <v>Completed</v>
      </c>
    </row>
    <row r="71" spans="1:14" ht="15.75" customHeight="1" x14ac:dyDescent="0.3">
      <c r="A71" s="99" t="s">
        <v>52</v>
      </c>
      <c r="B71" s="100"/>
      <c r="C71" s="44" t="s">
        <v>145</v>
      </c>
      <c r="D71" s="44" t="s">
        <v>86</v>
      </c>
      <c r="E71" s="100" t="s">
        <v>88</v>
      </c>
      <c r="F71" s="100"/>
      <c r="G71" s="100" t="s">
        <v>87</v>
      </c>
      <c r="H71" s="168"/>
      <c r="I71" s="14" t="s">
        <v>147</v>
      </c>
      <c r="J71" s="28">
        <f ca="1">H69*25%</f>
        <v>5.5</v>
      </c>
    </row>
    <row r="72" spans="1:14" x14ac:dyDescent="0.3">
      <c r="A72" s="99" t="s">
        <v>134</v>
      </c>
      <c r="B72" s="100"/>
      <c r="C72" s="44">
        <v>22</v>
      </c>
      <c r="D72" s="19">
        <f ca="1">((100/H69)*C72)/100</f>
        <v>1.0000000000000002</v>
      </c>
      <c r="E72" s="170">
        <f ca="1">(((C73/H69*10)+(40/(D69+F69+H69)*C74)+(7.5/(H69)*C75)+(7.5/(H69)*C76)+(10/H69*C77)+(10/H69*C78)+(5/H69*C79)+(5/H69*C80)+(5/H69*C81))/100)</f>
        <v>0.76363636363636356</v>
      </c>
      <c r="F72" s="171"/>
      <c r="G72" s="170">
        <f ca="1">((((C72/H69)*20)+((C73/H69)*25)+(30/(H69+F69+D69)*C74)+(5/H69*C75)+(5/H69*C76)+(5/H69*C77)+(5/H69*C78)+(0/H69*C79)+(0/H69*C80)+(5/H69*C81))/100)</f>
        <v>0.90454545454545465</v>
      </c>
      <c r="H72" s="176"/>
      <c r="I72" s="14" t="s">
        <v>102</v>
      </c>
      <c r="J72" s="29">
        <f ca="1">H69*50%</f>
        <v>11</v>
      </c>
    </row>
    <row r="73" spans="1:14" x14ac:dyDescent="0.3">
      <c r="A73" s="99" t="s">
        <v>53</v>
      </c>
      <c r="B73" s="100"/>
      <c r="C73" s="59">
        <f ca="1">J81</f>
        <v>22</v>
      </c>
      <c r="D73" s="19">
        <f ca="1">((100/H69)*C73)/100</f>
        <v>1.0000000000000002</v>
      </c>
      <c r="E73" s="172"/>
      <c r="F73" s="173"/>
      <c r="G73" s="172"/>
      <c r="H73" s="177"/>
      <c r="I73" s="14" t="s">
        <v>103</v>
      </c>
      <c r="J73" s="29">
        <f ca="1">H69</f>
        <v>22</v>
      </c>
    </row>
    <row r="74" spans="1:14" ht="15.75" customHeight="1" x14ac:dyDescent="0.3">
      <c r="A74" s="99" t="s">
        <v>135</v>
      </c>
      <c r="B74" s="100"/>
      <c r="C74" s="44">
        <v>23</v>
      </c>
      <c r="D74" s="19">
        <f ca="1">((100/(D69+F69+H69))*C74)/100</f>
        <v>1</v>
      </c>
      <c r="E74" s="172"/>
      <c r="F74" s="173"/>
      <c r="G74" s="172"/>
      <c r="H74" s="177"/>
      <c r="I74" s="14" t="s">
        <v>104</v>
      </c>
      <c r="J74" s="30">
        <f ca="1">(IF(B69&gt;1,(H69/(B69+2)),H69/4))</f>
        <v>5.5</v>
      </c>
    </row>
    <row r="75" spans="1:14" ht="15.75" customHeight="1" x14ac:dyDescent="0.3">
      <c r="A75" s="99" t="s">
        <v>142</v>
      </c>
      <c r="B75" s="100" t="s">
        <v>136</v>
      </c>
      <c r="C75" s="44">
        <v>22</v>
      </c>
      <c r="D75" s="19">
        <f ca="1">((100/H69)*C75)/100</f>
        <v>1.0000000000000002</v>
      </c>
      <c r="E75" s="172"/>
      <c r="F75" s="173"/>
      <c r="G75" s="172"/>
      <c r="H75" s="177"/>
      <c r="I75" s="14" t="s">
        <v>105</v>
      </c>
      <c r="J75" s="30">
        <f ca="1">(IF(B69&gt;1,(H69/(B69+2)+J74),H69/4+J74))</f>
        <v>11</v>
      </c>
    </row>
    <row r="76" spans="1:14" ht="15.75" customHeight="1" x14ac:dyDescent="0.3">
      <c r="A76" s="99" t="s">
        <v>143</v>
      </c>
      <c r="B76" s="100" t="s">
        <v>136</v>
      </c>
      <c r="C76" s="44">
        <v>18</v>
      </c>
      <c r="D76" s="19">
        <f ca="1">((100/H69)*C76)/100</f>
        <v>0.81818181818181823</v>
      </c>
      <c r="E76" s="172"/>
      <c r="F76" s="173"/>
      <c r="G76" s="172"/>
      <c r="H76" s="177"/>
      <c r="I76" s="14" t="s">
        <v>154</v>
      </c>
      <c r="J76" s="30">
        <f>(IF(B69&gt;1,(H69/(B69+2)+J75),0))</f>
        <v>0</v>
      </c>
    </row>
    <row r="77" spans="1:14" ht="15" customHeight="1" x14ac:dyDescent="0.3">
      <c r="A77" s="99" t="s">
        <v>141</v>
      </c>
      <c r="B77" s="100" t="s">
        <v>138</v>
      </c>
      <c r="C77" s="44">
        <v>16</v>
      </c>
      <c r="D77" s="19">
        <f ca="1">((100/(H69))*C77)/100</f>
        <v>0.72727272727272729</v>
      </c>
      <c r="E77" s="172"/>
      <c r="F77" s="173"/>
      <c r="G77" s="172"/>
      <c r="H77" s="177"/>
      <c r="I77" s="14" t="s">
        <v>149</v>
      </c>
      <c r="J77" s="30">
        <f>(IF(B69&gt;2,(H69/(B69+2)+J76),0))</f>
        <v>0</v>
      </c>
    </row>
    <row r="78" spans="1:14" ht="15.75" customHeight="1" x14ac:dyDescent="0.3">
      <c r="A78" s="99" t="s">
        <v>137</v>
      </c>
      <c r="B78" s="100" t="s">
        <v>137</v>
      </c>
      <c r="C78" s="44">
        <v>12</v>
      </c>
      <c r="D78" s="19">
        <f ca="1">((100/H69)*C78)/100</f>
        <v>0.54545454545454541</v>
      </c>
      <c r="E78" s="172"/>
      <c r="F78" s="173"/>
      <c r="G78" s="172"/>
      <c r="H78" s="177"/>
      <c r="I78" s="14" t="s">
        <v>150</v>
      </c>
      <c r="J78" s="31">
        <f>(IF(B69&gt;3,(H69/(B69+2)+J77),0))</f>
        <v>0</v>
      </c>
    </row>
    <row r="79" spans="1:14" ht="15.75" customHeight="1" x14ac:dyDescent="0.3">
      <c r="A79" s="99" t="s">
        <v>144</v>
      </c>
      <c r="B79" s="100"/>
      <c r="C79" s="44">
        <v>0</v>
      </c>
      <c r="D79" s="19">
        <f ca="1">((100/H69)*C79)/100</f>
        <v>0</v>
      </c>
      <c r="E79" s="172"/>
      <c r="F79" s="173"/>
      <c r="G79" s="172"/>
      <c r="H79" s="177"/>
      <c r="I79" s="14" t="s">
        <v>151</v>
      </c>
      <c r="J79" s="30">
        <f>(IF(B69&gt;4,(H69/(B69+2)+J78),0))</f>
        <v>0</v>
      </c>
    </row>
    <row r="80" spans="1:14" ht="15.75" customHeight="1" x14ac:dyDescent="0.3">
      <c r="A80" s="99" t="s">
        <v>139</v>
      </c>
      <c r="B80" s="100" t="s">
        <v>139</v>
      </c>
      <c r="C80" s="44">
        <v>0</v>
      </c>
      <c r="D80" s="19">
        <f ca="1">((100/(H69))*C80)/100</f>
        <v>0</v>
      </c>
      <c r="E80" s="172"/>
      <c r="F80" s="173"/>
      <c r="G80" s="172"/>
      <c r="H80" s="177"/>
      <c r="I80" s="14" t="s">
        <v>155</v>
      </c>
      <c r="J80" s="30">
        <f ca="1">(IF(B69=1,(H69/(B69+3)+J75),IF(B69=0,(H69/4+J75),IF(B69&gt;1,0))))</f>
        <v>16.5</v>
      </c>
    </row>
    <row r="81" spans="1:10" ht="16.2" thickBot="1" x14ac:dyDescent="0.35">
      <c r="A81" s="179" t="s">
        <v>140</v>
      </c>
      <c r="B81" s="180"/>
      <c r="C81" s="45">
        <v>0</v>
      </c>
      <c r="D81" s="20">
        <f ca="1">((100/(H69))*C81)/100</f>
        <v>0</v>
      </c>
      <c r="E81" s="174"/>
      <c r="F81" s="175"/>
      <c r="G81" s="174"/>
      <c r="H81" s="178"/>
      <c r="I81" s="15" t="s">
        <v>106</v>
      </c>
      <c r="J81" s="32">
        <f ca="1">(IF(B69&gt;1.5,(H69/(B69+2)+J75+MAX(0,J76-J75)+MAX(0,J77-J76)+MAX(0,J78-J77)+MAX(0,J79-J78)+MAX(0,J80-J79)),IF(B69=1,(H69/(B69+3)+J80),IF(B69=0,H69/4+J80))))</f>
        <v>22</v>
      </c>
    </row>
    <row r="82" spans="1:10" ht="15.75" customHeight="1" x14ac:dyDescent="0.3">
      <c r="A82" s="101" t="s">
        <v>146</v>
      </c>
      <c r="B82" s="102"/>
      <c r="C82" s="103" t="str">
        <f>D60</f>
        <v>B Wing = G + 1st to 22nd Floor</v>
      </c>
      <c r="D82" s="104"/>
      <c r="E82" s="104"/>
      <c r="F82" s="104"/>
      <c r="G82" s="104"/>
      <c r="H82" s="105"/>
      <c r="I82" s="50" t="str">
        <f ca="1">IF(D95=100%,"All work Completed. Possession granted to the Building.",IF(D94=100%,"All work Completed, Waiting for OC",I83&amp;""&amp;I84&amp;""&amp;J83&amp;""&amp;J82&amp;" "&amp;J84))</f>
        <v>Excavation, Plinth, RCC Slab, Brickwork Completed, Internal Plaster upto 13 Floor, External Plaster upto 13 Floor, Flooring upto 8 Floor Completed</v>
      </c>
      <c r="J82" s="51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Internal Plaster upto 13 Floor, External Plaster upto 13 Floor, Flooring upto 8 Floor</v>
      </c>
    </row>
    <row r="83" spans="1:10" x14ac:dyDescent="0.3">
      <c r="A83" s="16" t="s">
        <v>148</v>
      </c>
      <c r="B83" s="48">
        <v>0</v>
      </c>
      <c r="C83" s="48" t="s">
        <v>75</v>
      </c>
      <c r="D83" s="48">
        <v>1</v>
      </c>
      <c r="E83" s="48" t="s">
        <v>74</v>
      </c>
      <c r="F83" s="48">
        <v>0</v>
      </c>
      <c r="G83" s="49" t="s">
        <v>83</v>
      </c>
      <c r="H83" s="17">
        <f ca="1">--TRIM(RIGHT(SUBSTITUTE(LEFT(C82,_xlfn.AGGREGATE(16,6,FIND({0,1,2,3,4,5,6,7,8,9},C82,ROW(INDIRECT("1:"&amp;LEN(C82)))),1))," ",REPT(" ",LEN(C82))),LEN(C82)))</f>
        <v>22</v>
      </c>
      <c r="I83" s="52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</v>
      </c>
      <c r="J83" s="53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2.4" customHeight="1" x14ac:dyDescent="0.3">
      <c r="A84" s="159" t="s">
        <v>93</v>
      </c>
      <c r="B84" s="140"/>
      <c r="C84" s="165" t="str">
        <f ca="1">(IF($G$54="NA",I82,"All work Completed. OC Received."))</f>
        <v>Excavation, Plinth, RCC Slab, Brickwork Completed, Internal Plaster upto 13 Floor, External Plaster upto 13 Floor, Flooring upto 8 Floor Completed</v>
      </c>
      <c r="D84" s="165"/>
      <c r="E84" s="165"/>
      <c r="F84" s="165"/>
      <c r="G84" s="165"/>
      <c r="H84" s="166"/>
      <c r="I84" s="52" t="str">
        <f ca="1">IF(I83&lt;&gt;""," Completed","")</f>
        <v xml:space="preserve"> Completed</v>
      </c>
      <c r="J84" s="53" t="str">
        <f ca="1">IF(J82&lt;&gt;"","Completed","")</f>
        <v>Completed</v>
      </c>
    </row>
    <row r="85" spans="1:10" ht="15.75" customHeight="1" x14ac:dyDescent="0.3">
      <c r="A85" s="99" t="s">
        <v>52</v>
      </c>
      <c r="B85" s="100"/>
      <c r="C85" s="44" t="s">
        <v>145</v>
      </c>
      <c r="D85" s="44" t="s">
        <v>86</v>
      </c>
      <c r="E85" s="100" t="s">
        <v>88</v>
      </c>
      <c r="F85" s="100"/>
      <c r="G85" s="100" t="s">
        <v>87</v>
      </c>
      <c r="H85" s="168"/>
      <c r="I85" s="14" t="s">
        <v>147</v>
      </c>
      <c r="J85" s="28">
        <f ca="1">H83*25%</f>
        <v>5.5</v>
      </c>
    </row>
    <row r="86" spans="1:10" x14ac:dyDescent="0.3">
      <c r="A86" s="99" t="s">
        <v>134</v>
      </c>
      <c r="B86" s="100"/>
      <c r="C86" s="44">
        <v>22</v>
      </c>
      <c r="D86" s="19">
        <f ca="1">((100/H83)*C86)/100</f>
        <v>1.0000000000000002</v>
      </c>
      <c r="E86" s="170">
        <f ca="1">(((C87/H83*10)+(40/(D83+F83+H83)*C88)+(7.5/(H83)*C89)+(7.5/(H83)*C90)+(10/H83*C91)+(10/H83*C92)+(5/H83*C93)+(5/H83*C94)+(5/H83*C95))/100)</f>
        <v>0.71477272727272734</v>
      </c>
      <c r="F86" s="171"/>
      <c r="G86" s="170">
        <f ca="1">((((C86/H83)*20)+((C87/H83)*25)+(30/(H83+F83+D83)*C88)+(5/H83*C89)+(5/H83*C90)+(5/H83*C91)+(5/H83*C92)+(0/H83*C93)+(0/H83*C94)+(5/H83*C95))/100)</f>
        <v>0.8772727272727272</v>
      </c>
      <c r="H86" s="176"/>
      <c r="I86" s="14" t="s">
        <v>102</v>
      </c>
      <c r="J86" s="29">
        <f ca="1">H83*50%</f>
        <v>11</v>
      </c>
    </row>
    <row r="87" spans="1:10" x14ac:dyDescent="0.3">
      <c r="A87" s="99" t="s">
        <v>53</v>
      </c>
      <c r="B87" s="100"/>
      <c r="C87" s="59">
        <f ca="1">J95</f>
        <v>22</v>
      </c>
      <c r="D87" s="19">
        <f ca="1">((100/H83)*C87)/100</f>
        <v>1.0000000000000002</v>
      </c>
      <c r="E87" s="172"/>
      <c r="F87" s="173"/>
      <c r="G87" s="172"/>
      <c r="H87" s="177"/>
      <c r="I87" s="14" t="s">
        <v>103</v>
      </c>
      <c r="J87" s="29">
        <f ca="1">H83</f>
        <v>22</v>
      </c>
    </row>
    <row r="88" spans="1:10" ht="15.75" customHeight="1" x14ac:dyDescent="0.3">
      <c r="A88" s="99" t="s">
        <v>135</v>
      </c>
      <c r="B88" s="100"/>
      <c r="C88" s="44">
        <v>23</v>
      </c>
      <c r="D88" s="19">
        <f ca="1">((100/(D83+F83+H83))*C88)/100</f>
        <v>1</v>
      </c>
      <c r="E88" s="172"/>
      <c r="F88" s="173"/>
      <c r="G88" s="172"/>
      <c r="H88" s="177"/>
      <c r="I88" s="14" t="s">
        <v>104</v>
      </c>
      <c r="J88" s="30">
        <f ca="1">(IF(B83&gt;1,(H83/(B83+2)),H83/4))</f>
        <v>5.5</v>
      </c>
    </row>
    <row r="89" spans="1:10" ht="15.75" customHeight="1" x14ac:dyDescent="0.3">
      <c r="A89" s="99" t="s">
        <v>142</v>
      </c>
      <c r="B89" s="100" t="s">
        <v>136</v>
      </c>
      <c r="C89" s="44">
        <v>22</v>
      </c>
      <c r="D89" s="19">
        <f ca="1">((100/H83)*C89)/100</f>
        <v>1.0000000000000002</v>
      </c>
      <c r="E89" s="172"/>
      <c r="F89" s="173"/>
      <c r="G89" s="172"/>
      <c r="H89" s="177"/>
      <c r="I89" s="14" t="s">
        <v>105</v>
      </c>
      <c r="J89" s="30">
        <f ca="1">(IF(B83&gt;1,(H83/(B83+2)+J88),H83/4+J88))</f>
        <v>11</v>
      </c>
    </row>
    <row r="90" spans="1:10" ht="15.75" customHeight="1" x14ac:dyDescent="0.3">
      <c r="A90" s="99" t="s">
        <v>143</v>
      </c>
      <c r="B90" s="100" t="s">
        <v>136</v>
      </c>
      <c r="C90" s="44">
        <v>13</v>
      </c>
      <c r="D90" s="19">
        <f ca="1">((100/H83)*C90)/100</f>
        <v>0.59090909090909094</v>
      </c>
      <c r="E90" s="172"/>
      <c r="F90" s="173"/>
      <c r="G90" s="172"/>
      <c r="H90" s="177"/>
      <c r="I90" s="14" t="s">
        <v>154</v>
      </c>
      <c r="J90" s="30">
        <f>(IF(B83&gt;1,(H83/(B83+2)+J89),0))</f>
        <v>0</v>
      </c>
    </row>
    <row r="91" spans="1:10" ht="15" customHeight="1" x14ac:dyDescent="0.3">
      <c r="A91" s="99" t="s">
        <v>141</v>
      </c>
      <c r="B91" s="100" t="s">
        <v>138</v>
      </c>
      <c r="C91" s="44">
        <v>13</v>
      </c>
      <c r="D91" s="19">
        <f ca="1">((100/(H83))*C91)/100</f>
        <v>0.59090909090909094</v>
      </c>
      <c r="E91" s="172"/>
      <c r="F91" s="173"/>
      <c r="G91" s="172"/>
      <c r="H91" s="177"/>
      <c r="I91" s="14" t="s">
        <v>149</v>
      </c>
      <c r="J91" s="30">
        <f>(IF(B83&gt;2,(H83/(B83+2)+J90),0))</f>
        <v>0</v>
      </c>
    </row>
    <row r="92" spans="1:10" ht="15.75" customHeight="1" x14ac:dyDescent="0.3">
      <c r="A92" s="99" t="s">
        <v>137</v>
      </c>
      <c r="B92" s="100" t="s">
        <v>137</v>
      </c>
      <c r="C92" s="44">
        <v>8</v>
      </c>
      <c r="D92" s="19">
        <f ca="1">((100/H83)*C92)/100</f>
        <v>0.36363636363636365</v>
      </c>
      <c r="E92" s="172"/>
      <c r="F92" s="173"/>
      <c r="G92" s="172"/>
      <c r="H92" s="177"/>
      <c r="I92" s="14" t="s">
        <v>150</v>
      </c>
      <c r="J92" s="31">
        <f>(IF(B83&gt;3,(H83/(B83+2)+J91),0))</f>
        <v>0</v>
      </c>
    </row>
    <row r="93" spans="1:10" ht="15.75" customHeight="1" x14ac:dyDescent="0.3">
      <c r="A93" s="99" t="s">
        <v>144</v>
      </c>
      <c r="B93" s="100"/>
      <c r="C93" s="44">
        <v>0</v>
      </c>
      <c r="D93" s="19">
        <f ca="1">((100/H83)*C93)/100</f>
        <v>0</v>
      </c>
      <c r="E93" s="172"/>
      <c r="F93" s="173"/>
      <c r="G93" s="172"/>
      <c r="H93" s="177"/>
      <c r="I93" s="14" t="s">
        <v>151</v>
      </c>
      <c r="J93" s="30">
        <f>(IF(B83&gt;4,(H83/(B83+2)+J92),0))</f>
        <v>0</v>
      </c>
    </row>
    <row r="94" spans="1:10" ht="15.75" customHeight="1" x14ac:dyDescent="0.3">
      <c r="A94" s="99" t="s">
        <v>139</v>
      </c>
      <c r="B94" s="100" t="s">
        <v>139</v>
      </c>
      <c r="C94" s="44">
        <v>0</v>
      </c>
      <c r="D94" s="19">
        <f ca="1">((100/(H83))*C94)/100</f>
        <v>0</v>
      </c>
      <c r="E94" s="172"/>
      <c r="F94" s="173"/>
      <c r="G94" s="172"/>
      <c r="H94" s="177"/>
      <c r="I94" s="14" t="s">
        <v>155</v>
      </c>
      <c r="J94" s="30">
        <f ca="1">(IF(B83=1,(H83/(B83+3)+J89),IF(B83=0,(H83/4+J89),IF(B83&gt;1,0))))</f>
        <v>16.5</v>
      </c>
    </row>
    <row r="95" spans="1:10" ht="16.2" thickBot="1" x14ac:dyDescent="0.35">
      <c r="A95" s="179" t="s">
        <v>140</v>
      </c>
      <c r="B95" s="180"/>
      <c r="C95" s="45">
        <v>0</v>
      </c>
      <c r="D95" s="20">
        <f ca="1">((100/(H83))*C95)/100</f>
        <v>0</v>
      </c>
      <c r="E95" s="174"/>
      <c r="F95" s="175"/>
      <c r="G95" s="174"/>
      <c r="H95" s="178"/>
      <c r="I95" s="15" t="s">
        <v>106</v>
      </c>
      <c r="J95" s="32">
        <f ca="1">(IF(B83&gt;1.5,(H83/(B83+2)+J89+MAX(0,J90-J89)+MAX(0,J91-J90)+MAX(0,J92-J91)+MAX(0,J93-J92)+MAX(0,J94-J93)),IF(B83=1,(H83/(B83+3)+J94),IF(B83=0,H83/4+J94))))</f>
        <v>22</v>
      </c>
    </row>
    <row r="96" spans="1:10" x14ac:dyDescent="0.3">
      <c r="A96" s="187" t="s">
        <v>165</v>
      </c>
      <c r="B96" s="187"/>
      <c r="C96" s="187"/>
      <c r="D96" s="187"/>
      <c r="E96" s="187"/>
      <c r="F96" s="185" t="s">
        <v>169</v>
      </c>
      <c r="G96" s="185"/>
      <c r="H96" s="185"/>
    </row>
    <row r="97" spans="1:11" x14ac:dyDescent="0.3">
      <c r="A97" s="89" t="s">
        <v>168</v>
      </c>
      <c r="B97" s="89"/>
      <c r="C97" s="89"/>
      <c r="D97" s="89"/>
      <c r="E97" s="89"/>
      <c r="F97" s="106">
        <v>28000</v>
      </c>
      <c r="G97" s="106"/>
      <c r="H97" s="106"/>
      <c r="I97" s="21" t="s">
        <v>259</v>
      </c>
      <c r="J97" s="21" t="s">
        <v>260</v>
      </c>
      <c r="K97" s="25">
        <v>45523</v>
      </c>
    </row>
    <row r="98" spans="1:11" x14ac:dyDescent="0.3">
      <c r="A98" s="89" t="s">
        <v>167</v>
      </c>
      <c r="B98" s="89"/>
      <c r="C98" s="89"/>
      <c r="D98" s="89"/>
      <c r="E98" s="89"/>
      <c r="F98" s="106">
        <v>45000</v>
      </c>
      <c r="G98" s="106"/>
      <c r="H98" s="106"/>
    </row>
    <row r="99" spans="1:11" x14ac:dyDescent="0.3">
      <c r="A99" s="89" t="s">
        <v>247</v>
      </c>
      <c r="B99" s="89"/>
      <c r="C99" s="89"/>
      <c r="D99" s="89"/>
      <c r="E99" s="89"/>
      <c r="F99" s="106">
        <v>35000</v>
      </c>
      <c r="G99" s="106"/>
      <c r="H99" s="106"/>
    </row>
    <row r="100" spans="1:11" s="33" customFormat="1" hidden="1" x14ac:dyDescent="0.25">
      <c r="A100" s="89" t="s">
        <v>166</v>
      </c>
      <c r="B100" s="89"/>
      <c r="C100" s="89"/>
      <c r="D100" s="89"/>
      <c r="E100" s="89"/>
      <c r="F100" s="106"/>
      <c r="G100" s="106"/>
      <c r="H100" s="106"/>
    </row>
    <row r="101" spans="1:11" s="33" customFormat="1" x14ac:dyDescent="0.25">
      <c r="A101" s="89" t="s">
        <v>248</v>
      </c>
      <c r="B101" s="89"/>
      <c r="C101" s="89"/>
      <c r="D101" s="89"/>
      <c r="E101" s="89"/>
      <c r="F101" s="106">
        <v>200000</v>
      </c>
      <c r="G101" s="106"/>
      <c r="H101" s="106"/>
      <c r="I101" s="58"/>
    </row>
    <row r="102" spans="1:11" s="33" customFormat="1" x14ac:dyDescent="0.25">
      <c r="A102" s="89" t="s">
        <v>98</v>
      </c>
      <c r="B102" s="89"/>
      <c r="C102" s="89"/>
      <c r="D102" s="89"/>
      <c r="E102" s="89"/>
      <c r="F102" s="106">
        <v>300000</v>
      </c>
      <c r="G102" s="106"/>
      <c r="H102" s="106"/>
    </row>
    <row r="103" spans="1:11" s="33" customFormat="1" hidden="1" x14ac:dyDescent="0.25">
      <c r="A103" s="89" t="s">
        <v>170</v>
      </c>
      <c r="B103" s="89"/>
      <c r="C103" s="89"/>
      <c r="D103" s="89"/>
      <c r="E103" s="89"/>
      <c r="F103" s="106">
        <v>30000</v>
      </c>
      <c r="G103" s="106"/>
      <c r="H103" s="106"/>
    </row>
    <row r="104" spans="1:11" s="33" customFormat="1" x14ac:dyDescent="0.25">
      <c r="A104" s="89" t="s">
        <v>250</v>
      </c>
      <c r="B104" s="89"/>
      <c r="C104" s="89"/>
      <c r="D104" s="89"/>
      <c r="E104" s="89"/>
      <c r="F104" s="106">
        <v>600</v>
      </c>
      <c r="G104" s="106"/>
      <c r="H104" s="106"/>
    </row>
    <row r="105" spans="1:11" s="33" customFormat="1" x14ac:dyDescent="0.25">
      <c r="A105" s="89" t="s">
        <v>99</v>
      </c>
      <c r="B105" s="89"/>
      <c r="C105" s="89"/>
      <c r="D105" s="89"/>
      <c r="E105" s="89"/>
      <c r="F105" s="106">
        <v>15000</v>
      </c>
      <c r="G105" s="106"/>
      <c r="H105" s="106"/>
    </row>
    <row r="106" spans="1:11" s="33" customFormat="1" x14ac:dyDescent="0.25">
      <c r="A106" s="89" t="s">
        <v>100</v>
      </c>
      <c r="B106" s="89"/>
      <c r="C106" s="89"/>
      <c r="D106" s="89"/>
      <c r="E106" s="89"/>
      <c r="F106" s="106">
        <v>25000</v>
      </c>
      <c r="G106" s="106"/>
      <c r="H106" s="106"/>
    </row>
    <row r="107" spans="1:11" s="33" customFormat="1" x14ac:dyDescent="0.25">
      <c r="A107" s="89" t="s">
        <v>101</v>
      </c>
      <c r="B107" s="89"/>
      <c r="C107" s="89"/>
      <c r="D107" s="89"/>
      <c r="E107" s="89"/>
      <c r="F107" s="106">
        <v>2500</v>
      </c>
      <c r="G107" s="106"/>
      <c r="H107" s="106"/>
    </row>
    <row r="108" spans="1:11" s="33" customFormat="1" x14ac:dyDescent="0.25">
      <c r="A108" s="89" t="s">
        <v>249</v>
      </c>
      <c r="B108" s="89"/>
      <c r="C108" s="89"/>
      <c r="D108" s="89"/>
      <c r="E108" s="89"/>
      <c r="F108" s="106">
        <v>200000</v>
      </c>
      <c r="G108" s="106"/>
      <c r="H108" s="106"/>
    </row>
    <row r="109" spans="1:11" x14ac:dyDescent="0.3">
      <c r="A109" s="89" t="s">
        <v>54</v>
      </c>
      <c r="B109" s="89"/>
      <c r="C109" s="89"/>
      <c r="D109" s="89"/>
      <c r="E109" s="89"/>
      <c r="F109" s="106">
        <v>1200000</v>
      </c>
      <c r="G109" s="106"/>
      <c r="H109" s="106"/>
    </row>
    <row r="110" spans="1:11" s="34" customFormat="1" x14ac:dyDescent="0.3">
      <c r="A110" s="132" t="s">
        <v>55</v>
      </c>
      <c r="B110" s="132"/>
      <c r="C110" s="132"/>
      <c r="D110" s="132"/>
      <c r="E110" s="132"/>
      <c r="F110" s="106">
        <f>F97*0.8</f>
        <v>22400</v>
      </c>
      <c r="G110" s="106"/>
      <c r="H110" s="106"/>
    </row>
    <row r="111" spans="1:11" s="35" customFormat="1" ht="15.75" customHeight="1" x14ac:dyDescent="0.3">
      <c r="A111" s="67" t="s">
        <v>228</v>
      </c>
      <c r="B111" s="67"/>
      <c r="C111" s="67"/>
      <c r="D111" s="67"/>
      <c r="E111" s="67"/>
      <c r="F111" s="67"/>
      <c r="G111" s="67"/>
      <c r="H111" s="67"/>
    </row>
    <row r="112" spans="1:11" s="35" customFormat="1" ht="15.75" customHeight="1" x14ac:dyDescent="0.3">
      <c r="A112" s="72" t="s">
        <v>56</v>
      </c>
      <c r="B112" s="72"/>
      <c r="C112" s="69" t="s">
        <v>81</v>
      </c>
      <c r="D112" s="69"/>
      <c r="E112" s="71" t="s">
        <v>57</v>
      </c>
      <c r="F112" s="71"/>
      <c r="G112" s="72" t="s">
        <v>58</v>
      </c>
      <c r="H112" s="72"/>
    </row>
    <row r="113" spans="1:8" s="35" customFormat="1" x14ac:dyDescent="0.3">
      <c r="A113" s="73" t="s">
        <v>244</v>
      </c>
      <c r="B113" s="73"/>
      <c r="C113" s="182">
        <f>COUNT(D137)</f>
        <v>1</v>
      </c>
      <c r="D113" s="183"/>
      <c r="E113" s="63">
        <f>SUM(D137)</f>
        <v>424.42451999999997</v>
      </c>
      <c r="F113" s="64"/>
      <c r="G113" s="63">
        <f>SUM(F137)</f>
        <v>679.07923200000005</v>
      </c>
      <c r="H113" s="64"/>
    </row>
    <row r="114" spans="1:8" s="35" customFormat="1" x14ac:dyDescent="0.3">
      <c r="A114" s="65" t="s">
        <v>195</v>
      </c>
      <c r="B114" s="47" t="s">
        <v>243</v>
      </c>
      <c r="C114" s="63">
        <f>COUNT(D140:D145)</f>
        <v>6</v>
      </c>
      <c r="D114" s="64"/>
      <c r="E114" s="63">
        <f>SUM(D140:D145)</f>
        <v>2666.9962799999998</v>
      </c>
      <c r="F114" s="64"/>
      <c r="G114" s="63">
        <f>SUM(F140:F145)</f>
        <v>4267.1940480000003</v>
      </c>
      <c r="H114" s="64"/>
    </row>
    <row r="115" spans="1:8" s="35" customFormat="1" x14ac:dyDescent="0.3">
      <c r="A115" s="66"/>
      <c r="B115" s="57" t="s">
        <v>227</v>
      </c>
      <c r="C115" s="63">
        <f>COUNT(D147:D148,D150)+COUNT(D152:D157)+COUNT(D159:D162)+COUNT(D164,D166:D167)</f>
        <v>16</v>
      </c>
      <c r="D115" s="64"/>
      <c r="E115" s="63">
        <f>SUM(D147:D148,D150)+SUM(D152:D157)+SUM(D159:D162)+SUM(D164,D166:D167)</f>
        <v>6596.6097599999994</v>
      </c>
      <c r="F115" s="64"/>
      <c r="G115" s="63">
        <f>SUM(F147:F148,F150)+SUM(F152:F157)+SUM(F159:F162)+SUM(F164,F166:F167)</f>
        <v>10554.575615999998</v>
      </c>
      <c r="H115" s="64"/>
    </row>
    <row r="116" spans="1:8" s="35" customFormat="1" x14ac:dyDescent="0.3">
      <c r="A116" s="67" t="s">
        <v>159</v>
      </c>
      <c r="B116" s="67"/>
      <c r="C116" s="68">
        <f>SUM(C113:C114)</f>
        <v>7</v>
      </c>
      <c r="D116" s="69"/>
      <c r="E116" s="70">
        <f>SUM(E113:E114)</f>
        <v>3091.4207999999999</v>
      </c>
      <c r="F116" s="71"/>
      <c r="G116" s="72">
        <f>SUM(G113:G114)</f>
        <v>4946.2732800000003</v>
      </c>
      <c r="H116" s="72"/>
    </row>
    <row r="117" spans="1:8" s="35" customFormat="1" x14ac:dyDescent="0.3">
      <c r="A117" s="67" t="s">
        <v>242</v>
      </c>
      <c r="B117" s="67"/>
      <c r="C117" s="67"/>
      <c r="D117" s="67"/>
      <c r="E117" s="67"/>
      <c r="F117" s="67"/>
      <c r="G117" s="67"/>
      <c r="H117" s="67"/>
    </row>
    <row r="118" spans="1:8" s="35" customFormat="1" ht="15.75" customHeight="1" x14ac:dyDescent="0.3">
      <c r="A118" s="72" t="s">
        <v>56</v>
      </c>
      <c r="B118" s="72"/>
      <c r="C118" s="69" t="s">
        <v>81</v>
      </c>
      <c r="D118" s="69"/>
      <c r="E118" s="71" t="s">
        <v>57</v>
      </c>
      <c r="F118" s="71"/>
      <c r="G118" s="72" t="s">
        <v>58</v>
      </c>
      <c r="H118" s="72"/>
    </row>
    <row r="119" spans="1:8" s="35" customFormat="1" x14ac:dyDescent="0.3">
      <c r="A119" s="73" t="s">
        <v>191</v>
      </c>
      <c r="B119" s="73"/>
      <c r="C119" s="63">
        <f>COUNT(D180:D185)+COUNT(D188:D189,D191:D192)+COUNT(D195:D196)+COUNT(D200,D202)+COUNT(D208)+COUNT(D214)+COUNT(D221,D223)+COUNT(D227,D229:D230)+COUNT(D234:D235)+COUNT(D247)+COUNT(D253)+COUNT(D262,D264)+COUNT(D266:D269)+COUNT(D272:D273)+COUNT(D278)+COUNT(D284)+COUNT(D290:D291)+COUNT(D296,D300)</f>
        <v>39</v>
      </c>
      <c r="D119" s="64"/>
      <c r="E119" s="63">
        <f>SUM(D180:D185)+SUM(D188:D189,D191:D192)+SUM(D195:D196)+SUM(D200,D202)+SUM(D208)+SUM(D214)+SUM(D221,D223)+SUM(D227,D229:D230)+SUM(D234:D235)+SUM(D247)+SUM(D253)+SUM(D262,D264)+SUM(D266:D269)+SUM(D272:D273)+SUM(D278)+SUM(D284)+SUM(D290:D291)+SUM(D296,D300)</f>
        <v>35010.443894399999</v>
      </c>
      <c r="F119" s="64"/>
      <c r="G119" s="63">
        <f>SUM(F180:F185)+SUM(F188:F189,F191:F192)+SUM(F195:F196)+SUM(F200,F202)+SUM(F208)+SUM(F214)+SUM(F221,F223)+SUM(F227,F229:F230)+SUM(F234:F235)+SUM(F247)+SUM(F253)+SUM(F262,F264)+SUM(F266:F269)+SUM(F272:F273)+SUM(F278)+SUM(F284)+SUM(F290:F291)+SUM(F296,F300)</f>
        <v>56016.710231040001</v>
      </c>
      <c r="H119" s="64"/>
    </row>
    <row r="120" spans="1:8" s="35" customFormat="1" x14ac:dyDescent="0.3">
      <c r="A120" s="73" t="s">
        <v>195</v>
      </c>
      <c r="B120" s="73"/>
      <c r="C120" s="63">
        <f>COUNT(D306:D310)+COUNT(D312:D314)+COUNT(D323:D327)*3+COUNT(D330:D332)+COUNT(D335:D337)+COUNT(D340:D342)+COUNT(D345:D346)+COUNT(D348:D351)+COUNT(D353:D355)+COUNT(D359:D360)+COUNT(D363:D365)+COUNT(D368:D369)+COUNT(D372,D374)</f>
        <v>50</v>
      </c>
      <c r="D120" s="63"/>
      <c r="E120" s="63">
        <f>SUM(D306:D310)+SUM(D312:D314)+SUM(D323:D327)*3+SUM(D330:D332)+SUM(D335:D337)+SUM(D340:D342)+SUM(D345:D346)+SUM(D348:D351)+SUM(D353:D355)+SUM(D359:D360)+SUM(D363:D365)+SUM(D368:D369)+SUM(D372,D374)</f>
        <v>30144.369303359996</v>
      </c>
      <c r="F120" s="63"/>
      <c r="G120" s="63">
        <f>SUM(F306:F310)+SUM(F312:F314)+SUM(F323:F327)*3+SUM(F330:F332)+SUM(F335:F337)+SUM(F340:F342)+SUM(F345:F346)+SUM(F348:F351)+SUM(F353:F355)+SUM(F359:F360)+SUM(F363:F365)+SUM(F368:F369)+SUM(F372,F374)</f>
        <v>48230.990885375999</v>
      </c>
      <c r="H120" s="63"/>
    </row>
    <row r="121" spans="1:8" s="35" customFormat="1" x14ac:dyDescent="0.3">
      <c r="A121" s="67" t="s">
        <v>159</v>
      </c>
      <c r="B121" s="67"/>
      <c r="C121" s="68">
        <f>SUM(C119:C120)</f>
        <v>89</v>
      </c>
      <c r="D121" s="69"/>
      <c r="E121" s="70">
        <f>SUM(E119:E120)</f>
        <v>65154.813197759999</v>
      </c>
      <c r="F121" s="71"/>
      <c r="G121" s="72">
        <f>SUM(G119:G120)</f>
        <v>104247.70111641599</v>
      </c>
      <c r="H121" s="72"/>
    </row>
    <row r="122" spans="1:8" s="35" customFormat="1" ht="15.75" customHeight="1" x14ac:dyDescent="0.3">
      <c r="A122" s="67" t="s">
        <v>229</v>
      </c>
      <c r="B122" s="67"/>
      <c r="C122" s="67"/>
      <c r="D122" s="67"/>
      <c r="E122" s="67"/>
      <c r="F122" s="67"/>
      <c r="G122" s="67"/>
      <c r="H122" s="67"/>
    </row>
    <row r="123" spans="1:8" s="35" customFormat="1" ht="15.75" customHeight="1" x14ac:dyDescent="0.3">
      <c r="A123" s="72" t="s">
        <v>56</v>
      </c>
      <c r="B123" s="72"/>
      <c r="C123" s="69" t="s">
        <v>81</v>
      </c>
      <c r="D123" s="69"/>
      <c r="E123" s="71" t="s">
        <v>57</v>
      </c>
      <c r="F123" s="71"/>
      <c r="G123" s="72" t="s">
        <v>58</v>
      </c>
      <c r="H123" s="72"/>
    </row>
    <row r="124" spans="1:8" s="35" customFormat="1" x14ac:dyDescent="0.3">
      <c r="A124" s="73" t="s">
        <v>195</v>
      </c>
      <c r="B124" s="73"/>
      <c r="C124" s="63">
        <f>COUNT(D149)+COUNT(D165,D168:D169)</f>
        <v>4</v>
      </c>
      <c r="D124" s="64"/>
      <c r="E124" s="63">
        <f>SUM(D149)+SUM(D165,D168:D169)</f>
        <v>1035.71208</v>
      </c>
      <c r="F124" s="64"/>
      <c r="G124" s="63">
        <f>SUM(F149)+SUM(F165,F168:F169)</f>
        <v>1657.1393280000002</v>
      </c>
      <c r="H124" s="64"/>
    </row>
    <row r="125" spans="1:8" s="35" customFormat="1" x14ac:dyDescent="0.3">
      <c r="A125" s="67" t="s">
        <v>241</v>
      </c>
      <c r="B125" s="67"/>
      <c r="C125" s="67"/>
      <c r="D125" s="67"/>
      <c r="E125" s="67"/>
      <c r="F125" s="67"/>
      <c r="G125" s="67"/>
      <c r="H125" s="67"/>
    </row>
    <row r="126" spans="1:8" s="35" customFormat="1" ht="15.75" customHeight="1" x14ac:dyDescent="0.3">
      <c r="A126" s="72" t="s">
        <v>56</v>
      </c>
      <c r="B126" s="72"/>
      <c r="C126" s="69" t="s">
        <v>81</v>
      </c>
      <c r="D126" s="69"/>
      <c r="E126" s="71" t="s">
        <v>57</v>
      </c>
      <c r="F126" s="71"/>
      <c r="G126" s="72" t="s">
        <v>58</v>
      </c>
      <c r="H126" s="72"/>
    </row>
    <row r="127" spans="1:8" s="35" customFormat="1" x14ac:dyDescent="0.3">
      <c r="A127" s="73" t="s">
        <v>191</v>
      </c>
      <c r="B127" s="73"/>
      <c r="C127" s="63">
        <f>COUNT(D186)+COUNT(D190)+COUNT(D194,D197:D198)+COUNT(D201,D203:D204)+COUNT(D206:D207,D209:D210)+COUNT(D212:D213,D215:D216)+COUNT(D218:D219)+COUNT(D222,D224:D225)+COUNT(D228,D231)+COUNT(D233,D236:D237)+COUNT(D239:D243)+COUNT(D245:D246,D248:D249)+COUNT(D251:D252,D254:D255)+COUNT(D257:D258)+COUNT(D260:D261,D263)+COUNT(D270)+COUNT(D274:D276)+COUNT(D279:D282)+COUNT(D285:D288)+COUNT(D292:D294)+COUNT(D297:D299)+COUNT(D302:D303)</f>
        <v>64</v>
      </c>
      <c r="D127" s="64"/>
      <c r="E127" s="63">
        <f>SUM(D186)+SUM(D190)+SUM(D194,D197:D198)+SUM(D201,D203:D204)+SUM(D206:D207,D209:D210)+SUM(D212:D213,D215:D216)+SUM(D218:D219)+SUM(D222,D224:D225)+SUM(D228,D231)+SUM(D233,D236:D237)+SUM(D239:D243)+SUM(D245:D246,D248:D249)+SUM(D251:D252,D254:D255)+SUM(D257:D258)+SUM(D260:D261,D263)+SUM(D270)+SUM(D274:D276)+SUM(D279:D282)+SUM(D285:D288)+SUM(D292:D294)+SUM(D297:D299)+SUM(D302:D303)</f>
        <v>35710.431119999987</v>
      </c>
      <c r="F127" s="64"/>
      <c r="G127" s="63">
        <f>SUM(F186)+SUM(F190)+SUM(F194,F197:F198)+SUM(F201,F203:F204)+SUM(F206:F207,F209:F210)+SUM(F212:F213,F215:F216)+SUM(F218:F219)+SUM(F222,F224:F225)+SUM(F228,F231)+SUM(F233,F236:F237)+SUM(F239:F243)+SUM(F245:F246,F248:F249)+SUM(F251:F252,F254:F255)+SUM(F257:F258)+SUM(F260:F261,F263)+SUM(F270)+SUM(F274:F276)+SUM(F279:F282)+SUM(F285:F288)+SUM(F292:F294)+SUM(F297:F299)+SUM(F302:F303)</f>
        <v>57136.68979199999</v>
      </c>
      <c r="H127" s="64"/>
    </row>
    <row r="128" spans="1:8" s="35" customFormat="1" x14ac:dyDescent="0.3">
      <c r="A128" s="73" t="s">
        <v>195</v>
      </c>
      <c r="B128" s="73"/>
      <c r="C128" s="63">
        <f>COUNT(D315:D316)+COUNT(D318:D321)+COUNT(D329)+COUNT(D334)+COUNT(D339)+COUNT(D344)+COUNT(D356)+COUNT(D358,D361)+COUNT(D366)+COUNT(D370)+COUNT(D373)+COUNT(D376:D380)+COUNT(D382:D383)</f>
        <v>23</v>
      </c>
      <c r="D128" s="64"/>
      <c r="E128" s="63">
        <f>SUM(D315:D316)+SUM(D318:D321)+SUM(D329)+SUM(D334)+SUM(D339)+SUM(D344)+SUM(D356)+SUM(D358,D361)+SUM(D366)+SUM(D370)+SUM(D373)+SUM(D376:D380)+SUM(D382:D383)</f>
        <v>11779.79868</v>
      </c>
      <c r="F128" s="64"/>
      <c r="G128" s="63">
        <f>SUM(F315:F316)+SUM(F318:F321)+SUM(F329)+SUM(F334)+SUM(F339)+SUM(F344)+SUM(F356)+SUM(F358,F361)+SUM(F366)+SUM(F370)+SUM(F373)+SUM(F376:F380)+SUM(F382:F383)</f>
        <v>18847.677887999998</v>
      </c>
      <c r="H128" s="64"/>
    </row>
    <row r="129" spans="1:14" s="35" customFormat="1" x14ac:dyDescent="0.3">
      <c r="A129" s="67" t="s">
        <v>159</v>
      </c>
      <c r="B129" s="67"/>
      <c r="C129" s="68">
        <f>SUM(C127:C128)</f>
        <v>87</v>
      </c>
      <c r="D129" s="69"/>
      <c r="E129" s="70">
        <f>SUM(E127:E128)</f>
        <v>47490.229799999986</v>
      </c>
      <c r="F129" s="71"/>
      <c r="G129" s="72">
        <f>SUM(G127:G128)</f>
        <v>75984.367679999996</v>
      </c>
      <c r="H129" s="72"/>
    </row>
    <row r="130" spans="1:14" s="35" customFormat="1" x14ac:dyDescent="0.3">
      <c r="A130" s="67" t="s">
        <v>253</v>
      </c>
      <c r="B130" s="67"/>
      <c r="C130" s="68">
        <f>C129+C124+C121+C116</f>
        <v>187</v>
      </c>
      <c r="D130" s="69"/>
      <c r="E130" s="70">
        <f>E116+E121+E124+E129</f>
        <v>116772.17587775998</v>
      </c>
      <c r="F130" s="71"/>
      <c r="G130" s="72">
        <f>G129+G124+G121+G116</f>
        <v>186835.481404416</v>
      </c>
      <c r="H130" s="72"/>
    </row>
    <row r="131" spans="1:14" s="34" customFormat="1" x14ac:dyDescent="0.3">
      <c r="A131" s="139" t="s">
        <v>59</v>
      </c>
      <c r="B131" s="139"/>
      <c r="C131" s="139"/>
      <c r="D131" s="139"/>
      <c r="E131" s="139"/>
      <c r="F131" s="139"/>
      <c r="G131" s="139"/>
      <c r="H131" s="139"/>
    </row>
    <row r="132" spans="1:14" x14ac:dyDescent="0.3">
      <c r="A132" s="139" t="s">
        <v>60</v>
      </c>
      <c r="B132" s="139"/>
      <c r="C132" s="139"/>
      <c r="D132" s="139"/>
      <c r="E132" s="139"/>
      <c r="F132" s="139"/>
      <c r="G132" s="139"/>
      <c r="H132" s="139"/>
    </row>
    <row r="133" spans="1:14" ht="47.25" customHeight="1" x14ac:dyDescent="0.3">
      <c r="A133" s="91" t="s">
        <v>124</v>
      </c>
      <c r="B133" s="91" t="s">
        <v>123</v>
      </c>
      <c r="C133" s="91" t="s">
        <v>61</v>
      </c>
      <c r="D133" s="91" t="s">
        <v>62</v>
      </c>
      <c r="E133" s="93" t="s">
        <v>164</v>
      </c>
      <c r="F133" s="43" t="s">
        <v>157</v>
      </c>
      <c r="G133" s="95" t="s">
        <v>64</v>
      </c>
      <c r="H133" s="96"/>
    </row>
    <row r="134" spans="1:14" s="37" customFormat="1" x14ac:dyDescent="0.3">
      <c r="A134" s="92"/>
      <c r="B134" s="92"/>
      <c r="C134" s="92"/>
      <c r="D134" s="92"/>
      <c r="E134" s="94"/>
      <c r="F134" s="13">
        <v>0.6</v>
      </c>
      <c r="G134" s="97"/>
      <c r="H134" s="98"/>
      <c r="J134" s="56">
        <f>32000/1.6</f>
        <v>20000</v>
      </c>
    </row>
    <row r="135" spans="1:14" s="37" customFormat="1" ht="15.75" customHeight="1" x14ac:dyDescent="0.3">
      <c r="A135" s="84" t="s">
        <v>191</v>
      </c>
      <c r="B135" s="85"/>
      <c r="C135" s="85"/>
      <c r="D135" s="85"/>
      <c r="E135" s="85"/>
      <c r="F135" s="85"/>
      <c r="G135" s="85"/>
      <c r="H135" s="86"/>
      <c r="J135" s="36"/>
    </row>
    <row r="136" spans="1:14" s="37" customFormat="1" ht="15.75" customHeight="1" x14ac:dyDescent="0.3">
      <c r="A136" s="84" t="s">
        <v>192</v>
      </c>
      <c r="B136" s="85"/>
      <c r="C136" s="85"/>
      <c r="D136" s="85"/>
      <c r="E136" s="85"/>
      <c r="F136" s="85"/>
      <c r="G136" s="85"/>
      <c r="H136" s="86"/>
      <c r="J136" s="36"/>
    </row>
    <row r="137" spans="1:14" s="37" customFormat="1" ht="15.75" customHeight="1" x14ac:dyDescent="0.3">
      <c r="A137" s="42">
        <v>1</v>
      </c>
      <c r="B137" s="42" t="s">
        <v>196</v>
      </c>
      <c r="C137" s="42" t="s">
        <v>193</v>
      </c>
      <c r="D137" s="56">
        <f>(39.43)*(10.764)</f>
        <v>424.42451999999997</v>
      </c>
      <c r="E137" s="42">
        <v>0</v>
      </c>
      <c r="F137" s="42">
        <f>(D137+E137)*(($F$134)+1)</f>
        <v>679.07923200000005</v>
      </c>
      <c r="G137" s="74" t="str">
        <f>A136</f>
        <v>Ground Floor For Commercial</v>
      </c>
      <c r="H137" s="75"/>
      <c r="I137" s="36"/>
      <c r="L137" s="82"/>
      <c r="M137" s="82"/>
      <c r="N137" s="36"/>
    </row>
    <row r="138" spans="1:14" s="37" customFormat="1" x14ac:dyDescent="0.3">
      <c r="A138" s="84" t="s">
        <v>195</v>
      </c>
      <c r="B138" s="85"/>
      <c r="C138" s="85"/>
      <c r="D138" s="85"/>
      <c r="E138" s="85"/>
      <c r="F138" s="85"/>
      <c r="G138" s="85"/>
      <c r="H138" s="86"/>
      <c r="J138" s="36"/>
    </row>
    <row r="139" spans="1:14" s="37" customFormat="1" x14ac:dyDescent="0.3">
      <c r="A139" s="84" t="s">
        <v>192</v>
      </c>
      <c r="B139" s="85"/>
      <c r="C139" s="85"/>
      <c r="D139" s="85"/>
      <c r="E139" s="85"/>
      <c r="F139" s="85"/>
      <c r="G139" s="85"/>
      <c r="H139" s="86"/>
      <c r="J139" s="36"/>
    </row>
    <row r="140" spans="1:14" s="37" customFormat="1" ht="48.75" customHeight="1" x14ac:dyDescent="0.3">
      <c r="A140" s="42">
        <v>1</v>
      </c>
      <c r="B140" s="42" t="s">
        <v>196</v>
      </c>
      <c r="C140" s="42" t="s">
        <v>194</v>
      </c>
      <c r="D140" s="56">
        <f>(44.27)*(10.764)</f>
        <v>476.52228000000002</v>
      </c>
      <c r="E140" s="42">
        <v>0</v>
      </c>
      <c r="F140" s="42">
        <f>(D140+E140)*(($F$134)+1)</f>
        <v>762.43564800000013</v>
      </c>
      <c r="G140" s="76" t="str">
        <f>A139</f>
        <v>Ground Floor For Commercial</v>
      </c>
      <c r="H140" s="77"/>
      <c r="I140" s="36"/>
      <c r="L140" s="82"/>
      <c r="M140" s="82"/>
      <c r="N140" s="36"/>
    </row>
    <row r="141" spans="1:14" s="37" customFormat="1" ht="48.75" customHeight="1" x14ac:dyDescent="0.3">
      <c r="A141" s="42">
        <f t="shared" ref="A141:A145" si="0">A140+1</f>
        <v>2</v>
      </c>
      <c r="B141" s="42" t="s">
        <v>196</v>
      </c>
      <c r="C141" s="42" t="s">
        <v>194</v>
      </c>
      <c r="D141" s="56">
        <f>(42.3)*(10.764)</f>
        <v>455.31719999999996</v>
      </c>
      <c r="E141" s="42">
        <v>0</v>
      </c>
      <c r="F141" s="42">
        <f t="shared" ref="F141:F143" si="1">(D141+E141)*(($F$134)+1)</f>
        <v>728.50752</v>
      </c>
      <c r="G141" s="78"/>
      <c r="H141" s="79"/>
      <c r="I141" s="36"/>
      <c r="L141" s="82"/>
      <c r="M141" s="82"/>
      <c r="N141" s="36"/>
    </row>
    <row r="142" spans="1:14" s="37" customFormat="1" ht="48.75" customHeight="1" x14ac:dyDescent="0.3">
      <c r="A142" s="42">
        <f t="shared" si="0"/>
        <v>3</v>
      </c>
      <c r="B142" s="42" t="s">
        <v>196</v>
      </c>
      <c r="C142" s="42" t="s">
        <v>194</v>
      </c>
      <c r="D142" s="56">
        <f>(45.67)*(10.764)</f>
        <v>491.59188</v>
      </c>
      <c r="E142" s="42">
        <v>0</v>
      </c>
      <c r="F142" s="42">
        <f t="shared" si="1"/>
        <v>786.54700800000001</v>
      </c>
      <c r="G142" s="78"/>
      <c r="H142" s="79"/>
      <c r="I142" s="36"/>
      <c r="L142" s="82"/>
      <c r="M142" s="82"/>
      <c r="N142" s="36"/>
    </row>
    <row r="143" spans="1:14" s="37" customFormat="1" ht="48.75" customHeight="1" x14ac:dyDescent="0.3">
      <c r="A143" s="42">
        <f t="shared" si="0"/>
        <v>4</v>
      </c>
      <c r="B143" s="42" t="s">
        <v>196</v>
      </c>
      <c r="C143" s="42" t="s">
        <v>194</v>
      </c>
      <c r="D143" s="56">
        <f>(44.33)*(10.764)</f>
        <v>477.16811999999993</v>
      </c>
      <c r="E143" s="42">
        <v>0</v>
      </c>
      <c r="F143" s="42">
        <f t="shared" si="1"/>
        <v>763.46899199999996</v>
      </c>
      <c r="G143" s="78"/>
      <c r="H143" s="79"/>
      <c r="I143" s="36"/>
      <c r="L143" s="82"/>
      <c r="M143" s="82"/>
      <c r="N143" s="36"/>
    </row>
    <row r="144" spans="1:14" s="37" customFormat="1" ht="19.5" customHeight="1" x14ac:dyDescent="0.3">
      <c r="A144" s="42">
        <f t="shared" si="0"/>
        <v>5</v>
      </c>
      <c r="B144" s="42" t="s">
        <v>196</v>
      </c>
      <c r="C144" s="42" t="s">
        <v>193</v>
      </c>
      <c r="D144" s="56">
        <f>(36.27)*(10.764)</f>
        <v>390.41028</v>
      </c>
      <c r="E144" s="42">
        <v>0</v>
      </c>
      <c r="F144" s="42">
        <f t="shared" ref="F144:F145" si="2">(D144+E144)*(($F$134)+1)</f>
        <v>624.65644800000007</v>
      </c>
      <c r="G144" s="78"/>
      <c r="H144" s="79"/>
      <c r="I144" s="36"/>
      <c r="L144" s="82"/>
      <c r="M144" s="82"/>
      <c r="N144" s="36"/>
    </row>
    <row r="145" spans="1:14" s="37" customFormat="1" ht="19.5" customHeight="1" x14ac:dyDescent="0.3">
      <c r="A145" s="42">
        <f t="shared" si="0"/>
        <v>6</v>
      </c>
      <c r="B145" s="42" t="s">
        <v>196</v>
      </c>
      <c r="C145" s="42" t="s">
        <v>193</v>
      </c>
      <c r="D145" s="56">
        <f>(34.93)*(10.764)</f>
        <v>375.98651999999998</v>
      </c>
      <c r="E145" s="42">
        <v>0</v>
      </c>
      <c r="F145" s="42">
        <f t="shared" si="2"/>
        <v>601.57843200000002</v>
      </c>
      <c r="G145" s="80"/>
      <c r="H145" s="81"/>
      <c r="I145" s="36"/>
      <c r="L145" s="82"/>
      <c r="M145" s="82"/>
      <c r="N145" s="36"/>
    </row>
    <row r="146" spans="1:14" s="37" customFormat="1" x14ac:dyDescent="0.3">
      <c r="A146" s="84" t="s">
        <v>197</v>
      </c>
      <c r="B146" s="85"/>
      <c r="C146" s="85"/>
      <c r="D146" s="85"/>
      <c r="E146" s="85"/>
      <c r="F146" s="85"/>
      <c r="G146" s="85"/>
      <c r="H146" s="86"/>
      <c r="J146" s="36"/>
    </row>
    <row r="147" spans="1:14" s="37" customFormat="1" ht="15.75" customHeight="1" x14ac:dyDescent="0.3">
      <c r="A147" s="42">
        <v>101</v>
      </c>
      <c r="B147" s="42" t="s">
        <v>196</v>
      </c>
      <c r="C147" s="42" t="s">
        <v>227</v>
      </c>
      <c r="D147" s="56">
        <f>(33.34)*(10.764)</f>
        <v>358.87175999999999</v>
      </c>
      <c r="E147" s="42">
        <v>0</v>
      </c>
      <c r="F147" s="42">
        <f>(D147+E147)*(($F$134)+1)</f>
        <v>574.19481600000006</v>
      </c>
      <c r="G147" s="76" t="str">
        <f>A146</f>
        <v>1st Floor</v>
      </c>
      <c r="H147" s="77"/>
      <c r="I147" s="36"/>
      <c r="L147" s="82"/>
      <c r="M147" s="82"/>
      <c r="N147" s="36"/>
    </row>
    <row r="148" spans="1:14" s="37" customFormat="1" ht="15.75" customHeight="1" x14ac:dyDescent="0.3">
      <c r="A148" s="42">
        <f t="shared" ref="A148:A150" si="3">A147+1</f>
        <v>102</v>
      </c>
      <c r="B148" s="42" t="s">
        <v>196</v>
      </c>
      <c r="C148" s="42" t="s">
        <v>227</v>
      </c>
      <c r="D148" s="56">
        <f>(14.62)*(10.764)</f>
        <v>157.36967999999999</v>
      </c>
      <c r="E148" s="42">
        <v>0</v>
      </c>
      <c r="F148" s="42">
        <f t="shared" ref="F148:F150" si="4">(D148+E148)*(($F$134)+1)</f>
        <v>251.79148799999999</v>
      </c>
      <c r="G148" s="78"/>
      <c r="H148" s="79"/>
      <c r="I148" s="36"/>
      <c r="L148" s="82"/>
      <c r="M148" s="82"/>
      <c r="N148" s="36"/>
    </row>
    <row r="149" spans="1:14" s="37" customFormat="1" ht="15.75" customHeight="1" x14ac:dyDescent="0.3">
      <c r="A149" s="42">
        <f t="shared" si="3"/>
        <v>103</v>
      </c>
      <c r="B149" s="42" t="s">
        <v>198</v>
      </c>
      <c r="C149" s="42" t="s">
        <v>223</v>
      </c>
      <c r="D149" s="56">
        <f>(9.9)*(10.764)</f>
        <v>106.56359999999999</v>
      </c>
      <c r="E149" s="42">
        <v>0</v>
      </c>
      <c r="F149" s="42">
        <f t="shared" si="4"/>
        <v>170.50175999999999</v>
      </c>
      <c r="G149" s="78"/>
      <c r="H149" s="79"/>
      <c r="I149" s="36"/>
      <c r="L149" s="82"/>
      <c r="M149" s="82"/>
      <c r="N149" s="36"/>
    </row>
    <row r="150" spans="1:14" s="37" customFormat="1" ht="15.75" customHeight="1" x14ac:dyDescent="0.3">
      <c r="A150" s="42">
        <f t="shared" si="3"/>
        <v>104</v>
      </c>
      <c r="B150" s="42" t="s">
        <v>196</v>
      </c>
      <c r="C150" s="42" t="s">
        <v>227</v>
      </c>
      <c r="D150" s="56">
        <f>(37.98)*(10.764)</f>
        <v>408.81671999999992</v>
      </c>
      <c r="E150" s="42">
        <v>0</v>
      </c>
      <c r="F150" s="42">
        <f t="shared" si="4"/>
        <v>654.10675199999991</v>
      </c>
      <c r="G150" s="80"/>
      <c r="H150" s="81"/>
      <c r="I150" s="36"/>
      <c r="L150" s="82"/>
      <c r="M150" s="82"/>
      <c r="N150" s="36"/>
    </row>
    <row r="151" spans="1:14" s="37" customFormat="1" x14ac:dyDescent="0.3">
      <c r="A151" s="84" t="s">
        <v>122</v>
      </c>
      <c r="B151" s="85"/>
      <c r="C151" s="85"/>
      <c r="D151" s="85"/>
      <c r="E151" s="85"/>
      <c r="F151" s="85"/>
      <c r="G151" s="85"/>
      <c r="H151" s="86"/>
      <c r="J151" s="36"/>
    </row>
    <row r="152" spans="1:14" s="37" customFormat="1" ht="15.75" customHeight="1" x14ac:dyDescent="0.3">
      <c r="A152" s="42">
        <v>201</v>
      </c>
      <c r="B152" s="42" t="s">
        <v>196</v>
      </c>
      <c r="C152" s="42" t="s">
        <v>227</v>
      </c>
      <c r="D152" s="56">
        <f>(32.94)*(10.764)</f>
        <v>354.56615999999997</v>
      </c>
      <c r="E152" s="42">
        <v>0</v>
      </c>
      <c r="F152" s="42">
        <f>(D152+E152)*(($F$134)+1)</f>
        <v>567.30585599999995</v>
      </c>
      <c r="G152" s="76" t="str">
        <f>A151</f>
        <v>2nd Floor</v>
      </c>
      <c r="H152" s="77"/>
      <c r="I152" s="36"/>
      <c r="L152" s="82"/>
      <c r="M152" s="82"/>
      <c r="N152" s="36"/>
    </row>
    <row r="153" spans="1:14" s="37" customFormat="1" ht="15.75" customHeight="1" x14ac:dyDescent="0.3">
      <c r="A153" s="42">
        <f t="shared" ref="A153:A157" si="5">A152+1</f>
        <v>202</v>
      </c>
      <c r="B153" s="42" t="s">
        <v>196</v>
      </c>
      <c r="C153" s="42" t="s">
        <v>227</v>
      </c>
      <c r="D153" s="56">
        <f>(32.06)*(10.764)</f>
        <v>345.09384</v>
      </c>
      <c r="E153" s="42">
        <v>0</v>
      </c>
      <c r="F153" s="42">
        <f t="shared" ref="F153:F155" si="6">(D153+E153)*(($F$134)+1)</f>
        <v>552.15014400000007</v>
      </c>
      <c r="G153" s="78"/>
      <c r="H153" s="79"/>
      <c r="I153" s="36"/>
      <c r="L153" s="82"/>
      <c r="M153" s="82"/>
      <c r="N153" s="36"/>
    </row>
    <row r="154" spans="1:14" s="37" customFormat="1" ht="15.75" customHeight="1" x14ac:dyDescent="0.3">
      <c r="A154" s="42">
        <f t="shared" si="5"/>
        <v>203</v>
      </c>
      <c r="B154" s="42" t="s">
        <v>196</v>
      </c>
      <c r="C154" s="42" t="s">
        <v>227</v>
      </c>
      <c r="D154" s="56">
        <f>(35.23)*(10.764)</f>
        <v>379.21571999999992</v>
      </c>
      <c r="E154" s="42">
        <v>0</v>
      </c>
      <c r="F154" s="42">
        <f t="shared" si="6"/>
        <v>606.74515199999985</v>
      </c>
      <c r="G154" s="78"/>
      <c r="H154" s="79"/>
      <c r="I154" s="36"/>
      <c r="L154" s="82"/>
      <c r="M154" s="82"/>
      <c r="N154" s="36"/>
    </row>
    <row r="155" spans="1:14" s="37" customFormat="1" ht="15.75" customHeight="1" x14ac:dyDescent="0.3">
      <c r="A155" s="42">
        <f t="shared" si="5"/>
        <v>204</v>
      </c>
      <c r="B155" s="42" t="s">
        <v>196</v>
      </c>
      <c r="C155" s="42" t="s">
        <v>227</v>
      </c>
      <c r="D155" s="56">
        <f>(31.5)*(10.764)</f>
        <v>339.06599999999997</v>
      </c>
      <c r="E155" s="42">
        <v>0</v>
      </c>
      <c r="F155" s="42">
        <f t="shared" si="6"/>
        <v>542.50559999999996</v>
      </c>
      <c r="G155" s="78"/>
      <c r="H155" s="79"/>
      <c r="I155" s="36"/>
      <c r="L155" s="82"/>
      <c r="M155" s="82"/>
      <c r="N155" s="36"/>
    </row>
    <row r="156" spans="1:14" s="37" customFormat="1" ht="15.75" customHeight="1" x14ac:dyDescent="0.3">
      <c r="A156" s="42">
        <f t="shared" si="5"/>
        <v>205</v>
      </c>
      <c r="B156" s="42" t="s">
        <v>196</v>
      </c>
      <c r="C156" s="42" t="s">
        <v>227</v>
      </c>
      <c r="D156" s="56">
        <f>(33.58)*(10.764)</f>
        <v>361.45511999999997</v>
      </c>
      <c r="E156" s="42">
        <v>0</v>
      </c>
      <c r="F156" s="42">
        <f t="shared" ref="F156:F157" si="7">(D156+E156)*(($F$134)+1)</f>
        <v>578.32819199999994</v>
      </c>
      <c r="G156" s="78"/>
      <c r="H156" s="79"/>
      <c r="I156" s="36"/>
      <c r="L156" s="82"/>
      <c r="M156" s="82"/>
      <c r="N156" s="36"/>
    </row>
    <row r="157" spans="1:14" s="37" customFormat="1" ht="15.75" customHeight="1" x14ac:dyDescent="0.3">
      <c r="A157" s="42">
        <f t="shared" si="5"/>
        <v>206</v>
      </c>
      <c r="B157" s="42" t="s">
        <v>196</v>
      </c>
      <c r="C157" s="42" t="s">
        <v>227</v>
      </c>
      <c r="D157" s="56">
        <f>(36.47)*(10.764)</f>
        <v>392.56307999999996</v>
      </c>
      <c r="E157" s="42">
        <v>0</v>
      </c>
      <c r="F157" s="42">
        <f t="shared" si="7"/>
        <v>628.10092799999995</v>
      </c>
      <c r="G157" s="80"/>
      <c r="H157" s="81"/>
      <c r="I157" s="36"/>
      <c r="L157" s="82"/>
      <c r="M157" s="82"/>
      <c r="N157" s="36"/>
    </row>
    <row r="158" spans="1:14" s="37" customFormat="1" x14ac:dyDescent="0.3">
      <c r="A158" s="84" t="s">
        <v>201</v>
      </c>
      <c r="B158" s="85"/>
      <c r="C158" s="85"/>
      <c r="D158" s="85"/>
      <c r="E158" s="85"/>
      <c r="F158" s="85"/>
      <c r="G158" s="85"/>
      <c r="H158" s="86"/>
      <c r="J158" s="36"/>
    </row>
    <row r="159" spans="1:14" s="37" customFormat="1" ht="15.75" customHeight="1" x14ac:dyDescent="0.3">
      <c r="A159" s="42">
        <v>301</v>
      </c>
      <c r="B159" s="42" t="s">
        <v>196</v>
      </c>
      <c r="C159" s="42" t="s">
        <v>227</v>
      </c>
      <c r="D159" s="56">
        <f>(100.6)*(10.764)</f>
        <v>1082.8583999999998</v>
      </c>
      <c r="E159" s="42">
        <v>0</v>
      </c>
      <c r="F159" s="42">
        <f>(D159+E159)*(($F$134)+1)</f>
        <v>1732.5734399999999</v>
      </c>
      <c r="G159" s="76" t="str">
        <f>A158</f>
        <v>3rd Floor</v>
      </c>
      <c r="H159" s="77"/>
      <c r="I159" s="36"/>
      <c r="L159" s="82"/>
      <c r="M159" s="82"/>
      <c r="N159" s="36"/>
    </row>
    <row r="160" spans="1:14" s="37" customFormat="1" ht="15.75" customHeight="1" x14ac:dyDescent="0.3">
      <c r="A160" s="42">
        <f t="shared" ref="A160:A162" si="8">A159+1</f>
        <v>302</v>
      </c>
      <c r="B160" s="42" t="s">
        <v>196</v>
      </c>
      <c r="C160" s="42" t="s">
        <v>227</v>
      </c>
      <c r="D160" s="56">
        <f>(36.06)*(10.764)</f>
        <v>388.14983999999998</v>
      </c>
      <c r="E160" s="42">
        <v>0</v>
      </c>
      <c r="F160" s="42">
        <f t="shared" ref="F160:F162" si="9">(D160+E160)*(($F$134)+1)</f>
        <v>621.03974400000004</v>
      </c>
      <c r="G160" s="78"/>
      <c r="H160" s="79"/>
      <c r="I160" s="36"/>
      <c r="L160" s="82"/>
      <c r="M160" s="82"/>
      <c r="N160" s="36"/>
    </row>
    <row r="161" spans="1:14" s="37" customFormat="1" ht="15.75" customHeight="1" x14ac:dyDescent="0.3">
      <c r="A161" s="42">
        <f t="shared" si="8"/>
        <v>303</v>
      </c>
      <c r="B161" s="42" t="s">
        <v>196</v>
      </c>
      <c r="C161" s="42" t="s">
        <v>227</v>
      </c>
      <c r="D161" s="56">
        <f>(33.85)*(10.764)</f>
        <v>364.3614</v>
      </c>
      <c r="E161" s="42">
        <v>0</v>
      </c>
      <c r="F161" s="42">
        <f t="shared" si="9"/>
        <v>582.97824000000003</v>
      </c>
      <c r="G161" s="78"/>
      <c r="H161" s="79"/>
      <c r="I161" s="36"/>
      <c r="L161" s="82"/>
      <c r="M161" s="82"/>
      <c r="N161" s="36"/>
    </row>
    <row r="162" spans="1:14" s="37" customFormat="1" ht="15.75" customHeight="1" x14ac:dyDescent="0.3">
      <c r="A162" s="42">
        <f t="shared" si="8"/>
        <v>304</v>
      </c>
      <c r="B162" s="42" t="s">
        <v>196</v>
      </c>
      <c r="C162" s="42" t="s">
        <v>227</v>
      </c>
      <c r="D162" s="56">
        <f>(36.47)*(10.764)</f>
        <v>392.56307999999996</v>
      </c>
      <c r="E162" s="42">
        <v>0</v>
      </c>
      <c r="F162" s="42">
        <f t="shared" si="9"/>
        <v>628.10092799999995</v>
      </c>
      <c r="G162" s="78"/>
      <c r="H162" s="79"/>
      <c r="I162" s="36"/>
      <c r="L162" s="82"/>
      <c r="M162" s="82"/>
      <c r="N162" s="36"/>
    </row>
    <row r="163" spans="1:14" s="37" customFormat="1" x14ac:dyDescent="0.3">
      <c r="A163" s="84" t="s">
        <v>202</v>
      </c>
      <c r="B163" s="85"/>
      <c r="C163" s="85"/>
      <c r="D163" s="85"/>
      <c r="E163" s="85"/>
      <c r="F163" s="85"/>
      <c r="G163" s="85"/>
      <c r="H163" s="86"/>
      <c r="J163" s="36"/>
    </row>
    <row r="164" spans="1:14" s="37" customFormat="1" ht="15.75" customHeight="1" x14ac:dyDescent="0.3">
      <c r="A164" s="42">
        <v>401</v>
      </c>
      <c r="B164" s="42" t="s">
        <v>196</v>
      </c>
      <c r="C164" s="42" t="s">
        <v>227</v>
      </c>
      <c r="D164" s="56">
        <f>(35.96)*(10.764)</f>
        <v>387.07344000000001</v>
      </c>
      <c r="E164" s="42">
        <v>0</v>
      </c>
      <c r="F164" s="42">
        <f>(D164+E164)*(($F$134)+1)</f>
        <v>619.3175040000001</v>
      </c>
      <c r="G164" s="76" t="str">
        <f>A163</f>
        <v>4th Floor</v>
      </c>
      <c r="H164" s="77"/>
      <c r="I164" s="36"/>
      <c r="L164" s="82"/>
      <c r="M164" s="82"/>
      <c r="N164" s="36"/>
    </row>
    <row r="165" spans="1:14" s="37" customFormat="1" ht="15.75" customHeight="1" x14ac:dyDescent="0.3">
      <c r="A165" s="42">
        <f t="shared" ref="A165:A169" si="10">A164+1</f>
        <v>402</v>
      </c>
      <c r="B165" s="42" t="s">
        <v>198</v>
      </c>
      <c r="C165" s="42" t="s">
        <v>223</v>
      </c>
      <c r="D165" s="56">
        <f>(15.4)*(10.764)</f>
        <v>165.76560000000001</v>
      </c>
      <c r="E165" s="42">
        <v>0</v>
      </c>
      <c r="F165" s="42">
        <f t="shared" ref="F165:F169" si="11">(D165+E165)*(($F$134)+1)</f>
        <v>265.22496000000001</v>
      </c>
      <c r="G165" s="78"/>
      <c r="H165" s="79"/>
      <c r="I165" s="36"/>
      <c r="L165" s="82"/>
      <c r="M165" s="82"/>
      <c r="N165" s="36"/>
    </row>
    <row r="166" spans="1:14" s="37" customFormat="1" ht="15.75" customHeight="1" x14ac:dyDescent="0.3">
      <c r="A166" s="42">
        <f t="shared" si="10"/>
        <v>403</v>
      </c>
      <c r="B166" s="42" t="s">
        <v>196</v>
      </c>
      <c r="C166" s="42" t="s">
        <v>227</v>
      </c>
      <c r="D166" s="56">
        <f>(50.23)*(10.764)</f>
        <v>540.67571999999996</v>
      </c>
      <c r="E166" s="42">
        <v>0</v>
      </c>
      <c r="F166" s="42">
        <f t="shared" si="11"/>
        <v>865.08115199999997</v>
      </c>
      <c r="G166" s="78"/>
      <c r="H166" s="79"/>
      <c r="I166" s="36"/>
      <c r="L166" s="82"/>
      <c r="M166" s="82"/>
      <c r="N166" s="36"/>
    </row>
    <row r="167" spans="1:14" s="37" customFormat="1" ht="15.75" customHeight="1" x14ac:dyDescent="0.3">
      <c r="A167" s="42">
        <f t="shared" si="10"/>
        <v>404</v>
      </c>
      <c r="B167" s="42" t="s">
        <v>196</v>
      </c>
      <c r="C167" s="42" t="s">
        <v>227</v>
      </c>
      <c r="D167" s="56">
        <f>(31.95)*(10.764)</f>
        <v>343.90979999999996</v>
      </c>
      <c r="E167" s="42">
        <v>0</v>
      </c>
      <c r="F167" s="42">
        <f t="shared" si="11"/>
        <v>550.25567999999998</v>
      </c>
      <c r="G167" s="78"/>
      <c r="H167" s="79"/>
      <c r="I167" s="36"/>
      <c r="L167" s="82"/>
      <c r="M167" s="82"/>
      <c r="N167" s="36"/>
    </row>
    <row r="168" spans="1:14" s="37" customFormat="1" ht="15.75" customHeight="1" x14ac:dyDescent="0.3">
      <c r="A168" s="42">
        <f t="shared" si="10"/>
        <v>405</v>
      </c>
      <c r="B168" s="42" t="s">
        <v>198</v>
      </c>
      <c r="C168" s="42" t="s">
        <v>223</v>
      </c>
      <c r="D168" s="56">
        <f>(29.67)*(10.764)</f>
        <v>319.36788000000001</v>
      </c>
      <c r="E168" s="42">
        <v>0</v>
      </c>
      <c r="F168" s="42">
        <f t="shared" si="11"/>
        <v>510.98860800000006</v>
      </c>
      <c r="G168" s="78"/>
      <c r="H168" s="79"/>
      <c r="I168" s="36"/>
      <c r="L168" s="82"/>
      <c r="M168" s="82"/>
      <c r="N168" s="36"/>
    </row>
    <row r="169" spans="1:14" s="37" customFormat="1" ht="15.75" customHeight="1" x14ac:dyDescent="0.3">
      <c r="A169" s="42">
        <f t="shared" si="10"/>
        <v>406</v>
      </c>
      <c r="B169" s="42" t="s">
        <v>198</v>
      </c>
      <c r="C169" s="42" t="s">
        <v>223</v>
      </c>
      <c r="D169" s="56">
        <f>(41.25)*(10.764)</f>
        <v>444.01499999999999</v>
      </c>
      <c r="E169" s="42">
        <v>0</v>
      </c>
      <c r="F169" s="42">
        <f t="shared" si="11"/>
        <v>710.42399999999998</v>
      </c>
      <c r="G169" s="80"/>
      <c r="H169" s="81"/>
      <c r="I169" s="36"/>
      <c r="L169" s="82"/>
      <c r="M169" s="82"/>
      <c r="N169" s="36"/>
    </row>
    <row r="170" spans="1:14" s="37" customFormat="1" hidden="1" x14ac:dyDescent="0.3">
      <c r="A170" s="84" t="s">
        <v>121</v>
      </c>
      <c r="B170" s="85"/>
      <c r="C170" s="85"/>
      <c r="D170" s="85"/>
      <c r="E170" s="85"/>
      <c r="F170" s="85"/>
      <c r="G170" s="85"/>
      <c r="H170" s="86"/>
      <c r="J170" s="36"/>
    </row>
    <row r="171" spans="1:14" s="37" customFormat="1" ht="15.75" hidden="1" customHeight="1" x14ac:dyDescent="0.3">
      <c r="A171" s="133">
        <v>1</v>
      </c>
      <c r="B171" s="134"/>
      <c r="C171" s="42"/>
      <c r="D171" s="42"/>
      <c r="E171" s="42">
        <v>0</v>
      </c>
      <c r="F171" s="42">
        <f>(D171+E171)*(($F$134)+1)</f>
        <v>0</v>
      </c>
      <c r="G171" s="76" t="str">
        <f>A170</f>
        <v>Ground Floor</v>
      </c>
      <c r="H171" s="77"/>
      <c r="I171" s="36"/>
      <c r="L171" s="82"/>
      <c r="M171" s="82"/>
      <c r="N171" s="36"/>
    </row>
    <row r="172" spans="1:14" s="37" customFormat="1" ht="15.75" hidden="1" customHeight="1" x14ac:dyDescent="0.3">
      <c r="A172" s="133">
        <f t="shared" ref="A172:A174" si="12">A171+1</f>
        <v>2</v>
      </c>
      <c r="B172" s="134"/>
      <c r="C172" s="42"/>
      <c r="D172" s="42"/>
      <c r="E172" s="42">
        <v>0</v>
      </c>
      <c r="F172" s="42">
        <f t="shared" ref="F172:F174" si="13">(D172+E172)*(($F$134)+1)</f>
        <v>0</v>
      </c>
      <c r="G172" s="78"/>
      <c r="H172" s="79"/>
      <c r="I172" s="36"/>
      <c r="L172" s="82"/>
      <c r="M172" s="82"/>
      <c r="N172" s="36"/>
    </row>
    <row r="173" spans="1:14" s="37" customFormat="1" ht="15.75" hidden="1" customHeight="1" x14ac:dyDescent="0.3">
      <c r="A173" s="133">
        <f t="shared" si="12"/>
        <v>3</v>
      </c>
      <c r="B173" s="134"/>
      <c r="C173" s="42"/>
      <c r="D173" s="42"/>
      <c r="E173" s="42">
        <v>0</v>
      </c>
      <c r="F173" s="42">
        <f t="shared" si="13"/>
        <v>0</v>
      </c>
      <c r="G173" s="78"/>
      <c r="H173" s="79"/>
      <c r="I173" s="36"/>
      <c r="L173" s="82"/>
      <c r="M173" s="82"/>
      <c r="N173" s="36"/>
    </row>
    <row r="174" spans="1:14" s="37" customFormat="1" ht="15.75" hidden="1" customHeight="1" x14ac:dyDescent="0.3">
      <c r="A174" s="133">
        <f t="shared" si="12"/>
        <v>4</v>
      </c>
      <c r="B174" s="134"/>
      <c r="C174" s="42"/>
      <c r="D174" s="42"/>
      <c r="E174" s="42">
        <v>0</v>
      </c>
      <c r="F174" s="42">
        <f t="shared" si="13"/>
        <v>0</v>
      </c>
      <c r="G174" s="80"/>
      <c r="H174" s="81"/>
      <c r="I174" s="36"/>
      <c r="L174" s="82"/>
      <c r="M174" s="82"/>
      <c r="N174" s="36"/>
    </row>
    <row r="175" spans="1:14" s="37" customFormat="1" x14ac:dyDescent="0.3">
      <c r="A175" s="133"/>
      <c r="B175" s="186"/>
      <c r="C175" s="186"/>
      <c r="D175" s="186"/>
      <c r="E175" s="186"/>
      <c r="F175" s="186"/>
      <c r="G175" s="186"/>
      <c r="H175" s="134"/>
      <c r="I175" s="36"/>
      <c r="N175" s="36"/>
    </row>
    <row r="176" spans="1:14" ht="47.25" customHeight="1" x14ac:dyDescent="0.3">
      <c r="A176" s="95" t="s">
        <v>125</v>
      </c>
      <c r="B176" s="95" t="s">
        <v>126</v>
      </c>
      <c r="C176" s="91" t="s">
        <v>61</v>
      </c>
      <c r="D176" s="91" t="s">
        <v>62</v>
      </c>
      <c r="E176" s="93" t="s">
        <v>63</v>
      </c>
      <c r="F176" s="43" t="s">
        <v>157</v>
      </c>
      <c r="G176" s="95" t="s">
        <v>64</v>
      </c>
      <c r="H176" s="96"/>
      <c r="I176" s="36"/>
    </row>
    <row r="177" spans="1:14" s="37" customFormat="1" x14ac:dyDescent="0.3">
      <c r="A177" s="97"/>
      <c r="B177" s="97"/>
      <c r="C177" s="92"/>
      <c r="D177" s="92"/>
      <c r="E177" s="94"/>
      <c r="F177" s="13">
        <v>0.6</v>
      </c>
      <c r="G177" s="97"/>
      <c r="H177" s="98"/>
      <c r="I177" s="36"/>
    </row>
    <row r="178" spans="1:14" s="37" customFormat="1" x14ac:dyDescent="0.3">
      <c r="A178" s="84" t="s">
        <v>191</v>
      </c>
      <c r="B178" s="85"/>
      <c r="C178" s="85"/>
      <c r="D178" s="85"/>
      <c r="E178" s="85"/>
      <c r="F178" s="85"/>
      <c r="G178" s="85"/>
      <c r="H178" s="86"/>
      <c r="J178" s="36"/>
    </row>
    <row r="179" spans="1:14" s="37" customFormat="1" x14ac:dyDescent="0.3">
      <c r="A179" s="84" t="s">
        <v>199</v>
      </c>
      <c r="B179" s="85"/>
      <c r="C179" s="85"/>
      <c r="D179" s="85"/>
      <c r="E179" s="85"/>
      <c r="F179" s="85"/>
      <c r="G179" s="85"/>
      <c r="H179" s="86"/>
      <c r="J179" s="55">
        <f>2.75*6+1.25+1.25*2.15+1.8*2.35+1.8*0.9+3.25*3.1+1.3*2.45</f>
        <v>39.547500000000007</v>
      </c>
    </row>
    <row r="180" spans="1:14" s="37" customFormat="1" ht="15.75" customHeight="1" x14ac:dyDescent="0.3">
      <c r="A180" s="42">
        <v>101</v>
      </c>
      <c r="B180" s="42" t="s">
        <v>196</v>
      </c>
      <c r="C180" s="54">
        <v>1</v>
      </c>
      <c r="D180" s="56">
        <f>(40.62)*(10.764)</f>
        <v>437.23367999999994</v>
      </c>
      <c r="E180" s="42">
        <v>0</v>
      </c>
      <c r="F180" s="42">
        <f t="shared" ref="F180:F186" si="14">D180*(($F$177)+1)+(IF(E180&lt;101,E180,IF(E180&lt;201,E180/2,IF(E180&lt;=301,E180/3,E180/4))))</f>
        <v>699.5738879999999</v>
      </c>
      <c r="G180" s="76" t="str">
        <f>A179</f>
        <v>1st Floor For Residentisl</v>
      </c>
      <c r="H180" s="77"/>
      <c r="I180" s="36"/>
      <c r="L180" s="82"/>
      <c r="M180" s="82"/>
      <c r="N180" s="36"/>
    </row>
    <row r="181" spans="1:14" s="37" customFormat="1" ht="15.75" customHeight="1" x14ac:dyDescent="0.3">
      <c r="A181" s="42">
        <f t="shared" ref="A181:A186" si="15">A180+1</f>
        <v>102</v>
      </c>
      <c r="B181" s="42" t="s">
        <v>196</v>
      </c>
      <c r="C181" s="54">
        <v>1</v>
      </c>
      <c r="D181" s="56">
        <f>(40.62)*(10.764)</f>
        <v>437.23367999999994</v>
      </c>
      <c r="E181" s="42">
        <v>0</v>
      </c>
      <c r="F181" s="42">
        <f t="shared" si="14"/>
        <v>699.5738879999999</v>
      </c>
      <c r="G181" s="78"/>
      <c r="H181" s="79"/>
      <c r="I181" s="36"/>
      <c r="L181" s="82"/>
      <c r="M181" s="82"/>
      <c r="N181" s="36"/>
    </row>
    <row r="182" spans="1:14" s="37" customFormat="1" ht="15.75" customHeight="1" x14ac:dyDescent="0.3">
      <c r="A182" s="42">
        <f t="shared" si="15"/>
        <v>103</v>
      </c>
      <c r="B182" s="42" t="s">
        <v>196</v>
      </c>
      <c r="C182" s="54">
        <v>1</v>
      </c>
      <c r="D182" s="56">
        <f>(40.86)*(10.764)</f>
        <v>439.81703999999996</v>
      </c>
      <c r="E182" s="42">
        <v>0</v>
      </c>
      <c r="F182" s="42">
        <f t="shared" si="14"/>
        <v>703.70726400000001</v>
      </c>
      <c r="G182" s="78"/>
      <c r="H182" s="79"/>
      <c r="I182" s="36"/>
      <c r="L182" s="82"/>
      <c r="M182" s="82"/>
      <c r="N182" s="36"/>
    </row>
    <row r="183" spans="1:14" s="37" customFormat="1" ht="15.75" customHeight="1" x14ac:dyDescent="0.3">
      <c r="A183" s="42">
        <f t="shared" si="15"/>
        <v>104</v>
      </c>
      <c r="B183" s="42" t="s">
        <v>196</v>
      </c>
      <c r="C183" s="54">
        <v>0</v>
      </c>
      <c r="D183" s="56">
        <f>(13.51)*(10.764)</f>
        <v>145.42164</v>
      </c>
      <c r="E183" s="42">
        <v>0</v>
      </c>
      <c r="F183" s="42">
        <f t="shared" si="14"/>
        <v>232.67462399999999</v>
      </c>
      <c r="G183" s="78"/>
      <c r="H183" s="79"/>
      <c r="I183" s="36"/>
      <c r="L183" s="82"/>
      <c r="M183" s="82"/>
      <c r="N183" s="36"/>
    </row>
    <row r="184" spans="1:14" s="37" customFormat="1" ht="15.75" customHeight="1" x14ac:dyDescent="0.3">
      <c r="A184" s="42">
        <f t="shared" si="15"/>
        <v>105</v>
      </c>
      <c r="B184" s="42" t="s">
        <v>196</v>
      </c>
      <c r="C184" s="54">
        <v>0</v>
      </c>
      <c r="D184" s="56">
        <f>(32.13)*(10.764)</f>
        <v>345.84732000000002</v>
      </c>
      <c r="E184" s="42">
        <v>0</v>
      </c>
      <c r="F184" s="42">
        <f t="shared" si="14"/>
        <v>553.35571200000004</v>
      </c>
      <c r="G184" s="78"/>
      <c r="H184" s="79"/>
      <c r="I184" s="36"/>
      <c r="L184" s="82"/>
      <c r="M184" s="82"/>
      <c r="N184" s="36"/>
    </row>
    <row r="185" spans="1:14" s="37" customFormat="1" ht="15.75" customHeight="1" x14ac:dyDescent="0.3">
      <c r="A185" s="42">
        <f t="shared" si="15"/>
        <v>106</v>
      </c>
      <c r="B185" s="42" t="s">
        <v>196</v>
      </c>
      <c r="C185" s="54">
        <v>1</v>
      </c>
      <c r="D185" s="56">
        <f>(31.07)*(10.764)</f>
        <v>334.43747999999999</v>
      </c>
      <c r="E185" s="42">
        <v>0</v>
      </c>
      <c r="F185" s="42">
        <f t="shared" si="14"/>
        <v>535.09996799999999</v>
      </c>
      <c r="G185" s="78"/>
      <c r="H185" s="79"/>
      <c r="I185" s="36"/>
      <c r="L185" s="82"/>
      <c r="M185" s="82"/>
      <c r="N185" s="36"/>
    </row>
    <row r="186" spans="1:14" s="37" customFormat="1" ht="15.75" customHeight="1" x14ac:dyDescent="0.3">
      <c r="A186" s="42">
        <f t="shared" si="15"/>
        <v>107</v>
      </c>
      <c r="B186" s="42" t="s">
        <v>198</v>
      </c>
      <c r="C186" s="54">
        <v>1</v>
      </c>
      <c r="D186" s="56">
        <f>(28.74)*(10.764)</f>
        <v>309.35735999999997</v>
      </c>
      <c r="E186" s="42">
        <v>0</v>
      </c>
      <c r="F186" s="42">
        <f t="shared" si="14"/>
        <v>494.97177599999998</v>
      </c>
      <c r="G186" s="80"/>
      <c r="H186" s="81"/>
      <c r="I186" s="36"/>
      <c r="J186" s="37">
        <f>3.45*2.65+2.05*1.85+1.45*1.25+1.3*1.95+3.3*3.1</f>
        <v>27.512499999999999</v>
      </c>
      <c r="L186" s="82"/>
      <c r="M186" s="82"/>
      <c r="N186" s="36"/>
    </row>
    <row r="187" spans="1:14" s="37" customFormat="1" x14ac:dyDescent="0.3">
      <c r="A187" s="83" t="s">
        <v>122</v>
      </c>
      <c r="B187" s="83"/>
      <c r="C187" s="83"/>
      <c r="D187" s="83"/>
      <c r="E187" s="83"/>
      <c r="F187" s="83"/>
      <c r="G187" s="83"/>
      <c r="H187" s="83"/>
      <c r="I187" s="36"/>
      <c r="L187" s="82"/>
      <c r="M187" s="82"/>
    </row>
    <row r="188" spans="1:14" s="37" customFormat="1" x14ac:dyDescent="0.3">
      <c r="A188" s="42">
        <f>LEFT(A187,SUM(LEN(A187)-LEN(SUBSTITUTE(A187,{"0","1","2","3","4","5","6","7","8","9"},""))))*100+1</f>
        <v>201</v>
      </c>
      <c r="B188" s="42" t="s">
        <v>196</v>
      </c>
      <c r="C188" s="54">
        <v>1</v>
      </c>
      <c r="D188" s="56">
        <f>(40.62)*(10.764)</f>
        <v>437.23367999999994</v>
      </c>
      <c r="E188" s="42">
        <v>0</v>
      </c>
      <c r="F188" s="42">
        <f t="shared" ref="F188:F189" si="16">D188*(($F$177)+1)+(IF(E188&lt;101,E188,IF(E188&lt;201,E188/2,IF(E188&lt;=301,E188/3,E188/4))))</f>
        <v>699.5738879999999</v>
      </c>
      <c r="G188" s="76" t="str">
        <f>A187</f>
        <v>2nd Floor</v>
      </c>
      <c r="H188" s="77"/>
      <c r="I188" s="36"/>
      <c r="N188" s="36"/>
    </row>
    <row r="189" spans="1:14" s="37" customFormat="1" x14ac:dyDescent="0.3">
      <c r="A189" s="42">
        <f>A188+1</f>
        <v>202</v>
      </c>
      <c r="B189" s="42" t="s">
        <v>196</v>
      </c>
      <c r="C189" s="54">
        <v>1</v>
      </c>
      <c r="D189" s="56">
        <f>(40.62)*(10.764)</f>
        <v>437.23367999999994</v>
      </c>
      <c r="E189" s="42">
        <v>0</v>
      </c>
      <c r="F189" s="42">
        <f t="shared" si="16"/>
        <v>699.5738879999999</v>
      </c>
      <c r="G189" s="78"/>
      <c r="H189" s="79"/>
      <c r="I189" s="36"/>
      <c r="N189" s="36"/>
    </row>
    <row r="190" spans="1:14" s="37" customFormat="1" x14ac:dyDescent="0.3">
      <c r="A190" s="42">
        <f>A189+1</f>
        <v>203</v>
      </c>
      <c r="B190" s="42" t="s">
        <v>198</v>
      </c>
      <c r="C190" s="54">
        <v>1</v>
      </c>
      <c r="D190" s="56">
        <f>(40.86)*(10.764)</f>
        <v>439.81703999999996</v>
      </c>
      <c r="E190" s="42">
        <v>0</v>
      </c>
      <c r="F190" s="42">
        <f>D190*(($F$177)+1)+(IF(E190&lt;101,E190,IF(E190&lt;201,E190/2,IF(E190&lt;=301,E190/3,E190/4))))</f>
        <v>703.70726400000001</v>
      </c>
      <c r="G190" s="78"/>
      <c r="H190" s="79"/>
      <c r="I190" s="36"/>
      <c r="N190" s="36"/>
    </row>
    <row r="191" spans="1:14" s="37" customFormat="1" x14ac:dyDescent="0.3">
      <c r="A191" s="42">
        <f>A190+1</f>
        <v>204</v>
      </c>
      <c r="B191" s="42" t="s">
        <v>196</v>
      </c>
      <c r="C191" s="54">
        <v>2</v>
      </c>
      <c r="D191" s="56">
        <f>(53.05)*(10.764)</f>
        <v>571.03019999999992</v>
      </c>
      <c r="E191" s="42">
        <v>0</v>
      </c>
      <c r="F191" s="42">
        <f>D191*(($F$177)+1)+(IF(E191&lt;101,E191,IF(E191&lt;201,E191/2,IF(E191&lt;=301,E191/3,E191/4))))</f>
        <v>913.6483199999999</v>
      </c>
      <c r="G191" s="78"/>
      <c r="H191" s="79"/>
      <c r="I191" s="36"/>
      <c r="N191" s="36"/>
    </row>
    <row r="192" spans="1:14" s="37" customFormat="1" x14ac:dyDescent="0.3">
      <c r="A192" s="42">
        <f>A191+1</f>
        <v>205</v>
      </c>
      <c r="B192" s="42" t="s">
        <v>196</v>
      </c>
      <c r="C192" s="54">
        <v>2</v>
      </c>
      <c r="D192" s="56">
        <f>(56.13)*(10.764)</f>
        <v>604.18331999999998</v>
      </c>
      <c r="E192" s="42">
        <v>0</v>
      </c>
      <c r="F192" s="42">
        <f>D192*(($F$177)+1)+(IF(E192&lt;101,E192,IF(E192&lt;201,E192/2,IF(E192&lt;=301,E192/3,E192/4))))</f>
        <v>966.69331199999999</v>
      </c>
      <c r="G192" s="80"/>
      <c r="H192" s="81"/>
      <c r="I192" s="36"/>
      <c r="N192" s="36"/>
    </row>
    <row r="193" spans="1:14" s="37" customFormat="1" x14ac:dyDescent="0.3">
      <c r="A193" s="83" t="s">
        <v>201</v>
      </c>
      <c r="B193" s="83"/>
      <c r="C193" s="83"/>
      <c r="D193" s="83"/>
      <c r="E193" s="83"/>
      <c r="F193" s="83"/>
      <c r="G193" s="83"/>
      <c r="H193" s="83"/>
      <c r="I193" s="36"/>
      <c r="L193" s="82"/>
      <c r="M193" s="82"/>
    </row>
    <row r="194" spans="1:14" s="37" customFormat="1" x14ac:dyDescent="0.3">
      <c r="A194" s="42">
        <f>LEFT(A193,SUM(LEN(A193)-LEN(SUBSTITUTE(A193,{"0","1","2","3","4","5","6","7","8","9"},""))))*100+1</f>
        <v>301</v>
      </c>
      <c r="B194" s="42" t="s">
        <v>198</v>
      </c>
      <c r="C194" s="54">
        <v>1</v>
      </c>
      <c r="D194" s="56">
        <f>(40.62)*(10.764)</f>
        <v>437.23367999999994</v>
      </c>
      <c r="E194" s="42">
        <v>0</v>
      </c>
      <c r="F194" s="42">
        <f t="shared" ref="F194:F195" si="17">D194*(($F$177)+1)+(IF(E194&lt;101,E194,IF(E194&lt;201,E194/2,IF(E194&lt;=301,E194/3,E194/4))))</f>
        <v>699.5738879999999</v>
      </c>
      <c r="G194" s="76" t="str">
        <f>A193</f>
        <v>3rd Floor</v>
      </c>
      <c r="H194" s="77"/>
      <c r="I194" s="36"/>
      <c r="N194" s="36"/>
    </row>
    <row r="195" spans="1:14" s="37" customFormat="1" x14ac:dyDescent="0.3">
      <c r="A195" s="42">
        <f>A194+1</f>
        <v>302</v>
      </c>
      <c r="B195" s="42" t="s">
        <v>196</v>
      </c>
      <c r="C195" s="54">
        <v>1</v>
      </c>
      <c r="D195" s="56">
        <f>(40.62)*(10.764)</f>
        <v>437.23367999999994</v>
      </c>
      <c r="E195" s="42">
        <v>0</v>
      </c>
      <c r="F195" s="42">
        <f t="shared" si="17"/>
        <v>699.5738879999999</v>
      </c>
      <c r="G195" s="78"/>
      <c r="H195" s="79"/>
      <c r="I195" s="36"/>
      <c r="N195" s="36"/>
    </row>
    <row r="196" spans="1:14" s="37" customFormat="1" x14ac:dyDescent="0.3">
      <c r="A196" s="42">
        <f>A195+1</f>
        <v>303</v>
      </c>
      <c r="B196" s="42" t="s">
        <v>196</v>
      </c>
      <c r="C196" s="54">
        <v>1</v>
      </c>
      <c r="D196" s="56">
        <f>(40.86)*(10.764)</f>
        <v>439.81703999999996</v>
      </c>
      <c r="E196" s="42">
        <v>0</v>
      </c>
      <c r="F196" s="42">
        <f>D196*(($F$177)+1)+(IF(E196&lt;101,E196,IF(E196&lt;201,E196/2,IF(E196&lt;=301,E196/3,E196/4))))</f>
        <v>703.70726400000001</v>
      </c>
      <c r="G196" s="78"/>
      <c r="H196" s="79"/>
      <c r="I196" s="36"/>
      <c r="N196" s="36"/>
    </row>
    <row r="197" spans="1:14" s="37" customFormat="1" x14ac:dyDescent="0.3">
      <c r="A197" s="42">
        <f>A196+1</f>
        <v>304</v>
      </c>
      <c r="B197" s="42" t="s">
        <v>198</v>
      </c>
      <c r="C197" s="54">
        <v>2</v>
      </c>
      <c r="D197" s="56">
        <f>(53.05)*(10.764)</f>
        <v>571.03019999999992</v>
      </c>
      <c r="E197" s="42">
        <v>0</v>
      </c>
      <c r="F197" s="42">
        <f>D197*(($F$177)+1)+(IF(E197&lt;101,E197,IF(E197&lt;201,E197/2,IF(E197&lt;=301,E197/3,E197/4))))</f>
        <v>913.6483199999999</v>
      </c>
      <c r="G197" s="78"/>
      <c r="H197" s="79"/>
      <c r="I197" s="36"/>
      <c r="N197" s="36"/>
    </row>
    <row r="198" spans="1:14" s="37" customFormat="1" x14ac:dyDescent="0.3">
      <c r="A198" s="42">
        <f>A197+1</f>
        <v>305</v>
      </c>
      <c r="B198" s="42" t="s">
        <v>198</v>
      </c>
      <c r="C198" s="54">
        <v>2</v>
      </c>
      <c r="D198" s="56">
        <f>(56.13)*(10.764)</f>
        <v>604.18331999999998</v>
      </c>
      <c r="E198" s="42">
        <v>0</v>
      </c>
      <c r="F198" s="42">
        <f>D198*(($F$177)+1)+(IF(E198&lt;101,E198,IF(E198&lt;201,E198/2,IF(E198&lt;=301,E198/3,E198/4))))</f>
        <v>966.69331199999999</v>
      </c>
      <c r="G198" s="80"/>
      <c r="H198" s="81"/>
      <c r="I198" s="36"/>
      <c r="N198" s="36"/>
    </row>
    <row r="199" spans="1:14" s="37" customFormat="1" x14ac:dyDescent="0.3">
      <c r="A199" s="83" t="s">
        <v>202</v>
      </c>
      <c r="B199" s="83"/>
      <c r="C199" s="83"/>
      <c r="D199" s="83"/>
      <c r="E199" s="83"/>
      <c r="F199" s="83"/>
      <c r="G199" s="83"/>
      <c r="H199" s="83"/>
      <c r="I199" s="36"/>
      <c r="L199" s="82"/>
      <c r="M199" s="82"/>
    </row>
    <row r="200" spans="1:14" s="37" customFormat="1" x14ac:dyDescent="0.3">
      <c r="A200" s="42">
        <f>LEFT(A199,SUM(LEN(A199)-LEN(SUBSTITUTE(A199,{"0","1","2","3","4","5","6","7","8","9"},""))))*100+1</f>
        <v>401</v>
      </c>
      <c r="B200" s="42" t="s">
        <v>196</v>
      </c>
      <c r="C200" s="54">
        <v>1</v>
      </c>
      <c r="D200" s="56">
        <f>(40.62)*(10.764)</f>
        <v>437.23367999999994</v>
      </c>
      <c r="E200" s="42">
        <v>0</v>
      </c>
      <c r="F200" s="42">
        <f t="shared" ref="F200:F201" si="18">D200*(($F$177)+1)+(IF(E200&lt;101,E200,IF(E200&lt;201,E200/2,IF(E200&lt;=301,E200/3,E200/4))))</f>
        <v>699.5738879999999</v>
      </c>
      <c r="G200" s="76" t="str">
        <f>A199</f>
        <v>4th Floor</v>
      </c>
      <c r="H200" s="77"/>
      <c r="I200" s="36"/>
      <c r="N200" s="36"/>
    </row>
    <row r="201" spans="1:14" s="37" customFormat="1" x14ac:dyDescent="0.3">
      <c r="A201" s="42">
        <f>A200+1</f>
        <v>402</v>
      </c>
      <c r="B201" s="42" t="s">
        <v>198</v>
      </c>
      <c r="C201" s="54">
        <v>1</v>
      </c>
      <c r="D201" s="56">
        <f>(40.62)*(10.764)</f>
        <v>437.23367999999994</v>
      </c>
      <c r="E201" s="42">
        <v>0</v>
      </c>
      <c r="F201" s="42">
        <f t="shared" si="18"/>
        <v>699.5738879999999</v>
      </c>
      <c r="G201" s="78"/>
      <c r="H201" s="79"/>
      <c r="I201" s="36"/>
      <c r="N201" s="36"/>
    </row>
    <row r="202" spans="1:14" s="37" customFormat="1" x14ac:dyDescent="0.3">
      <c r="A202" s="42">
        <f>A201+1</f>
        <v>403</v>
      </c>
      <c r="B202" s="42" t="s">
        <v>196</v>
      </c>
      <c r="C202" s="54">
        <v>1</v>
      </c>
      <c r="D202" s="56">
        <f>(40.86)*(10.764)</f>
        <v>439.81703999999996</v>
      </c>
      <c r="E202" s="42">
        <v>0</v>
      </c>
      <c r="F202" s="42">
        <f>D202*(($F$177)+1)+(IF(E202&lt;101,E202,IF(E202&lt;201,E202/2,IF(E202&lt;=301,E202/3,E202/4))))</f>
        <v>703.70726400000001</v>
      </c>
      <c r="G202" s="78"/>
      <c r="H202" s="79"/>
      <c r="I202" s="36"/>
      <c r="N202" s="36"/>
    </row>
    <row r="203" spans="1:14" s="37" customFormat="1" x14ac:dyDescent="0.3">
      <c r="A203" s="42">
        <f>A202+1</f>
        <v>404</v>
      </c>
      <c r="B203" s="42" t="s">
        <v>198</v>
      </c>
      <c r="C203" s="54">
        <v>2</v>
      </c>
      <c r="D203" s="56">
        <f>(53.05)*(10.764)</f>
        <v>571.03019999999992</v>
      </c>
      <c r="E203" s="42">
        <v>0</v>
      </c>
      <c r="F203" s="42">
        <f>D203*(($F$177)+1)+(IF(E203&lt;101,E203,IF(E203&lt;201,E203/2,IF(E203&lt;=301,E203/3,E203/4))))</f>
        <v>913.6483199999999</v>
      </c>
      <c r="G203" s="78"/>
      <c r="H203" s="79"/>
      <c r="I203" s="36"/>
      <c r="N203" s="36"/>
    </row>
    <row r="204" spans="1:14" s="37" customFormat="1" x14ac:dyDescent="0.3">
      <c r="A204" s="42">
        <f>A203+1</f>
        <v>405</v>
      </c>
      <c r="B204" s="42" t="s">
        <v>198</v>
      </c>
      <c r="C204" s="54">
        <v>2</v>
      </c>
      <c r="D204" s="56">
        <f>(56.13)*(10.764)</f>
        <v>604.18331999999998</v>
      </c>
      <c r="E204" s="42">
        <v>0</v>
      </c>
      <c r="F204" s="42">
        <f>D204*(($F$177)+1)+(IF(E204&lt;101,E204,IF(E204&lt;201,E204/2,IF(E204&lt;=301,E204/3,E204/4))))</f>
        <v>966.69331199999999</v>
      </c>
      <c r="G204" s="80"/>
      <c r="H204" s="81"/>
      <c r="I204" s="36"/>
      <c r="N204" s="36"/>
    </row>
    <row r="205" spans="1:14" s="37" customFormat="1" x14ac:dyDescent="0.3">
      <c r="A205" s="83" t="s">
        <v>203</v>
      </c>
      <c r="B205" s="83"/>
      <c r="C205" s="83"/>
      <c r="D205" s="83"/>
      <c r="E205" s="83"/>
      <c r="F205" s="83"/>
      <c r="G205" s="83"/>
      <c r="H205" s="83"/>
      <c r="I205" s="36"/>
      <c r="L205" s="82"/>
      <c r="M205" s="82"/>
    </row>
    <row r="206" spans="1:14" s="37" customFormat="1" x14ac:dyDescent="0.3">
      <c r="A206" s="42">
        <f>LEFT(A205,SUM(LEN(A205)-LEN(SUBSTITUTE(A205,{"0","1","2","3","4","5","6","7","8","9"},""))))*100+1</f>
        <v>501</v>
      </c>
      <c r="B206" s="42" t="s">
        <v>198</v>
      </c>
      <c r="C206" s="54">
        <v>1</v>
      </c>
      <c r="D206" s="56">
        <f>(40.62)*(10.764)</f>
        <v>437.23367999999994</v>
      </c>
      <c r="E206" s="42">
        <v>0</v>
      </c>
      <c r="F206" s="42">
        <f t="shared" ref="F206:F207" si="19">D206*(($F$177)+1)+(IF(E206&lt;101,E206,IF(E206&lt;201,E206/2,IF(E206&lt;=301,E206/3,E206/4))))</f>
        <v>699.5738879999999</v>
      </c>
      <c r="G206" s="76" t="str">
        <f>A205</f>
        <v>5th Floor</v>
      </c>
      <c r="H206" s="77"/>
      <c r="I206" s="36"/>
      <c r="N206" s="36"/>
    </row>
    <row r="207" spans="1:14" s="37" customFormat="1" x14ac:dyDescent="0.3">
      <c r="A207" s="42">
        <f>A206+1</f>
        <v>502</v>
      </c>
      <c r="B207" s="42" t="s">
        <v>198</v>
      </c>
      <c r="C207" s="54">
        <v>1</v>
      </c>
      <c r="D207" s="56">
        <f>(40.62)*(10.764)</f>
        <v>437.23367999999994</v>
      </c>
      <c r="E207" s="42">
        <v>0</v>
      </c>
      <c r="F207" s="42">
        <f t="shared" si="19"/>
        <v>699.5738879999999</v>
      </c>
      <c r="G207" s="78"/>
      <c r="H207" s="79"/>
      <c r="I207" s="36"/>
      <c r="N207" s="36"/>
    </row>
    <row r="208" spans="1:14" s="37" customFormat="1" x14ac:dyDescent="0.3">
      <c r="A208" s="42">
        <f>A207+1</f>
        <v>503</v>
      </c>
      <c r="B208" s="42" t="s">
        <v>196</v>
      </c>
      <c r="C208" s="54">
        <v>1</v>
      </c>
      <c r="D208" s="56">
        <f>(40.86)*(10.764)</f>
        <v>439.81703999999996</v>
      </c>
      <c r="E208" s="42">
        <v>0</v>
      </c>
      <c r="F208" s="42">
        <f>D208*(($F$177)+1)+(IF(E208&lt;101,E208,IF(E208&lt;201,E208/2,IF(E208&lt;=301,E208/3,E208/4))))</f>
        <v>703.70726400000001</v>
      </c>
      <c r="G208" s="78"/>
      <c r="H208" s="79"/>
      <c r="I208" s="36"/>
      <c r="N208" s="36"/>
    </row>
    <row r="209" spans="1:14" s="37" customFormat="1" x14ac:dyDescent="0.3">
      <c r="A209" s="42">
        <f>A208+1</f>
        <v>504</v>
      </c>
      <c r="B209" s="42" t="s">
        <v>198</v>
      </c>
      <c r="C209" s="54">
        <v>2</v>
      </c>
      <c r="D209" s="56">
        <f>(53.05)*(10.764)</f>
        <v>571.03019999999992</v>
      </c>
      <c r="E209" s="42">
        <v>0</v>
      </c>
      <c r="F209" s="42">
        <f>D209*(($F$177)+1)+(IF(E209&lt;101,E209,IF(E209&lt;201,E209/2,IF(E209&lt;=301,E209/3,E209/4))))</f>
        <v>913.6483199999999</v>
      </c>
      <c r="G209" s="78"/>
      <c r="H209" s="79"/>
      <c r="I209" s="36"/>
      <c r="N209" s="36"/>
    </row>
    <row r="210" spans="1:14" s="37" customFormat="1" x14ac:dyDescent="0.3">
      <c r="A210" s="42">
        <f>A209+1</f>
        <v>505</v>
      </c>
      <c r="B210" s="42" t="s">
        <v>198</v>
      </c>
      <c r="C210" s="54">
        <v>2</v>
      </c>
      <c r="D210" s="56">
        <f>(56.13)*(10.764)</f>
        <v>604.18331999999998</v>
      </c>
      <c r="E210" s="42">
        <v>0</v>
      </c>
      <c r="F210" s="42">
        <f>D210*(($F$177)+1)+(IF(E210&lt;101,E210,IF(E210&lt;201,E210/2,IF(E210&lt;=301,E210/3,E210/4))))</f>
        <v>966.69331199999999</v>
      </c>
      <c r="G210" s="80"/>
      <c r="H210" s="81"/>
      <c r="I210" s="36"/>
      <c r="N210" s="36"/>
    </row>
    <row r="211" spans="1:14" s="37" customFormat="1" x14ac:dyDescent="0.3">
      <c r="A211" s="83" t="s">
        <v>204</v>
      </c>
      <c r="B211" s="83"/>
      <c r="C211" s="83"/>
      <c r="D211" s="83"/>
      <c r="E211" s="83"/>
      <c r="F211" s="83"/>
      <c r="G211" s="83"/>
      <c r="H211" s="83"/>
      <c r="I211" s="36"/>
      <c r="L211" s="82"/>
      <c r="M211" s="82"/>
    </row>
    <row r="212" spans="1:14" s="37" customFormat="1" x14ac:dyDescent="0.3">
      <c r="A212" s="42">
        <f>LEFT(A211,SUM(LEN(A211)-LEN(SUBSTITUTE(A211,{"0","1","2","3","4","5","6","7","8","9"},""))))*100+1</f>
        <v>601</v>
      </c>
      <c r="B212" s="42" t="s">
        <v>198</v>
      </c>
      <c r="C212" s="54">
        <v>1</v>
      </c>
      <c r="D212" s="56">
        <f>(40.62)*(10.764)</f>
        <v>437.23367999999994</v>
      </c>
      <c r="E212" s="42">
        <v>0</v>
      </c>
      <c r="F212" s="42">
        <f t="shared" ref="F212:F213" si="20">D212*(($F$177)+1)+(IF(E212&lt;101,E212,IF(E212&lt;201,E212/2,IF(E212&lt;=301,E212/3,E212/4))))</f>
        <v>699.5738879999999</v>
      </c>
      <c r="G212" s="76" t="str">
        <f>A211</f>
        <v>6th Floor</v>
      </c>
      <c r="H212" s="77"/>
      <c r="I212" s="36"/>
      <c r="N212" s="36"/>
    </row>
    <row r="213" spans="1:14" s="37" customFormat="1" x14ac:dyDescent="0.3">
      <c r="A213" s="42">
        <f>A212+1</f>
        <v>602</v>
      </c>
      <c r="B213" s="42" t="s">
        <v>198</v>
      </c>
      <c r="C213" s="54">
        <v>1</v>
      </c>
      <c r="D213" s="56">
        <f>(40.62)*(10.764)</f>
        <v>437.23367999999994</v>
      </c>
      <c r="E213" s="42">
        <v>0</v>
      </c>
      <c r="F213" s="42">
        <f t="shared" si="20"/>
        <v>699.5738879999999</v>
      </c>
      <c r="G213" s="78"/>
      <c r="H213" s="79"/>
      <c r="I213" s="36"/>
      <c r="N213" s="36"/>
    </row>
    <row r="214" spans="1:14" s="37" customFormat="1" x14ac:dyDescent="0.3">
      <c r="A214" s="42">
        <f>A213+1</f>
        <v>603</v>
      </c>
      <c r="B214" s="42" t="s">
        <v>196</v>
      </c>
      <c r="C214" s="54">
        <v>1</v>
      </c>
      <c r="D214" s="56">
        <f>(40.86)*(10.764)</f>
        <v>439.81703999999996</v>
      </c>
      <c r="E214" s="42">
        <v>0</v>
      </c>
      <c r="F214" s="42">
        <f>D214*(($F$177)+1)+(IF(E214&lt;101,E214,IF(E214&lt;201,E214/2,IF(E214&lt;=301,E214/3,E214/4))))</f>
        <v>703.70726400000001</v>
      </c>
      <c r="G214" s="78"/>
      <c r="H214" s="79"/>
      <c r="I214" s="36">
        <f>19000000/F214</f>
        <v>26999.863397743753</v>
      </c>
      <c r="N214" s="36"/>
    </row>
    <row r="215" spans="1:14" s="37" customFormat="1" x14ac:dyDescent="0.3">
      <c r="A215" s="42">
        <f>A214+1</f>
        <v>604</v>
      </c>
      <c r="B215" s="42" t="s">
        <v>198</v>
      </c>
      <c r="C215" s="54">
        <v>2</v>
      </c>
      <c r="D215" s="56">
        <f>(53.05)*(10.764)</f>
        <v>571.03019999999992</v>
      </c>
      <c r="E215" s="42">
        <v>0</v>
      </c>
      <c r="F215" s="42">
        <f>D215*(($F$177)+1)+(IF(E215&lt;101,E215,IF(E215&lt;201,E215/2,IF(E215&lt;=301,E215/3,E215/4))))</f>
        <v>913.6483199999999</v>
      </c>
      <c r="G215" s="78"/>
      <c r="H215" s="79"/>
      <c r="I215" s="36"/>
      <c r="N215" s="36"/>
    </row>
    <row r="216" spans="1:14" s="37" customFormat="1" x14ac:dyDescent="0.3">
      <c r="A216" s="42">
        <f>A215+1</f>
        <v>605</v>
      </c>
      <c r="B216" s="42" t="s">
        <v>198</v>
      </c>
      <c r="C216" s="54">
        <v>2</v>
      </c>
      <c r="D216" s="56">
        <f>(56.13)*(10.764)</f>
        <v>604.18331999999998</v>
      </c>
      <c r="E216" s="42">
        <v>0</v>
      </c>
      <c r="F216" s="42">
        <f>D216*(($F$177)+1)+(IF(E216&lt;101,E216,IF(E216&lt;201,E216/2,IF(E216&lt;=301,E216/3,E216/4))))</f>
        <v>966.69331199999999</v>
      </c>
      <c r="G216" s="80"/>
      <c r="H216" s="81"/>
      <c r="I216" s="36"/>
      <c r="N216" s="36"/>
    </row>
    <row r="217" spans="1:14" s="37" customFormat="1" x14ac:dyDescent="0.3">
      <c r="A217" s="83" t="s">
        <v>205</v>
      </c>
      <c r="B217" s="83"/>
      <c r="C217" s="83"/>
      <c r="D217" s="83"/>
      <c r="E217" s="83"/>
      <c r="F217" s="83"/>
      <c r="G217" s="83"/>
      <c r="H217" s="83"/>
      <c r="I217" s="36"/>
      <c r="L217" s="82"/>
      <c r="M217" s="82"/>
    </row>
    <row r="218" spans="1:14" s="37" customFormat="1" x14ac:dyDescent="0.3">
      <c r="A218" s="42">
        <f>LEFT(A217,SUM(LEN(A217)-LEN(SUBSTITUTE(A217,{"0","1","2","3","4","5","6","7","8","9"},""))))*100+1</f>
        <v>701</v>
      </c>
      <c r="B218" s="42" t="s">
        <v>198</v>
      </c>
      <c r="C218" s="54">
        <v>1</v>
      </c>
      <c r="D218" s="56">
        <f>((40.62)*(10.764))</f>
        <v>437.23367999999994</v>
      </c>
      <c r="E218" s="42">
        <v>0</v>
      </c>
      <c r="F218" s="42">
        <f t="shared" ref="F218:F219" si="21">D218*(($F$177)+1)+(IF(E218&lt;101,E218,IF(E218&lt;201,E218/2,IF(E218&lt;=301,E218/3,E218/4))))</f>
        <v>699.5738879999999</v>
      </c>
      <c r="G218" s="76" t="str">
        <f>A217</f>
        <v>7th Floor (Part Refuge Area)</v>
      </c>
      <c r="H218" s="77"/>
      <c r="I218" s="36"/>
      <c r="N218" s="36"/>
    </row>
    <row r="219" spans="1:14" s="37" customFormat="1" x14ac:dyDescent="0.3">
      <c r="A219" s="42">
        <f>A218+1</f>
        <v>702</v>
      </c>
      <c r="B219" s="42" t="s">
        <v>198</v>
      </c>
      <c r="C219" s="54">
        <v>3</v>
      </c>
      <c r="D219" s="56">
        <f>(78.81)*(10.764)</f>
        <v>848.31083999999998</v>
      </c>
      <c r="E219" s="42">
        <v>0</v>
      </c>
      <c r="F219" s="42">
        <f t="shared" si="21"/>
        <v>1357.2973440000001</v>
      </c>
      <c r="G219" s="80"/>
      <c r="H219" s="81"/>
      <c r="I219" s="36"/>
      <c r="N219" s="36"/>
    </row>
    <row r="220" spans="1:14" s="37" customFormat="1" x14ac:dyDescent="0.3">
      <c r="A220" s="83" t="s">
        <v>206</v>
      </c>
      <c r="B220" s="83"/>
      <c r="C220" s="83"/>
      <c r="D220" s="83"/>
      <c r="E220" s="83"/>
      <c r="F220" s="83"/>
      <c r="G220" s="83"/>
      <c r="H220" s="83"/>
      <c r="I220" s="36"/>
      <c r="L220" s="82"/>
      <c r="M220" s="82"/>
    </row>
    <row r="221" spans="1:14" s="37" customFormat="1" x14ac:dyDescent="0.3">
      <c r="A221" s="42">
        <f>LEFT(A220,SUM(LEN(A220)-LEN(SUBSTITUTE(A220,{"0","1","2","3","4","5","6","7","8","9"},""))))*100+1</f>
        <v>801</v>
      </c>
      <c r="B221" s="42" t="s">
        <v>196</v>
      </c>
      <c r="C221" s="54" t="s">
        <v>207</v>
      </c>
      <c r="D221" s="56">
        <f>(48.72)*(10.764)</f>
        <v>524.42207999999994</v>
      </c>
      <c r="E221" s="42">
        <v>0</v>
      </c>
      <c r="F221" s="42">
        <f t="shared" ref="F221:F222" si="22">D221*(($F$177)+1)+(IF(E221&lt;101,E221,IF(E221&lt;201,E221/2,IF(E221&lt;=301,E221/3,E221/4))))</f>
        <v>839.0753279999999</v>
      </c>
      <c r="G221" s="76" t="str">
        <f>A220</f>
        <v>8th Floor</v>
      </c>
      <c r="H221" s="77"/>
      <c r="I221" s="36"/>
      <c r="N221" s="36"/>
    </row>
    <row r="222" spans="1:14" s="37" customFormat="1" x14ac:dyDescent="0.3">
      <c r="A222" s="42">
        <f>A221+1</f>
        <v>802</v>
      </c>
      <c r="B222" s="42" t="s">
        <v>198</v>
      </c>
      <c r="C222" s="54" t="s">
        <v>207</v>
      </c>
      <c r="D222" s="56">
        <f>(48.72)*(10.764)</f>
        <v>524.42207999999994</v>
      </c>
      <c r="E222" s="42">
        <v>0</v>
      </c>
      <c r="F222" s="42">
        <f t="shared" si="22"/>
        <v>839.0753279999999</v>
      </c>
      <c r="G222" s="78"/>
      <c r="H222" s="79"/>
      <c r="I222" s="36"/>
      <c r="N222" s="36"/>
    </row>
    <row r="223" spans="1:14" s="37" customFormat="1" x14ac:dyDescent="0.3">
      <c r="A223" s="42">
        <f>A222+1</f>
        <v>803</v>
      </c>
      <c r="B223" s="42" t="s">
        <v>196</v>
      </c>
      <c r="C223" s="54">
        <v>1</v>
      </c>
      <c r="D223" s="56">
        <f>(40.86)*(10.764)</f>
        <v>439.81703999999996</v>
      </c>
      <c r="E223" s="42">
        <v>0</v>
      </c>
      <c r="F223" s="42">
        <f>D223*(($F$177)+1)+(IF(E223&lt;101,E223,IF(E223&lt;201,E223/2,IF(E223&lt;=301,E223/3,E223/4))))</f>
        <v>703.70726400000001</v>
      </c>
      <c r="G223" s="78"/>
      <c r="H223" s="79"/>
      <c r="I223" s="36"/>
      <c r="N223" s="36"/>
    </row>
    <row r="224" spans="1:14" s="37" customFormat="1" x14ac:dyDescent="0.3">
      <c r="A224" s="42">
        <f>A223+1</f>
        <v>804</v>
      </c>
      <c r="B224" s="42" t="s">
        <v>198</v>
      </c>
      <c r="C224" s="54">
        <v>2</v>
      </c>
      <c r="D224" s="56">
        <f>(53.05)*(10.764)</f>
        <v>571.03019999999992</v>
      </c>
      <c r="E224" s="42">
        <v>0</v>
      </c>
      <c r="F224" s="42">
        <f>D224*(($F$177)+1)+(IF(E224&lt;101,E224,IF(E224&lt;201,E224/2,IF(E224&lt;=301,E224/3,E224/4))))</f>
        <v>913.6483199999999</v>
      </c>
      <c r="G224" s="78"/>
      <c r="H224" s="79"/>
      <c r="I224" s="36"/>
      <c r="N224" s="36"/>
    </row>
    <row r="225" spans="1:14" s="37" customFormat="1" x14ac:dyDescent="0.3">
      <c r="A225" s="42">
        <f>A224+1</f>
        <v>805</v>
      </c>
      <c r="B225" s="42" t="s">
        <v>198</v>
      </c>
      <c r="C225" s="54">
        <v>2</v>
      </c>
      <c r="D225" s="56">
        <f>(56.13)*(10.764)</f>
        <v>604.18331999999998</v>
      </c>
      <c r="E225" s="42">
        <v>0</v>
      </c>
      <c r="F225" s="42">
        <f>D225*(($F$177)+1)+(IF(E225&lt;101,E225,IF(E225&lt;201,E225/2,IF(E225&lt;=301,E225/3,E225/4))))</f>
        <v>966.69331199999999</v>
      </c>
      <c r="G225" s="80"/>
      <c r="H225" s="81"/>
      <c r="I225" s="36"/>
      <c r="N225" s="36"/>
    </row>
    <row r="226" spans="1:14" s="37" customFormat="1" x14ac:dyDescent="0.3">
      <c r="A226" s="83" t="s">
        <v>208</v>
      </c>
      <c r="B226" s="83"/>
      <c r="C226" s="83"/>
      <c r="D226" s="83"/>
      <c r="E226" s="83"/>
      <c r="F226" s="83"/>
      <c r="G226" s="83"/>
      <c r="H226" s="83"/>
      <c r="I226" s="36"/>
      <c r="L226" s="82"/>
      <c r="M226" s="82"/>
    </row>
    <row r="227" spans="1:14" s="37" customFormat="1" x14ac:dyDescent="0.3">
      <c r="A227" s="42">
        <f>LEFT(A226,SUM(LEN(A226)-LEN(SUBSTITUTE(A226,{"0","1","2","3","4","5","6","7","8","9"},""))))*100+1</f>
        <v>901</v>
      </c>
      <c r="B227" s="42" t="s">
        <v>196</v>
      </c>
      <c r="C227" s="54" t="s">
        <v>207</v>
      </c>
      <c r="D227" s="56">
        <f>(48.72)*(10.764)</f>
        <v>524.42207999999994</v>
      </c>
      <c r="E227" s="42">
        <v>0</v>
      </c>
      <c r="F227" s="42">
        <f t="shared" ref="F227:F228" si="23">D227*(($F$177)+1)+(IF(E227&lt;101,E227,IF(E227&lt;201,E227/2,IF(E227&lt;=301,E227/3,E227/4))))</f>
        <v>839.0753279999999</v>
      </c>
      <c r="G227" s="76" t="str">
        <f>A226</f>
        <v>9th Floor</v>
      </c>
      <c r="H227" s="77"/>
      <c r="I227" s="36"/>
      <c r="N227" s="36"/>
    </row>
    <row r="228" spans="1:14" s="37" customFormat="1" x14ac:dyDescent="0.3">
      <c r="A228" s="42">
        <f>A227+1</f>
        <v>902</v>
      </c>
      <c r="B228" s="42" t="s">
        <v>198</v>
      </c>
      <c r="C228" s="54" t="s">
        <v>207</v>
      </c>
      <c r="D228" s="56">
        <f>(48.72)*(10.764)</f>
        <v>524.42207999999994</v>
      </c>
      <c r="E228" s="42">
        <v>0</v>
      </c>
      <c r="F228" s="42">
        <f t="shared" si="23"/>
        <v>839.0753279999999</v>
      </c>
      <c r="G228" s="78"/>
      <c r="H228" s="79"/>
      <c r="I228" s="36"/>
      <c r="N228" s="36"/>
    </row>
    <row r="229" spans="1:14" s="37" customFormat="1" x14ac:dyDescent="0.3">
      <c r="A229" s="42">
        <f>A228+1</f>
        <v>903</v>
      </c>
      <c r="B229" s="42" t="s">
        <v>196</v>
      </c>
      <c r="C229" s="54">
        <v>1</v>
      </c>
      <c r="D229" s="56">
        <f>(40.86)*(10.764)</f>
        <v>439.81703999999996</v>
      </c>
      <c r="E229" s="42">
        <v>0</v>
      </c>
      <c r="F229" s="42">
        <f>D229*(($F$177)+1)+(IF(E229&lt;101,E229,IF(E229&lt;201,E229/2,IF(E229&lt;=301,E229/3,E229/4))))</f>
        <v>703.70726400000001</v>
      </c>
      <c r="G229" s="78"/>
      <c r="H229" s="79"/>
      <c r="I229" s="36"/>
      <c r="N229" s="36"/>
    </row>
    <row r="230" spans="1:14" s="37" customFormat="1" x14ac:dyDescent="0.3">
      <c r="A230" s="42">
        <f>A229+1</f>
        <v>904</v>
      </c>
      <c r="B230" s="42" t="s">
        <v>196</v>
      </c>
      <c r="C230" s="54">
        <v>2</v>
      </c>
      <c r="D230" s="56">
        <f>(53.05)*(10.764)</f>
        <v>571.03019999999992</v>
      </c>
      <c r="E230" s="42">
        <v>0</v>
      </c>
      <c r="F230" s="42">
        <f>D230*(($F$177)+1)+(IF(E230&lt;101,E230,IF(E230&lt;201,E230/2,IF(E230&lt;=301,E230/3,E230/4))))</f>
        <v>913.6483199999999</v>
      </c>
      <c r="G230" s="78"/>
      <c r="H230" s="79"/>
      <c r="I230" s="36"/>
      <c r="N230" s="36"/>
    </row>
    <row r="231" spans="1:14" s="37" customFormat="1" x14ac:dyDescent="0.3">
      <c r="A231" s="42">
        <f>A230+1</f>
        <v>905</v>
      </c>
      <c r="B231" s="42" t="s">
        <v>198</v>
      </c>
      <c r="C231" s="54">
        <v>2</v>
      </c>
      <c r="D231" s="56">
        <f>(56.13)*(10.764)</f>
        <v>604.18331999999998</v>
      </c>
      <c r="E231" s="42">
        <v>0</v>
      </c>
      <c r="F231" s="42">
        <f>D231*(($F$177)+1)+(IF(E231&lt;101,E231,IF(E231&lt;201,E231/2,IF(E231&lt;=301,E231/3,E231/4))))</f>
        <v>966.69331199999999</v>
      </c>
      <c r="G231" s="80"/>
      <c r="H231" s="81"/>
      <c r="I231" s="36"/>
      <c r="N231" s="36"/>
    </row>
    <row r="232" spans="1:14" s="37" customFormat="1" x14ac:dyDescent="0.3">
      <c r="A232" s="83" t="s">
        <v>209</v>
      </c>
      <c r="B232" s="83"/>
      <c r="C232" s="83"/>
      <c r="D232" s="83"/>
      <c r="E232" s="83"/>
      <c r="F232" s="83"/>
      <c r="G232" s="83"/>
      <c r="H232" s="83"/>
      <c r="I232" s="36"/>
      <c r="L232" s="82"/>
      <c r="M232" s="82"/>
    </row>
    <row r="233" spans="1:14" s="37" customFormat="1" x14ac:dyDescent="0.3">
      <c r="A233" s="42">
        <f>LEFT(A232,SUM(LEN(A232)-LEN(SUBSTITUTE(A232,{"0","1","2","3","4","5","6","7","8","9"},""))))*100+1</f>
        <v>1001</v>
      </c>
      <c r="B233" s="42" t="s">
        <v>198</v>
      </c>
      <c r="C233" s="54" t="s">
        <v>207</v>
      </c>
      <c r="D233" s="56">
        <f>(48.72)*(10.764)</f>
        <v>524.42207999999994</v>
      </c>
      <c r="E233" s="42">
        <v>0</v>
      </c>
      <c r="F233" s="42">
        <f t="shared" ref="F233:F234" si="24">D233*(($F$177)+1)+(IF(E233&lt;101,E233,IF(E233&lt;201,E233/2,IF(E233&lt;=301,E233/3,E233/4))))</f>
        <v>839.0753279999999</v>
      </c>
      <c r="G233" s="76" t="str">
        <f>A232</f>
        <v>10th Floor</v>
      </c>
      <c r="H233" s="77"/>
      <c r="I233" s="36"/>
      <c r="N233" s="36"/>
    </row>
    <row r="234" spans="1:14" s="37" customFormat="1" x14ac:dyDescent="0.3">
      <c r="A234" s="42">
        <f>A233+1</f>
        <v>1002</v>
      </c>
      <c r="B234" s="42" t="s">
        <v>196</v>
      </c>
      <c r="C234" s="54" t="s">
        <v>207</v>
      </c>
      <c r="D234" s="56">
        <f>(48.72)*(10.764)</f>
        <v>524.42207999999994</v>
      </c>
      <c r="E234" s="42">
        <v>0</v>
      </c>
      <c r="F234" s="42">
        <f t="shared" si="24"/>
        <v>839.0753279999999</v>
      </c>
      <c r="G234" s="78"/>
      <c r="H234" s="79"/>
      <c r="I234" s="36"/>
      <c r="N234" s="36"/>
    </row>
    <row r="235" spans="1:14" s="37" customFormat="1" x14ac:dyDescent="0.3">
      <c r="A235" s="42">
        <f>A234+1</f>
        <v>1003</v>
      </c>
      <c r="B235" s="42" t="s">
        <v>196</v>
      </c>
      <c r="C235" s="54">
        <v>1</v>
      </c>
      <c r="D235" s="56">
        <f>(40.86)*(10.764)</f>
        <v>439.81703999999996</v>
      </c>
      <c r="E235" s="42">
        <v>0</v>
      </c>
      <c r="F235" s="42">
        <f>D235*(($F$177)+1)+(IF(E235&lt;101,E235,IF(E235&lt;201,E235/2,IF(E235&lt;=301,E235/3,E235/4))))</f>
        <v>703.70726400000001</v>
      </c>
      <c r="G235" s="78"/>
      <c r="H235" s="79"/>
      <c r="I235" s="36"/>
      <c r="N235" s="36"/>
    </row>
    <row r="236" spans="1:14" s="37" customFormat="1" x14ac:dyDescent="0.3">
      <c r="A236" s="42">
        <f>A235+1</f>
        <v>1004</v>
      </c>
      <c r="B236" s="42" t="s">
        <v>198</v>
      </c>
      <c r="C236" s="54">
        <v>2</v>
      </c>
      <c r="D236" s="56">
        <f>(53.05)*(10.764)</f>
        <v>571.03019999999992</v>
      </c>
      <c r="E236" s="42">
        <v>0</v>
      </c>
      <c r="F236" s="42">
        <f>D236*(($F$177)+1)+(IF(E236&lt;101,E236,IF(E236&lt;201,E236/2,IF(E236&lt;=301,E236/3,E236/4))))</f>
        <v>913.6483199999999</v>
      </c>
      <c r="G236" s="78"/>
      <c r="H236" s="79"/>
      <c r="I236" s="36"/>
      <c r="N236" s="36"/>
    </row>
    <row r="237" spans="1:14" s="37" customFormat="1" x14ac:dyDescent="0.3">
      <c r="A237" s="42">
        <f>A236+1</f>
        <v>1005</v>
      </c>
      <c r="B237" s="42" t="s">
        <v>198</v>
      </c>
      <c r="C237" s="54">
        <v>2</v>
      </c>
      <c r="D237" s="56">
        <f>(56.13)*(10.764)</f>
        <v>604.18331999999998</v>
      </c>
      <c r="E237" s="42">
        <v>0</v>
      </c>
      <c r="F237" s="42">
        <f>D237*(($F$177)+1)+(IF(E237&lt;101,E237,IF(E237&lt;201,E237/2,IF(E237&lt;=301,E237/3,E237/4))))</f>
        <v>966.69331199999999</v>
      </c>
      <c r="G237" s="80"/>
      <c r="H237" s="81"/>
      <c r="I237" s="36"/>
      <c r="N237" s="36"/>
    </row>
    <row r="238" spans="1:14" s="37" customFormat="1" x14ac:dyDescent="0.3">
      <c r="A238" s="83" t="s">
        <v>210</v>
      </c>
      <c r="B238" s="83"/>
      <c r="C238" s="83"/>
      <c r="D238" s="83"/>
      <c r="E238" s="83"/>
      <c r="F238" s="83"/>
      <c r="G238" s="83"/>
      <c r="H238" s="83"/>
      <c r="I238" s="36"/>
      <c r="L238" s="82"/>
      <c r="M238" s="82"/>
    </row>
    <row r="239" spans="1:14" s="37" customFormat="1" x14ac:dyDescent="0.3">
      <c r="A239" s="42">
        <f>LEFT(A238,SUM(LEN(A238)-LEN(SUBSTITUTE(A238,{"0","1","2","3","4","5","6","7","8","9"},""))))*100+1</f>
        <v>1101</v>
      </c>
      <c r="B239" s="42" t="s">
        <v>198</v>
      </c>
      <c r="C239" s="54" t="s">
        <v>207</v>
      </c>
      <c r="D239" s="56">
        <f>(48.72)*(10.764)</f>
        <v>524.42207999999994</v>
      </c>
      <c r="E239" s="42">
        <v>0</v>
      </c>
      <c r="F239" s="42">
        <f t="shared" ref="F239:F240" si="25">D239*(($F$177)+1)+(IF(E239&lt;101,E239,IF(E239&lt;201,E239/2,IF(E239&lt;=301,E239/3,E239/4))))</f>
        <v>839.0753279999999</v>
      </c>
      <c r="G239" s="76" t="str">
        <f>A238</f>
        <v>11th Floor</v>
      </c>
      <c r="H239" s="77"/>
      <c r="I239" s="36"/>
      <c r="N239" s="36"/>
    </row>
    <row r="240" spans="1:14" s="37" customFormat="1" x14ac:dyDescent="0.3">
      <c r="A240" s="42">
        <f>A239+1</f>
        <v>1102</v>
      </c>
      <c r="B240" s="42" t="s">
        <v>198</v>
      </c>
      <c r="C240" s="54" t="s">
        <v>207</v>
      </c>
      <c r="D240" s="56">
        <f>(48.72)*(10.764)</f>
        <v>524.42207999999994</v>
      </c>
      <c r="E240" s="42">
        <v>0</v>
      </c>
      <c r="F240" s="42">
        <f t="shared" si="25"/>
        <v>839.0753279999999</v>
      </c>
      <c r="G240" s="78"/>
      <c r="H240" s="79"/>
      <c r="I240" s="36"/>
      <c r="N240" s="36"/>
    </row>
    <row r="241" spans="1:14" s="37" customFormat="1" x14ac:dyDescent="0.3">
      <c r="A241" s="42">
        <f>A240+1</f>
        <v>1103</v>
      </c>
      <c r="B241" s="42" t="s">
        <v>198</v>
      </c>
      <c r="C241" s="54">
        <v>1</v>
      </c>
      <c r="D241" s="56">
        <f>(40.86)*(10.764)</f>
        <v>439.81703999999996</v>
      </c>
      <c r="E241" s="42">
        <v>0</v>
      </c>
      <c r="F241" s="42">
        <f>D241*(($F$177)+1)+(IF(E241&lt;101,E241,IF(E241&lt;201,E241/2,IF(E241&lt;=301,E241/3,E241/4))))</f>
        <v>703.70726400000001</v>
      </c>
      <c r="G241" s="78"/>
      <c r="H241" s="79"/>
      <c r="I241" s="36"/>
      <c r="N241" s="36"/>
    </row>
    <row r="242" spans="1:14" s="37" customFormat="1" x14ac:dyDescent="0.3">
      <c r="A242" s="42">
        <f>A241+1</f>
        <v>1104</v>
      </c>
      <c r="B242" s="42" t="s">
        <v>198</v>
      </c>
      <c r="C242" s="54">
        <v>2</v>
      </c>
      <c r="D242" s="56">
        <f>(53.05)*(10.764)</f>
        <v>571.03019999999992</v>
      </c>
      <c r="E242" s="42">
        <v>0</v>
      </c>
      <c r="F242" s="42">
        <f>D242*(($F$177)+1)+(IF(E242&lt;101,E242,IF(E242&lt;201,E242/2,IF(E242&lt;=301,E242/3,E242/4))))</f>
        <v>913.6483199999999</v>
      </c>
      <c r="G242" s="78"/>
      <c r="H242" s="79"/>
      <c r="I242" s="36"/>
      <c r="N242" s="36"/>
    </row>
    <row r="243" spans="1:14" s="37" customFormat="1" x14ac:dyDescent="0.3">
      <c r="A243" s="42">
        <f>A242+1</f>
        <v>1105</v>
      </c>
      <c r="B243" s="42" t="s">
        <v>198</v>
      </c>
      <c r="C243" s="54">
        <v>2</v>
      </c>
      <c r="D243" s="56">
        <f>(56.13)*(10.764)</f>
        <v>604.18331999999998</v>
      </c>
      <c r="E243" s="42">
        <v>0</v>
      </c>
      <c r="F243" s="42">
        <f>D243*(($F$177)+1)+(IF(E243&lt;101,E243,IF(E243&lt;201,E243/2,IF(E243&lt;=301,E243/3,E243/4))))</f>
        <v>966.69331199999999</v>
      </c>
      <c r="G243" s="80"/>
      <c r="H243" s="81"/>
      <c r="I243" s="36"/>
      <c r="N243" s="36"/>
    </row>
    <row r="244" spans="1:14" s="37" customFormat="1" x14ac:dyDescent="0.3">
      <c r="A244" s="83" t="s">
        <v>211</v>
      </c>
      <c r="B244" s="83"/>
      <c r="C244" s="83"/>
      <c r="D244" s="83"/>
      <c r="E244" s="83"/>
      <c r="F244" s="83"/>
      <c r="G244" s="83"/>
      <c r="H244" s="83"/>
      <c r="I244" s="36"/>
      <c r="L244" s="82"/>
      <c r="M244" s="82"/>
    </row>
    <row r="245" spans="1:14" s="37" customFormat="1" x14ac:dyDescent="0.3">
      <c r="A245" s="42">
        <f>LEFT(A244,SUM(LEN(A244)-LEN(SUBSTITUTE(A244,{"0","1","2","3","4","5","6","7","8","9"},""))))*100+1</f>
        <v>1201</v>
      </c>
      <c r="B245" s="42" t="s">
        <v>198</v>
      </c>
      <c r="C245" s="54" t="s">
        <v>207</v>
      </c>
      <c r="D245" s="56">
        <f>(48.72)*(10.764)</f>
        <v>524.42207999999994</v>
      </c>
      <c r="E245" s="42">
        <v>0</v>
      </c>
      <c r="F245" s="42">
        <f t="shared" ref="F245:F246" si="26">D245*(($F$177)+1)+(IF(E245&lt;101,E245,IF(E245&lt;201,E245/2,IF(E245&lt;=301,E245/3,E245/4))))</f>
        <v>839.0753279999999</v>
      </c>
      <c r="G245" s="76" t="str">
        <f>A244</f>
        <v>12th Floor</v>
      </c>
      <c r="H245" s="77"/>
      <c r="I245" s="36"/>
      <c r="N245" s="36"/>
    </row>
    <row r="246" spans="1:14" s="37" customFormat="1" x14ac:dyDescent="0.3">
      <c r="A246" s="42">
        <f>A245+1</f>
        <v>1202</v>
      </c>
      <c r="B246" s="42" t="s">
        <v>198</v>
      </c>
      <c r="C246" s="54" t="s">
        <v>207</v>
      </c>
      <c r="D246" s="56">
        <f>(48.72)*(10.764)</f>
        <v>524.42207999999994</v>
      </c>
      <c r="E246" s="42">
        <v>0</v>
      </c>
      <c r="F246" s="42">
        <f t="shared" si="26"/>
        <v>839.0753279999999</v>
      </c>
      <c r="G246" s="78"/>
      <c r="H246" s="79"/>
      <c r="I246" s="36"/>
      <c r="N246" s="36"/>
    </row>
    <row r="247" spans="1:14" s="37" customFormat="1" x14ac:dyDescent="0.3">
      <c r="A247" s="42">
        <f>A246+1</f>
        <v>1203</v>
      </c>
      <c r="B247" s="42" t="s">
        <v>196</v>
      </c>
      <c r="C247" s="54">
        <v>1</v>
      </c>
      <c r="D247" s="56">
        <f>(40.86)*(10.764)</f>
        <v>439.81703999999996</v>
      </c>
      <c r="E247" s="42">
        <v>0</v>
      </c>
      <c r="F247" s="42">
        <f>D247*(($F$177)+1)+(IF(E247&lt;101,E247,IF(E247&lt;201,E247/2,IF(E247&lt;=301,E247/3,E247/4))))</f>
        <v>703.70726400000001</v>
      </c>
      <c r="G247" s="78"/>
      <c r="H247" s="79"/>
      <c r="I247" s="36"/>
      <c r="N247" s="36"/>
    </row>
    <row r="248" spans="1:14" s="37" customFormat="1" x14ac:dyDescent="0.3">
      <c r="A248" s="42">
        <f>A247+1</f>
        <v>1204</v>
      </c>
      <c r="B248" s="42" t="s">
        <v>198</v>
      </c>
      <c r="C248" s="54">
        <v>2</v>
      </c>
      <c r="D248" s="56">
        <f>(53.05)*(10.764)</f>
        <v>571.03019999999992</v>
      </c>
      <c r="E248" s="42">
        <v>0</v>
      </c>
      <c r="F248" s="42">
        <f>D248*(($F$177)+1)+(IF(E248&lt;101,E248,IF(E248&lt;201,E248/2,IF(E248&lt;=301,E248/3,E248/4))))</f>
        <v>913.6483199999999</v>
      </c>
      <c r="G248" s="78"/>
      <c r="H248" s="79"/>
      <c r="I248" s="36"/>
      <c r="N248" s="36"/>
    </row>
    <row r="249" spans="1:14" s="37" customFormat="1" x14ac:dyDescent="0.3">
      <c r="A249" s="42">
        <f>A248+1</f>
        <v>1205</v>
      </c>
      <c r="B249" s="42" t="s">
        <v>198</v>
      </c>
      <c r="C249" s="54">
        <v>2</v>
      </c>
      <c r="D249" s="56">
        <f>(56.13)*(10.764)</f>
        <v>604.18331999999998</v>
      </c>
      <c r="E249" s="42">
        <v>0</v>
      </c>
      <c r="F249" s="42">
        <f>D249*(($F$177)+1)+(IF(E249&lt;101,E249,IF(E249&lt;201,E249/2,IF(E249&lt;=301,E249/3,E249/4))))</f>
        <v>966.69331199999999</v>
      </c>
      <c r="G249" s="80"/>
      <c r="H249" s="81"/>
      <c r="I249" s="36"/>
      <c r="N249" s="36"/>
    </row>
    <row r="250" spans="1:14" s="37" customFormat="1" x14ac:dyDescent="0.3">
      <c r="A250" s="83" t="s">
        <v>212</v>
      </c>
      <c r="B250" s="83"/>
      <c r="C250" s="83"/>
      <c r="D250" s="83"/>
      <c r="E250" s="83"/>
      <c r="F250" s="83"/>
      <c r="G250" s="83"/>
      <c r="H250" s="83"/>
      <c r="I250" s="36"/>
      <c r="L250" s="82"/>
      <c r="M250" s="82"/>
    </row>
    <row r="251" spans="1:14" s="37" customFormat="1" x14ac:dyDescent="0.3">
      <c r="A251" s="42">
        <f>LEFT(A250,SUM(LEN(A250)-LEN(SUBSTITUTE(A250,{"0","1","2","3","4","5","6","7","8","9"},""))))*100+1</f>
        <v>1301</v>
      </c>
      <c r="B251" s="42" t="s">
        <v>198</v>
      </c>
      <c r="C251" s="54" t="s">
        <v>207</v>
      </c>
      <c r="D251" s="56">
        <f>(48.72)*(10.764)</f>
        <v>524.42207999999994</v>
      </c>
      <c r="E251" s="42">
        <v>0</v>
      </c>
      <c r="F251" s="42">
        <f t="shared" ref="F251:F252" si="27">D251*(($F$177)+1)+(IF(E251&lt;101,E251,IF(E251&lt;201,E251/2,IF(E251&lt;=301,E251/3,E251/4))))</f>
        <v>839.0753279999999</v>
      </c>
      <c r="G251" s="76" t="str">
        <f>A250</f>
        <v>13th Floor</v>
      </c>
      <c r="H251" s="77"/>
      <c r="I251" s="36"/>
      <c r="N251" s="36"/>
    </row>
    <row r="252" spans="1:14" s="37" customFormat="1" x14ac:dyDescent="0.3">
      <c r="A252" s="42">
        <f>A251+1</f>
        <v>1302</v>
      </c>
      <c r="B252" s="42" t="s">
        <v>198</v>
      </c>
      <c r="C252" s="54" t="s">
        <v>207</v>
      </c>
      <c r="D252" s="56">
        <f>(48.72)*(10.764)</f>
        <v>524.42207999999994</v>
      </c>
      <c r="E252" s="42">
        <v>0</v>
      </c>
      <c r="F252" s="42">
        <f t="shared" si="27"/>
        <v>839.0753279999999</v>
      </c>
      <c r="G252" s="78"/>
      <c r="H252" s="79"/>
      <c r="I252" s="36"/>
      <c r="N252" s="36"/>
    </row>
    <row r="253" spans="1:14" s="37" customFormat="1" x14ac:dyDescent="0.3">
      <c r="A253" s="42">
        <f>A252+1</f>
        <v>1303</v>
      </c>
      <c r="B253" s="42" t="s">
        <v>196</v>
      </c>
      <c r="C253" s="54">
        <v>1</v>
      </c>
      <c r="D253" s="56">
        <f>(40.86)*(10.764)</f>
        <v>439.81703999999996</v>
      </c>
      <c r="E253" s="42">
        <v>0</v>
      </c>
      <c r="F253" s="42">
        <f>D253*(($F$177)+1)+(IF(E253&lt;101,E253,IF(E253&lt;201,E253/2,IF(E253&lt;=301,E253/3,E253/4))))</f>
        <v>703.70726400000001</v>
      </c>
      <c r="G253" s="78"/>
      <c r="H253" s="79"/>
      <c r="I253" s="36"/>
      <c r="N253" s="36"/>
    </row>
    <row r="254" spans="1:14" s="37" customFormat="1" x14ac:dyDescent="0.3">
      <c r="A254" s="42">
        <f>A253+1</f>
        <v>1304</v>
      </c>
      <c r="B254" s="42" t="s">
        <v>198</v>
      </c>
      <c r="C254" s="54">
        <v>2</v>
      </c>
      <c r="D254" s="56">
        <f>(53.05)*(10.764)</f>
        <v>571.03019999999992</v>
      </c>
      <c r="E254" s="42">
        <v>0</v>
      </c>
      <c r="F254" s="42">
        <f>D254*(($F$177)+1)+(IF(E254&lt;101,E254,IF(E254&lt;201,E254/2,IF(E254&lt;=301,E254/3,E254/4))))</f>
        <v>913.6483199999999</v>
      </c>
      <c r="G254" s="78"/>
      <c r="H254" s="79"/>
      <c r="I254" s="36"/>
      <c r="N254" s="36"/>
    </row>
    <row r="255" spans="1:14" s="37" customFormat="1" x14ac:dyDescent="0.3">
      <c r="A255" s="42">
        <f>A254+1</f>
        <v>1305</v>
      </c>
      <c r="B255" s="42" t="s">
        <v>198</v>
      </c>
      <c r="C255" s="54">
        <v>2</v>
      </c>
      <c r="D255" s="56">
        <f>(56.13)*(10.764)</f>
        <v>604.18331999999998</v>
      </c>
      <c r="E255" s="42">
        <v>0</v>
      </c>
      <c r="F255" s="42">
        <f>D255*(($F$177)+1)+(IF(E255&lt;101,E255,IF(E255&lt;201,E255/2,IF(E255&lt;=301,E255/3,E255/4))))</f>
        <v>966.69331199999999</v>
      </c>
      <c r="G255" s="80"/>
      <c r="H255" s="81"/>
      <c r="I255" s="36"/>
      <c r="N255" s="36"/>
    </row>
    <row r="256" spans="1:14" s="37" customFormat="1" x14ac:dyDescent="0.3">
      <c r="A256" s="83" t="s">
        <v>214</v>
      </c>
      <c r="B256" s="83"/>
      <c r="C256" s="83"/>
      <c r="D256" s="83"/>
      <c r="E256" s="83"/>
      <c r="F256" s="83"/>
      <c r="G256" s="83"/>
      <c r="H256" s="83"/>
      <c r="I256" s="36"/>
      <c r="L256" s="82"/>
      <c r="M256" s="82"/>
    </row>
    <row r="257" spans="1:14" s="37" customFormat="1" x14ac:dyDescent="0.3">
      <c r="A257" s="42">
        <f>LEFT(A256,SUM(LEN(A256)-LEN(SUBSTITUTE(A256,{"0","1","2","3","4","5","6","7","8","9"},""))))*100+1</f>
        <v>1401</v>
      </c>
      <c r="B257" s="42" t="s">
        <v>198</v>
      </c>
      <c r="C257" s="54" t="s">
        <v>207</v>
      </c>
      <c r="D257" s="56">
        <f>(48.72)*(10.764)</f>
        <v>524.42207999999994</v>
      </c>
      <c r="E257" s="42">
        <v>0</v>
      </c>
      <c r="F257" s="42">
        <f t="shared" ref="F257:F258" si="28">D257*(($F$177)+1)+(IF(E257&lt;101,E257,IF(E257&lt;201,E257/2,IF(E257&lt;=301,E257/3,E257/4))))</f>
        <v>839.0753279999999</v>
      </c>
      <c r="G257" s="76" t="str">
        <f>A256</f>
        <v>14th Floor (Part Refuge Area)</v>
      </c>
      <c r="H257" s="77"/>
      <c r="I257" s="36"/>
      <c r="N257" s="36"/>
    </row>
    <row r="258" spans="1:14" s="37" customFormat="1" x14ac:dyDescent="0.3">
      <c r="A258" s="42">
        <f>A257+1</f>
        <v>1402</v>
      </c>
      <c r="B258" s="42" t="s">
        <v>198</v>
      </c>
      <c r="C258" s="54">
        <v>3</v>
      </c>
      <c r="D258" s="56">
        <f>(78.81)*(10.764)</f>
        <v>848.31083999999998</v>
      </c>
      <c r="E258" s="42">
        <v>0</v>
      </c>
      <c r="F258" s="42">
        <f t="shared" si="28"/>
        <v>1357.2973440000001</v>
      </c>
      <c r="G258" s="80"/>
      <c r="H258" s="81"/>
      <c r="I258" s="36"/>
      <c r="N258" s="36"/>
    </row>
    <row r="259" spans="1:14" s="37" customFormat="1" x14ac:dyDescent="0.3">
      <c r="A259" s="83" t="s">
        <v>213</v>
      </c>
      <c r="B259" s="83"/>
      <c r="C259" s="83"/>
      <c r="D259" s="83"/>
      <c r="E259" s="83"/>
      <c r="F259" s="83"/>
      <c r="G259" s="83"/>
      <c r="H259" s="83"/>
      <c r="I259" s="36"/>
      <c r="L259" s="82"/>
      <c r="M259" s="82"/>
    </row>
    <row r="260" spans="1:14" s="37" customFormat="1" x14ac:dyDescent="0.3">
      <c r="A260" s="42">
        <f>LEFT(A259,SUM(LEN(A259)-LEN(SUBSTITUTE(A259,{"0","1","2","3","4","5","6","7","8","9"},""))))*100+1</f>
        <v>1501</v>
      </c>
      <c r="B260" s="42" t="s">
        <v>198</v>
      </c>
      <c r="C260" s="54" t="s">
        <v>207</v>
      </c>
      <c r="D260" s="56">
        <f>(48.72)*(10.764)</f>
        <v>524.42207999999994</v>
      </c>
      <c r="E260" s="42">
        <v>0</v>
      </c>
      <c r="F260" s="42">
        <f t="shared" ref="F260:F261" si="29">D260*(($F$177)+1)+(IF(E260&lt;101,E260,IF(E260&lt;201,E260/2,IF(E260&lt;=301,E260/3,E260/4))))</f>
        <v>839.0753279999999</v>
      </c>
      <c r="G260" s="76" t="str">
        <f>A259</f>
        <v>15th Floor</v>
      </c>
      <c r="H260" s="77"/>
      <c r="I260" s="36"/>
      <c r="N260" s="36"/>
    </row>
    <row r="261" spans="1:14" s="37" customFormat="1" x14ac:dyDescent="0.3">
      <c r="A261" s="42">
        <f>A260+1</f>
        <v>1502</v>
      </c>
      <c r="B261" s="42" t="s">
        <v>198</v>
      </c>
      <c r="C261" s="54" t="s">
        <v>207</v>
      </c>
      <c r="D261" s="56">
        <f>(48.72)*(10.764)</f>
        <v>524.42207999999994</v>
      </c>
      <c r="E261" s="42">
        <v>0</v>
      </c>
      <c r="F261" s="42">
        <f t="shared" si="29"/>
        <v>839.0753279999999</v>
      </c>
      <c r="G261" s="78"/>
      <c r="H261" s="79"/>
      <c r="I261" s="36"/>
      <c r="N261" s="36"/>
    </row>
    <row r="262" spans="1:14" s="37" customFormat="1" x14ac:dyDescent="0.3">
      <c r="A262" s="42">
        <f>A261+1</f>
        <v>1503</v>
      </c>
      <c r="B262" s="42" t="s">
        <v>196</v>
      </c>
      <c r="C262" s="54">
        <v>1</v>
      </c>
      <c r="D262" s="56">
        <f>(40.86)*(10.764)</f>
        <v>439.81703999999996</v>
      </c>
      <c r="E262" s="42">
        <v>0</v>
      </c>
      <c r="F262" s="42">
        <f>D262*(($F$177)+1)+(IF(E262&lt;101,E262,IF(E262&lt;201,E262/2,IF(E262&lt;=301,E262/3,E262/4))))</f>
        <v>703.70726400000001</v>
      </c>
      <c r="G262" s="78"/>
      <c r="H262" s="79"/>
      <c r="I262" s="36"/>
      <c r="N262" s="36"/>
    </row>
    <row r="263" spans="1:14" s="37" customFormat="1" x14ac:dyDescent="0.3">
      <c r="A263" s="42">
        <f>A262+1</f>
        <v>1504</v>
      </c>
      <c r="B263" s="42" t="s">
        <v>198</v>
      </c>
      <c r="C263" s="54">
        <v>2</v>
      </c>
      <c r="D263" s="56">
        <f>(53.05)*(10.764)</f>
        <v>571.03019999999992</v>
      </c>
      <c r="E263" s="42">
        <v>0</v>
      </c>
      <c r="F263" s="42">
        <f>D263*(($F$177)+1)+(IF(E263&lt;101,E263,IF(E263&lt;201,E263/2,IF(E263&lt;=301,E263/3,E263/4))))</f>
        <v>913.6483199999999</v>
      </c>
      <c r="G263" s="78"/>
      <c r="H263" s="79"/>
      <c r="I263" s="36"/>
      <c r="N263" s="36"/>
    </row>
    <row r="264" spans="1:14" s="37" customFormat="1" x14ac:dyDescent="0.3">
      <c r="A264" s="42">
        <f>A263+1</f>
        <v>1505</v>
      </c>
      <c r="B264" s="42" t="s">
        <v>196</v>
      </c>
      <c r="C264" s="54">
        <v>2</v>
      </c>
      <c r="D264" s="56">
        <f>(56.13)*(10.764)</f>
        <v>604.18331999999998</v>
      </c>
      <c r="E264" s="42">
        <v>0</v>
      </c>
      <c r="F264" s="42">
        <f>D264*(($F$177)+1)+(IF(E264&lt;101,E264,IF(E264&lt;201,E264/2,IF(E264&lt;=301,E264/3,E264/4))))</f>
        <v>966.69331199999999</v>
      </c>
      <c r="G264" s="80"/>
      <c r="H264" s="81"/>
      <c r="I264" s="36"/>
      <c r="N264" s="36"/>
    </row>
    <row r="265" spans="1:14" s="37" customFormat="1" x14ac:dyDescent="0.3">
      <c r="A265" s="83" t="s">
        <v>215</v>
      </c>
      <c r="B265" s="83"/>
      <c r="C265" s="83"/>
      <c r="D265" s="83"/>
      <c r="E265" s="83"/>
      <c r="F265" s="83"/>
      <c r="G265" s="83"/>
      <c r="H265" s="83"/>
      <c r="I265" s="36"/>
      <c r="L265" s="82"/>
      <c r="M265" s="82"/>
    </row>
    <row r="266" spans="1:14" s="37" customFormat="1" x14ac:dyDescent="0.3">
      <c r="A266" s="42">
        <f>LEFT(A265,SUM(LEN(A265)-LEN(SUBSTITUTE(A265,{"0","1","2","3","4","5","6","7","8","9"},""))))*100+1</f>
        <v>1601</v>
      </c>
      <c r="B266" s="42" t="s">
        <v>196</v>
      </c>
      <c r="C266" s="54" t="s">
        <v>216</v>
      </c>
      <c r="D266" s="56">
        <f>(70.7)*(10.764)</f>
        <v>761.01480000000004</v>
      </c>
      <c r="E266" s="42">
        <v>0</v>
      </c>
      <c r="F266" s="42">
        <f t="shared" ref="F266:F267" si="30">D266*(($F$177)+1)+(IF(E266&lt;101,E266,IF(E266&lt;201,E266/2,IF(E266&lt;=301,E266/3,E266/4))))</f>
        <v>1217.6236800000001</v>
      </c>
      <c r="G266" s="76" t="str">
        <f>A265</f>
        <v>16th Floor</v>
      </c>
      <c r="H266" s="77"/>
      <c r="I266" s="36"/>
      <c r="N266" s="36"/>
    </row>
    <row r="267" spans="1:14" s="37" customFormat="1" x14ac:dyDescent="0.3">
      <c r="A267" s="42">
        <f>A266+1</f>
        <v>1602</v>
      </c>
      <c r="B267" s="42" t="s">
        <v>196</v>
      </c>
      <c r="C267" s="54" t="s">
        <v>207</v>
      </c>
      <c r="D267" s="56">
        <f>(52.28)*(10.764)</f>
        <v>562.74191999999994</v>
      </c>
      <c r="E267" s="42">
        <v>0</v>
      </c>
      <c r="F267" s="42">
        <f t="shared" si="30"/>
        <v>900.38707199999999</v>
      </c>
      <c r="G267" s="78"/>
      <c r="H267" s="79"/>
      <c r="I267" s="36"/>
      <c r="N267" s="36"/>
    </row>
    <row r="268" spans="1:14" s="37" customFormat="1" x14ac:dyDescent="0.3">
      <c r="A268" s="42">
        <f>A267+1</f>
        <v>1603</v>
      </c>
      <c r="B268" s="42" t="s">
        <v>196</v>
      </c>
      <c r="C268" s="54">
        <v>1</v>
      </c>
      <c r="D268" s="56">
        <f>(40.86)*(10.764)</f>
        <v>439.81703999999996</v>
      </c>
      <c r="E268" s="42">
        <v>0</v>
      </c>
      <c r="F268" s="42">
        <f>D268*(($F$177)+1)+(IF(E268&lt;101,E268,IF(E268&lt;201,E268/2,IF(E268&lt;=301,E268/3,E268/4))))</f>
        <v>703.70726400000001</v>
      </c>
      <c r="G268" s="78"/>
      <c r="H268" s="79"/>
      <c r="I268" s="36"/>
      <c r="N268" s="36"/>
    </row>
    <row r="269" spans="1:14" s="37" customFormat="1" x14ac:dyDescent="0.3">
      <c r="A269" s="42">
        <f>A268+1</f>
        <v>1604</v>
      </c>
      <c r="B269" s="42" t="s">
        <v>196</v>
      </c>
      <c r="C269" s="54">
        <v>2</v>
      </c>
      <c r="D269" s="56">
        <f>(53.05)*(10.764)</f>
        <v>571.03019999999992</v>
      </c>
      <c r="E269" s="42">
        <v>0</v>
      </c>
      <c r="F269" s="42">
        <f>D269*(($F$177)+1)+(IF(E269&lt;101,E269,IF(E269&lt;201,E269/2,IF(E269&lt;=301,E269/3,E269/4))))</f>
        <v>913.6483199999999</v>
      </c>
      <c r="G269" s="78"/>
      <c r="H269" s="79"/>
      <c r="I269" s="36"/>
      <c r="N269" s="36"/>
    </row>
    <row r="270" spans="1:14" s="37" customFormat="1" x14ac:dyDescent="0.3">
      <c r="A270" s="42">
        <f>A269+1</f>
        <v>1605</v>
      </c>
      <c r="B270" s="42" t="s">
        <v>198</v>
      </c>
      <c r="C270" s="54">
        <v>2</v>
      </c>
      <c r="D270" s="56">
        <f>(56.13)*(10.764)</f>
        <v>604.18331999999998</v>
      </c>
      <c r="E270" s="42">
        <v>0</v>
      </c>
      <c r="F270" s="42">
        <f>D270*(($F$177)+1)+(IF(E270&lt;101,E270,IF(E270&lt;201,E270/2,IF(E270&lt;=301,E270/3,E270/4))))</f>
        <v>966.69331199999999</v>
      </c>
      <c r="G270" s="80"/>
      <c r="H270" s="81"/>
      <c r="I270" s="36"/>
      <c r="N270" s="36"/>
    </row>
    <row r="271" spans="1:14" s="37" customFormat="1" x14ac:dyDescent="0.3">
      <c r="A271" s="83" t="s">
        <v>217</v>
      </c>
      <c r="B271" s="83"/>
      <c r="C271" s="83"/>
      <c r="D271" s="83"/>
      <c r="E271" s="83"/>
      <c r="F271" s="83"/>
      <c r="G271" s="83"/>
      <c r="H271" s="83"/>
      <c r="I271" s="36"/>
      <c r="L271" s="82"/>
      <c r="M271" s="82"/>
    </row>
    <row r="272" spans="1:14" s="37" customFormat="1" x14ac:dyDescent="0.3">
      <c r="A272" s="42">
        <f>LEFT(A271,SUM(LEN(A271)-LEN(SUBSTITUTE(A271,{"0","1","2","3","4","5","6","7","8","9"},""))))*100+1</f>
        <v>1701</v>
      </c>
      <c r="B272" s="42" t="s">
        <v>196</v>
      </c>
      <c r="C272" s="54" t="s">
        <v>216</v>
      </c>
      <c r="D272" s="56">
        <f>((70.7)*(10.764))*(10.764)</f>
        <v>8191.5633072000001</v>
      </c>
      <c r="E272" s="42">
        <v>0</v>
      </c>
      <c r="F272" s="42">
        <f t="shared" ref="F272:F273" si="31">D272*(($F$177)+1)+(IF(E272&lt;101,E272,IF(E272&lt;201,E272/2,IF(E272&lt;=301,E272/3,E272/4))))</f>
        <v>13106.50129152</v>
      </c>
      <c r="G272" s="76" t="str">
        <f>A271</f>
        <v>17th Floor</v>
      </c>
      <c r="H272" s="77"/>
      <c r="I272" s="36"/>
      <c r="N272" s="36"/>
    </row>
    <row r="273" spans="1:14" s="37" customFormat="1" x14ac:dyDescent="0.3">
      <c r="A273" s="42">
        <f>A272+1</f>
        <v>1702</v>
      </c>
      <c r="B273" s="42" t="s">
        <v>196</v>
      </c>
      <c r="C273" s="54" t="s">
        <v>207</v>
      </c>
      <c r="D273" s="56">
        <f>(57.07)*(10.764)</f>
        <v>614.30147999999997</v>
      </c>
      <c r="E273" s="42">
        <v>0</v>
      </c>
      <c r="F273" s="42">
        <f t="shared" si="31"/>
        <v>982.88236800000004</v>
      </c>
      <c r="G273" s="78"/>
      <c r="H273" s="79"/>
      <c r="I273" s="36"/>
      <c r="N273" s="36"/>
    </row>
    <row r="274" spans="1:14" s="37" customFormat="1" x14ac:dyDescent="0.3">
      <c r="A274" s="42">
        <f>A273+1</f>
        <v>1703</v>
      </c>
      <c r="B274" s="42" t="s">
        <v>198</v>
      </c>
      <c r="C274" s="54">
        <v>1</v>
      </c>
      <c r="D274" s="56">
        <f>(40.86)*(10.764)</f>
        <v>439.81703999999996</v>
      </c>
      <c r="E274" s="42">
        <v>0</v>
      </c>
      <c r="F274" s="42">
        <f>D274*(($F$177)+1)+(IF(E274&lt;101,E274,IF(E274&lt;201,E274/2,IF(E274&lt;=301,E274/3,E274/4))))</f>
        <v>703.70726400000001</v>
      </c>
      <c r="G274" s="78"/>
      <c r="H274" s="79"/>
      <c r="I274" s="36"/>
      <c r="N274" s="36"/>
    </row>
    <row r="275" spans="1:14" s="37" customFormat="1" x14ac:dyDescent="0.3">
      <c r="A275" s="42">
        <f>A274+1</f>
        <v>1704</v>
      </c>
      <c r="B275" s="42" t="s">
        <v>198</v>
      </c>
      <c r="C275" s="54">
        <v>2</v>
      </c>
      <c r="D275" s="56">
        <f>(53.05)*(10.764)</f>
        <v>571.03019999999992</v>
      </c>
      <c r="E275" s="42">
        <v>0</v>
      </c>
      <c r="F275" s="42">
        <f>D275*(($F$177)+1)+(IF(E275&lt;101,E275,IF(E275&lt;201,E275/2,IF(E275&lt;=301,E275/3,E275/4))))</f>
        <v>913.6483199999999</v>
      </c>
      <c r="G275" s="78"/>
      <c r="H275" s="79"/>
      <c r="I275" s="36"/>
      <c r="N275" s="36"/>
    </row>
    <row r="276" spans="1:14" s="37" customFormat="1" x14ac:dyDescent="0.3">
      <c r="A276" s="42">
        <f>A275+1</f>
        <v>1705</v>
      </c>
      <c r="B276" s="42" t="s">
        <v>198</v>
      </c>
      <c r="C276" s="54">
        <v>2</v>
      </c>
      <c r="D276" s="56">
        <f>(56.13)*(10.764)</f>
        <v>604.18331999999998</v>
      </c>
      <c r="E276" s="42">
        <v>0</v>
      </c>
      <c r="F276" s="42">
        <f>D276*(($F$177)+1)+(IF(E276&lt;101,E276,IF(E276&lt;201,E276/2,IF(E276&lt;=301,E276/3,E276/4))))</f>
        <v>966.69331199999999</v>
      </c>
      <c r="G276" s="80"/>
      <c r="H276" s="81"/>
      <c r="I276" s="36"/>
      <c r="N276" s="36"/>
    </row>
    <row r="277" spans="1:14" s="37" customFormat="1" x14ac:dyDescent="0.3">
      <c r="A277" s="83" t="s">
        <v>218</v>
      </c>
      <c r="B277" s="83"/>
      <c r="C277" s="83"/>
      <c r="D277" s="83"/>
      <c r="E277" s="83"/>
      <c r="F277" s="83"/>
      <c r="G277" s="83"/>
      <c r="H277" s="83"/>
      <c r="I277" s="36"/>
      <c r="L277" s="82"/>
      <c r="M277" s="82"/>
    </row>
    <row r="278" spans="1:14" s="37" customFormat="1" x14ac:dyDescent="0.3">
      <c r="A278" s="42">
        <f>LEFT(A277,SUM(LEN(A277)-LEN(SUBSTITUTE(A277,{"0","1","2","3","4","5","6","7","8","9"},""))))*100+1</f>
        <v>1801</v>
      </c>
      <c r="B278" s="42" t="s">
        <v>196</v>
      </c>
      <c r="C278" s="54" t="s">
        <v>216</v>
      </c>
      <c r="D278" s="56">
        <f>((70.7)*(10.764))*(10.764)</f>
        <v>8191.5633072000001</v>
      </c>
      <c r="E278" s="42">
        <v>0</v>
      </c>
      <c r="F278" s="42">
        <f t="shared" ref="F278:F279" si="32">D278*(($F$177)+1)+(IF(E278&lt;101,E278,IF(E278&lt;201,E278/2,IF(E278&lt;=301,E278/3,E278/4))))</f>
        <v>13106.50129152</v>
      </c>
      <c r="G278" s="76" t="str">
        <f>A277</f>
        <v>18th Floor</v>
      </c>
      <c r="H278" s="77"/>
      <c r="I278" s="36"/>
      <c r="N278" s="36"/>
    </row>
    <row r="279" spans="1:14" s="37" customFormat="1" x14ac:dyDescent="0.3">
      <c r="A279" s="42">
        <f>A278+1</f>
        <v>1802</v>
      </c>
      <c r="B279" s="42" t="s">
        <v>198</v>
      </c>
      <c r="C279" s="54" t="s">
        <v>207</v>
      </c>
      <c r="D279" s="56">
        <f>(53.92)*(10.764)</f>
        <v>580.39487999999994</v>
      </c>
      <c r="E279" s="42">
        <v>0</v>
      </c>
      <c r="F279" s="42">
        <f t="shared" si="32"/>
        <v>928.63180799999998</v>
      </c>
      <c r="G279" s="78"/>
      <c r="H279" s="79"/>
      <c r="I279" s="36"/>
      <c r="N279" s="36"/>
    </row>
    <row r="280" spans="1:14" s="37" customFormat="1" x14ac:dyDescent="0.3">
      <c r="A280" s="42">
        <f>A279+1</f>
        <v>1803</v>
      </c>
      <c r="B280" s="42" t="s">
        <v>198</v>
      </c>
      <c r="C280" s="54">
        <v>1</v>
      </c>
      <c r="D280" s="56">
        <f>(40.86)*(10.764)</f>
        <v>439.81703999999996</v>
      </c>
      <c r="E280" s="42">
        <v>0</v>
      </c>
      <c r="F280" s="42">
        <f>D280*(($F$177)+1)+(IF(E280&lt;101,E280,IF(E280&lt;201,E280/2,IF(E280&lt;=301,E280/3,E280/4))))</f>
        <v>703.70726400000001</v>
      </c>
      <c r="G280" s="78"/>
      <c r="H280" s="79"/>
      <c r="I280" s="36"/>
      <c r="N280" s="36"/>
    </row>
    <row r="281" spans="1:14" s="37" customFormat="1" x14ac:dyDescent="0.3">
      <c r="A281" s="42">
        <f>A280+1</f>
        <v>1804</v>
      </c>
      <c r="B281" s="42" t="s">
        <v>198</v>
      </c>
      <c r="C281" s="54">
        <v>2</v>
      </c>
      <c r="D281" s="56">
        <f>(53.05)*(10.764)</f>
        <v>571.03019999999992</v>
      </c>
      <c r="E281" s="42">
        <v>0</v>
      </c>
      <c r="F281" s="42">
        <f>D281*(($F$177)+1)+(IF(E281&lt;101,E281,IF(E281&lt;201,E281/2,IF(E281&lt;=301,E281/3,E281/4))))</f>
        <v>913.6483199999999</v>
      </c>
      <c r="G281" s="78"/>
      <c r="H281" s="79"/>
      <c r="I281" s="36"/>
      <c r="N281" s="36"/>
    </row>
    <row r="282" spans="1:14" s="37" customFormat="1" x14ac:dyDescent="0.3">
      <c r="A282" s="42">
        <f>A281+1</f>
        <v>1805</v>
      </c>
      <c r="B282" s="42" t="s">
        <v>198</v>
      </c>
      <c r="C282" s="54">
        <v>2</v>
      </c>
      <c r="D282" s="56">
        <f>(56.13)*(10.764)</f>
        <v>604.18331999999998</v>
      </c>
      <c r="E282" s="42">
        <v>0</v>
      </c>
      <c r="F282" s="42">
        <f>D282*(($F$177)+1)+(IF(E282&lt;101,E282,IF(E282&lt;201,E282/2,IF(E282&lt;=301,E282/3,E282/4))))</f>
        <v>966.69331199999999</v>
      </c>
      <c r="G282" s="80"/>
      <c r="H282" s="81"/>
      <c r="I282" s="36"/>
      <c r="N282" s="36"/>
    </row>
    <row r="283" spans="1:14" s="37" customFormat="1" x14ac:dyDescent="0.3">
      <c r="A283" s="83" t="s">
        <v>219</v>
      </c>
      <c r="B283" s="83"/>
      <c r="C283" s="83"/>
      <c r="D283" s="83"/>
      <c r="E283" s="83"/>
      <c r="F283" s="83"/>
      <c r="G283" s="83"/>
      <c r="H283" s="83"/>
      <c r="I283" s="36"/>
      <c r="L283" s="82"/>
      <c r="M283" s="82"/>
    </row>
    <row r="284" spans="1:14" s="37" customFormat="1" x14ac:dyDescent="0.3">
      <c r="A284" s="42">
        <f>LEFT(A283,SUM(LEN(A283)-LEN(SUBSTITUTE(A283,{"0","1","2","3","4","5","6","7","8","9"},""))))*100+1</f>
        <v>1901</v>
      </c>
      <c r="B284" s="42" t="s">
        <v>196</v>
      </c>
      <c r="C284" s="54" t="s">
        <v>216</v>
      </c>
      <c r="D284" s="56">
        <f>(70.7)*(10.764)</f>
        <v>761.01480000000004</v>
      </c>
      <c r="E284" s="42">
        <v>0</v>
      </c>
      <c r="F284" s="42">
        <f t="shared" ref="F284:F285" si="33">D284*(($F$177)+1)+(IF(E284&lt;101,E284,IF(E284&lt;201,E284/2,IF(E284&lt;=301,E284/3,E284/4))))</f>
        <v>1217.6236800000001</v>
      </c>
      <c r="G284" s="76" t="str">
        <f>A283</f>
        <v>19th Floor</v>
      </c>
      <c r="H284" s="77"/>
      <c r="I284" s="36"/>
      <c r="N284" s="36"/>
    </row>
    <row r="285" spans="1:14" s="37" customFormat="1" x14ac:dyDescent="0.3">
      <c r="A285" s="42">
        <f>A284+1</f>
        <v>1902</v>
      </c>
      <c r="B285" s="42" t="s">
        <v>198</v>
      </c>
      <c r="C285" s="54" t="s">
        <v>207</v>
      </c>
      <c r="D285" s="56">
        <f>(53.92)*(10.764)</f>
        <v>580.39487999999994</v>
      </c>
      <c r="E285" s="42">
        <v>0</v>
      </c>
      <c r="F285" s="42">
        <f t="shared" si="33"/>
        <v>928.63180799999998</v>
      </c>
      <c r="G285" s="78"/>
      <c r="H285" s="79"/>
      <c r="I285" s="36"/>
      <c r="N285" s="36"/>
    </row>
    <row r="286" spans="1:14" s="37" customFormat="1" x14ac:dyDescent="0.3">
      <c r="A286" s="42">
        <f>A285+1</f>
        <v>1903</v>
      </c>
      <c r="B286" s="42" t="s">
        <v>198</v>
      </c>
      <c r="C286" s="54">
        <v>1</v>
      </c>
      <c r="D286" s="56">
        <f>(40.86)*(10.764)</f>
        <v>439.81703999999996</v>
      </c>
      <c r="E286" s="42">
        <v>0</v>
      </c>
      <c r="F286" s="42">
        <f>D286*(($F$177)+1)+(IF(E286&lt;101,E286,IF(E286&lt;201,E286/2,IF(E286&lt;=301,E286/3,E286/4))))</f>
        <v>703.70726400000001</v>
      </c>
      <c r="G286" s="78"/>
      <c r="H286" s="79"/>
      <c r="I286" s="36"/>
      <c r="N286" s="36"/>
    </row>
    <row r="287" spans="1:14" s="37" customFormat="1" x14ac:dyDescent="0.3">
      <c r="A287" s="42">
        <f>A286+1</f>
        <v>1904</v>
      </c>
      <c r="B287" s="42" t="s">
        <v>198</v>
      </c>
      <c r="C287" s="54">
        <v>2</v>
      </c>
      <c r="D287" s="56">
        <f>(53.05)*(10.764)</f>
        <v>571.03019999999992</v>
      </c>
      <c r="E287" s="42">
        <v>0</v>
      </c>
      <c r="F287" s="42">
        <f>D287*(($F$177)+1)+(IF(E287&lt;101,E287,IF(E287&lt;201,E287/2,IF(E287&lt;=301,E287/3,E287/4))))</f>
        <v>913.6483199999999</v>
      </c>
      <c r="G287" s="78"/>
      <c r="H287" s="79"/>
      <c r="I287" s="36"/>
      <c r="N287" s="36"/>
    </row>
    <row r="288" spans="1:14" s="37" customFormat="1" x14ac:dyDescent="0.3">
      <c r="A288" s="42">
        <f>A287+1</f>
        <v>1905</v>
      </c>
      <c r="B288" s="42" t="s">
        <v>198</v>
      </c>
      <c r="C288" s="54">
        <v>2</v>
      </c>
      <c r="D288" s="56">
        <f>(56.13)*(10.764)</f>
        <v>604.18331999999998</v>
      </c>
      <c r="E288" s="42">
        <v>0</v>
      </c>
      <c r="F288" s="42">
        <f>D288*(($F$177)+1)+(IF(E288&lt;101,E288,IF(E288&lt;201,E288/2,IF(E288&lt;=301,E288/3,E288/4))))</f>
        <v>966.69331199999999</v>
      </c>
      <c r="G288" s="80"/>
      <c r="H288" s="81"/>
      <c r="I288" s="36"/>
      <c r="N288" s="36"/>
    </row>
    <row r="289" spans="1:14" s="37" customFormat="1" x14ac:dyDescent="0.3">
      <c r="A289" s="83" t="s">
        <v>220</v>
      </c>
      <c r="B289" s="83"/>
      <c r="C289" s="83"/>
      <c r="D289" s="83"/>
      <c r="E289" s="83"/>
      <c r="F289" s="83"/>
      <c r="G289" s="83"/>
      <c r="H289" s="83"/>
      <c r="I289" s="36"/>
      <c r="L289" s="82"/>
      <c r="M289" s="82"/>
    </row>
    <row r="290" spans="1:14" s="37" customFormat="1" x14ac:dyDescent="0.3">
      <c r="A290" s="42">
        <f>LEFT(A289,SUM(LEN(A289)-LEN(SUBSTITUTE(A289,{"0","1","2","3","4","5","6","7","8","9"},""))))*100+1</f>
        <v>2001</v>
      </c>
      <c r="B290" s="42" t="s">
        <v>196</v>
      </c>
      <c r="C290" s="54" t="s">
        <v>216</v>
      </c>
      <c r="D290" s="56">
        <f>(70.7)*(10.764)</f>
        <v>761.01480000000004</v>
      </c>
      <c r="E290" s="42">
        <v>0</v>
      </c>
      <c r="F290" s="42">
        <f t="shared" ref="F290:F291" si="34">D290*(($F$177)+1)+(IF(E290&lt;101,E290,IF(E290&lt;201,E290/2,IF(E290&lt;=301,E290/3,E290/4))))</f>
        <v>1217.6236800000001</v>
      </c>
      <c r="G290" s="76" t="str">
        <f>A289</f>
        <v>20th Floor</v>
      </c>
      <c r="H290" s="77"/>
      <c r="I290" s="36"/>
      <c r="N290" s="36"/>
    </row>
    <row r="291" spans="1:14" s="37" customFormat="1" x14ac:dyDescent="0.3">
      <c r="A291" s="42">
        <f>A290+1</f>
        <v>2002</v>
      </c>
      <c r="B291" s="42" t="s">
        <v>196</v>
      </c>
      <c r="C291" s="54" t="s">
        <v>207</v>
      </c>
      <c r="D291" s="56">
        <f>(53.92)*(10.764)</f>
        <v>580.39487999999994</v>
      </c>
      <c r="E291" s="42">
        <v>0</v>
      </c>
      <c r="F291" s="42">
        <f t="shared" si="34"/>
        <v>928.63180799999998</v>
      </c>
      <c r="G291" s="78"/>
      <c r="H291" s="79"/>
      <c r="I291" s="36"/>
      <c r="N291" s="36"/>
    </row>
    <row r="292" spans="1:14" s="37" customFormat="1" x14ac:dyDescent="0.3">
      <c r="A292" s="42">
        <f>A291+1</f>
        <v>2003</v>
      </c>
      <c r="B292" s="42" t="s">
        <v>198</v>
      </c>
      <c r="C292" s="54">
        <v>1</v>
      </c>
      <c r="D292" s="56">
        <f>(40.86)*(10.764)</f>
        <v>439.81703999999996</v>
      </c>
      <c r="E292" s="42">
        <v>0</v>
      </c>
      <c r="F292" s="42">
        <f>D292*(($F$177)+1)+(IF(E292&lt;101,E292,IF(E292&lt;201,E292/2,IF(E292&lt;=301,E292/3,E292/4))))</f>
        <v>703.70726400000001</v>
      </c>
      <c r="G292" s="78"/>
      <c r="H292" s="79"/>
      <c r="I292" s="36"/>
      <c r="N292" s="36"/>
    </row>
    <row r="293" spans="1:14" s="37" customFormat="1" x14ac:dyDescent="0.3">
      <c r="A293" s="42">
        <f>A292+1</f>
        <v>2004</v>
      </c>
      <c r="B293" s="42" t="s">
        <v>198</v>
      </c>
      <c r="C293" s="54">
        <v>2</v>
      </c>
      <c r="D293" s="56">
        <f>(53.05)*(10.764)</f>
        <v>571.03019999999992</v>
      </c>
      <c r="E293" s="42">
        <v>0</v>
      </c>
      <c r="F293" s="42">
        <f>D293*(($F$177)+1)+(IF(E293&lt;101,E293,IF(E293&lt;201,E293/2,IF(E293&lt;=301,E293/3,E293/4))))</f>
        <v>913.6483199999999</v>
      </c>
      <c r="G293" s="78"/>
      <c r="H293" s="79"/>
      <c r="I293" s="36"/>
      <c r="N293" s="36"/>
    </row>
    <row r="294" spans="1:14" s="37" customFormat="1" x14ac:dyDescent="0.3">
      <c r="A294" s="42">
        <f>A293+1</f>
        <v>2005</v>
      </c>
      <c r="B294" s="42" t="s">
        <v>198</v>
      </c>
      <c r="C294" s="54">
        <v>2</v>
      </c>
      <c r="D294" s="56">
        <f>(56.13)*(10.764)</f>
        <v>604.18331999999998</v>
      </c>
      <c r="E294" s="42">
        <v>0</v>
      </c>
      <c r="F294" s="42">
        <f>D294*(($F$177)+1)+(IF(E294&lt;101,E294,IF(E294&lt;201,E294/2,IF(E294&lt;=301,E294/3,E294/4))))</f>
        <v>966.69331199999999</v>
      </c>
      <c r="G294" s="80"/>
      <c r="H294" s="81"/>
      <c r="I294" s="36"/>
      <c r="N294" s="36"/>
    </row>
    <row r="295" spans="1:14" s="37" customFormat="1" x14ac:dyDescent="0.3">
      <c r="A295" s="83" t="s">
        <v>221</v>
      </c>
      <c r="B295" s="83"/>
      <c r="C295" s="83"/>
      <c r="D295" s="83"/>
      <c r="E295" s="83"/>
      <c r="F295" s="83"/>
      <c r="G295" s="83"/>
      <c r="H295" s="83"/>
      <c r="I295" s="36"/>
      <c r="L295" s="82"/>
      <c r="M295" s="82"/>
    </row>
    <row r="296" spans="1:14" s="37" customFormat="1" x14ac:dyDescent="0.3">
      <c r="A296" s="42">
        <f>LEFT(A295,SUM(LEN(A295)-LEN(SUBSTITUTE(A295,{"0","1","2","3","4","5","6","7","8","9"},""))))*100+1</f>
        <v>2101</v>
      </c>
      <c r="B296" s="42" t="s">
        <v>196</v>
      </c>
      <c r="C296" s="54" t="s">
        <v>216</v>
      </c>
      <c r="D296" s="56">
        <f>(70.7)*(10.764)</f>
        <v>761.01480000000004</v>
      </c>
      <c r="E296" s="42">
        <v>0</v>
      </c>
      <c r="F296" s="42">
        <f t="shared" ref="F296:F297" si="35">D296*(($F$177)+1)+(IF(E296&lt;101,E296,IF(E296&lt;201,E296/2,IF(E296&lt;=301,E296/3,E296/4))))</f>
        <v>1217.6236800000001</v>
      </c>
      <c r="G296" s="76" t="str">
        <f>A295</f>
        <v>21st Floor</v>
      </c>
      <c r="H296" s="77"/>
      <c r="I296" s="36"/>
      <c r="N296" s="36"/>
    </row>
    <row r="297" spans="1:14" s="37" customFormat="1" x14ac:dyDescent="0.3">
      <c r="A297" s="42">
        <f>A296+1</f>
        <v>2102</v>
      </c>
      <c r="B297" s="42" t="s">
        <v>198</v>
      </c>
      <c r="C297" s="54" t="s">
        <v>207</v>
      </c>
      <c r="D297" s="56">
        <f>(53.92)*(10.764)</f>
        <v>580.39487999999994</v>
      </c>
      <c r="E297" s="42">
        <v>0</v>
      </c>
      <c r="F297" s="42">
        <f t="shared" si="35"/>
        <v>928.63180799999998</v>
      </c>
      <c r="G297" s="78"/>
      <c r="H297" s="79"/>
      <c r="I297" s="36"/>
      <c r="N297" s="36"/>
    </row>
    <row r="298" spans="1:14" s="37" customFormat="1" x14ac:dyDescent="0.3">
      <c r="A298" s="42">
        <f>A297+1</f>
        <v>2103</v>
      </c>
      <c r="B298" s="42" t="s">
        <v>198</v>
      </c>
      <c r="C298" s="54">
        <v>1</v>
      </c>
      <c r="D298" s="56">
        <f>(40.86)*(10.764)</f>
        <v>439.81703999999996</v>
      </c>
      <c r="E298" s="42">
        <v>0</v>
      </c>
      <c r="F298" s="42">
        <f>D298*(($F$177)+1)+(IF(E298&lt;101,E298,IF(E298&lt;201,E298/2,IF(E298&lt;=301,E298/3,E298/4))))</f>
        <v>703.70726400000001</v>
      </c>
      <c r="G298" s="78"/>
      <c r="H298" s="79"/>
      <c r="I298" s="36"/>
      <c r="N298" s="36"/>
    </row>
    <row r="299" spans="1:14" s="37" customFormat="1" x14ac:dyDescent="0.3">
      <c r="A299" s="42">
        <f>A298+1</f>
        <v>2104</v>
      </c>
      <c r="B299" s="42" t="s">
        <v>198</v>
      </c>
      <c r="C299" s="54">
        <v>2</v>
      </c>
      <c r="D299" s="56">
        <f>(53.05)*(10.764)</f>
        <v>571.03019999999992</v>
      </c>
      <c r="E299" s="42">
        <v>0</v>
      </c>
      <c r="F299" s="42">
        <f>D299*(($F$177)+1)+(IF(E299&lt;101,E299,IF(E299&lt;201,E299/2,IF(E299&lt;=301,E299/3,E299/4))))</f>
        <v>913.6483199999999</v>
      </c>
      <c r="G299" s="78"/>
      <c r="H299" s="79"/>
      <c r="I299" s="36"/>
      <c r="N299" s="36"/>
    </row>
    <row r="300" spans="1:14" s="37" customFormat="1" x14ac:dyDescent="0.3">
      <c r="A300" s="42">
        <f>A299+1</f>
        <v>2105</v>
      </c>
      <c r="B300" s="42" t="s">
        <v>196</v>
      </c>
      <c r="C300" s="54">
        <v>2</v>
      </c>
      <c r="D300" s="56">
        <f>(56.13)*(10.764)</f>
        <v>604.18331999999998</v>
      </c>
      <c r="E300" s="42">
        <v>0</v>
      </c>
      <c r="F300" s="42">
        <f>D300*(($F$177)+1)+(IF(E300&lt;101,E300,IF(E300&lt;201,E300/2,IF(E300&lt;=301,E300/3,E300/4))))</f>
        <v>966.69331199999999</v>
      </c>
      <c r="G300" s="80"/>
      <c r="H300" s="81"/>
      <c r="I300" s="36">
        <f>25000000/F300</f>
        <v>25861.356119530079</v>
      </c>
      <c r="N300" s="36"/>
    </row>
    <row r="301" spans="1:14" s="37" customFormat="1" x14ac:dyDescent="0.3">
      <c r="A301" s="83" t="s">
        <v>222</v>
      </c>
      <c r="B301" s="83"/>
      <c r="C301" s="83"/>
      <c r="D301" s="83"/>
      <c r="E301" s="83"/>
      <c r="F301" s="83"/>
      <c r="G301" s="83"/>
      <c r="H301" s="83"/>
      <c r="I301" s="36"/>
      <c r="L301" s="82"/>
      <c r="M301" s="82"/>
    </row>
    <row r="302" spans="1:14" s="37" customFormat="1" x14ac:dyDescent="0.3">
      <c r="A302" s="42">
        <f>LEFT(A301,SUM(LEN(A301)-LEN(SUBSTITUTE(A301,{"0","1","2","3","4","5","6","7","8","9"},""))))*100+1</f>
        <v>2201</v>
      </c>
      <c r="B302" s="42" t="s">
        <v>198</v>
      </c>
      <c r="C302" s="54" t="s">
        <v>216</v>
      </c>
      <c r="D302" s="56">
        <f>(70.7)*(10.764)</f>
        <v>761.01480000000004</v>
      </c>
      <c r="E302" s="42">
        <v>0</v>
      </c>
      <c r="F302" s="42">
        <f t="shared" ref="F302:F303" si="36">D302*(($F$177)+1)+(IF(E302&lt;101,E302,IF(E302&lt;201,E302/2,IF(E302&lt;=301,E302/3,E302/4))))</f>
        <v>1217.6236800000001</v>
      </c>
      <c r="G302" s="76" t="str">
        <f>A301</f>
        <v>22nd Floor &amp; Part Amenity Area</v>
      </c>
      <c r="H302" s="77"/>
      <c r="I302" s="36"/>
      <c r="N302" s="36"/>
    </row>
    <row r="303" spans="1:14" s="37" customFormat="1" x14ac:dyDescent="0.3">
      <c r="A303" s="42">
        <f>A302+1</f>
        <v>2202</v>
      </c>
      <c r="B303" s="42" t="s">
        <v>198</v>
      </c>
      <c r="C303" s="54">
        <v>3</v>
      </c>
      <c r="D303" s="56">
        <f>(106.06)*(10.764)</f>
        <v>1141.6298400000001</v>
      </c>
      <c r="E303" s="42">
        <v>0</v>
      </c>
      <c r="F303" s="42">
        <f t="shared" si="36"/>
        <v>1826.6077440000001</v>
      </c>
      <c r="G303" s="80"/>
      <c r="H303" s="81"/>
      <c r="I303" s="36"/>
      <c r="N303" s="36"/>
    </row>
    <row r="304" spans="1:14" s="37" customFormat="1" x14ac:dyDescent="0.3">
      <c r="A304" s="84" t="s">
        <v>195</v>
      </c>
      <c r="B304" s="85"/>
      <c r="C304" s="85"/>
      <c r="D304" s="85"/>
      <c r="E304" s="85"/>
      <c r="F304" s="85"/>
      <c r="G304" s="85"/>
      <c r="H304" s="86"/>
      <c r="J304" s="36"/>
    </row>
    <row r="305" spans="1:14" s="37" customFormat="1" x14ac:dyDescent="0.3">
      <c r="A305" s="83" t="s">
        <v>252</v>
      </c>
      <c r="B305" s="83"/>
      <c r="C305" s="83"/>
      <c r="D305" s="83"/>
      <c r="E305" s="83"/>
      <c r="F305" s="83"/>
      <c r="G305" s="83"/>
      <c r="H305" s="83"/>
      <c r="I305" s="36"/>
      <c r="L305" s="82"/>
      <c r="M305" s="82"/>
    </row>
    <row r="306" spans="1:14" s="37" customFormat="1" x14ac:dyDescent="0.3">
      <c r="A306" s="42">
        <f>LEFT(A305,SUM(LEN(A305)-LEN(SUBSTITUTE(A305,{"0","1","2","3","4","5","6","7","8","9"},""))))*100+1</f>
        <v>501</v>
      </c>
      <c r="B306" s="42" t="s">
        <v>196</v>
      </c>
      <c r="C306" s="54">
        <v>1</v>
      </c>
      <c r="D306" s="56">
        <f>(40.65)*(10.764)</f>
        <v>437.55659999999995</v>
      </c>
      <c r="E306" s="42">
        <v>0</v>
      </c>
      <c r="F306" s="42">
        <f t="shared" ref="F306:F307" si="37">D306*(($F$177)+1)+(IF(E306&lt;101,E306,IF(E306&lt;201,E306/2,IF(E306&lt;=301,E306/3,E306/4))))</f>
        <v>700.09055999999998</v>
      </c>
      <c r="G306" s="76" t="str">
        <f>A305</f>
        <v>5th Floor For Residential</v>
      </c>
      <c r="H306" s="77"/>
      <c r="I306" s="36"/>
      <c r="N306" s="36"/>
    </row>
    <row r="307" spans="1:14" s="37" customFormat="1" x14ac:dyDescent="0.3">
      <c r="A307" s="42">
        <f>A306+1</f>
        <v>502</v>
      </c>
      <c r="B307" s="42" t="s">
        <v>196</v>
      </c>
      <c r="C307" s="54">
        <v>1</v>
      </c>
      <c r="D307" s="56">
        <f>(41.37)*(10.764)</f>
        <v>445.30667999999997</v>
      </c>
      <c r="E307" s="42">
        <v>0</v>
      </c>
      <c r="F307" s="42">
        <f t="shared" si="37"/>
        <v>712.49068799999998</v>
      </c>
      <c r="G307" s="78"/>
      <c r="H307" s="79"/>
      <c r="I307" s="36"/>
      <c r="N307" s="36"/>
    </row>
    <row r="308" spans="1:14" s="37" customFormat="1" x14ac:dyDescent="0.3">
      <c r="A308" s="42">
        <f>A307+1</f>
        <v>503</v>
      </c>
      <c r="B308" s="42" t="s">
        <v>196</v>
      </c>
      <c r="C308" s="54">
        <v>1</v>
      </c>
      <c r="D308" s="56">
        <f>(40.73)*(10.764)</f>
        <v>438.41771999999992</v>
      </c>
      <c r="E308" s="42">
        <v>0</v>
      </c>
      <c r="F308" s="42">
        <f>D308*(($F$177)+1)+(IF(E308&lt;101,E308,IF(E308&lt;201,E308/2,IF(E308&lt;=301,E308/3,E308/4))))</f>
        <v>701.46835199999987</v>
      </c>
      <c r="G308" s="78"/>
      <c r="H308" s="79"/>
      <c r="I308" s="36"/>
      <c r="N308" s="36"/>
    </row>
    <row r="309" spans="1:14" s="37" customFormat="1" x14ac:dyDescent="0.3">
      <c r="A309" s="42">
        <f>A308+1</f>
        <v>504</v>
      </c>
      <c r="B309" s="42" t="s">
        <v>196</v>
      </c>
      <c r="C309" s="54">
        <v>1</v>
      </c>
      <c r="D309" s="56">
        <f>(41.31)*(10.764)</f>
        <v>444.66084000000001</v>
      </c>
      <c r="E309" s="42">
        <v>0</v>
      </c>
      <c r="F309" s="42">
        <f>D309*(($F$177)+1)+(IF(E309&lt;101,E309,IF(E309&lt;201,E309/2,IF(E309&lt;=301,E309/3,E309/4))))</f>
        <v>711.45734400000003</v>
      </c>
      <c r="G309" s="78"/>
      <c r="H309" s="79"/>
      <c r="I309" s="36"/>
      <c r="N309" s="36"/>
    </row>
    <row r="310" spans="1:14" s="37" customFormat="1" x14ac:dyDescent="0.3">
      <c r="A310" s="42">
        <f>A309+1</f>
        <v>505</v>
      </c>
      <c r="B310" s="42" t="s">
        <v>196</v>
      </c>
      <c r="C310" s="54">
        <v>1</v>
      </c>
      <c r="D310" s="56">
        <f>(45.16)*(10.764)</f>
        <v>486.10223999999994</v>
      </c>
      <c r="E310" s="42">
        <v>0</v>
      </c>
      <c r="F310" s="42">
        <f>D310*(($F$177)+1)+(IF(E310&lt;101,E310,IF(E310&lt;201,E310/2,IF(E310&lt;=301,E310/3,E310/4))))</f>
        <v>777.76358399999992</v>
      </c>
      <c r="G310" s="80"/>
      <c r="H310" s="81"/>
      <c r="I310" s="36"/>
      <c r="N310" s="36"/>
    </row>
    <row r="311" spans="1:14" s="37" customFormat="1" x14ac:dyDescent="0.3">
      <c r="A311" s="83" t="s">
        <v>204</v>
      </c>
      <c r="B311" s="83"/>
      <c r="C311" s="83"/>
      <c r="D311" s="83"/>
      <c r="E311" s="83"/>
      <c r="F311" s="83"/>
      <c r="G311" s="83"/>
      <c r="H311" s="83"/>
      <c r="I311" s="36"/>
      <c r="L311" s="82"/>
      <c r="M311" s="82"/>
    </row>
    <row r="312" spans="1:14" s="37" customFormat="1" x14ac:dyDescent="0.3">
      <c r="A312" s="42">
        <f>LEFT(A311,SUM(LEN(A311)-LEN(SUBSTITUTE(A311,{"0","1","2","3","4","5","6","7","8","9"},""))))*100+1</f>
        <v>601</v>
      </c>
      <c r="B312" s="42" t="s">
        <v>196</v>
      </c>
      <c r="C312" s="54">
        <v>1</v>
      </c>
      <c r="D312" s="56">
        <f>(40.65)*(10.764)</f>
        <v>437.55659999999995</v>
      </c>
      <c r="E312" s="42">
        <v>0</v>
      </c>
      <c r="F312" s="42">
        <f t="shared" ref="F312:F313" si="38">D312*(($F$177)+1)+(IF(E312&lt;101,E312,IF(E312&lt;201,E312/2,IF(E312&lt;=301,E312/3,E312/4))))</f>
        <v>700.09055999999998</v>
      </c>
      <c r="G312" s="76" t="str">
        <f>A311</f>
        <v>6th Floor</v>
      </c>
      <c r="H312" s="77"/>
      <c r="I312" s="36"/>
      <c r="N312" s="36"/>
    </row>
    <row r="313" spans="1:14" s="37" customFormat="1" x14ac:dyDescent="0.3">
      <c r="A313" s="42">
        <f>A312+1</f>
        <v>602</v>
      </c>
      <c r="B313" s="42" t="s">
        <v>196</v>
      </c>
      <c r="C313" s="54">
        <v>1</v>
      </c>
      <c r="D313" s="56">
        <f>(41.37)*(10.764)</f>
        <v>445.30667999999997</v>
      </c>
      <c r="E313" s="42">
        <v>0</v>
      </c>
      <c r="F313" s="42">
        <f t="shared" si="38"/>
        <v>712.49068799999998</v>
      </c>
      <c r="G313" s="78"/>
      <c r="H313" s="79"/>
      <c r="I313" s="36"/>
      <c r="N313" s="36"/>
    </row>
    <row r="314" spans="1:14" s="37" customFormat="1" x14ac:dyDescent="0.3">
      <c r="A314" s="42">
        <f>A313+1</f>
        <v>603</v>
      </c>
      <c r="B314" s="42" t="s">
        <v>196</v>
      </c>
      <c r="C314" s="54">
        <v>1</v>
      </c>
      <c r="D314" s="56">
        <f>(40.73)*(10.764)</f>
        <v>438.41771999999992</v>
      </c>
      <c r="E314" s="42">
        <v>0</v>
      </c>
      <c r="F314" s="42">
        <f>D314*(($F$177)+1)+(IF(E314&lt;101,E314,IF(E314&lt;201,E314/2,IF(E314&lt;=301,E314/3,E314/4))))</f>
        <v>701.46835199999987</v>
      </c>
      <c r="G314" s="78"/>
      <c r="H314" s="79"/>
      <c r="I314" s="36"/>
      <c r="N314" s="36"/>
    </row>
    <row r="315" spans="1:14" s="37" customFormat="1" x14ac:dyDescent="0.3">
      <c r="A315" s="42">
        <f>A314+1</f>
        <v>604</v>
      </c>
      <c r="B315" s="42" t="s">
        <v>198</v>
      </c>
      <c r="C315" s="54">
        <v>1</v>
      </c>
      <c r="D315" s="56">
        <f>(41.31)*(10.764)</f>
        <v>444.66084000000001</v>
      </c>
      <c r="E315" s="42">
        <v>0</v>
      </c>
      <c r="F315" s="42">
        <f>D315*(($F$177)+1)+(IF(E315&lt;101,E315,IF(E315&lt;201,E315/2,IF(E315&lt;=301,E315/3,E315/4))))</f>
        <v>711.45734400000003</v>
      </c>
      <c r="G315" s="78"/>
      <c r="H315" s="79"/>
      <c r="I315" s="36"/>
      <c r="N315" s="36"/>
    </row>
    <row r="316" spans="1:14" s="37" customFormat="1" x14ac:dyDescent="0.3">
      <c r="A316" s="42">
        <f>A315+1</f>
        <v>605</v>
      </c>
      <c r="B316" s="42" t="s">
        <v>198</v>
      </c>
      <c r="C316" s="54">
        <v>1</v>
      </c>
      <c r="D316" s="56">
        <f>(41.2)*(10.764)</f>
        <v>443.47680000000003</v>
      </c>
      <c r="E316" s="42">
        <v>0</v>
      </c>
      <c r="F316" s="42">
        <f>D316*(($F$177)+1)+(IF(E316&lt;101,E316,IF(E316&lt;201,E316/2,IF(E316&lt;=301,E316/3,E316/4))))</f>
        <v>709.56288000000006</v>
      </c>
      <c r="G316" s="80"/>
      <c r="H316" s="81"/>
      <c r="I316" s="36"/>
      <c r="N316" s="36"/>
    </row>
    <row r="317" spans="1:14" s="37" customFormat="1" x14ac:dyDescent="0.3">
      <c r="A317" s="83" t="s">
        <v>205</v>
      </c>
      <c r="B317" s="83"/>
      <c r="C317" s="83"/>
      <c r="D317" s="83"/>
      <c r="E317" s="83"/>
      <c r="F317" s="83"/>
      <c r="G317" s="83"/>
      <c r="H317" s="83"/>
      <c r="I317" s="36"/>
      <c r="L317" s="82"/>
      <c r="M317" s="82"/>
    </row>
    <row r="318" spans="1:14" s="37" customFormat="1" x14ac:dyDescent="0.3">
      <c r="A318" s="42">
        <f>LEFT(A317,SUM(LEN(A317)-LEN(SUBSTITUTE(A317,{"0","1","2","3","4","5","6","7","8","9"},""))))*100+1</f>
        <v>701</v>
      </c>
      <c r="B318" s="42" t="s">
        <v>198</v>
      </c>
      <c r="C318" s="54">
        <v>1</v>
      </c>
      <c r="D318" s="56">
        <f>(40.65)*(10.764)</f>
        <v>437.55659999999995</v>
      </c>
      <c r="E318" s="42">
        <v>0</v>
      </c>
      <c r="F318" s="42">
        <f t="shared" ref="F318:F319" si="39">D318*(($F$177)+1)+(IF(E318&lt;101,E318,IF(E318&lt;201,E318/2,IF(E318&lt;=301,E318/3,E318/4))))</f>
        <v>700.09055999999998</v>
      </c>
      <c r="G318" s="76" t="str">
        <f>A317</f>
        <v>7th Floor (Part Refuge Area)</v>
      </c>
      <c r="H318" s="77"/>
      <c r="I318" s="36"/>
      <c r="N318" s="36"/>
    </row>
    <row r="319" spans="1:14" s="37" customFormat="1" x14ac:dyDescent="0.3">
      <c r="A319" s="42">
        <f>A318+1</f>
        <v>702</v>
      </c>
      <c r="B319" s="42" t="s">
        <v>198</v>
      </c>
      <c r="C319" s="54">
        <v>1</v>
      </c>
      <c r="D319" s="56">
        <f>(41.37)*(10.764)</f>
        <v>445.30667999999997</v>
      </c>
      <c r="E319" s="42">
        <v>0</v>
      </c>
      <c r="F319" s="42">
        <f t="shared" si="39"/>
        <v>712.49068799999998</v>
      </c>
      <c r="G319" s="78"/>
      <c r="H319" s="79"/>
      <c r="I319" s="36"/>
      <c r="N319" s="36"/>
    </row>
    <row r="320" spans="1:14" s="37" customFormat="1" x14ac:dyDescent="0.3">
      <c r="A320" s="42">
        <f>A319+1</f>
        <v>703</v>
      </c>
      <c r="B320" s="42" t="s">
        <v>198</v>
      </c>
      <c r="C320" s="54">
        <v>1</v>
      </c>
      <c r="D320" s="56">
        <f>(40.73)*(10.764)</f>
        <v>438.41771999999992</v>
      </c>
      <c r="E320" s="42">
        <v>0</v>
      </c>
      <c r="F320" s="42">
        <f>D320*(($F$177)+1)+(IF(E320&lt;101,E320,IF(E320&lt;201,E320/2,IF(E320&lt;=301,E320/3,E320/4))))</f>
        <v>701.46835199999987</v>
      </c>
      <c r="G320" s="78"/>
      <c r="H320" s="79"/>
      <c r="I320" s="36"/>
      <c r="N320" s="36"/>
    </row>
    <row r="321" spans="1:14" s="37" customFormat="1" x14ac:dyDescent="0.3">
      <c r="A321" s="42">
        <f>A320+1</f>
        <v>704</v>
      </c>
      <c r="B321" s="42" t="s">
        <v>198</v>
      </c>
      <c r="C321" s="54">
        <v>1</v>
      </c>
      <c r="D321" s="56">
        <f>(41.31)*(10.764)</f>
        <v>444.66084000000001</v>
      </c>
      <c r="E321" s="42">
        <v>0</v>
      </c>
      <c r="F321" s="42">
        <f>D321*(($F$177)+1)+(IF(E321&lt;101,E321,IF(E321&lt;201,E321/2,IF(E321&lt;=301,E321/3,E321/4))))</f>
        <v>711.45734400000003</v>
      </c>
      <c r="G321" s="78"/>
      <c r="H321" s="79"/>
      <c r="I321" s="36"/>
      <c r="N321" s="36"/>
    </row>
    <row r="322" spans="1:14" s="37" customFormat="1" x14ac:dyDescent="0.3">
      <c r="A322" s="84" t="s">
        <v>224</v>
      </c>
      <c r="B322" s="85"/>
      <c r="C322" s="85"/>
      <c r="D322" s="85"/>
      <c r="E322" s="85"/>
      <c r="F322" s="85"/>
      <c r="G322" s="85"/>
      <c r="H322" s="86"/>
      <c r="I322" s="36"/>
    </row>
    <row r="323" spans="1:14" s="37" customFormat="1" ht="15.75" customHeight="1" x14ac:dyDescent="0.3">
      <c r="A323" s="42" t="str">
        <f ca="1">(SUMPRODUCT(MID(0&amp;(LEFT(A322,SUM(LEN(A322)-LEN(SUBSTITUTE(A322,{"0","1","2"},""))))), LARGE(INDEX(ISNUMBER(--MID((LEFT(A322,SUM(LEN(A322)-LEN(SUBSTITUTE(A322,{"0","1","2"},""))))), ROW(INDIRECT("1:"&amp;LEN((LEFT(A322,SUM(LEN(A322)-LEN(SUBSTITUTE(A322,{"0","1","2"},"")))))))), 1)) * ROW(INDIRECT("1:"&amp;LEN((LEFT(A322,SUM(LEN(A322)-LEN(SUBSTITUTE(A322,{"0","1","2"},"")))))))), 0), ROW(INDIRECT("1:"&amp;LEN((LEFT(A322,SUM(LEN(A322)-LEN(SUBSTITUTE(A322,{"0","1","2"},"")))))))))+1, 1) * 10^ROW(INDIRECT("1:"&amp;LEN((LEFT(A322,SUM(LEN(A322)-LEN(SUBSTITUTE(A322,{"0","1","2"},""))))))))/10))*100+1&amp;""&amp;" to "&amp;""&amp;(SUMPRODUCT(MID(0&amp;(--TRIM(RIGHT(SUBSTITUTE(LEFT(A322,_xlfn.AGGREGATE(16,6,FIND({0,1,2,3,4,5,6,7,8,9},A322,ROW(INDIRECT("1:"&amp;LEN(A322)))),1))," ",REPT(" ",LEN(A322))),LEN(A322)))), LARGE(INDEX(ISNUMBER(--MID((--TRIM(RIGHT(SUBSTITUTE(LEFT(A322,_xlfn.AGGREGATE(16,6,FIND({0,1,2,3,4,5,6,7,8,9},A322,ROW(INDIRECT("1:"&amp;LEN(A322)))),1))," ",REPT(" ",LEN(A322))),LEN(A322)))), ROW(INDIRECT("1:"&amp;LEN((--TRIM(RIGHT(SUBSTITUTE(LEFT(A322,_xlfn.AGGREGATE(16,6,FIND({0,1,2,3,4,5,6,7,8,9},A322,ROW(INDIRECT("1:"&amp;LEN(A322)))),1))," ",REPT(" ",LEN(A322))),LEN(A322))))))), 1)) * ROW(INDIRECT("1:"&amp;LEN((--TRIM(RIGHT(SUBSTITUTE(LEFT(A322,_xlfn.AGGREGATE(16,6,FIND({0,1,2,3,4,5,6,7,8,9},A322,ROW(INDIRECT("1:"&amp;LEN(A322)))),1))," ",REPT(" ",LEN(A322))),LEN(A322))))))), 0), ROW(INDIRECT("1:"&amp;LEN((--TRIM(RIGHT(SUBSTITUTE(LEFT(A322,_xlfn.AGGREGATE(16,6,FIND({0,1,2,3,4,5,6,7,8,9},A322,ROW(INDIRECT("1:"&amp;LEN(A322)))),1))," ",REPT(" ",LEN(A322))),LEN(A322))))))))+1, 1) * 10^ROW(INDIRECT("1:"&amp;LEN((--TRIM(RIGHT(SUBSTITUTE(LEFT(A322,_xlfn.AGGREGATE(16,6,FIND({0,1,2,3,4,5,6,7,8,9},A322,ROW(INDIRECT("1:"&amp;LEN(A322)))),1))," ",REPT(" ",LEN(A322))),LEN(A322)))))))/10))*100+1</f>
        <v>801 to 1001</v>
      </c>
      <c r="B323" s="42" t="s">
        <v>196</v>
      </c>
      <c r="C323" s="54">
        <v>1</v>
      </c>
      <c r="D323" s="56">
        <f>(40.65)*(10.764)</f>
        <v>437.55659999999995</v>
      </c>
      <c r="E323" s="42">
        <v>0</v>
      </c>
      <c r="F323" s="42">
        <f>D323*(($F$177)+1)+(IF(E323&lt;101,E323,IF(E323&lt;201,E323/2,IF(E323&lt;=301,E323/3,E323/4))))</f>
        <v>700.09055999999998</v>
      </c>
      <c r="G323" s="76" t="str">
        <f>A322</f>
        <v>8th to 10th Floor</v>
      </c>
      <c r="H323" s="77"/>
      <c r="I323" s="36"/>
    </row>
    <row r="324" spans="1:14" s="37" customFormat="1" ht="15.75" customHeight="1" x14ac:dyDescent="0.3">
      <c r="A324" s="42" t="str">
        <f ca="1">(SUMPRODUCT(MID(0&amp;(LEFT(A323,SUM(LEN(A323)-LEN(SUBSTITUTE(A323,{"0","1","2"},""))))), LARGE(INDEX(ISNUMBER(--MID((LEFT(A323,SUM(LEN(A323)-LEN(SUBSTITUTE(A323,{"0","1","2"},""))))), ROW(INDIRECT("1:"&amp;LEN((LEFT(A323,SUM(LEN(A323)-LEN(SUBSTITUTE(A323,{"0","1","2"},"")))))))), 1)) * ROW(INDIRECT("1:"&amp;LEN((LEFT(A323,SUM(LEN(A323)-LEN(SUBSTITUTE(A323,{"0","1","2"},"")))))))), 0), ROW(INDIRECT("1:"&amp;LEN((LEFT(A323,SUM(LEN(A323)-LEN(SUBSTITUTE(A323,{"0","1","2"},"")))))))))+1, 1) * 10^ROW(INDIRECT("1:"&amp;LEN((LEFT(A323,SUM(LEN(A323)-LEN(SUBSTITUTE(A323,{"0","1","2"},""))))))))/10))*1+1&amp;""&amp;" to "&amp;""&amp;(SUMPRODUCT(MID(0&amp;(--TRIM(RIGHT(SUBSTITUTE(LEFT(A323,_xlfn.AGGREGATE(16,6,FIND({0,1,2,3,4,5,6,7,8,9},A323,ROW(INDIRECT("1:"&amp;LEN(A323)))),1))," ",REPT(" ",LEN(A323))),LEN(A323)))), LARGE(INDEX(ISNUMBER(--MID((--TRIM(RIGHT(SUBSTITUTE(LEFT(A323,_xlfn.AGGREGATE(16,6,FIND({0,1,2,3,4,5,6,7,8,9},A323,ROW(INDIRECT("1:"&amp;LEN(A323)))),1))," ",REPT(" ",LEN(A323))),LEN(A323)))), ROW(INDIRECT("1:"&amp;LEN((--TRIM(RIGHT(SUBSTITUTE(LEFT(A323,_xlfn.AGGREGATE(16,6,FIND({0,1,2,3,4,5,6,7,8,9},A323,ROW(INDIRECT("1:"&amp;LEN(A323)))),1))," ",REPT(" ",LEN(A323))),LEN(A323))))))), 1)) * ROW(INDIRECT("1:"&amp;LEN((--TRIM(RIGHT(SUBSTITUTE(LEFT(A323,_xlfn.AGGREGATE(16,6,FIND({0,1,2,3,4,5,6,7,8,9},A323,ROW(INDIRECT("1:"&amp;LEN(A323)))),1))," ",REPT(" ",LEN(A323))),LEN(A323))))))), 0), ROW(INDIRECT("1:"&amp;LEN((--TRIM(RIGHT(SUBSTITUTE(LEFT(A323,_xlfn.AGGREGATE(16,6,FIND({0,1,2,3,4,5,6,7,8,9},A323,ROW(INDIRECT("1:"&amp;LEN(A323)))),1))," ",REPT(" ",LEN(A323))),LEN(A323))))))))+1, 1) * 10^ROW(INDIRECT("1:"&amp;LEN((--TRIM(RIGHT(SUBSTITUTE(LEFT(A323,_xlfn.AGGREGATE(16,6,FIND({0,1,2,3,4,5,6,7,8,9},A323,ROW(INDIRECT("1:"&amp;LEN(A323)))),1))," ",REPT(" ",LEN(A323))),LEN(A323)))))))/10))*1+1</f>
        <v>802 to 1002</v>
      </c>
      <c r="B324" s="42" t="s">
        <v>196</v>
      </c>
      <c r="C324" s="54">
        <v>1</v>
      </c>
      <c r="D324" s="56">
        <f>(41.37)*(10.764)</f>
        <v>445.30667999999997</v>
      </c>
      <c r="E324" s="42">
        <v>0</v>
      </c>
      <c r="F324" s="42">
        <f>D324*(($F$177)+1)+(IF(E324&lt;101,E324,IF(E324&lt;201,E324/2,IF(E324&lt;=301,E324/3,E324/4))))</f>
        <v>712.49068799999998</v>
      </c>
      <c r="G324" s="78"/>
      <c r="H324" s="79"/>
      <c r="I324" s="36"/>
    </row>
    <row r="325" spans="1:14" s="37" customFormat="1" ht="15.75" customHeight="1" x14ac:dyDescent="0.3">
      <c r="A325" s="42" t="str">
        <f ca="1">(SUMPRODUCT(MID(0&amp;(LEFT(A324,SUM(LEN(A324)-LEN(SUBSTITUTE(A324,{"0","1","2"},""))))), LARGE(INDEX(ISNUMBER(--MID((LEFT(A324,SUM(LEN(A324)-LEN(SUBSTITUTE(A324,{"0","1","2"},""))))), ROW(INDIRECT("1:"&amp;LEN((LEFT(A324,SUM(LEN(A324)-LEN(SUBSTITUTE(A324,{"0","1","2"},"")))))))), 1)) * ROW(INDIRECT("1:"&amp;LEN((LEFT(A324,SUM(LEN(A324)-LEN(SUBSTITUTE(A324,{"0","1","2"},"")))))))), 0), ROW(INDIRECT("1:"&amp;LEN((LEFT(A324,SUM(LEN(A324)-LEN(SUBSTITUTE(A324,{"0","1","2"},"")))))))))+1, 1) * 10^ROW(INDIRECT("1:"&amp;LEN((LEFT(A324,SUM(LEN(A324)-LEN(SUBSTITUTE(A324,{"0","1","2"},""))))))))/10))*1+1&amp;""&amp;" to "&amp;""&amp;(SUMPRODUCT(MID(0&amp;(--TRIM(RIGHT(SUBSTITUTE(LEFT(A324,_xlfn.AGGREGATE(16,6,FIND({0,1,2,3,4,5,6,7,8,9},A324,ROW(INDIRECT("1:"&amp;LEN(A324)))),1))," ",REPT(" ",LEN(A324))),LEN(A324)))), LARGE(INDEX(ISNUMBER(--MID((--TRIM(RIGHT(SUBSTITUTE(LEFT(A324,_xlfn.AGGREGATE(16,6,FIND({0,1,2,3,4,5,6,7,8,9},A324,ROW(INDIRECT("1:"&amp;LEN(A324)))),1))," ",REPT(" ",LEN(A324))),LEN(A324)))), ROW(INDIRECT("1:"&amp;LEN((--TRIM(RIGHT(SUBSTITUTE(LEFT(A324,_xlfn.AGGREGATE(16,6,FIND({0,1,2,3,4,5,6,7,8,9},A324,ROW(INDIRECT("1:"&amp;LEN(A324)))),1))," ",REPT(" ",LEN(A324))),LEN(A324))))))), 1)) * ROW(INDIRECT("1:"&amp;LEN((--TRIM(RIGHT(SUBSTITUTE(LEFT(A324,_xlfn.AGGREGATE(16,6,FIND({0,1,2,3,4,5,6,7,8,9},A324,ROW(INDIRECT("1:"&amp;LEN(A324)))),1))," ",REPT(" ",LEN(A324))),LEN(A324))))))), 0), ROW(INDIRECT("1:"&amp;LEN((--TRIM(RIGHT(SUBSTITUTE(LEFT(A324,_xlfn.AGGREGATE(16,6,FIND({0,1,2,3,4,5,6,7,8,9},A324,ROW(INDIRECT("1:"&amp;LEN(A324)))),1))," ",REPT(" ",LEN(A324))),LEN(A324))))))))+1, 1) * 10^ROW(INDIRECT("1:"&amp;LEN((--TRIM(RIGHT(SUBSTITUTE(LEFT(A324,_xlfn.AGGREGATE(16,6,FIND({0,1,2,3,4,5,6,7,8,9},A324,ROW(INDIRECT("1:"&amp;LEN(A324)))),1))," ",REPT(" ",LEN(A324))),LEN(A324)))))))/10))*1+1</f>
        <v>803 to 1003</v>
      </c>
      <c r="B325" s="42" t="s">
        <v>196</v>
      </c>
      <c r="C325" s="54">
        <v>1</v>
      </c>
      <c r="D325" s="56">
        <f>(40.73)*(10.764)</f>
        <v>438.41771999999992</v>
      </c>
      <c r="E325" s="42">
        <v>0</v>
      </c>
      <c r="F325" s="42">
        <f>D325*(($F$177)+1)+(IF(E325&lt;101,E325,IF(E325&lt;201,E325/2,IF(E325&lt;=301,E325/3,E325/4))))</f>
        <v>701.46835199999987</v>
      </c>
      <c r="G325" s="78"/>
      <c r="H325" s="79"/>
      <c r="I325" s="36"/>
    </row>
    <row r="326" spans="1:14" s="37" customFormat="1" ht="15.75" customHeight="1" x14ac:dyDescent="0.3">
      <c r="A326" s="42" t="str">
        <f ca="1">(SUMPRODUCT(MID(0&amp;(LEFT(A325,SUM(LEN(A325)-LEN(SUBSTITUTE(A325,{"0","1","2"},""))))), LARGE(INDEX(ISNUMBER(--MID((LEFT(A325,SUM(LEN(A325)-LEN(SUBSTITUTE(A325,{"0","1","2"},""))))), ROW(INDIRECT("1:"&amp;LEN((LEFT(A325,SUM(LEN(A325)-LEN(SUBSTITUTE(A325,{"0","1","2"},"")))))))), 1)) * ROW(INDIRECT("1:"&amp;LEN((LEFT(A325,SUM(LEN(A325)-LEN(SUBSTITUTE(A325,{"0","1","2"},"")))))))), 0), ROW(INDIRECT("1:"&amp;LEN((LEFT(A325,SUM(LEN(A325)-LEN(SUBSTITUTE(A325,{"0","1","2"},"")))))))))+1, 1) * 10^ROW(INDIRECT("1:"&amp;LEN((LEFT(A325,SUM(LEN(A325)-LEN(SUBSTITUTE(A325,{"0","1","2"},""))))))))/10))*1+1&amp;""&amp;" to "&amp;""&amp;(SUMPRODUCT(MID(0&amp;(--TRIM(RIGHT(SUBSTITUTE(LEFT(A325,_xlfn.AGGREGATE(16,6,FIND({0,1,2,3,4,5,6,7,8,9},A325,ROW(INDIRECT("1:"&amp;LEN(A325)))),1))," ",REPT(" ",LEN(A325))),LEN(A325)))), LARGE(INDEX(ISNUMBER(--MID((--TRIM(RIGHT(SUBSTITUTE(LEFT(A325,_xlfn.AGGREGATE(16,6,FIND({0,1,2,3,4,5,6,7,8,9},A325,ROW(INDIRECT("1:"&amp;LEN(A325)))),1))," ",REPT(" ",LEN(A325))),LEN(A325)))), ROW(INDIRECT("1:"&amp;LEN((--TRIM(RIGHT(SUBSTITUTE(LEFT(A325,_xlfn.AGGREGATE(16,6,FIND({0,1,2,3,4,5,6,7,8,9},A325,ROW(INDIRECT("1:"&amp;LEN(A325)))),1))," ",REPT(" ",LEN(A325))),LEN(A325))))))), 1)) * ROW(INDIRECT("1:"&amp;LEN((--TRIM(RIGHT(SUBSTITUTE(LEFT(A325,_xlfn.AGGREGATE(16,6,FIND({0,1,2,3,4,5,6,7,8,9},A325,ROW(INDIRECT("1:"&amp;LEN(A325)))),1))," ",REPT(" ",LEN(A325))),LEN(A325))))))), 0), ROW(INDIRECT("1:"&amp;LEN((--TRIM(RIGHT(SUBSTITUTE(LEFT(A325,_xlfn.AGGREGATE(16,6,FIND({0,1,2,3,4,5,6,7,8,9},A325,ROW(INDIRECT("1:"&amp;LEN(A325)))),1))," ",REPT(" ",LEN(A325))),LEN(A325))))))))+1, 1) * 10^ROW(INDIRECT("1:"&amp;LEN((--TRIM(RIGHT(SUBSTITUTE(LEFT(A325,_xlfn.AGGREGATE(16,6,FIND({0,1,2,3,4,5,6,7,8,9},A325,ROW(INDIRECT("1:"&amp;LEN(A325)))),1))," ",REPT(" ",LEN(A325))),LEN(A325)))))))/10))*1+1</f>
        <v>804 to 1004</v>
      </c>
      <c r="B326" s="42" t="s">
        <v>196</v>
      </c>
      <c r="C326" s="54">
        <v>1</v>
      </c>
      <c r="D326" s="56">
        <f>(41.31)*(10.764)</f>
        <v>444.66084000000001</v>
      </c>
      <c r="E326" s="42">
        <v>0</v>
      </c>
      <c r="F326" s="42">
        <f>D326*(($F$177)+1)+(IF(E326&lt;101,E326,IF(E326&lt;201,E326/2,IF(E326&lt;=301,E326/3,E326/4))))</f>
        <v>711.45734400000003</v>
      </c>
      <c r="G326" s="78"/>
      <c r="H326" s="79"/>
      <c r="I326" s="36"/>
    </row>
    <row r="327" spans="1:14" s="37" customFormat="1" ht="15.75" customHeight="1" x14ac:dyDescent="0.3">
      <c r="A327" s="42" t="str">
        <f ca="1">(SUMPRODUCT(MID(0&amp;(LEFT(A326,SUM(LEN(A326)-LEN(SUBSTITUTE(A326,{"0","1","2"},""))))), LARGE(INDEX(ISNUMBER(--MID((LEFT(A326,SUM(LEN(A326)-LEN(SUBSTITUTE(A326,{"0","1","2"},""))))), ROW(INDIRECT("1:"&amp;LEN((LEFT(A326,SUM(LEN(A326)-LEN(SUBSTITUTE(A326,{"0","1","2"},"")))))))), 1)) * ROW(INDIRECT("1:"&amp;LEN((LEFT(A326,SUM(LEN(A326)-LEN(SUBSTITUTE(A326,{"0","1","2"},"")))))))), 0), ROW(INDIRECT("1:"&amp;LEN((LEFT(A326,SUM(LEN(A326)-LEN(SUBSTITUTE(A326,{"0","1","2"},"")))))))))+1, 1) * 10^ROW(INDIRECT("1:"&amp;LEN((LEFT(A326,SUM(LEN(A326)-LEN(SUBSTITUTE(A326,{"0","1","2"},""))))))))/10))*1+1&amp;""&amp;" to "&amp;""&amp;(SUMPRODUCT(MID(0&amp;(--TRIM(RIGHT(SUBSTITUTE(LEFT(A326,_xlfn.AGGREGATE(16,6,FIND({0,1,2,3,4,5,6,7,8,9},A326,ROW(INDIRECT("1:"&amp;LEN(A326)))),1))," ",REPT(" ",LEN(A326))),LEN(A326)))), LARGE(INDEX(ISNUMBER(--MID((--TRIM(RIGHT(SUBSTITUTE(LEFT(A326,_xlfn.AGGREGATE(16,6,FIND({0,1,2,3,4,5,6,7,8,9},A326,ROW(INDIRECT("1:"&amp;LEN(A326)))),1))," ",REPT(" ",LEN(A326))),LEN(A326)))), ROW(INDIRECT("1:"&amp;LEN((--TRIM(RIGHT(SUBSTITUTE(LEFT(A326,_xlfn.AGGREGATE(16,6,FIND({0,1,2,3,4,5,6,7,8,9},A326,ROW(INDIRECT("1:"&amp;LEN(A326)))),1))," ",REPT(" ",LEN(A326))),LEN(A326))))))), 1)) * ROW(INDIRECT("1:"&amp;LEN((--TRIM(RIGHT(SUBSTITUTE(LEFT(A326,_xlfn.AGGREGATE(16,6,FIND({0,1,2,3,4,5,6,7,8,9},A326,ROW(INDIRECT("1:"&amp;LEN(A326)))),1))," ",REPT(" ",LEN(A326))),LEN(A326))))))), 0), ROW(INDIRECT("1:"&amp;LEN((--TRIM(RIGHT(SUBSTITUTE(LEFT(A326,_xlfn.AGGREGATE(16,6,FIND({0,1,2,3,4,5,6,7,8,9},A326,ROW(INDIRECT("1:"&amp;LEN(A326)))),1))," ",REPT(" ",LEN(A326))),LEN(A326))))))))+1, 1) * 10^ROW(INDIRECT("1:"&amp;LEN((--TRIM(RIGHT(SUBSTITUTE(LEFT(A326,_xlfn.AGGREGATE(16,6,FIND({0,1,2,3,4,5,6,7,8,9},A326,ROW(INDIRECT("1:"&amp;LEN(A326)))),1))," ",REPT(" ",LEN(A326))),LEN(A326)))))))/10))*1+1</f>
        <v>805 to 1005</v>
      </c>
      <c r="B327" s="42" t="s">
        <v>196</v>
      </c>
      <c r="C327" s="54">
        <v>1</v>
      </c>
      <c r="D327" s="56">
        <f>(41.2)*(10.764)</f>
        <v>443.47680000000003</v>
      </c>
      <c r="E327" s="42">
        <v>0</v>
      </c>
      <c r="F327" s="42">
        <f>D327*(($F$177)+1)+(IF(E327&lt;101,E327,IF(E327&lt;201,E327/2,IF(E327&lt;=301,E327/3,E327/4))))</f>
        <v>709.56288000000006</v>
      </c>
      <c r="G327" s="80"/>
      <c r="H327" s="81"/>
      <c r="I327" s="36"/>
    </row>
    <row r="328" spans="1:14" s="37" customFormat="1" x14ac:dyDescent="0.3">
      <c r="A328" s="83" t="s">
        <v>210</v>
      </c>
      <c r="B328" s="83"/>
      <c r="C328" s="83"/>
      <c r="D328" s="83"/>
      <c r="E328" s="83"/>
      <c r="F328" s="83"/>
      <c r="G328" s="83"/>
      <c r="H328" s="83"/>
      <c r="I328" s="36"/>
      <c r="L328" s="82"/>
      <c r="M328" s="82"/>
    </row>
    <row r="329" spans="1:14" s="37" customFormat="1" x14ac:dyDescent="0.3">
      <c r="A329" s="42">
        <f>LEFT(A328,SUM(LEN(A328)-LEN(SUBSTITUTE(A328,{"0","1","2","3","4","5","6","7","8","9"},""))))*100+1</f>
        <v>1101</v>
      </c>
      <c r="B329" s="42" t="s">
        <v>198</v>
      </c>
      <c r="C329" s="54">
        <v>2</v>
      </c>
      <c r="D329" s="56">
        <f>(58.18)*(10.764)</f>
        <v>626.24951999999996</v>
      </c>
      <c r="E329" s="42">
        <v>0</v>
      </c>
      <c r="F329" s="42">
        <f t="shared" ref="F329:F330" si="40">D329*(($F$177)+1)+(IF(E329&lt;101,E329,IF(E329&lt;201,E329/2,IF(E329&lt;=301,E329/3,E329/4))))</f>
        <v>1001.999232</v>
      </c>
      <c r="G329" s="76" t="str">
        <f>A328</f>
        <v>11th Floor</v>
      </c>
      <c r="H329" s="77"/>
      <c r="I329" s="36"/>
      <c r="N329" s="36"/>
    </row>
    <row r="330" spans="1:14" s="37" customFormat="1" x14ac:dyDescent="0.3">
      <c r="A330" s="42">
        <f>A329+1</f>
        <v>1102</v>
      </c>
      <c r="B330" s="42" t="s">
        <v>196</v>
      </c>
      <c r="C330" s="54">
        <v>2</v>
      </c>
      <c r="D330" s="56">
        <f>(61.03)*(10.764)</f>
        <v>656.92692</v>
      </c>
      <c r="E330" s="42">
        <v>0</v>
      </c>
      <c r="F330" s="42">
        <f t="shared" si="40"/>
        <v>1051.0830720000001</v>
      </c>
      <c r="G330" s="78"/>
      <c r="H330" s="79"/>
      <c r="I330" s="36"/>
      <c r="N330" s="36"/>
    </row>
    <row r="331" spans="1:14" s="37" customFormat="1" x14ac:dyDescent="0.3">
      <c r="A331" s="42">
        <f>A330+1</f>
        <v>1103</v>
      </c>
      <c r="B331" s="42" t="s">
        <v>196</v>
      </c>
      <c r="C331" s="54">
        <v>1</v>
      </c>
      <c r="D331" s="56">
        <f>(42.36)*(10.764)</f>
        <v>455.96303999999998</v>
      </c>
      <c r="E331" s="42">
        <v>0</v>
      </c>
      <c r="F331" s="42">
        <f>D331*(($F$177)+1)+(IF(E331&lt;101,E331,IF(E331&lt;201,E331/2,IF(E331&lt;=301,E331/3,E331/4))))</f>
        <v>729.54086400000006</v>
      </c>
      <c r="G331" s="78"/>
      <c r="H331" s="79"/>
      <c r="I331" s="36"/>
      <c r="N331" s="36"/>
    </row>
    <row r="332" spans="1:14" s="37" customFormat="1" x14ac:dyDescent="0.3">
      <c r="A332" s="42">
        <f>A331+1</f>
        <v>1104</v>
      </c>
      <c r="B332" s="42" t="s">
        <v>196</v>
      </c>
      <c r="C332" s="54">
        <v>1</v>
      </c>
      <c r="D332" s="56">
        <f>(41.2)*(10.764)</f>
        <v>443.47680000000003</v>
      </c>
      <c r="E332" s="42">
        <v>0</v>
      </c>
      <c r="F332" s="42">
        <f>D332*(($F$177)+1)+(IF(E332&lt;101,E332,IF(E332&lt;201,E332/2,IF(E332&lt;=301,E332/3,E332/4))))</f>
        <v>709.56288000000006</v>
      </c>
      <c r="G332" s="78"/>
      <c r="H332" s="79"/>
      <c r="I332" s="36"/>
      <c r="N332" s="36"/>
    </row>
    <row r="333" spans="1:14" s="37" customFormat="1" x14ac:dyDescent="0.3">
      <c r="A333" s="83" t="s">
        <v>211</v>
      </c>
      <c r="B333" s="83"/>
      <c r="C333" s="83"/>
      <c r="D333" s="83"/>
      <c r="E333" s="83"/>
      <c r="F333" s="83"/>
      <c r="G333" s="83"/>
      <c r="H333" s="83"/>
      <c r="I333" s="36"/>
      <c r="L333" s="82"/>
      <c r="M333" s="82"/>
    </row>
    <row r="334" spans="1:14" s="37" customFormat="1" x14ac:dyDescent="0.3">
      <c r="A334" s="42">
        <f>LEFT(A333,SUM(LEN(A333)-LEN(SUBSTITUTE(A333,{"0","1","2","3","4","5","6","7","8","9"},""))))*100+1</f>
        <v>1201</v>
      </c>
      <c r="B334" s="42" t="s">
        <v>198</v>
      </c>
      <c r="C334" s="54">
        <v>2</v>
      </c>
      <c r="D334" s="56">
        <f>(58.18)*(10.764)</f>
        <v>626.24951999999996</v>
      </c>
      <c r="E334" s="42">
        <v>0</v>
      </c>
      <c r="F334" s="42">
        <f t="shared" ref="F334:F335" si="41">D334*(($F$177)+1)+(IF(E334&lt;101,E334,IF(E334&lt;201,E334/2,IF(E334&lt;=301,E334/3,E334/4))))</f>
        <v>1001.999232</v>
      </c>
      <c r="G334" s="76" t="str">
        <f>A333</f>
        <v>12th Floor</v>
      </c>
      <c r="H334" s="77"/>
      <c r="I334" s="36">
        <f>25000000/F334</f>
        <v>24950.118923843645</v>
      </c>
      <c r="N334" s="36"/>
    </row>
    <row r="335" spans="1:14" s="37" customFormat="1" x14ac:dyDescent="0.3">
      <c r="A335" s="42">
        <f>A334+1</f>
        <v>1202</v>
      </c>
      <c r="B335" s="42" t="s">
        <v>196</v>
      </c>
      <c r="C335" s="54">
        <v>2</v>
      </c>
      <c r="D335" s="56">
        <f>(61.03)*(10.764)</f>
        <v>656.92692</v>
      </c>
      <c r="E335" s="42">
        <v>0</v>
      </c>
      <c r="F335" s="42">
        <f t="shared" si="41"/>
        <v>1051.0830720000001</v>
      </c>
      <c r="G335" s="78"/>
      <c r="H335" s="79"/>
      <c r="I335" s="36"/>
      <c r="N335" s="36"/>
    </row>
    <row r="336" spans="1:14" s="37" customFormat="1" x14ac:dyDescent="0.3">
      <c r="A336" s="42">
        <f>A335+1</f>
        <v>1203</v>
      </c>
      <c r="B336" s="42" t="s">
        <v>196</v>
      </c>
      <c r="C336" s="54">
        <v>1</v>
      </c>
      <c r="D336" s="56">
        <f>(42.36)*(10.764)</f>
        <v>455.96303999999998</v>
      </c>
      <c r="E336" s="42">
        <v>0</v>
      </c>
      <c r="F336" s="42">
        <f>D336*(($F$177)+1)+(IF(E336&lt;101,E336,IF(E336&lt;201,E336/2,IF(E336&lt;=301,E336/3,E336/4))))</f>
        <v>729.54086400000006</v>
      </c>
      <c r="G336" s="78"/>
      <c r="H336" s="79"/>
      <c r="I336" s="36"/>
      <c r="N336" s="36"/>
    </row>
    <row r="337" spans="1:14" s="37" customFormat="1" x14ac:dyDescent="0.3">
      <c r="A337" s="42">
        <f>A336+1</f>
        <v>1204</v>
      </c>
      <c r="B337" s="42" t="s">
        <v>196</v>
      </c>
      <c r="C337" s="54">
        <v>1</v>
      </c>
      <c r="D337" s="56">
        <f>(41.2)*(10.764)</f>
        <v>443.47680000000003</v>
      </c>
      <c r="E337" s="42">
        <v>0</v>
      </c>
      <c r="F337" s="42">
        <f>D337*(($F$177)+1)+(IF(E337&lt;101,E337,IF(E337&lt;201,E337/2,IF(E337&lt;=301,E337/3,E337/4))))</f>
        <v>709.56288000000006</v>
      </c>
      <c r="G337" s="78"/>
      <c r="H337" s="79"/>
      <c r="I337" s="36"/>
      <c r="N337" s="36"/>
    </row>
    <row r="338" spans="1:14" s="37" customFormat="1" x14ac:dyDescent="0.3">
      <c r="A338" s="83" t="s">
        <v>212</v>
      </c>
      <c r="B338" s="83"/>
      <c r="C338" s="83"/>
      <c r="D338" s="83"/>
      <c r="E338" s="83"/>
      <c r="F338" s="83"/>
      <c r="G338" s="83"/>
      <c r="H338" s="83"/>
      <c r="I338" s="36"/>
      <c r="L338" s="82"/>
      <c r="M338" s="82"/>
    </row>
    <row r="339" spans="1:14" s="37" customFormat="1" x14ac:dyDescent="0.3">
      <c r="A339" s="42">
        <f>LEFT(A338,SUM(LEN(A338)-LEN(SUBSTITUTE(A338,{"0","1","2","3","4","5","6","7","8","9"},""))))*100+1</f>
        <v>1301</v>
      </c>
      <c r="B339" s="42" t="s">
        <v>198</v>
      </c>
      <c r="C339" s="54">
        <v>2</v>
      </c>
      <c r="D339" s="56">
        <f>(51.18)*(10.764)</f>
        <v>550.90152</v>
      </c>
      <c r="E339" s="42">
        <v>0</v>
      </c>
      <c r="F339" s="42">
        <f t="shared" ref="F339:F340" si="42">D339*(($F$177)+1)+(IF(E339&lt;101,E339,IF(E339&lt;201,E339/2,IF(E339&lt;=301,E339/3,E339/4))))</f>
        <v>881.44243200000005</v>
      </c>
      <c r="G339" s="76" t="str">
        <f>A338</f>
        <v>13th Floor</v>
      </c>
      <c r="H339" s="77"/>
      <c r="I339" s="36"/>
      <c r="N339" s="36"/>
    </row>
    <row r="340" spans="1:14" s="37" customFormat="1" x14ac:dyDescent="0.3">
      <c r="A340" s="42">
        <f>A339+1</f>
        <v>1302</v>
      </c>
      <c r="B340" s="42" t="s">
        <v>196</v>
      </c>
      <c r="C340" s="54" t="s">
        <v>207</v>
      </c>
      <c r="D340" s="56">
        <f>(51.17)*(10.764)</f>
        <v>550.79387999999994</v>
      </c>
      <c r="E340" s="42">
        <v>0</v>
      </c>
      <c r="F340" s="42">
        <f t="shared" si="42"/>
        <v>881.27020799999991</v>
      </c>
      <c r="G340" s="78"/>
      <c r="H340" s="79"/>
      <c r="I340" s="36"/>
      <c r="N340" s="36"/>
    </row>
    <row r="341" spans="1:14" s="37" customFormat="1" x14ac:dyDescent="0.3">
      <c r="A341" s="42">
        <f>A340+1</f>
        <v>1303</v>
      </c>
      <c r="B341" s="42" t="s">
        <v>196</v>
      </c>
      <c r="C341" s="54">
        <v>2</v>
      </c>
      <c r="D341" s="56">
        <f>(52.54)*(10.764)</f>
        <v>565.54055999999991</v>
      </c>
      <c r="E341" s="42">
        <v>0</v>
      </c>
      <c r="F341" s="42">
        <f>D341*(($F$177)+1)+(IF(E341&lt;101,E341,IF(E341&lt;201,E341/2,IF(E341&lt;=301,E341/3,E341/4))))</f>
        <v>904.86489599999993</v>
      </c>
      <c r="G341" s="78"/>
      <c r="H341" s="79"/>
      <c r="I341" s="36"/>
      <c r="N341" s="36"/>
    </row>
    <row r="342" spans="1:14" s="37" customFormat="1" x14ac:dyDescent="0.3">
      <c r="A342" s="42">
        <f>A341+1</f>
        <v>1304</v>
      </c>
      <c r="B342" s="42" t="s">
        <v>196</v>
      </c>
      <c r="C342" s="54">
        <v>1</v>
      </c>
      <c r="D342" s="56">
        <f>(41.2)*(10.764)</f>
        <v>443.47680000000003</v>
      </c>
      <c r="E342" s="42">
        <v>0</v>
      </c>
      <c r="F342" s="42">
        <f>D342*(($F$177)+1)+(IF(E342&lt;101,E342,IF(E342&lt;201,E342/2,IF(E342&lt;=301,E342/3,E342/4))))</f>
        <v>709.56288000000006</v>
      </c>
      <c r="G342" s="80"/>
      <c r="H342" s="81"/>
      <c r="I342" s="36"/>
      <c r="N342" s="36"/>
    </row>
    <row r="343" spans="1:14" s="37" customFormat="1" x14ac:dyDescent="0.3">
      <c r="A343" s="83" t="s">
        <v>214</v>
      </c>
      <c r="B343" s="83"/>
      <c r="C343" s="83"/>
      <c r="D343" s="83"/>
      <c r="E343" s="83"/>
      <c r="F343" s="83"/>
      <c r="G343" s="83"/>
      <c r="H343" s="83"/>
      <c r="I343" s="36"/>
      <c r="L343" s="82"/>
      <c r="M343" s="82"/>
    </row>
    <row r="344" spans="1:14" s="37" customFormat="1" x14ac:dyDescent="0.3">
      <c r="A344" s="42">
        <f>LEFT(A343,SUM(LEN(A343)-LEN(SUBSTITUTE(A343,{"0","1","2","3","4","5","6","7","8","9"},""))))*100+1</f>
        <v>1401</v>
      </c>
      <c r="B344" s="42" t="s">
        <v>198</v>
      </c>
      <c r="C344" s="54">
        <v>1</v>
      </c>
      <c r="D344" s="56">
        <f>(40.65)*(10.764)</f>
        <v>437.55659999999995</v>
      </c>
      <c r="E344" s="42">
        <v>0</v>
      </c>
      <c r="F344" s="42">
        <f t="shared" ref="F344:F345" si="43">D344*(($F$177)+1)+(IF(E344&lt;101,E344,IF(E344&lt;201,E344/2,IF(E344&lt;=301,E344/3,E344/4))))</f>
        <v>700.09055999999998</v>
      </c>
      <c r="G344" s="76" t="str">
        <f>A343</f>
        <v>14th Floor (Part Refuge Area)</v>
      </c>
      <c r="H344" s="77"/>
      <c r="I344" s="36"/>
      <c r="N344" s="36"/>
    </row>
    <row r="345" spans="1:14" s="37" customFormat="1" x14ac:dyDescent="0.3">
      <c r="A345" s="42">
        <f>A344+1</f>
        <v>1402</v>
      </c>
      <c r="B345" s="42" t="s">
        <v>196</v>
      </c>
      <c r="C345" s="54">
        <v>2</v>
      </c>
      <c r="D345" s="56">
        <f>(61.14)*(10.764)</f>
        <v>658.11095999999998</v>
      </c>
      <c r="E345" s="42">
        <v>0</v>
      </c>
      <c r="F345" s="42">
        <f t="shared" si="43"/>
        <v>1052.9775360000001</v>
      </c>
      <c r="G345" s="78"/>
      <c r="H345" s="79"/>
      <c r="I345" s="36"/>
      <c r="N345" s="36"/>
    </row>
    <row r="346" spans="1:14" s="37" customFormat="1" x14ac:dyDescent="0.3">
      <c r="A346" s="42">
        <f>A345+1</f>
        <v>1403</v>
      </c>
      <c r="B346" s="42" t="s">
        <v>196</v>
      </c>
      <c r="C346" s="54">
        <v>2</v>
      </c>
      <c r="D346" s="56">
        <f>(59.53)*(10.764)</f>
        <v>640.78091999999992</v>
      </c>
      <c r="E346" s="42">
        <v>0</v>
      </c>
      <c r="F346" s="42">
        <f>D346*(($F$177)+1)+(IF(E346&lt;101,E346,IF(E346&lt;201,E346/2,IF(E346&lt;=301,E346/3,E346/4))))</f>
        <v>1025.249472</v>
      </c>
      <c r="G346" s="78"/>
      <c r="H346" s="79"/>
      <c r="I346" s="36"/>
      <c r="N346" s="36"/>
    </row>
    <row r="347" spans="1:14" s="37" customFormat="1" x14ac:dyDescent="0.3">
      <c r="A347" s="83" t="s">
        <v>213</v>
      </c>
      <c r="B347" s="83"/>
      <c r="C347" s="83"/>
      <c r="D347" s="83"/>
      <c r="E347" s="83"/>
      <c r="F347" s="83"/>
      <c r="G347" s="83"/>
      <c r="H347" s="83"/>
      <c r="I347" s="36"/>
      <c r="L347" s="82"/>
      <c r="M347" s="82"/>
    </row>
    <row r="348" spans="1:14" s="37" customFormat="1" x14ac:dyDescent="0.3">
      <c r="A348" s="42">
        <f>LEFT(A347,SUM(LEN(A347)-LEN(SUBSTITUTE(A347,{"0","1","2","3","4","5","6","7","8","9"},""))))*100+1</f>
        <v>1501</v>
      </c>
      <c r="B348" s="42" t="s">
        <v>196</v>
      </c>
      <c r="C348" s="54">
        <v>2</v>
      </c>
      <c r="D348" s="56">
        <f>(51.18)*(10.764)</f>
        <v>550.90152</v>
      </c>
      <c r="E348" s="42">
        <v>0</v>
      </c>
      <c r="F348" s="42">
        <f t="shared" ref="F348:F349" si="44">D348*(($F$177)+1)+(IF(E348&lt;101,E348,IF(E348&lt;201,E348/2,IF(E348&lt;=301,E348/3,E348/4))))</f>
        <v>881.44243200000005</v>
      </c>
      <c r="G348" s="76" t="str">
        <f>A347</f>
        <v>15th Floor</v>
      </c>
      <c r="H348" s="77"/>
      <c r="I348" s="36"/>
      <c r="N348" s="36"/>
    </row>
    <row r="349" spans="1:14" s="37" customFormat="1" x14ac:dyDescent="0.3">
      <c r="A349" s="42">
        <f>A348+1</f>
        <v>1502</v>
      </c>
      <c r="B349" s="42" t="s">
        <v>196</v>
      </c>
      <c r="C349" s="54" t="s">
        <v>207</v>
      </c>
      <c r="D349" s="56">
        <f>(51.17)*(10.764)</f>
        <v>550.79387999999994</v>
      </c>
      <c r="E349" s="42">
        <v>0</v>
      </c>
      <c r="F349" s="42">
        <f t="shared" si="44"/>
        <v>881.27020799999991</v>
      </c>
      <c r="G349" s="78"/>
      <c r="H349" s="79"/>
      <c r="I349" s="36"/>
      <c r="N349" s="36"/>
    </row>
    <row r="350" spans="1:14" s="37" customFormat="1" x14ac:dyDescent="0.3">
      <c r="A350" s="42">
        <f>A349+1</f>
        <v>1503</v>
      </c>
      <c r="B350" s="42" t="s">
        <v>196</v>
      </c>
      <c r="C350" s="54">
        <v>2</v>
      </c>
      <c r="D350" s="56">
        <f>(52.54)*(10.764)</f>
        <v>565.54055999999991</v>
      </c>
      <c r="E350" s="42">
        <v>0</v>
      </c>
      <c r="F350" s="42">
        <f>D350*(($F$177)+1)+(IF(E350&lt;101,E350,IF(E350&lt;201,E350/2,IF(E350&lt;=301,E350/3,E350/4))))</f>
        <v>904.86489599999993</v>
      </c>
      <c r="G350" s="78"/>
      <c r="H350" s="79"/>
      <c r="I350" s="36"/>
      <c r="N350" s="36"/>
    </row>
    <row r="351" spans="1:14" s="37" customFormat="1" x14ac:dyDescent="0.3">
      <c r="A351" s="42">
        <f>A350+1</f>
        <v>1504</v>
      </c>
      <c r="B351" s="42" t="s">
        <v>196</v>
      </c>
      <c r="C351" s="54">
        <v>1</v>
      </c>
      <c r="D351" s="56">
        <f>(41.2)*(10.764)</f>
        <v>443.47680000000003</v>
      </c>
      <c r="E351" s="42">
        <v>0</v>
      </c>
      <c r="F351" s="42">
        <f>D351*(($F$177)+1)+(IF(E351&lt;101,E351,IF(E351&lt;201,E351/2,IF(E351&lt;=301,E351/3,E351/4))))</f>
        <v>709.56288000000006</v>
      </c>
      <c r="G351" s="80"/>
      <c r="H351" s="81"/>
      <c r="I351" s="36"/>
      <c r="N351" s="36"/>
    </row>
    <row r="352" spans="1:14" s="37" customFormat="1" x14ac:dyDescent="0.3">
      <c r="A352" s="83" t="s">
        <v>215</v>
      </c>
      <c r="B352" s="83"/>
      <c r="C352" s="83"/>
      <c r="D352" s="83"/>
      <c r="E352" s="83"/>
      <c r="F352" s="83"/>
      <c r="G352" s="83"/>
      <c r="H352" s="83"/>
      <c r="I352" s="36"/>
      <c r="L352" s="82"/>
      <c r="M352" s="82"/>
    </row>
    <row r="353" spans="1:14" s="37" customFormat="1" x14ac:dyDescent="0.3">
      <c r="A353" s="42">
        <f>LEFT(A352,SUM(LEN(A352)-LEN(SUBSTITUTE(A352,{"0","1","2","3","4","5","6","7","8","9"},""))))*100+1</f>
        <v>1601</v>
      </c>
      <c r="B353" s="42" t="s">
        <v>196</v>
      </c>
      <c r="C353" s="54">
        <v>2</v>
      </c>
      <c r="D353" s="56">
        <f>(60.03)*(10.764)</f>
        <v>646.16291999999999</v>
      </c>
      <c r="E353" s="42">
        <v>0</v>
      </c>
      <c r="F353" s="42">
        <f t="shared" ref="F353:F354" si="45">D353*(($F$177)+1)+(IF(E353&lt;101,E353,IF(E353&lt;201,E353/2,IF(E353&lt;=301,E353/3,E353/4))))</f>
        <v>1033.860672</v>
      </c>
      <c r="G353" s="76" t="str">
        <f>A352</f>
        <v>16th Floor</v>
      </c>
      <c r="H353" s="77"/>
      <c r="I353" s="36"/>
      <c r="N353" s="36"/>
    </row>
    <row r="354" spans="1:14" s="37" customFormat="1" x14ac:dyDescent="0.3">
      <c r="A354" s="42">
        <f>A353+1</f>
        <v>1602</v>
      </c>
      <c r="B354" s="42" t="s">
        <v>196</v>
      </c>
      <c r="C354" s="54" t="s">
        <v>207</v>
      </c>
      <c r="D354" s="56">
        <f>(49.4)*(10.764)</f>
        <v>531.74159999999995</v>
      </c>
      <c r="E354" s="42">
        <v>0</v>
      </c>
      <c r="F354" s="42">
        <f t="shared" si="45"/>
        <v>850.78656000000001</v>
      </c>
      <c r="G354" s="78"/>
      <c r="H354" s="79"/>
      <c r="I354" s="36"/>
      <c r="N354" s="36"/>
    </row>
    <row r="355" spans="1:14" s="37" customFormat="1" x14ac:dyDescent="0.3">
      <c r="A355" s="42">
        <f>A354+1</f>
        <v>1603</v>
      </c>
      <c r="B355" s="42" t="s">
        <v>196</v>
      </c>
      <c r="C355" s="54">
        <v>2</v>
      </c>
      <c r="D355" s="56">
        <f>(52.54)*(10.764)</f>
        <v>565.54055999999991</v>
      </c>
      <c r="E355" s="42">
        <v>0</v>
      </c>
      <c r="F355" s="42">
        <f>D355*(($F$177)+1)+(IF(E355&lt;101,E355,IF(E355&lt;201,E355/2,IF(E355&lt;=301,E355/3,E355/4))))</f>
        <v>904.86489599999993</v>
      </c>
      <c r="G355" s="78"/>
      <c r="H355" s="79"/>
      <c r="I355" s="36"/>
      <c r="N355" s="36"/>
    </row>
    <row r="356" spans="1:14" s="37" customFormat="1" x14ac:dyDescent="0.3">
      <c r="A356" s="42">
        <f>A355+1</f>
        <v>1604</v>
      </c>
      <c r="B356" s="42" t="s">
        <v>198</v>
      </c>
      <c r="C356" s="54">
        <v>1</v>
      </c>
      <c r="D356" s="56">
        <f>(41.2)*(10.764)</f>
        <v>443.47680000000003</v>
      </c>
      <c r="E356" s="42">
        <v>0</v>
      </c>
      <c r="F356" s="42">
        <f>D356*(($F$177)+1)+(IF(E356&lt;101,E356,IF(E356&lt;201,E356/2,IF(E356&lt;=301,E356/3,E356/4))))</f>
        <v>709.56288000000006</v>
      </c>
      <c r="G356" s="80"/>
      <c r="H356" s="81"/>
      <c r="I356" s="36"/>
      <c r="N356" s="36"/>
    </row>
    <row r="357" spans="1:14" s="37" customFormat="1" x14ac:dyDescent="0.3">
      <c r="A357" s="83" t="s">
        <v>217</v>
      </c>
      <c r="B357" s="83"/>
      <c r="C357" s="83"/>
      <c r="D357" s="83"/>
      <c r="E357" s="83"/>
      <c r="F357" s="83"/>
      <c r="G357" s="83"/>
      <c r="H357" s="83"/>
      <c r="I357" s="36"/>
      <c r="L357" s="82"/>
      <c r="M357" s="82"/>
    </row>
    <row r="358" spans="1:14" s="37" customFormat="1" x14ac:dyDescent="0.3">
      <c r="A358" s="42">
        <f>LEFT(A357,SUM(LEN(A357)-LEN(SUBSTITUTE(A357,{"0","1","2","3","4","5","6","7","8","9"},""))))*100+1</f>
        <v>1701</v>
      </c>
      <c r="B358" s="42" t="s">
        <v>198</v>
      </c>
      <c r="C358" s="54">
        <v>2</v>
      </c>
      <c r="D358" s="56">
        <f>(60.03)*(10.764)</f>
        <v>646.16291999999999</v>
      </c>
      <c r="E358" s="42">
        <v>0</v>
      </c>
      <c r="F358" s="42">
        <f t="shared" ref="F358:F359" si="46">D358*(($F$177)+1)+(IF(E358&lt;101,E358,IF(E358&lt;201,E358/2,IF(E358&lt;=301,E358/3,E358/4))))</f>
        <v>1033.860672</v>
      </c>
      <c r="G358" s="76" t="str">
        <f>A357</f>
        <v>17th Floor</v>
      </c>
      <c r="H358" s="77"/>
      <c r="I358" s="36"/>
      <c r="N358" s="36"/>
    </row>
    <row r="359" spans="1:14" s="37" customFormat="1" x14ac:dyDescent="0.3">
      <c r="A359" s="42">
        <f>A358+1</f>
        <v>1702</v>
      </c>
      <c r="B359" s="42" t="s">
        <v>196</v>
      </c>
      <c r="C359" s="54" t="s">
        <v>207</v>
      </c>
      <c r="D359" s="56">
        <f>(49.5)*(10.764)</f>
        <v>532.81799999999998</v>
      </c>
      <c r="E359" s="42">
        <v>0</v>
      </c>
      <c r="F359" s="42">
        <f t="shared" si="46"/>
        <v>852.50880000000006</v>
      </c>
      <c r="G359" s="78"/>
      <c r="H359" s="79"/>
      <c r="I359" s="36"/>
      <c r="N359" s="36"/>
    </row>
    <row r="360" spans="1:14" s="37" customFormat="1" x14ac:dyDescent="0.3">
      <c r="A360" s="42">
        <f>A359+1</f>
        <v>1703</v>
      </c>
      <c r="B360" s="42" t="s">
        <v>196</v>
      </c>
      <c r="C360" s="54">
        <v>2</v>
      </c>
      <c r="D360" s="56">
        <f>(52.54)*(10.764)</f>
        <v>565.54055999999991</v>
      </c>
      <c r="E360" s="42">
        <v>0</v>
      </c>
      <c r="F360" s="42">
        <f>D360*(($F$177)+1)+(IF(E360&lt;101,E360,IF(E360&lt;201,E360/2,IF(E360&lt;=301,E360/3,E360/4))))</f>
        <v>904.86489599999993</v>
      </c>
      <c r="G360" s="78"/>
      <c r="H360" s="79"/>
      <c r="I360" s="36"/>
      <c r="N360" s="36"/>
    </row>
    <row r="361" spans="1:14" s="37" customFormat="1" x14ac:dyDescent="0.3">
      <c r="A361" s="42">
        <f>A360+1</f>
        <v>1704</v>
      </c>
      <c r="B361" s="42" t="s">
        <v>198</v>
      </c>
      <c r="C361" s="54">
        <v>1</v>
      </c>
      <c r="D361" s="56">
        <f>(41.2)*(10.764)</f>
        <v>443.47680000000003</v>
      </c>
      <c r="E361" s="42">
        <v>0</v>
      </c>
      <c r="F361" s="42">
        <f>D361*(($F$177)+1)+(IF(E361&lt;101,E361,IF(E361&lt;201,E361/2,IF(E361&lt;=301,E361/3,E361/4))))</f>
        <v>709.56288000000006</v>
      </c>
      <c r="G361" s="80"/>
      <c r="H361" s="81"/>
      <c r="I361" s="36"/>
      <c r="N361" s="36"/>
    </row>
    <row r="362" spans="1:14" s="37" customFormat="1" x14ac:dyDescent="0.3">
      <c r="A362" s="83" t="s">
        <v>218</v>
      </c>
      <c r="B362" s="83"/>
      <c r="C362" s="83"/>
      <c r="D362" s="83"/>
      <c r="E362" s="83"/>
      <c r="F362" s="83"/>
      <c r="G362" s="83"/>
      <c r="H362" s="83"/>
      <c r="I362" s="36"/>
      <c r="L362" s="82"/>
      <c r="M362" s="82"/>
    </row>
    <row r="363" spans="1:14" s="37" customFormat="1" x14ac:dyDescent="0.3">
      <c r="A363" s="42">
        <f>LEFT(A362,SUM(LEN(A362)-LEN(SUBSTITUTE(A362,{"0","1","2","3","4","5","6","7","8","9"},""))))*100+1</f>
        <v>1801</v>
      </c>
      <c r="B363" s="42" t="s">
        <v>196</v>
      </c>
      <c r="C363" s="54">
        <v>1</v>
      </c>
      <c r="D363" s="56">
        <f>((42.16)*(10.764))*(10.764)</f>
        <v>4884.8134233599985</v>
      </c>
      <c r="E363" s="42">
        <v>0</v>
      </c>
      <c r="F363" s="42">
        <f t="shared" ref="F363:F364" si="47">D363*(($F$177)+1)+(IF(E363&lt;101,E363,IF(E363&lt;201,E363/2,IF(E363&lt;=301,E363/3,E363/4))))</f>
        <v>7815.7014773759984</v>
      </c>
      <c r="G363" s="76" t="str">
        <f>A362</f>
        <v>18th Floor</v>
      </c>
      <c r="H363" s="77"/>
      <c r="I363" s="36"/>
      <c r="N363" s="36"/>
    </row>
    <row r="364" spans="1:14" s="37" customFormat="1" x14ac:dyDescent="0.3">
      <c r="A364" s="42">
        <f>A363+1</f>
        <v>1802</v>
      </c>
      <c r="B364" s="42" t="s">
        <v>196</v>
      </c>
      <c r="C364" s="54" t="s">
        <v>216</v>
      </c>
      <c r="D364" s="56">
        <f>(70.1)*(10.764)</f>
        <v>754.55639999999994</v>
      </c>
      <c r="E364" s="42">
        <v>0</v>
      </c>
      <c r="F364" s="42">
        <f t="shared" si="47"/>
        <v>1207.29024</v>
      </c>
      <c r="G364" s="78"/>
      <c r="H364" s="79"/>
      <c r="I364" s="36"/>
      <c r="N364" s="36"/>
    </row>
    <row r="365" spans="1:14" s="37" customFormat="1" x14ac:dyDescent="0.3">
      <c r="A365" s="42">
        <f>A364+1</f>
        <v>1803</v>
      </c>
      <c r="B365" s="42" t="s">
        <v>196</v>
      </c>
      <c r="C365" s="54">
        <v>2</v>
      </c>
      <c r="D365" s="56">
        <f>(53.87)*(10.764)</f>
        <v>579.85667999999998</v>
      </c>
      <c r="E365" s="42">
        <v>0</v>
      </c>
      <c r="F365" s="42">
        <f>D365*(($F$177)+1)+(IF(E365&lt;101,E365,IF(E365&lt;201,E365/2,IF(E365&lt;=301,E365/3,E365/4))))</f>
        <v>927.77068800000006</v>
      </c>
      <c r="G365" s="78"/>
      <c r="H365" s="79"/>
      <c r="I365" s="36"/>
      <c r="N365" s="36"/>
    </row>
    <row r="366" spans="1:14" s="37" customFormat="1" x14ac:dyDescent="0.3">
      <c r="A366" s="42">
        <f>A365+1</f>
        <v>1804</v>
      </c>
      <c r="B366" s="42" t="s">
        <v>198</v>
      </c>
      <c r="C366" s="54">
        <v>1</v>
      </c>
      <c r="D366" s="56">
        <f>(42.66)*(10.764)</f>
        <v>459.19223999999991</v>
      </c>
      <c r="E366" s="42">
        <v>0</v>
      </c>
      <c r="F366" s="42">
        <f>D366*(($F$177)+1)+(IF(E366&lt;101,E366,IF(E366&lt;201,E366/2,IF(E366&lt;=301,E366/3,E366/4))))</f>
        <v>734.70758399999988</v>
      </c>
      <c r="G366" s="80"/>
      <c r="H366" s="81"/>
      <c r="I366" s="36"/>
      <c r="N366" s="36"/>
    </row>
    <row r="367" spans="1:14" s="37" customFormat="1" x14ac:dyDescent="0.3">
      <c r="A367" s="83" t="s">
        <v>219</v>
      </c>
      <c r="B367" s="83"/>
      <c r="C367" s="83"/>
      <c r="D367" s="83"/>
      <c r="E367" s="83"/>
      <c r="F367" s="83"/>
      <c r="G367" s="83"/>
      <c r="H367" s="83"/>
      <c r="I367" s="36"/>
      <c r="L367" s="82"/>
      <c r="M367" s="82"/>
    </row>
    <row r="368" spans="1:14" s="37" customFormat="1" x14ac:dyDescent="0.3">
      <c r="A368" s="42">
        <f>LEFT(A367,SUM(LEN(A367)-LEN(SUBSTITUTE(A367,{"0","1","2","3","4","5","6","7","8","9"},""))))*100+1</f>
        <v>1901</v>
      </c>
      <c r="B368" s="42" t="s">
        <v>196</v>
      </c>
      <c r="C368" s="54">
        <v>1</v>
      </c>
      <c r="D368" s="56">
        <f>(42.16)*(10.764)</f>
        <v>453.81023999999991</v>
      </c>
      <c r="E368" s="42">
        <v>0</v>
      </c>
      <c r="F368" s="42">
        <f t="shared" ref="F368:F369" si="48">D368*(($F$177)+1)+(IF(E368&lt;101,E368,IF(E368&lt;201,E368/2,IF(E368&lt;=301,E368/3,E368/4))))</f>
        <v>726.09638399999994</v>
      </c>
      <c r="G368" s="76" t="str">
        <f>A367</f>
        <v>19th Floor</v>
      </c>
      <c r="H368" s="77"/>
      <c r="I368" s="36"/>
      <c r="N368" s="36"/>
    </row>
    <row r="369" spans="1:14" s="37" customFormat="1" x14ac:dyDescent="0.3">
      <c r="A369" s="42">
        <f>A368+1</f>
        <v>1902</v>
      </c>
      <c r="B369" s="42" t="s">
        <v>196</v>
      </c>
      <c r="C369" s="54" t="s">
        <v>216</v>
      </c>
      <c r="D369" s="56">
        <f>(66.97)*(10.764)</f>
        <v>720.86507999999992</v>
      </c>
      <c r="E369" s="42">
        <v>0</v>
      </c>
      <c r="F369" s="42">
        <f t="shared" si="48"/>
        <v>1153.3841279999999</v>
      </c>
      <c r="G369" s="78"/>
      <c r="H369" s="79"/>
      <c r="I369" s="36"/>
      <c r="N369" s="36"/>
    </row>
    <row r="370" spans="1:14" s="37" customFormat="1" x14ac:dyDescent="0.3">
      <c r="A370" s="42">
        <f>A369+1</f>
        <v>1903</v>
      </c>
      <c r="B370" s="42" t="s">
        <v>198</v>
      </c>
      <c r="C370" s="54">
        <v>3</v>
      </c>
      <c r="D370" s="56">
        <f>(98.61)*(10.764)</f>
        <v>1061.43804</v>
      </c>
      <c r="E370" s="42">
        <v>0</v>
      </c>
      <c r="F370" s="42">
        <f>D370*(($F$177)+1)+(IF(E370&lt;101,E370,IF(E370&lt;201,E370/2,IF(E370&lt;=301,E370/3,E370/4))))</f>
        <v>1698.300864</v>
      </c>
      <c r="G370" s="78"/>
      <c r="H370" s="79"/>
      <c r="I370" s="36"/>
      <c r="N370" s="36"/>
    </row>
    <row r="371" spans="1:14" s="37" customFormat="1" x14ac:dyDescent="0.3">
      <c r="A371" s="83" t="s">
        <v>220</v>
      </c>
      <c r="B371" s="83"/>
      <c r="C371" s="83"/>
      <c r="D371" s="83"/>
      <c r="E371" s="83"/>
      <c r="F371" s="83"/>
      <c r="G371" s="83"/>
      <c r="H371" s="83"/>
      <c r="I371" s="36"/>
      <c r="L371" s="82"/>
      <c r="M371" s="82"/>
    </row>
    <row r="372" spans="1:14" s="37" customFormat="1" x14ac:dyDescent="0.3">
      <c r="A372" s="42">
        <f>LEFT(A371,SUM(LEN(A371)-LEN(SUBSTITUTE(A371,{"0","1","2","3","4","5","6","7","8","9"},""))))*100+1</f>
        <v>2001</v>
      </c>
      <c r="B372" s="42" t="s">
        <v>196</v>
      </c>
      <c r="C372" s="54" t="s">
        <v>225</v>
      </c>
      <c r="D372" s="56">
        <f>(109.81)*(10.764)</f>
        <v>1181.9948399999998</v>
      </c>
      <c r="E372" s="42">
        <v>0</v>
      </c>
      <c r="F372" s="42">
        <f t="shared" ref="F372:F373" si="49">D372*(($F$177)+1)+(IF(E372&lt;101,E372,IF(E372&lt;201,E372/2,IF(E372&lt;=301,E372/3,E372/4))))</f>
        <v>1891.1917439999997</v>
      </c>
      <c r="G372" s="76" t="str">
        <f>A371</f>
        <v>20th Floor</v>
      </c>
      <c r="H372" s="77"/>
      <c r="I372" s="36"/>
      <c r="N372" s="36"/>
    </row>
    <row r="373" spans="1:14" s="37" customFormat="1" x14ac:dyDescent="0.3">
      <c r="A373" s="42">
        <f>A372+1</f>
        <v>2002</v>
      </c>
      <c r="B373" s="42" t="s">
        <v>198</v>
      </c>
      <c r="C373" s="54">
        <v>2</v>
      </c>
      <c r="D373" s="56">
        <f>(58.9)*(10.764)</f>
        <v>633.99959999999999</v>
      </c>
      <c r="E373" s="42">
        <v>0</v>
      </c>
      <c r="F373" s="42">
        <f t="shared" si="49"/>
        <v>1014.39936</v>
      </c>
      <c r="G373" s="78"/>
      <c r="H373" s="79"/>
      <c r="I373" s="36"/>
      <c r="N373" s="36"/>
    </row>
    <row r="374" spans="1:14" s="37" customFormat="1" x14ac:dyDescent="0.3">
      <c r="A374" s="42">
        <f>A373+1</f>
        <v>2003</v>
      </c>
      <c r="B374" s="42" t="s">
        <v>196</v>
      </c>
      <c r="C374" s="54">
        <v>1</v>
      </c>
      <c r="D374" s="56">
        <f>(41.15)*(10.764)</f>
        <v>442.93859999999995</v>
      </c>
      <c r="E374" s="42">
        <v>0</v>
      </c>
      <c r="F374" s="42">
        <f>D374*(($F$177)+1)+(IF(E374&lt;101,E374,IF(E374&lt;201,E374/2,IF(E374&lt;=301,E374/3,E374/4))))</f>
        <v>708.70175999999992</v>
      </c>
      <c r="G374" s="78"/>
      <c r="H374" s="79"/>
      <c r="I374" s="36"/>
      <c r="N374" s="36"/>
    </row>
    <row r="375" spans="1:14" s="37" customFormat="1" x14ac:dyDescent="0.3">
      <c r="A375" s="83" t="s">
        <v>221</v>
      </c>
      <c r="B375" s="83"/>
      <c r="C375" s="83"/>
      <c r="D375" s="83"/>
      <c r="E375" s="83"/>
      <c r="F375" s="83"/>
      <c r="G375" s="83"/>
      <c r="H375" s="83"/>
      <c r="I375" s="36"/>
      <c r="L375" s="82"/>
      <c r="M375" s="82"/>
    </row>
    <row r="376" spans="1:14" s="37" customFormat="1" x14ac:dyDescent="0.3">
      <c r="A376" s="42">
        <f>LEFT(A375,SUM(LEN(A375)-LEN(SUBSTITUTE(A375,{"0","1","2","3","4","5","6","7","8","9"},""))))*100+1</f>
        <v>2101</v>
      </c>
      <c r="B376" s="42" t="s">
        <v>198</v>
      </c>
      <c r="C376" s="54">
        <v>1</v>
      </c>
      <c r="D376" s="56">
        <f>(42.04)*(10.764)</f>
        <v>452.51855999999998</v>
      </c>
      <c r="E376" s="42">
        <v>0</v>
      </c>
      <c r="F376" s="42">
        <f t="shared" ref="F376:F377" si="50">D376*(($F$177)+1)+(IF(E376&lt;101,E376,IF(E376&lt;201,E376/2,IF(E376&lt;=301,E376/3,E376/4))))</f>
        <v>724.02969600000006</v>
      </c>
      <c r="G376" s="76" t="str">
        <f>A375</f>
        <v>21st Floor</v>
      </c>
      <c r="H376" s="77"/>
      <c r="I376" s="36"/>
      <c r="N376" s="36"/>
    </row>
    <row r="377" spans="1:14" s="37" customFormat="1" x14ac:dyDescent="0.3">
      <c r="A377" s="42">
        <f>A376+1</f>
        <v>2102</v>
      </c>
      <c r="B377" s="42" t="s">
        <v>198</v>
      </c>
      <c r="C377" s="54">
        <v>1</v>
      </c>
      <c r="D377" s="56">
        <f>(42.85)*(10.764)</f>
        <v>461.23739999999998</v>
      </c>
      <c r="E377" s="42">
        <v>0</v>
      </c>
      <c r="F377" s="42">
        <f t="shared" si="50"/>
        <v>737.97983999999997</v>
      </c>
      <c r="G377" s="78"/>
      <c r="H377" s="79"/>
      <c r="I377" s="36"/>
      <c r="N377" s="36"/>
    </row>
    <row r="378" spans="1:14" s="37" customFormat="1" x14ac:dyDescent="0.3">
      <c r="A378" s="42">
        <f>A377+1</f>
        <v>2103</v>
      </c>
      <c r="B378" s="42" t="s">
        <v>198</v>
      </c>
      <c r="C378" s="54">
        <v>1</v>
      </c>
      <c r="D378" s="56">
        <f>(40.73)*(10.764)</f>
        <v>438.41771999999992</v>
      </c>
      <c r="E378" s="42">
        <v>0</v>
      </c>
      <c r="F378" s="42">
        <f>D378*(($F$177)+1)+(IF(E378&lt;101,E378,IF(E378&lt;201,E378/2,IF(E378&lt;=301,E378/3,E378/4))))</f>
        <v>701.46835199999987</v>
      </c>
      <c r="G378" s="78"/>
      <c r="H378" s="79"/>
      <c r="I378" s="36"/>
      <c r="N378" s="36"/>
    </row>
    <row r="379" spans="1:14" s="37" customFormat="1" x14ac:dyDescent="0.3">
      <c r="A379" s="42">
        <f>A378+1</f>
        <v>2104</v>
      </c>
      <c r="B379" s="42" t="s">
        <v>198</v>
      </c>
      <c r="C379" s="54">
        <v>1</v>
      </c>
      <c r="D379" s="56">
        <f>(42.77)*(10.764)</f>
        <v>460.37628000000001</v>
      </c>
      <c r="E379" s="42">
        <v>0</v>
      </c>
      <c r="F379" s="42">
        <f>D379*(($F$177)+1)+(IF(E379&lt;101,E379,IF(E379&lt;201,E379/2,IF(E379&lt;=301,E379/3,E379/4))))</f>
        <v>736.60204800000008</v>
      </c>
      <c r="G379" s="78"/>
      <c r="H379" s="79"/>
      <c r="I379" s="36"/>
      <c r="N379" s="36"/>
    </row>
    <row r="380" spans="1:14" s="37" customFormat="1" x14ac:dyDescent="0.3">
      <c r="A380" s="42">
        <f>A379+1</f>
        <v>2105</v>
      </c>
      <c r="B380" s="42" t="s">
        <v>198</v>
      </c>
      <c r="C380" s="54">
        <v>1</v>
      </c>
      <c r="D380" s="56">
        <f>(42.66)*(10.764)</f>
        <v>459.19223999999991</v>
      </c>
      <c r="E380" s="42">
        <v>0</v>
      </c>
      <c r="F380" s="42">
        <f>D380*(($F$177)+1)+(IF(E380&lt;101,E380,IF(E380&lt;201,E380/2,IF(E380&lt;=301,E380/3,E380/4))))</f>
        <v>734.70758399999988</v>
      </c>
      <c r="G380" s="80"/>
      <c r="H380" s="81"/>
      <c r="I380" s="36"/>
      <c r="N380" s="36"/>
    </row>
    <row r="381" spans="1:14" s="37" customFormat="1" x14ac:dyDescent="0.3">
      <c r="A381" s="83" t="s">
        <v>226</v>
      </c>
      <c r="B381" s="83"/>
      <c r="C381" s="83"/>
      <c r="D381" s="83"/>
      <c r="E381" s="83"/>
      <c r="F381" s="83"/>
      <c r="G381" s="83"/>
      <c r="H381" s="83"/>
      <c r="I381" s="36"/>
      <c r="L381" s="82"/>
      <c r="M381" s="82"/>
    </row>
    <row r="382" spans="1:14" s="37" customFormat="1" x14ac:dyDescent="0.3">
      <c r="A382" s="42">
        <f>LEFT(A381,SUM(LEN(A381)-LEN(SUBSTITUTE(A381,{"0","1","2","3","4","5","6","7","8","9"},""))))*100+1</f>
        <v>2201</v>
      </c>
      <c r="B382" s="42" t="s">
        <v>198</v>
      </c>
      <c r="C382" s="54">
        <v>1</v>
      </c>
      <c r="D382" s="56">
        <f>(42.99)*(10.764)</f>
        <v>462.74435999999997</v>
      </c>
      <c r="E382" s="42">
        <v>0</v>
      </c>
      <c r="F382" s="42">
        <f t="shared" ref="F382:F383" si="51">D382*(($F$177)+1)+(IF(E382&lt;101,E382,IF(E382&lt;201,E382/2,IF(E382&lt;=301,E382/3,E382/4))))</f>
        <v>740.39097600000002</v>
      </c>
      <c r="G382" s="76" t="str">
        <f>A381</f>
        <v>22nd Floor For Part Amenity Area &amp; Part Terrace Area</v>
      </c>
      <c r="H382" s="77"/>
      <c r="I382" s="36"/>
      <c r="N382" s="36"/>
    </row>
    <row r="383" spans="1:14" s="37" customFormat="1" x14ac:dyDescent="0.3">
      <c r="A383" s="42">
        <f>A382+1</f>
        <v>2202</v>
      </c>
      <c r="B383" s="42" t="s">
        <v>198</v>
      </c>
      <c r="C383" s="54">
        <v>1</v>
      </c>
      <c r="D383" s="56">
        <f>(42.97)*(10.764)</f>
        <v>462.52907999999996</v>
      </c>
      <c r="E383" s="42">
        <v>0</v>
      </c>
      <c r="F383" s="42">
        <f t="shared" si="51"/>
        <v>740.04652799999997</v>
      </c>
      <c r="G383" s="78"/>
      <c r="H383" s="79"/>
      <c r="I383" s="36"/>
      <c r="N383" s="36"/>
    </row>
    <row r="384" spans="1:14" s="37" customFormat="1" hidden="1" x14ac:dyDescent="0.3">
      <c r="A384" s="84" t="s">
        <v>121</v>
      </c>
      <c r="B384" s="85"/>
      <c r="C384" s="85"/>
      <c r="D384" s="85"/>
      <c r="E384" s="85"/>
      <c r="F384" s="85"/>
      <c r="G384" s="85"/>
      <c r="H384" s="86"/>
      <c r="J384" s="36"/>
    </row>
    <row r="385" spans="1:14" s="37" customFormat="1" ht="15.75" hidden="1" customHeight="1" x14ac:dyDescent="0.3">
      <c r="A385" s="42">
        <v>1</v>
      </c>
      <c r="B385" s="42"/>
      <c r="C385" s="54"/>
      <c r="D385" s="42"/>
      <c r="E385" s="42">
        <v>0</v>
      </c>
      <c r="F385" s="42">
        <f>D385*(($F$177)+1)+(IF(E385&lt;101,E385,IF(E385&lt;201,E385/2,IF(E385&lt;=301,E385/3,E385/4))))</f>
        <v>0</v>
      </c>
      <c r="G385" s="76" t="str">
        <f>A384</f>
        <v>Ground Floor</v>
      </c>
      <c r="H385" s="77"/>
      <c r="I385" s="36"/>
      <c r="L385" s="82"/>
      <c r="M385" s="82"/>
      <c r="N385" s="36"/>
    </row>
    <row r="386" spans="1:14" s="37" customFormat="1" ht="15.75" hidden="1" customHeight="1" x14ac:dyDescent="0.3">
      <c r="A386" s="42">
        <f t="shared" ref="A386:A388" si="52">A385+1</f>
        <v>2</v>
      </c>
      <c r="B386" s="42"/>
      <c r="C386" s="54"/>
      <c r="D386" s="42"/>
      <c r="E386" s="42">
        <v>0</v>
      </c>
      <c r="F386" s="42">
        <f>D386*(($F$177)+1)+(IF(E386&lt;101,E386,IF(E386&lt;201,E386/2,IF(E386&lt;=301,E386/3,E386/4))))</f>
        <v>0</v>
      </c>
      <c r="G386" s="78"/>
      <c r="H386" s="79"/>
      <c r="I386" s="36"/>
      <c r="L386" s="82"/>
      <c r="M386" s="82"/>
      <c r="N386" s="36"/>
    </row>
    <row r="387" spans="1:14" s="37" customFormat="1" ht="15.75" hidden="1" customHeight="1" x14ac:dyDescent="0.3">
      <c r="A387" s="42">
        <f t="shared" si="52"/>
        <v>3</v>
      </c>
      <c r="B387" s="42"/>
      <c r="C387" s="54"/>
      <c r="D387" s="42"/>
      <c r="E387" s="42">
        <v>0</v>
      </c>
      <c r="F387" s="42">
        <f>D387*(($F$177)+1)+(IF(E387&lt;101,E387,IF(E387&lt;201,E387/2,IF(E387&lt;=301,E387/3,E387/4))))</f>
        <v>0</v>
      </c>
      <c r="G387" s="78"/>
      <c r="H387" s="79"/>
      <c r="I387" s="36"/>
      <c r="L387" s="82"/>
      <c r="M387" s="82"/>
      <c r="N387" s="36"/>
    </row>
    <row r="388" spans="1:14" s="37" customFormat="1" ht="15.75" hidden="1" customHeight="1" x14ac:dyDescent="0.3">
      <c r="A388" s="42">
        <f t="shared" si="52"/>
        <v>4</v>
      </c>
      <c r="B388" s="42"/>
      <c r="C388" s="54"/>
      <c r="D388" s="42"/>
      <c r="E388" s="42">
        <v>0</v>
      </c>
      <c r="F388" s="42">
        <f>D388*(($F$177)+1)+(IF(E388&lt;101,E388,IF(E388&lt;201,E388/2,IF(E388&lt;=301,E388/3,E388/4))))</f>
        <v>0</v>
      </c>
      <c r="G388" s="80"/>
      <c r="H388" s="81"/>
      <c r="I388" s="36"/>
      <c r="L388" s="82"/>
      <c r="M388" s="82"/>
      <c r="N388" s="36"/>
    </row>
    <row r="389" spans="1:14" s="37" customFormat="1" hidden="1" x14ac:dyDescent="0.3">
      <c r="A389" s="83" t="s">
        <v>122</v>
      </c>
      <c r="B389" s="83"/>
      <c r="C389" s="83"/>
      <c r="D389" s="83"/>
      <c r="E389" s="83"/>
      <c r="F389" s="83"/>
      <c r="G389" s="83"/>
      <c r="H389" s="83"/>
      <c r="I389" s="36"/>
      <c r="L389" s="82"/>
      <c r="M389" s="82"/>
    </row>
    <row r="390" spans="1:14" s="37" customFormat="1" hidden="1" x14ac:dyDescent="0.3">
      <c r="A390" s="42">
        <f>LEFT(A389,SUM(LEN(A389)-LEN(SUBSTITUTE(A389,{"0","1","2","3","4","5","6","7","8","9"},""))))*100+1</f>
        <v>201</v>
      </c>
      <c r="B390" s="42"/>
      <c r="C390" s="54"/>
      <c r="D390" s="42"/>
      <c r="E390" s="42">
        <v>0</v>
      </c>
      <c r="F390" s="42">
        <f t="shared" ref="F390:F391" si="53">D390*(($F$177)+1)+(IF(E390&lt;101,E390,IF(E390&lt;201,E390/2,IF(E390&lt;=301,E390/3,E390/4))))</f>
        <v>0</v>
      </c>
      <c r="G390" s="76" t="str">
        <f>A389</f>
        <v>2nd Floor</v>
      </c>
      <c r="H390" s="77"/>
      <c r="I390" s="36"/>
      <c r="N390" s="36"/>
    </row>
    <row r="391" spans="1:14" s="37" customFormat="1" hidden="1" x14ac:dyDescent="0.3">
      <c r="A391" s="42">
        <f>A390+1</f>
        <v>202</v>
      </c>
      <c r="B391" s="42"/>
      <c r="C391" s="54"/>
      <c r="D391" s="42"/>
      <c r="E391" s="42">
        <v>0</v>
      </c>
      <c r="F391" s="42">
        <f t="shared" si="53"/>
        <v>0</v>
      </c>
      <c r="G391" s="78"/>
      <c r="H391" s="79"/>
      <c r="I391" s="36"/>
      <c r="N391" s="36"/>
    </row>
    <row r="392" spans="1:14" s="37" customFormat="1" hidden="1" x14ac:dyDescent="0.3">
      <c r="A392" s="42">
        <f>A391+1</f>
        <v>203</v>
      </c>
      <c r="B392" s="42"/>
      <c r="C392" s="54"/>
      <c r="D392" s="42"/>
      <c r="E392" s="42">
        <v>0</v>
      </c>
      <c r="F392" s="42">
        <f>D392*(($F$177)+1)+(IF(E392&lt;101,E392,IF(E392&lt;201,E392/2,IF(E392&lt;=301,E392/3,E392/4))))</f>
        <v>0</v>
      </c>
      <c r="G392" s="78"/>
      <c r="H392" s="79"/>
      <c r="I392" s="36"/>
      <c r="N392" s="36"/>
    </row>
    <row r="393" spans="1:14" s="37" customFormat="1" hidden="1" x14ac:dyDescent="0.3">
      <c r="A393" s="42">
        <f>A392+1</f>
        <v>204</v>
      </c>
      <c r="B393" s="42"/>
      <c r="C393" s="54"/>
      <c r="D393" s="42"/>
      <c r="E393" s="42">
        <v>0</v>
      </c>
      <c r="F393" s="42">
        <f>D393*(($F$177)+1)+(IF(E393&lt;101,E393,IF(E393&lt;201,E393/2,IF(E393&lt;=301,E393/3,E393/4))))</f>
        <v>0</v>
      </c>
      <c r="G393" s="78"/>
      <c r="H393" s="79"/>
      <c r="I393" s="36"/>
      <c r="N393" s="36"/>
    </row>
    <row r="394" spans="1:14" s="37" customFormat="1" hidden="1" x14ac:dyDescent="0.3">
      <c r="A394" s="42">
        <f>A393+1</f>
        <v>205</v>
      </c>
      <c r="B394" s="42"/>
      <c r="C394" s="54"/>
      <c r="D394" s="42"/>
      <c r="E394" s="42">
        <v>0</v>
      </c>
      <c r="F394" s="42">
        <f>D394*(($F$177)+1)+(IF(E394&lt;101,E394,IF(E394&lt;201,E394/2,IF(E394&lt;=301,E394/3,E394/4))))</f>
        <v>0</v>
      </c>
      <c r="G394" s="80"/>
      <c r="H394" s="81"/>
      <c r="I394" s="36"/>
      <c r="N394" s="36"/>
    </row>
    <row r="395" spans="1:14" s="37" customFormat="1" ht="15.75" hidden="1" customHeight="1" x14ac:dyDescent="0.3">
      <c r="A395" s="84" t="s">
        <v>158</v>
      </c>
      <c r="B395" s="85"/>
      <c r="C395" s="85"/>
      <c r="D395" s="85"/>
      <c r="E395" s="85"/>
      <c r="F395" s="85"/>
      <c r="G395" s="85"/>
      <c r="H395" s="86"/>
      <c r="I395" s="36"/>
    </row>
    <row r="396" spans="1:14" s="37" customFormat="1" ht="15.75" hidden="1" customHeight="1" x14ac:dyDescent="0.3">
      <c r="A396" s="133" t="str">
        <f ca="1">(SUMPRODUCT(MID(0&amp;(LEFT(A395,SUM(LEN(A395)-LEN(SUBSTITUTE(A395,{"0","1","2"},""))))), LARGE(INDEX(ISNUMBER(--MID((LEFT(A395,SUM(LEN(A395)-LEN(SUBSTITUTE(A395,{"0","1","2"},""))))), ROW(INDIRECT("1:"&amp;LEN((LEFT(A395,SUM(LEN(A395)-LEN(SUBSTITUTE(A395,{"0","1","2"},"")))))))), 1)) * ROW(INDIRECT("1:"&amp;LEN((LEFT(A395,SUM(LEN(A395)-LEN(SUBSTITUTE(A395,{"0","1","2"},"")))))))), 0), ROW(INDIRECT("1:"&amp;LEN((LEFT(A395,SUM(LEN(A395)-LEN(SUBSTITUTE(A395,{"0","1","2"},"")))))))))+1, 1) * 10^ROW(INDIRECT("1:"&amp;LEN((LEFT(A395,SUM(LEN(A395)-LEN(SUBSTITUTE(A395,{"0","1","2"},""))))))))/10))*100+1&amp;""&amp;" ,.., "&amp;""&amp;(SUMPRODUCT(MID(0&amp;(--TRIM(RIGHT(SUBSTITUTE(LEFT(A395,_xlfn.AGGREGATE(16,6,FIND({0,1,2,3,4,5,6,7,8,9},A395,ROW(INDIRECT("1:"&amp;LEN(A395)))),1))," ",REPT(" ",LEN(A395))),LEN(A395)))), LARGE(INDEX(ISNUMBER(--MID((--TRIM(RIGHT(SUBSTITUTE(LEFT(A395,_xlfn.AGGREGATE(16,6,FIND({0,1,2,3,4,5,6,7,8,9},A395,ROW(INDIRECT("1:"&amp;LEN(A395)))),1))," ",REPT(" ",LEN(A395))),LEN(A395)))), ROW(INDIRECT("1:"&amp;LEN((--TRIM(RIGHT(SUBSTITUTE(LEFT(A395,_xlfn.AGGREGATE(16,6,FIND({0,1,2,3,4,5,6,7,8,9},A395,ROW(INDIRECT("1:"&amp;LEN(A395)))),1))," ",REPT(" ",LEN(A395))),LEN(A395))))))), 1)) * ROW(INDIRECT("1:"&amp;LEN((--TRIM(RIGHT(SUBSTITUTE(LEFT(A395,_xlfn.AGGREGATE(16,6,FIND({0,1,2,3,4,5,6,7,8,9},A395,ROW(INDIRECT("1:"&amp;LEN(A395)))),1))," ",REPT(" ",LEN(A395))),LEN(A395))))))), 0), ROW(INDIRECT("1:"&amp;LEN((--TRIM(RIGHT(SUBSTITUTE(LEFT(A395,_xlfn.AGGREGATE(16,6,FIND({0,1,2,3,4,5,6,7,8,9},A395,ROW(INDIRECT("1:"&amp;LEN(A395)))),1))," ",REPT(" ",LEN(A395))),LEN(A395))))))))+1, 1) * 10^ROW(INDIRECT("1:"&amp;LEN((--TRIM(RIGHT(SUBSTITUTE(LEFT(A395,_xlfn.AGGREGATE(16,6,FIND({0,1,2,3,4,5,6,7,8,9},A395,ROW(INDIRECT("1:"&amp;LEN(A395)))),1))," ",REPT(" ",LEN(A395))),LEN(A395)))))))/10))*100+1</f>
        <v>301 ,.., 1501</v>
      </c>
      <c r="B396" s="134"/>
      <c r="C396" s="54"/>
      <c r="D396" s="42"/>
      <c r="E396" s="42">
        <v>0</v>
      </c>
      <c r="F396" s="42">
        <f>D396*(($F$177)+1)+(IF(E396&lt;101,E396,IF(E396&lt;201,E396/2,IF(E396&lt;=301,E396/3,E396/4))))</f>
        <v>0</v>
      </c>
      <c r="G396" s="76" t="str">
        <f>A395</f>
        <v>3rd, 5th, 7th, 9th, 11th, 13th, 15th Floor</v>
      </c>
      <c r="H396" s="77"/>
      <c r="I396" s="36"/>
    </row>
    <row r="397" spans="1:14" s="37" customFormat="1" ht="15.75" hidden="1" customHeight="1" x14ac:dyDescent="0.3">
      <c r="A397" s="133" t="str">
        <f ca="1">(SUMPRODUCT(MID(0&amp;(LEFT(A396,SUM(LEN(A396)-LEN(SUBSTITUTE(A396,{"0","1","2"},""))))), LARGE(INDEX(ISNUMBER(--MID((LEFT(A396,SUM(LEN(A396)-LEN(SUBSTITUTE(A396,{"0","1","2"},""))))), ROW(INDIRECT("1:"&amp;LEN((LEFT(A396,SUM(LEN(A396)-LEN(SUBSTITUTE(A396,{"0","1","2"},"")))))))), 1)) * ROW(INDIRECT("1:"&amp;LEN((LEFT(A396,SUM(LEN(A396)-LEN(SUBSTITUTE(A396,{"0","1","2"},"")))))))), 0), ROW(INDIRECT("1:"&amp;LEN((LEFT(A396,SUM(LEN(A396)-LEN(SUBSTITUTE(A396,{"0","1","2"},"")))))))))+1, 1) * 10^ROW(INDIRECT("1:"&amp;LEN((LEFT(A396,SUM(LEN(A396)-LEN(SUBSTITUTE(A396,{"0","1","2"},""))))))))/10))*1+1&amp;""&amp;" ,.., "&amp;""&amp;(SUMPRODUCT(MID(0&amp;(--TRIM(RIGHT(SUBSTITUTE(LEFT(A396,_xlfn.AGGREGATE(16,6,FIND({0,1,2,3,4,5,6,7,8,9},A396,ROW(INDIRECT("1:"&amp;LEN(A396)))),1))," ",REPT(" ",LEN(A396))),LEN(A396)))), LARGE(INDEX(ISNUMBER(--MID((--TRIM(RIGHT(SUBSTITUTE(LEFT(A396,_xlfn.AGGREGATE(16,6,FIND({0,1,2,3,4,5,6,7,8,9},A396,ROW(INDIRECT("1:"&amp;LEN(A396)))),1))," ",REPT(" ",LEN(A396))),LEN(A396)))), ROW(INDIRECT("1:"&amp;LEN((--TRIM(RIGHT(SUBSTITUTE(LEFT(A396,_xlfn.AGGREGATE(16,6,FIND({0,1,2,3,4,5,6,7,8,9},A396,ROW(INDIRECT("1:"&amp;LEN(A396)))),1))," ",REPT(" ",LEN(A396))),LEN(A396))))))), 1)) * ROW(INDIRECT("1:"&amp;LEN((--TRIM(RIGHT(SUBSTITUTE(LEFT(A396,_xlfn.AGGREGATE(16,6,FIND({0,1,2,3,4,5,6,7,8,9},A396,ROW(INDIRECT("1:"&amp;LEN(A396)))),1))," ",REPT(" ",LEN(A396))),LEN(A396))))))), 0), ROW(INDIRECT("1:"&amp;LEN((--TRIM(RIGHT(SUBSTITUTE(LEFT(A396,_xlfn.AGGREGATE(16,6,FIND({0,1,2,3,4,5,6,7,8,9},A396,ROW(INDIRECT("1:"&amp;LEN(A396)))),1))," ",REPT(" ",LEN(A396))),LEN(A396))))))))+1, 1) * 10^ROW(INDIRECT("1:"&amp;LEN((--TRIM(RIGHT(SUBSTITUTE(LEFT(A396,_xlfn.AGGREGATE(16,6,FIND({0,1,2,3,4,5,6,7,8,9},A396,ROW(INDIRECT("1:"&amp;LEN(A396)))),1))," ",REPT(" ",LEN(A396))),LEN(A396)))))))/10))*1+1</f>
        <v>302 ,.., 1502</v>
      </c>
      <c r="B397" s="134"/>
      <c r="C397" s="54"/>
      <c r="D397" s="42"/>
      <c r="E397" s="42">
        <v>0</v>
      </c>
      <c r="F397" s="42">
        <f>D397*(($F$177)+1)+(IF(E397&lt;101,E397,IF(E397&lt;201,E397/2,IF(E397&lt;=301,E397/3,E397/4))))</f>
        <v>0</v>
      </c>
      <c r="G397" s="78"/>
      <c r="H397" s="79"/>
      <c r="I397" s="36"/>
    </row>
    <row r="398" spans="1:14" s="37" customFormat="1" ht="15.75" hidden="1" customHeight="1" x14ac:dyDescent="0.3">
      <c r="A398" s="133" t="str">
        <f ca="1">(SUMPRODUCT(MID(0&amp;(LEFT(A397,SUM(LEN(A397)-LEN(SUBSTITUTE(A397,{"0","1","2"},""))))), LARGE(INDEX(ISNUMBER(--MID((LEFT(A397,SUM(LEN(A397)-LEN(SUBSTITUTE(A397,{"0","1","2"},""))))), ROW(INDIRECT("1:"&amp;LEN((LEFT(A397,SUM(LEN(A397)-LEN(SUBSTITUTE(A397,{"0","1","2"},"")))))))), 1)) * ROW(INDIRECT("1:"&amp;LEN((LEFT(A397,SUM(LEN(A397)-LEN(SUBSTITUTE(A397,{"0","1","2"},"")))))))), 0), ROW(INDIRECT("1:"&amp;LEN((LEFT(A397,SUM(LEN(A397)-LEN(SUBSTITUTE(A397,{"0","1","2"},"")))))))))+1, 1) * 10^ROW(INDIRECT("1:"&amp;LEN((LEFT(A397,SUM(LEN(A397)-LEN(SUBSTITUTE(A397,{"0","1","2"},""))))))))/10))*1+1&amp;""&amp;" ,.., "&amp;""&amp;(SUMPRODUCT(MID(0&amp;(--TRIM(RIGHT(SUBSTITUTE(LEFT(A397,_xlfn.AGGREGATE(16,6,FIND({0,1,2,3,4,5,6,7,8,9},A397,ROW(INDIRECT("1:"&amp;LEN(A397)))),1))," ",REPT(" ",LEN(A397))),LEN(A397)))), LARGE(INDEX(ISNUMBER(--MID((--TRIM(RIGHT(SUBSTITUTE(LEFT(A397,_xlfn.AGGREGATE(16,6,FIND({0,1,2,3,4,5,6,7,8,9},A397,ROW(INDIRECT("1:"&amp;LEN(A397)))),1))," ",REPT(" ",LEN(A397))),LEN(A397)))), ROW(INDIRECT("1:"&amp;LEN((--TRIM(RIGHT(SUBSTITUTE(LEFT(A397,_xlfn.AGGREGATE(16,6,FIND({0,1,2,3,4,5,6,7,8,9},A397,ROW(INDIRECT("1:"&amp;LEN(A397)))),1))," ",REPT(" ",LEN(A397))),LEN(A397))))))), 1)) * ROW(INDIRECT("1:"&amp;LEN((--TRIM(RIGHT(SUBSTITUTE(LEFT(A397,_xlfn.AGGREGATE(16,6,FIND({0,1,2,3,4,5,6,7,8,9},A397,ROW(INDIRECT("1:"&amp;LEN(A397)))),1))," ",REPT(" ",LEN(A397))),LEN(A397))))))), 0), ROW(INDIRECT("1:"&amp;LEN((--TRIM(RIGHT(SUBSTITUTE(LEFT(A397,_xlfn.AGGREGATE(16,6,FIND({0,1,2,3,4,5,6,7,8,9},A397,ROW(INDIRECT("1:"&amp;LEN(A397)))),1))," ",REPT(" ",LEN(A397))),LEN(A397))))))))+1, 1) * 10^ROW(INDIRECT("1:"&amp;LEN((--TRIM(RIGHT(SUBSTITUTE(LEFT(A397,_xlfn.AGGREGATE(16,6,FIND({0,1,2,3,4,5,6,7,8,9},A397,ROW(INDIRECT("1:"&amp;LEN(A397)))),1))," ",REPT(" ",LEN(A397))),LEN(A397)))))))/10))*1+1</f>
        <v>303 ,.., 1503</v>
      </c>
      <c r="B398" s="134"/>
      <c r="C398" s="54"/>
      <c r="D398" s="42"/>
      <c r="E398" s="42">
        <v>0</v>
      </c>
      <c r="F398" s="42">
        <f>D398*(($F$177)+1)+(IF(E398&lt;101,E398,IF(E398&lt;201,E398/2,IF(E398&lt;=301,E398/3,E398/4))))</f>
        <v>0</v>
      </c>
      <c r="G398" s="78"/>
      <c r="H398" s="79"/>
      <c r="I398" s="36"/>
    </row>
    <row r="399" spans="1:14" s="37" customFormat="1" ht="15.75" hidden="1" customHeight="1" x14ac:dyDescent="0.3">
      <c r="A399" s="133" t="str">
        <f ca="1">(SUMPRODUCT(MID(0&amp;(LEFT(A398,SUM(LEN(A398)-LEN(SUBSTITUTE(A398,{"0","1","2"},""))))), LARGE(INDEX(ISNUMBER(--MID((LEFT(A398,SUM(LEN(A398)-LEN(SUBSTITUTE(A398,{"0","1","2"},""))))), ROW(INDIRECT("1:"&amp;LEN((LEFT(A398,SUM(LEN(A398)-LEN(SUBSTITUTE(A398,{"0","1","2"},"")))))))), 1)) * ROW(INDIRECT("1:"&amp;LEN((LEFT(A398,SUM(LEN(A398)-LEN(SUBSTITUTE(A398,{"0","1","2"},"")))))))), 0), ROW(INDIRECT("1:"&amp;LEN((LEFT(A398,SUM(LEN(A398)-LEN(SUBSTITUTE(A398,{"0","1","2"},"")))))))))+1, 1) * 10^ROW(INDIRECT("1:"&amp;LEN((LEFT(A398,SUM(LEN(A398)-LEN(SUBSTITUTE(A398,{"0","1","2"},""))))))))/10))*1+1&amp;""&amp;" ,.., "&amp;""&amp;(SUMPRODUCT(MID(0&amp;(--TRIM(RIGHT(SUBSTITUTE(LEFT(A398,_xlfn.AGGREGATE(16,6,FIND({0,1,2,3,4,5,6,7,8,9},A398,ROW(INDIRECT("1:"&amp;LEN(A398)))),1))," ",REPT(" ",LEN(A398))),LEN(A398)))), LARGE(INDEX(ISNUMBER(--MID((--TRIM(RIGHT(SUBSTITUTE(LEFT(A398,_xlfn.AGGREGATE(16,6,FIND({0,1,2,3,4,5,6,7,8,9},A398,ROW(INDIRECT("1:"&amp;LEN(A398)))),1))," ",REPT(" ",LEN(A398))),LEN(A398)))), ROW(INDIRECT("1:"&amp;LEN((--TRIM(RIGHT(SUBSTITUTE(LEFT(A398,_xlfn.AGGREGATE(16,6,FIND({0,1,2,3,4,5,6,7,8,9},A398,ROW(INDIRECT("1:"&amp;LEN(A398)))),1))," ",REPT(" ",LEN(A398))),LEN(A398))))))), 1)) * ROW(INDIRECT("1:"&amp;LEN((--TRIM(RIGHT(SUBSTITUTE(LEFT(A398,_xlfn.AGGREGATE(16,6,FIND({0,1,2,3,4,5,6,7,8,9},A398,ROW(INDIRECT("1:"&amp;LEN(A398)))),1))," ",REPT(" ",LEN(A398))),LEN(A398))))))), 0), ROW(INDIRECT("1:"&amp;LEN((--TRIM(RIGHT(SUBSTITUTE(LEFT(A398,_xlfn.AGGREGATE(16,6,FIND({0,1,2,3,4,5,6,7,8,9},A398,ROW(INDIRECT("1:"&amp;LEN(A398)))),1))," ",REPT(" ",LEN(A398))),LEN(A398))))))))+1, 1) * 10^ROW(INDIRECT("1:"&amp;LEN((--TRIM(RIGHT(SUBSTITUTE(LEFT(A398,_xlfn.AGGREGATE(16,6,FIND({0,1,2,3,4,5,6,7,8,9},A398,ROW(INDIRECT("1:"&amp;LEN(A398)))),1))," ",REPT(" ",LEN(A398))),LEN(A398)))))))/10))*1+1</f>
        <v>304 ,.., 1504</v>
      </c>
      <c r="B399" s="134"/>
      <c r="C399" s="54"/>
      <c r="D399" s="42"/>
      <c r="E399" s="42">
        <v>0</v>
      </c>
      <c r="F399" s="42">
        <f>D399*(($F$177)+1)+(IF(E399&lt;101,E399,IF(E399&lt;201,E399/2,IF(E399&lt;=301,E399/3,E399/4))))</f>
        <v>0</v>
      </c>
      <c r="G399" s="78"/>
      <c r="H399" s="79"/>
      <c r="I399" s="36"/>
    </row>
    <row r="400" spans="1:14" s="37" customFormat="1" ht="15.75" hidden="1" customHeight="1" x14ac:dyDescent="0.3">
      <c r="A400" s="133" t="str">
        <f ca="1">(SUMPRODUCT(MID(0&amp;(LEFT(A399,SUM(LEN(A399)-LEN(SUBSTITUTE(A399,{"0","1","2"},""))))), LARGE(INDEX(ISNUMBER(--MID((LEFT(A399,SUM(LEN(A399)-LEN(SUBSTITUTE(A399,{"0","1","2"},""))))), ROW(INDIRECT("1:"&amp;LEN((LEFT(A399,SUM(LEN(A399)-LEN(SUBSTITUTE(A399,{"0","1","2"},"")))))))), 1)) * ROW(INDIRECT("1:"&amp;LEN((LEFT(A399,SUM(LEN(A399)-LEN(SUBSTITUTE(A399,{"0","1","2"},"")))))))), 0), ROW(INDIRECT("1:"&amp;LEN((LEFT(A399,SUM(LEN(A399)-LEN(SUBSTITUTE(A399,{"0","1","2"},"")))))))))+1, 1) * 10^ROW(INDIRECT("1:"&amp;LEN((LEFT(A399,SUM(LEN(A399)-LEN(SUBSTITUTE(A399,{"0","1","2"},""))))))))/10))*1+1&amp;""&amp;" ,.., "&amp;""&amp;(SUMPRODUCT(MID(0&amp;(--TRIM(RIGHT(SUBSTITUTE(LEFT(A399,_xlfn.AGGREGATE(16,6,FIND({0,1,2,3,4,5,6,7,8,9},A399,ROW(INDIRECT("1:"&amp;LEN(A399)))),1))," ",REPT(" ",LEN(A399))),LEN(A399)))), LARGE(INDEX(ISNUMBER(--MID((--TRIM(RIGHT(SUBSTITUTE(LEFT(A399,_xlfn.AGGREGATE(16,6,FIND({0,1,2,3,4,5,6,7,8,9},A399,ROW(INDIRECT("1:"&amp;LEN(A399)))),1))," ",REPT(" ",LEN(A399))),LEN(A399)))), ROW(INDIRECT("1:"&amp;LEN((--TRIM(RIGHT(SUBSTITUTE(LEFT(A399,_xlfn.AGGREGATE(16,6,FIND({0,1,2,3,4,5,6,7,8,9},A399,ROW(INDIRECT("1:"&amp;LEN(A399)))),1))," ",REPT(" ",LEN(A399))),LEN(A399))))))), 1)) * ROW(INDIRECT("1:"&amp;LEN((--TRIM(RIGHT(SUBSTITUTE(LEFT(A399,_xlfn.AGGREGATE(16,6,FIND({0,1,2,3,4,5,6,7,8,9},A399,ROW(INDIRECT("1:"&amp;LEN(A399)))),1))," ",REPT(" ",LEN(A399))),LEN(A399))))))), 0), ROW(INDIRECT("1:"&amp;LEN((--TRIM(RIGHT(SUBSTITUTE(LEFT(A399,_xlfn.AGGREGATE(16,6,FIND({0,1,2,3,4,5,6,7,8,9},A399,ROW(INDIRECT("1:"&amp;LEN(A399)))),1))," ",REPT(" ",LEN(A399))),LEN(A399))))))))+1, 1) * 10^ROW(INDIRECT("1:"&amp;LEN((--TRIM(RIGHT(SUBSTITUTE(LEFT(A399,_xlfn.AGGREGATE(16,6,FIND({0,1,2,3,4,5,6,7,8,9},A399,ROW(INDIRECT("1:"&amp;LEN(A399)))),1))," ",REPT(" ",LEN(A399))),LEN(A399)))))))/10))*1+1</f>
        <v>305 ,.., 1505</v>
      </c>
      <c r="B400" s="134"/>
      <c r="C400" s="54"/>
      <c r="D400" s="42"/>
      <c r="E400" s="42">
        <v>0</v>
      </c>
      <c r="F400" s="42">
        <f>D400*(($F$177)+1)+(IF(E400&lt;101,E400,IF(E400&lt;201,E400/2,IF(E400&lt;=301,E400/3,E400/4))))</f>
        <v>0</v>
      </c>
      <c r="G400" s="80"/>
      <c r="H400" s="81"/>
      <c r="I400" s="36"/>
    </row>
    <row r="401" spans="1:9" s="37" customFormat="1" hidden="1" x14ac:dyDescent="0.3">
      <c r="A401" s="84" t="s">
        <v>152</v>
      </c>
      <c r="B401" s="85"/>
      <c r="C401" s="85"/>
      <c r="D401" s="85"/>
      <c r="E401" s="85"/>
      <c r="F401" s="85"/>
      <c r="G401" s="85"/>
      <c r="H401" s="86"/>
      <c r="I401" s="36"/>
    </row>
    <row r="402" spans="1:9" s="37" customFormat="1" ht="15.75" hidden="1" customHeight="1" x14ac:dyDescent="0.3">
      <c r="A402" s="42" t="str">
        <f ca="1">(SUMPRODUCT(MID(0&amp;(LEFT(A401,SUM(LEN(A401)-LEN(SUBSTITUTE(A401,{"0","1","2"},""))))), LARGE(INDEX(ISNUMBER(--MID((LEFT(A401,SUM(LEN(A401)-LEN(SUBSTITUTE(A401,{"0","1","2"},""))))), ROW(INDIRECT("1:"&amp;LEN((LEFT(A401,SUM(LEN(A401)-LEN(SUBSTITUTE(A401,{"0","1","2"},"")))))))), 1)) * ROW(INDIRECT("1:"&amp;LEN((LEFT(A401,SUM(LEN(A401)-LEN(SUBSTITUTE(A401,{"0","1","2"},"")))))))), 0), ROW(INDIRECT("1:"&amp;LEN((LEFT(A401,SUM(LEN(A401)-LEN(SUBSTITUTE(A401,{"0","1","2"},"")))))))))+1, 1) * 10^ROW(INDIRECT("1:"&amp;LEN((LEFT(A401,SUM(LEN(A401)-LEN(SUBSTITUTE(A401,{"0","1","2"},""))))))))/10))*100+1&amp;""&amp;" to "&amp;""&amp;(SUMPRODUCT(MID(0&amp;(--TRIM(RIGHT(SUBSTITUTE(LEFT(A401,_xlfn.AGGREGATE(16,6,FIND({0,1,2,3,4,5,6,7,8,9},A401,ROW(INDIRECT("1:"&amp;LEN(A401)))),1))," ",REPT(" ",LEN(A401))),LEN(A401)))), LARGE(INDEX(ISNUMBER(--MID((--TRIM(RIGHT(SUBSTITUTE(LEFT(A401,_xlfn.AGGREGATE(16,6,FIND({0,1,2,3,4,5,6,7,8,9},A401,ROW(INDIRECT("1:"&amp;LEN(A401)))),1))," ",REPT(" ",LEN(A401))),LEN(A401)))), ROW(INDIRECT("1:"&amp;LEN((--TRIM(RIGHT(SUBSTITUTE(LEFT(A401,_xlfn.AGGREGATE(16,6,FIND({0,1,2,3,4,5,6,7,8,9},A401,ROW(INDIRECT("1:"&amp;LEN(A401)))),1))," ",REPT(" ",LEN(A401))),LEN(A401))))))), 1)) * ROW(INDIRECT("1:"&amp;LEN((--TRIM(RIGHT(SUBSTITUTE(LEFT(A401,_xlfn.AGGREGATE(16,6,FIND({0,1,2,3,4,5,6,7,8,9},A401,ROW(INDIRECT("1:"&amp;LEN(A401)))),1))," ",REPT(" ",LEN(A401))),LEN(A401))))))), 0), ROW(INDIRECT("1:"&amp;LEN((--TRIM(RIGHT(SUBSTITUTE(LEFT(A401,_xlfn.AGGREGATE(16,6,FIND({0,1,2,3,4,5,6,7,8,9},A401,ROW(INDIRECT("1:"&amp;LEN(A401)))),1))," ",REPT(" ",LEN(A401))),LEN(A401))))))))+1, 1) * 10^ROW(INDIRECT("1:"&amp;LEN((--TRIM(RIGHT(SUBSTITUTE(LEFT(A401,_xlfn.AGGREGATE(16,6,FIND({0,1,2,3,4,5,6,7,8,9},A401,ROW(INDIRECT("1:"&amp;LEN(A401)))),1))," ",REPT(" ",LEN(A401))),LEN(A401)))))))/10))*100+1</f>
        <v>201 to 501</v>
      </c>
      <c r="B402" s="42"/>
      <c r="C402" s="54"/>
      <c r="D402" s="42"/>
      <c r="E402" s="42">
        <v>0</v>
      </c>
      <c r="F402" s="42">
        <f>D402*(($F$177)+1)+(IF(E402&lt;101,E402,IF(E402&lt;201,E402/2,IF(E402&lt;=301,E402/3,E402/4))))</f>
        <v>0</v>
      </c>
      <c r="G402" s="76" t="str">
        <f>A401</f>
        <v>2nd to 5th Floor</v>
      </c>
      <c r="H402" s="77"/>
      <c r="I402" s="36"/>
    </row>
    <row r="403" spans="1:9" s="37" customFormat="1" ht="15.75" hidden="1" customHeight="1" x14ac:dyDescent="0.3">
      <c r="A403" s="42" t="str">
        <f ca="1">(SUMPRODUCT(MID(0&amp;(LEFT(A402,SUM(LEN(A402)-LEN(SUBSTITUTE(A402,{"0","1","2"},""))))), LARGE(INDEX(ISNUMBER(--MID((LEFT(A402,SUM(LEN(A402)-LEN(SUBSTITUTE(A402,{"0","1","2"},""))))), ROW(INDIRECT("1:"&amp;LEN((LEFT(A402,SUM(LEN(A402)-LEN(SUBSTITUTE(A402,{"0","1","2"},"")))))))), 1)) * ROW(INDIRECT("1:"&amp;LEN((LEFT(A402,SUM(LEN(A402)-LEN(SUBSTITUTE(A402,{"0","1","2"},"")))))))), 0), ROW(INDIRECT("1:"&amp;LEN((LEFT(A402,SUM(LEN(A402)-LEN(SUBSTITUTE(A402,{"0","1","2"},"")))))))))+1, 1) * 10^ROW(INDIRECT("1:"&amp;LEN((LEFT(A402,SUM(LEN(A402)-LEN(SUBSTITUTE(A402,{"0","1","2"},""))))))))/10))*1+1&amp;""&amp;" to "&amp;""&amp;(SUMPRODUCT(MID(0&amp;(--TRIM(RIGHT(SUBSTITUTE(LEFT(A402,_xlfn.AGGREGATE(16,6,FIND({0,1,2,3,4,5,6,7,8,9},A402,ROW(INDIRECT("1:"&amp;LEN(A402)))),1))," ",REPT(" ",LEN(A402))),LEN(A402)))), LARGE(INDEX(ISNUMBER(--MID((--TRIM(RIGHT(SUBSTITUTE(LEFT(A402,_xlfn.AGGREGATE(16,6,FIND({0,1,2,3,4,5,6,7,8,9},A402,ROW(INDIRECT("1:"&amp;LEN(A402)))),1))," ",REPT(" ",LEN(A402))),LEN(A402)))), ROW(INDIRECT("1:"&amp;LEN((--TRIM(RIGHT(SUBSTITUTE(LEFT(A402,_xlfn.AGGREGATE(16,6,FIND({0,1,2,3,4,5,6,7,8,9},A402,ROW(INDIRECT("1:"&amp;LEN(A402)))),1))," ",REPT(" ",LEN(A402))),LEN(A402))))))), 1)) * ROW(INDIRECT("1:"&amp;LEN((--TRIM(RIGHT(SUBSTITUTE(LEFT(A402,_xlfn.AGGREGATE(16,6,FIND({0,1,2,3,4,5,6,7,8,9},A402,ROW(INDIRECT("1:"&amp;LEN(A402)))),1))," ",REPT(" ",LEN(A402))),LEN(A402))))))), 0), ROW(INDIRECT("1:"&amp;LEN((--TRIM(RIGHT(SUBSTITUTE(LEFT(A402,_xlfn.AGGREGATE(16,6,FIND({0,1,2,3,4,5,6,7,8,9},A402,ROW(INDIRECT("1:"&amp;LEN(A402)))),1))," ",REPT(" ",LEN(A402))),LEN(A402))))))))+1, 1) * 10^ROW(INDIRECT("1:"&amp;LEN((--TRIM(RIGHT(SUBSTITUTE(LEFT(A402,_xlfn.AGGREGATE(16,6,FIND({0,1,2,3,4,5,6,7,8,9},A402,ROW(INDIRECT("1:"&amp;LEN(A402)))),1))," ",REPT(" ",LEN(A402))),LEN(A402)))))))/10))*1+1</f>
        <v>202 to 502</v>
      </c>
      <c r="B403" s="42"/>
      <c r="C403" s="54"/>
      <c r="D403" s="42"/>
      <c r="E403" s="42">
        <v>0</v>
      </c>
      <c r="F403" s="42">
        <f>D403*(($F$177)+1)+(IF(E403&lt;101,E403,IF(E403&lt;201,E403/2,IF(E403&lt;=301,E403/3,E403/4))))</f>
        <v>0</v>
      </c>
      <c r="G403" s="78"/>
      <c r="H403" s="79"/>
      <c r="I403" s="36"/>
    </row>
    <row r="404" spans="1:9" s="37" customFormat="1" ht="15.75" hidden="1" customHeight="1" x14ac:dyDescent="0.3">
      <c r="A404" s="42" t="str">
        <f ca="1">(SUMPRODUCT(MID(0&amp;(LEFT(A403,SUM(LEN(A403)-LEN(SUBSTITUTE(A403,{"0","1","2"},""))))), LARGE(INDEX(ISNUMBER(--MID((LEFT(A403,SUM(LEN(A403)-LEN(SUBSTITUTE(A403,{"0","1","2"},""))))), ROW(INDIRECT("1:"&amp;LEN((LEFT(A403,SUM(LEN(A403)-LEN(SUBSTITUTE(A403,{"0","1","2"},"")))))))), 1)) * ROW(INDIRECT("1:"&amp;LEN((LEFT(A403,SUM(LEN(A403)-LEN(SUBSTITUTE(A403,{"0","1","2"},"")))))))), 0), ROW(INDIRECT("1:"&amp;LEN((LEFT(A403,SUM(LEN(A403)-LEN(SUBSTITUTE(A403,{"0","1","2"},"")))))))))+1, 1) * 10^ROW(INDIRECT("1:"&amp;LEN((LEFT(A403,SUM(LEN(A403)-LEN(SUBSTITUTE(A403,{"0","1","2"},""))))))))/10))*1+1&amp;""&amp;" to "&amp;""&amp;(SUMPRODUCT(MID(0&amp;(--TRIM(RIGHT(SUBSTITUTE(LEFT(A403,_xlfn.AGGREGATE(16,6,FIND({0,1,2,3,4,5,6,7,8,9},A403,ROW(INDIRECT("1:"&amp;LEN(A403)))),1))," ",REPT(" ",LEN(A403))),LEN(A403)))), LARGE(INDEX(ISNUMBER(--MID((--TRIM(RIGHT(SUBSTITUTE(LEFT(A403,_xlfn.AGGREGATE(16,6,FIND({0,1,2,3,4,5,6,7,8,9},A403,ROW(INDIRECT("1:"&amp;LEN(A403)))),1))," ",REPT(" ",LEN(A403))),LEN(A403)))), ROW(INDIRECT("1:"&amp;LEN((--TRIM(RIGHT(SUBSTITUTE(LEFT(A403,_xlfn.AGGREGATE(16,6,FIND({0,1,2,3,4,5,6,7,8,9},A403,ROW(INDIRECT("1:"&amp;LEN(A403)))),1))," ",REPT(" ",LEN(A403))),LEN(A403))))))), 1)) * ROW(INDIRECT("1:"&amp;LEN((--TRIM(RIGHT(SUBSTITUTE(LEFT(A403,_xlfn.AGGREGATE(16,6,FIND({0,1,2,3,4,5,6,7,8,9},A403,ROW(INDIRECT("1:"&amp;LEN(A403)))),1))," ",REPT(" ",LEN(A403))),LEN(A403))))))), 0), ROW(INDIRECT("1:"&amp;LEN((--TRIM(RIGHT(SUBSTITUTE(LEFT(A403,_xlfn.AGGREGATE(16,6,FIND({0,1,2,3,4,5,6,7,8,9},A403,ROW(INDIRECT("1:"&amp;LEN(A403)))),1))," ",REPT(" ",LEN(A403))),LEN(A403))))))))+1, 1) * 10^ROW(INDIRECT("1:"&amp;LEN((--TRIM(RIGHT(SUBSTITUTE(LEFT(A403,_xlfn.AGGREGATE(16,6,FIND({0,1,2,3,4,5,6,7,8,9},A403,ROW(INDIRECT("1:"&amp;LEN(A403)))),1))," ",REPT(" ",LEN(A403))),LEN(A403)))))))/10))*1+1</f>
        <v>203 to 503</v>
      </c>
      <c r="B404" s="42"/>
      <c r="C404" s="54"/>
      <c r="D404" s="42"/>
      <c r="E404" s="42">
        <v>0</v>
      </c>
      <c r="F404" s="42">
        <f>D404*(($F$177)+1)+(IF(E404&lt;101,E404,IF(E404&lt;201,E404/2,IF(E404&lt;=301,E404/3,E404/4))))</f>
        <v>0</v>
      </c>
      <c r="G404" s="78"/>
      <c r="H404" s="79"/>
      <c r="I404" s="36"/>
    </row>
    <row r="405" spans="1:9" s="37" customFormat="1" ht="15.75" hidden="1" customHeight="1" x14ac:dyDescent="0.3">
      <c r="A405" s="42" t="str">
        <f ca="1">(SUMPRODUCT(MID(0&amp;(LEFT(A404,SUM(LEN(A404)-LEN(SUBSTITUTE(A404,{"0","1","2"},""))))), LARGE(INDEX(ISNUMBER(--MID((LEFT(A404,SUM(LEN(A404)-LEN(SUBSTITUTE(A404,{"0","1","2"},""))))), ROW(INDIRECT("1:"&amp;LEN((LEFT(A404,SUM(LEN(A404)-LEN(SUBSTITUTE(A404,{"0","1","2"},"")))))))), 1)) * ROW(INDIRECT("1:"&amp;LEN((LEFT(A404,SUM(LEN(A404)-LEN(SUBSTITUTE(A404,{"0","1","2"},"")))))))), 0), ROW(INDIRECT("1:"&amp;LEN((LEFT(A404,SUM(LEN(A404)-LEN(SUBSTITUTE(A404,{"0","1","2"},"")))))))))+1, 1) * 10^ROW(INDIRECT("1:"&amp;LEN((LEFT(A404,SUM(LEN(A404)-LEN(SUBSTITUTE(A404,{"0","1","2"},""))))))))/10))*1+1&amp;""&amp;" to "&amp;""&amp;(SUMPRODUCT(MID(0&amp;(--TRIM(RIGHT(SUBSTITUTE(LEFT(A404,_xlfn.AGGREGATE(16,6,FIND({0,1,2,3,4,5,6,7,8,9},A404,ROW(INDIRECT("1:"&amp;LEN(A404)))),1))," ",REPT(" ",LEN(A404))),LEN(A404)))), LARGE(INDEX(ISNUMBER(--MID((--TRIM(RIGHT(SUBSTITUTE(LEFT(A404,_xlfn.AGGREGATE(16,6,FIND({0,1,2,3,4,5,6,7,8,9},A404,ROW(INDIRECT("1:"&amp;LEN(A404)))),1))," ",REPT(" ",LEN(A404))),LEN(A404)))), ROW(INDIRECT("1:"&amp;LEN((--TRIM(RIGHT(SUBSTITUTE(LEFT(A404,_xlfn.AGGREGATE(16,6,FIND({0,1,2,3,4,5,6,7,8,9},A404,ROW(INDIRECT("1:"&amp;LEN(A404)))),1))," ",REPT(" ",LEN(A404))),LEN(A404))))))), 1)) * ROW(INDIRECT("1:"&amp;LEN((--TRIM(RIGHT(SUBSTITUTE(LEFT(A404,_xlfn.AGGREGATE(16,6,FIND({0,1,2,3,4,5,6,7,8,9},A404,ROW(INDIRECT("1:"&amp;LEN(A404)))),1))," ",REPT(" ",LEN(A404))),LEN(A404))))))), 0), ROW(INDIRECT("1:"&amp;LEN((--TRIM(RIGHT(SUBSTITUTE(LEFT(A404,_xlfn.AGGREGATE(16,6,FIND({0,1,2,3,4,5,6,7,8,9},A404,ROW(INDIRECT("1:"&amp;LEN(A404)))),1))," ",REPT(" ",LEN(A404))),LEN(A404))))))))+1, 1) * 10^ROW(INDIRECT("1:"&amp;LEN((--TRIM(RIGHT(SUBSTITUTE(LEFT(A404,_xlfn.AGGREGATE(16,6,FIND({0,1,2,3,4,5,6,7,8,9},A404,ROW(INDIRECT("1:"&amp;LEN(A404)))),1))," ",REPT(" ",LEN(A404))),LEN(A404)))))))/10))*1+1</f>
        <v>204 to 504</v>
      </c>
      <c r="B405" s="42"/>
      <c r="C405" s="54"/>
      <c r="D405" s="42"/>
      <c r="E405" s="42">
        <v>0</v>
      </c>
      <c r="F405" s="42">
        <f>D405*(($F$177)+1)+(IF(E405&lt;101,E405,IF(E405&lt;201,E405/2,IF(E405&lt;=301,E405/3,E405/4))))</f>
        <v>0</v>
      </c>
      <c r="G405" s="78"/>
      <c r="H405" s="79"/>
      <c r="I405" s="36"/>
    </row>
    <row r="406" spans="1:9" s="37" customFormat="1" ht="15.75" hidden="1" customHeight="1" x14ac:dyDescent="0.3">
      <c r="A406" s="42" t="str">
        <f ca="1">(SUMPRODUCT(MID(0&amp;(LEFT(A405,SUM(LEN(A405)-LEN(SUBSTITUTE(A405,{"0","1","2"},""))))), LARGE(INDEX(ISNUMBER(--MID((LEFT(A405,SUM(LEN(A405)-LEN(SUBSTITUTE(A405,{"0","1","2"},""))))), ROW(INDIRECT("1:"&amp;LEN((LEFT(A405,SUM(LEN(A405)-LEN(SUBSTITUTE(A405,{"0","1","2"},"")))))))), 1)) * ROW(INDIRECT("1:"&amp;LEN((LEFT(A405,SUM(LEN(A405)-LEN(SUBSTITUTE(A405,{"0","1","2"},"")))))))), 0), ROW(INDIRECT("1:"&amp;LEN((LEFT(A405,SUM(LEN(A405)-LEN(SUBSTITUTE(A405,{"0","1","2"},"")))))))))+1, 1) * 10^ROW(INDIRECT("1:"&amp;LEN((LEFT(A405,SUM(LEN(A405)-LEN(SUBSTITUTE(A405,{"0","1","2"},""))))))))/10))*1+1&amp;""&amp;" to "&amp;""&amp;(SUMPRODUCT(MID(0&amp;(--TRIM(RIGHT(SUBSTITUTE(LEFT(A405,_xlfn.AGGREGATE(16,6,FIND({0,1,2,3,4,5,6,7,8,9},A405,ROW(INDIRECT("1:"&amp;LEN(A405)))),1))," ",REPT(" ",LEN(A405))),LEN(A405)))), LARGE(INDEX(ISNUMBER(--MID((--TRIM(RIGHT(SUBSTITUTE(LEFT(A405,_xlfn.AGGREGATE(16,6,FIND({0,1,2,3,4,5,6,7,8,9},A405,ROW(INDIRECT("1:"&amp;LEN(A405)))),1))," ",REPT(" ",LEN(A405))),LEN(A405)))), ROW(INDIRECT("1:"&amp;LEN((--TRIM(RIGHT(SUBSTITUTE(LEFT(A405,_xlfn.AGGREGATE(16,6,FIND({0,1,2,3,4,5,6,7,8,9},A405,ROW(INDIRECT("1:"&amp;LEN(A405)))),1))," ",REPT(" ",LEN(A405))),LEN(A405))))))), 1)) * ROW(INDIRECT("1:"&amp;LEN((--TRIM(RIGHT(SUBSTITUTE(LEFT(A405,_xlfn.AGGREGATE(16,6,FIND({0,1,2,3,4,5,6,7,8,9},A405,ROW(INDIRECT("1:"&amp;LEN(A405)))),1))," ",REPT(" ",LEN(A405))),LEN(A405))))))), 0), ROW(INDIRECT("1:"&amp;LEN((--TRIM(RIGHT(SUBSTITUTE(LEFT(A405,_xlfn.AGGREGATE(16,6,FIND({0,1,2,3,4,5,6,7,8,9},A405,ROW(INDIRECT("1:"&amp;LEN(A405)))),1))," ",REPT(" ",LEN(A405))),LEN(A405))))))))+1, 1) * 10^ROW(INDIRECT("1:"&amp;LEN((--TRIM(RIGHT(SUBSTITUTE(LEFT(A405,_xlfn.AGGREGATE(16,6,FIND({0,1,2,3,4,5,6,7,8,9},A405,ROW(INDIRECT("1:"&amp;LEN(A405)))),1))," ",REPT(" ",LEN(A405))),LEN(A405)))))))/10))*1+1</f>
        <v>205 to 505</v>
      </c>
      <c r="B406" s="42"/>
      <c r="C406" s="54"/>
      <c r="D406" s="42"/>
      <c r="E406" s="42">
        <v>0</v>
      </c>
      <c r="F406" s="42">
        <f>D406*(($F$177)+1)+(IF(E406&lt;101,E406,IF(E406&lt;201,E406/2,IF(E406&lt;=301,E406/3,E406/4))))</f>
        <v>0</v>
      </c>
      <c r="G406" s="80"/>
      <c r="H406" s="81"/>
      <c r="I406" s="36"/>
    </row>
    <row r="407" spans="1:9" s="37" customFormat="1" hidden="1" x14ac:dyDescent="0.3">
      <c r="A407" s="84" t="s">
        <v>153</v>
      </c>
      <c r="B407" s="85"/>
      <c r="C407" s="85"/>
      <c r="D407" s="85"/>
      <c r="E407" s="85"/>
      <c r="F407" s="85"/>
      <c r="G407" s="85"/>
      <c r="H407" s="86"/>
      <c r="I407" s="36"/>
    </row>
    <row r="408" spans="1:9" s="37" customFormat="1" ht="15.75" hidden="1" customHeight="1" x14ac:dyDescent="0.3">
      <c r="A408" s="133" t="str">
        <f ca="1">(SUMPRODUCT(MID(0&amp;(LEFT(A407,SUM(LEN(A407)-LEN(SUBSTITUTE(A407,{"0","1","2"},""))))), LARGE(INDEX(ISNUMBER(--MID((LEFT(A407,SUM(LEN(A407)-LEN(SUBSTITUTE(A407,{"0","1","2"},""))))), ROW(INDIRECT("1:"&amp;LEN((LEFT(A407,SUM(LEN(A407)-LEN(SUBSTITUTE(A407,{"0","1","2"},"")))))))), 1)) * ROW(INDIRECT("1:"&amp;LEN((LEFT(A407,SUM(LEN(A407)-LEN(SUBSTITUTE(A407,{"0","1","2"},"")))))))), 0), ROW(INDIRECT("1:"&amp;LEN((LEFT(A407,SUM(LEN(A407)-LEN(SUBSTITUTE(A407,{"0","1","2"},"")))))))))+1, 1) * 10^ROW(INDIRECT("1:"&amp;LEN((LEFT(A407,SUM(LEN(A407)-LEN(SUBSTITUTE(A407,{"0","1","2"},""))))))))/10))*100+1&amp;""&amp;" &amp; "&amp;""&amp;(SUMPRODUCT(MID(0&amp;(--TRIM(RIGHT(SUBSTITUTE(LEFT(A407,_xlfn.AGGREGATE(16,6,FIND({0,1,2,3,4,5,6,7,8,9},A407,ROW(INDIRECT("1:"&amp;LEN(A407)))),1))," ",REPT(" ",LEN(A407))),LEN(A407)))), LARGE(INDEX(ISNUMBER(--MID((--TRIM(RIGHT(SUBSTITUTE(LEFT(A407,_xlfn.AGGREGATE(16,6,FIND({0,1,2,3,4,5,6,7,8,9},A407,ROW(INDIRECT("1:"&amp;LEN(A407)))),1))," ",REPT(" ",LEN(A407))),LEN(A407)))), ROW(INDIRECT("1:"&amp;LEN((--TRIM(RIGHT(SUBSTITUTE(LEFT(A407,_xlfn.AGGREGATE(16,6,FIND({0,1,2,3,4,5,6,7,8,9},A407,ROW(INDIRECT("1:"&amp;LEN(A407)))),1))," ",REPT(" ",LEN(A407))),LEN(A407))))))), 1)) * ROW(INDIRECT("1:"&amp;LEN((--TRIM(RIGHT(SUBSTITUTE(LEFT(A407,_xlfn.AGGREGATE(16,6,FIND({0,1,2,3,4,5,6,7,8,9},A407,ROW(INDIRECT("1:"&amp;LEN(A407)))),1))," ",REPT(" ",LEN(A407))),LEN(A407))))))), 0), ROW(INDIRECT("1:"&amp;LEN((--TRIM(RIGHT(SUBSTITUTE(LEFT(A407,_xlfn.AGGREGATE(16,6,FIND({0,1,2,3,4,5,6,7,8,9},A407,ROW(INDIRECT("1:"&amp;LEN(A407)))),1))," ",REPT(" ",LEN(A407))),LEN(A407))))))))+1, 1) * 10^ROW(INDIRECT("1:"&amp;LEN((--TRIM(RIGHT(SUBSTITUTE(LEFT(A407,_xlfn.AGGREGATE(16,6,FIND({0,1,2,3,4,5,6,7,8,9},A407,ROW(INDIRECT("1:"&amp;LEN(A407)))),1))," ",REPT(" ",LEN(A407))),LEN(A407)))))))/10))*100+1</f>
        <v>201 &amp; 501</v>
      </c>
      <c r="B408" s="134"/>
      <c r="C408" s="54"/>
      <c r="D408" s="42"/>
      <c r="E408" s="42">
        <v>0</v>
      </c>
      <c r="F408" s="42">
        <f>D408*(($F$177)+1)+(IF(E408&lt;101,E408,IF(E408&lt;201,E408/2,IF(E408&lt;=301,E408/3,E408/4))))</f>
        <v>0</v>
      </c>
      <c r="G408" s="76" t="str">
        <f>A407</f>
        <v>2nd &amp; 5th Floor</v>
      </c>
      <c r="H408" s="77"/>
      <c r="I408" s="36"/>
    </row>
    <row r="409" spans="1:9" s="37" customFormat="1" ht="15.75" hidden="1" customHeight="1" x14ac:dyDescent="0.3">
      <c r="A409" s="133" t="str">
        <f ca="1">(SUMPRODUCT(MID(0&amp;(LEFT(A408,SUM(LEN(A408)-LEN(SUBSTITUTE(A408,{"0","1","2"},""))))), LARGE(INDEX(ISNUMBER(--MID((LEFT(A408,SUM(LEN(A408)-LEN(SUBSTITUTE(A408,{"0","1","2"},""))))), ROW(INDIRECT("1:"&amp;LEN((LEFT(A408,SUM(LEN(A408)-LEN(SUBSTITUTE(A408,{"0","1","2"},"")))))))), 1)) * ROW(INDIRECT("1:"&amp;LEN((LEFT(A408,SUM(LEN(A408)-LEN(SUBSTITUTE(A408,{"0","1","2"},"")))))))), 0), ROW(INDIRECT("1:"&amp;LEN((LEFT(A408,SUM(LEN(A408)-LEN(SUBSTITUTE(A408,{"0","1","2"},"")))))))))+1, 1) * 10^ROW(INDIRECT("1:"&amp;LEN((LEFT(A408,SUM(LEN(A408)-LEN(SUBSTITUTE(A408,{"0","1","2"},""))))))))/10))*1+1&amp;""&amp;" &amp; "&amp;""&amp;(SUMPRODUCT(MID(0&amp;(--TRIM(RIGHT(SUBSTITUTE(LEFT(A408,_xlfn.AGGREGATE(16,6,FIND({0,1,2,3,4,5,6,7,8,9},A408,ROW(INDIRECT("1:"&amp;LEN(A408)))),1))," ",REPT(" ",LEN(A408))),LEN(A408)))), LARGE(INDEX(ISNUMBER(--MID((--TRIM(RIGHT(SUBSTITUTE(LEFT(A408,_xlfn.AGGREGATE(16,6,FIND({0,1,2,3,4,5,6,7,8,9},A408,ROW(INDIRECT("1:"&amp;LEN(A408)))),1))," ",REPT(" ",LEN(A408))),LEN(A408)))), ROW(INDIRECT("1:"&amp;LEN((--TRIM(RIGHT(SUBSTITUTE(LEFT(A408,_xlfn.AGGREGATE(16,6,FIND({0,1,2,3,4,5,6,7,8,9},A408,ROW(INDIRECT("1:"&amp;LEN(A408)))),1))," ",REPT(" ",LEN(A408))),LEN(A408))))))), 1)) * ROW(INDIRECT("1:"&amp;LEN((--TRIM(RIGHT(SUBSTITUTE(LEFT(A408,_xlfn.AGGREGATE(16,6,FIND({0,1,2,3,4,5,6,7,8,9},A408,ROW(INDIRECT("1:"&amp;LEN(A408)))),1))," ",REPT(" ",LEN(A408))),LEN(A408))))))), 0), ROW(INDIRECT("1:"&amp;LEN((--TRIM(RIGHT(SUBSTITUTE(LEFT(A408,_xlfn.AGGREGATE(16,6,FIND({0,1,2,3,4,5,6,7,8,9},A408,ROW(INDIRECT("1:"&amp;LEN(A408)))),1))," ",REPT(" ",LEN(A408))),LEN(A408))))))))+1, 1) * 10^ROW(INDIRECT("1:"&amp;LEN((--TRIM(RIGHT(SUBSTITUTE(LEFT(A408,_xlfn.AGGREGATE(16,6,FIND({0,1,2,3,4,5,6,7,8,9},A408,ROW(INDIRECT("1:"&amp;LEN(A408)))),1))," ",REPT(" ",LEN(A408))),LEN(A408)))))))/10))*1+1</f>
        <v>202 &amp; 502</v>
      </c>
      <c r="B409" s="134"/>
      <c r="C409" s="54"/>
      <c r="D409" s="42"/>
      <c r="E409" s="42">
        <v>0</v>
      </c>
      <c r="F409" s="42">
        <f>D409*(($F$177)+1)+(IF(E409&lt;101,E409,IF(E409&lt;201,E409/2,IF(E409&lt;=301,E409/3,E409/4))))</f>
        <v>0</v>
      </c>
      <c r="G409" s="78"/>
      <c r="H409" s="79"/>
      <c r="I409" s="36"/>
    </row>
    <row r="410" spans="1:9" s="37" customFormat="1" ht="15.75" hidden="1" customHeight="1" x14ac:dyDescent="0.3">
      <c r="A410" s="133" t="str">
        <f ca="1">(SUMPRODUCT(MID(0&amp;(LEFT(A409,SUM(LEN(A409)-LEN(SUBSTITUTE(A409,{"0","1","2"},""))))), LARGE(INDEX(ISNUMBER(--MID((LEFT(A409,SUM(LEN(A409)-LEN(SUBSTITUTE(A409,{"0","1","2"},""))))), ROW(INDIRECT("1:"&amp;LEN((LEFT(A409,SUM(LEN(A409)-LEN(SUBSTITUTE(A409,{"0","1","2"},"")))))))), 1)) * ROW(INDIRECT("1:"&amp;LEN((LEFT(A409,SUM(LEN(A409)-LEN(SUBSTITUTE(A409,{"0","1","2"},"")))))))), 0), ROW(INDIRECT("1:"&amp;LEN((LEFT(A409,SUM(LEN(A409)-LEN(SUBSTITUTE(A409,{"0","1","2"},"")))))))))+1, 1) * 10^ROW(INDIRECT("1:"&amp;LEN((LEFT(A409,SUM(LEN(A409)-LEN(SUBSTITUTE(A409,{"0","1","2"},""))))))))/10))*1+1&amp;""&amp;" &amp; "&amp;""&amp;(SUMPRODUCT(MID(0&amp;(--TRIM(RIGHT(SUBSTITUTE(LEFT(A409,_xlfn.AGGREGATE(16,6,FIND({0,1,2,3,4,5,6,7,8,9},A409,ROW(INDIRECT("1:"&amp;LEN(A409)))),1))," ",REPT(" ",LEN(A409))),LEN(A409)))), LARGE(INDEX(ISNUMBER(--MID((--TRIM(RIGHT(SUBSTITUTE(LEFT(A409,_xlfn.AGGREGATE(16,6,FIND({0,1,2,3,4,5,6,7,8,9},A409,ROW(INDIRECT("1:"&amp;LEN(A409)))),1))," ",REPT(" ",LEN(A409))),LEN(A409)))), ROW(INDIRECT("1:"&amp;LEN((--TRIM(RIGHT(SUBSTITUTE(LEFT(A409,_xlfn.AGGREGATE(16,6,FIND({0,1,2,3,4,5,6,7,8,9},A409,ROW(INDIRECT("1:"&amp;LEN(A409)))),1))," ",REPT(" ",LEN(A409))),LEN(A409))))))), 1)) * ROW(INDIRECT("1:"&amp;LEN((--TRIM(RIGHT(SUBSTITUTE(LEFT(A409,_xlfn.AGGREGATE(16,6,FIND({0,1,2,3,4,5,6,7,8,9},A409,ROW(INDIRECT("1:"&amp;LEN(A409)))),1))," ",REPT(" ",LEN(A409))),LEN(A409))))))), 0), ROW(INDIRECT("1:"&amp;LEN((--TRIM(RIGHT(SUBSTITUTE(LEFT(A409,_xlfn.AGGREGATE(16,6,FIND({0,1,2,3,4,5,6,7,8,9},A409,ROW(INDIRECT("1:"&amp;LEN(A409)))),1))," ",REPT(" ",LEN(A409))),LEN(A409))))))))+1, 1) * 10^ROW(INDIRECT("1:"&amp;LEN((--TRIM(RIGHT(SUBSTITUTE(LEFT(A409,_xlfn.AGGREGATE(16,6,FIND({0,1,2,3,4,5,6,7,8,9},A409,ROW(INDIRECT("1:"&amp;LEN(A409)))),1))," ",REPT(" ",LEN(A409))),LEN(A409)))))))/10))*1+1</f>
        <v>203 &amp; 503</v>
      </c>
      <c r="B410" s="134"/>
      <c r="C410" s="54"/>
      <c r="D410" s="42"/>
      <c r="E410" s="42">
        <v>0</v>
      </c>
      <c r="F410" s="42">
        <f>D410*(($F$177)+1)+(IF(E410&lt;101,E410,IF(E410&lt;201,E410/2,IF(E410&lt;=301,E410/3,E410/4))))</f>
        <v>0</v>
      </c>
      <c r="G410" s="78"/>
      <c r="H410" s="79"/>
      <c r="I410" s="36"/>
    </row>
    <row r="411" spans="1:9" s="37" customFormat="1" ht="15.75" hidden="1" customHeight="1" x14ac:dyDescent="0.3">
      <c r="A411" s="133" t="str">
        <f ca="1">(SUMPRODUCT(MID(0&amp;(LEFT(A410,SUM(LEN(A410)-LEN(SUBSTITUTE(A410,{"0","1","2"},""))))), LARGE(INDEX(ISNUMBER(--MID((LEFT(A410,SUM(LEN(A410)-LEN(SUBSTITUTE(A410,{"0","1","2"},""))))), ROW(INDIRECT("1:"&amp;LEN((LEFT(A410,SUM(LEN(A410)-LEN(SUBSTITUTE(A410,{"0","1","2"},"")))))))), 1)) * ROW(INDIRECT("1:"&amp;LEN((LEFT(A410,SUM(LEN(A410)-LEN(SUBSTITUTE(A410,{"0","1","2"},"")))))))), 0), ROW(INDIRECT("1:"&amp;LEN((LEFT(A410,SUM(LEN(A410)-LEN(SUBSTITUTE(A410,{"0","1","2"},"")))))))))+1, 1) * 10^ROW(INDIRECT("1:"&amp;LEN((LEFT(A410,SUM(LEN(A410)-LEN(SUBSTITUTE(A410,{"0","1","2"},""))))))))/10))*1+1&amp;""&amp;" &amp; "&amp;""&amp;(SUMPRODUCT(MID(0&amp;(--TRIM(RIGHT(SUBSTITUTE(LEFT(A410,_xlfn.AGGREGATE(16,6,FIND({0,1,2,3,4,5,6,7,8,9},A410,ROW(INDIRECT("1:"&amp;LEN(A410)))),1))," ",REPT(" ",LEN(A410))),LEN(A410)))), LARGE(INDEX(ISNUMBER(--MID((--TRIM(RIGHT(SUBSTITUTE(LEFT(A410,_xlfn.AGGREGATE(16,6,FIND({0,1,2,3,4,5,6,7,8,9},A410,ROW(INDIRECT("1:"&amp;LEN(A410)))),1))," ",REPT(" ",LEN(A410))),LEN(A410)))), ROW(INDIRECT("1:"&amp;LEN((--TRIM(RIGHT(SUBSTITUTE(LEFT(A410,_xlfn.AGGREGATE(16,6,FIND({0,1,2,3,4,5,6,7,8,9},A410,ROW(INDIRECT("1:"&amp;LEN(A410)))),1))," ",REPT(" ",LEN(A410))),LEN(A410))))))), 1)) * ROW(INDIRECT("1:"&amp;LEN((--TRIM(RIGHT(SUBSTITUTE(LEFT(A410,_xlfn.AGGREGATE(16,6,FIND({0,1,2,3,4,5,6,7,8,9},A410,ROW(INDIRECT("1:"&amp;LEN(A410)))),1))," ",REPT(" ",LEN(A410))),LEN(A410))))))), 0), ROW(INDIRECT("1:"&amp;LEN((--TRIM(RIGHT(SUBSTITUTE(LEFT(A410,_xlfn.AGGREGATE(16,6,FIND({0,1,2,3,4,5,6,7,8,9},A410,ROW(INDIRECT("1:"&amp;LEN(A410)))),1))," ",REPT(" ",LEN(A410))),LEN(A410))))))))+1, 1) * 10^ROW(INDIRECT("1:"&amp;LEN((--TRIM(RIGHT(SUBSTITUTE(LEFT(A410,_xlfn.AGGREGATE(16,6,FIND({0,1,2,3,4,5,6,7,8,9},A410,ROW(INDIRECT("1:"&amp;LEN(A410)))),1))," ",REPT(" ",LEN(A410))),LEN(A410)))))))/10))*1+1</f>
        <v>204 &amp; 504</v>
      </c>
      <c r="B411" s="134"/>
      <c r="C411" s="54"/>
      <c r="D411" s="42"/>
      <c r="E411" s="42">
        <v>0</v>
      </c>
      <c r="F411" s="42">
        <f>D411*(($F$177)+1)+(IF(E411&lt;101,E411,IF(E411&lt;201,E411/2,IF(E411&lt;=301,E411/3,E411/4))))</f>
        <v>0</v>
      </c>
      <c r="G411" s="78"/>
      <c r="H411" s="79"/>
      <c r="I411" s="36"/>
    </row>
    <row r="412" spans="1:9" s="37" customFormat="1" ht="15.75" hidden="1" customHeight="1" x14ac:dyDescent="0.3">
      <c r="A412" s="133" t="str">
        <f ca="1">(SUMPRODUCT(MID(0&amp;(LEFT(A411,SUM(LEN(A411)-LEN(SUBSTITUTE(A411,{"0","1","2"},""))))), LARGE(INDEX(ISNUMBER(--MID((LEFT(A411,SUM(LEN(A411)-LEN(SUBSTITUTE(A411,{"0","1","2"},""))))), ROW(INDIRECT("1:"&amp;LEN((LEFT(A411,SUM(LEN(A411)-LEN(SUBSTITUTE(A411,{"0","1","2"},"")))))))), 1)) * ROW(INDIRECT("1:"&amp;LEN((LEFT(A411,SUM(LEN(A411)-LEN(SUBSTITUTE(A411,{"0","1","2"},"")))))))), 0), ROW(INDIRECT("1:"&amp;LEN((LEFT(A411,SUM(LEN(A411)-LEN(SUBSTITUTE(A411,{"0","1","2"},"")))))))))+1, 1) * 10^ROW(INDIRECT("1:"&amp;LEN((LEFT(A411,SUM(LEN(A411)-LEN(SUBSTITUTE(A411,{"0","1","2"},""))))))))/10))*1+1&amp;""&amp;" &amp; "&amp;""&amp;(SUMPRODUCT(MID(0&amp;(--TRIM(RIGHT(SUBSTITUTE(LEFT(A411,_xlfn.AGGREGATE(16,6,FIND({0,1,2,3,4,5,6,7,8,9},A411,ROW(INDIRECT("1:"&amp;LEN(A411)))),1))," ",REPT(" ",LEN(A411))),LEN(A411)))), LARGE(INDEX(ISNUMBER(--MID((--TRIM(RIGHT(SUBSTITUTE(LEFT(A411,_xlfn.AGGREGATE(16,6,FIND({0,1,2,3,4,5,6,7,8,9},A411,ROW(INDIRECT("1:"&amp;LEN(A411)))),1))," ",REPT(" ",LEN(A411))),LEN(A411)))), ROW(INDIRECT("1:"&amp;LEN((--TRIM(RIGHT(SUBSTITUTE(LEFT(A411,_xlfn.AGGREGATE(16,6,FIND({0,1,2,3,4,5,6,7,8,9},A411,ROW(INDIRECT("1:"&amp;LEN(A411)))),1))," ",REPT(" ",LEN(A411))),LEN(A411))))))), 1)) * ROW(INDIRECT("1:"&amp;LEN((--TRIM(RIGHT(SUBSTITUTE(LEFT(A411,_xlfn.AGGREGATE(16,6,FIND({0,1,2,3,4,5,6,7,8,9},A411,ROW(INDIRECT("1:"&amp;LEN(A411)))),1))," ",REPT(" ",LEN(A411))),LEN(A411))))))), 0), ROW(INDIRECT("1:"&amp;LEN((--TRIM(RIGHT(SUBSTITUTE(LEFT(A411,_xlfn.AGGREGATE(16,6,FIND({0,1,2,3,4,5,6,7,8,9},A411,ROW(INDIRECT("1:"&amp;LEN(A411)))),1))," ",REPT(" ",LEN(A411))),LEN(A411))))))))+1, 1) * 10^ROW(INDIRECT("1:"&amp;LEN((--TRIM(RIGHT(SUBSTITUTE(LEFT(A411,_xlfn.AGGREGATE(16,6,FIND({0,1,2,3,4,5,6,7,8,9},A411,ROW(INDIRECT("1:"&amp;LEN(A411)))),1))," ",REPT(" ",LEN(A411))),LEN(A411)))))))/10))*1+1</f>
        <v>205 &amp; 505</v>
      </c>
      <c r="B412" s="134"/>
      <c r="C412" s="54"/>
      <c r="D412" s="42"/>
      <c r="E412" s="42">
        <v>0</v>
      </c>
      <c r="F412" s="42">
        <f>D412*(($F$177)+1)+(IF(E412&lt;101,E412,IF(E412&lt;201,E412/2,IF(E412&lt;=301,E412/3,E412/4))))</f>
        <v>0</v>
      </c>
      <c r="G412" s="80"/>
      <c r="H412" s="81"/>
      <c r="I412" s="36"/>
    </row>
    <row r="413" spans="1:9" s="35" customFormat="1" x14ac:dyDescent="0.3">
      <c r="A413" s="191" t="s">
        <v>72</v>
      </c>
      <c r="B413" s="191"/>
      <c r="C413" s="191"/>
      <c r="D413" s="191"/>
      <c r="E413" s="191"/>
      <c r="F413" s="191"/>
      <c r="G413" s="191"/>
      <c r="H413" s="191"/>
    </row>
    <row r="414" spans="1:9" s="35" customFormat="1" x14ac:dyDescent="0.3">
      <c r="A414" s="47" t="s">
        <v>162</v>
      </c>
      <c r="B414" s="135" t="s">
        <v>258</v>
      </c>
      <c r="C414" s="136"/>
      <c r="D414" s="136"/>
      <c r="E414" s="136"/>
      <c r="F414" s="136"/>
      <c r="G414" s="136"/>
      <c r="H414" s="137"/>
    </row>
    <row r="415" spans="1:9" s="35" customFormat="1" x14ac:dyDescent="0.3">
      <c r="A415" s="47" t="s">
        <v>162</v>
      </c>
      <c r="B415" s="135" t="str">
        <f>(IF(F176="Saleable area Loading :","We have considered Saleable area of Flats as per our Calculation.","We considered Saleable area of Flat as per Builder area Sheet."))</f>
        <v>We have considered Saleable area of Flats as per our Calculation.</v>
      </c>
      <c r="C415" s="136"/>
      <c r="D415" s="136"/>
      <c r="E415" s="136"/>
      <c r="F415" s="136"/>
      <c r="G415" s="136"/>
      <c r="H415" s="137"/>
    </row>
    <row r="416" spans="1:9" s="35" customFormat="1" x14ac:dyDescent="0.3">
      <c r="A416" s="47" t="s">
        <v>162</v>
      </c>
      <c r="B416" s="135" t="str">
        <f>(IF(F133="Saleable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16" s="136"/>
      <c r="D416" s="136"/>
      <c r="E416" s="136"/>
      <c r="F416" s="136"/>
      <c r="G416" s="136"/>
      <c r="H416" s="137"/>
    </row>
    <row r="417" spans="1:8" s="35" customFormat="1" x14ac:dyDescent="0.3">
      <c r="A417" s="47" t="s">
        <v>162</v>
      </c>
      <c r="B417" s="60" t="s">
        <v>129</v>
      </c>
      <c r="C417" s="61"/>
      <c r="D417" s="61"/>
      <c r="E417" s="61"/>
      <c r="F417" s="61"/>
      <c r="G417" s="61"/>
      <c r="H417" s="62"/>
    </row>
    <row r="418" spans="1:8" s="35" customFormat="1" x14ac:dyDescent="0.3">
      <c r="A418" s="47" t="s">
        <v>162</v>
      </c>
      <c r="B418" s="60" t="s">
        <v>251</v>
      </c>
      <c r="C418" s="61"/>
      <c r="D418" s="61"/>
      <c r="E418" s="61"/>
      <c r="F418" s="61"/>
      <c r="G418" s="61"/>
      <c r="H418" s="62"/>
    </row>
    <row r="419" spans="1:8" s="35" customFormat="1" x14ac:dyDescent="0.3">
      <c r="A419" s="47" t="s">
        <v>162</v>
      </c>
      <c r="B419" s="60" t="s">
        <v>161</v>
      </c>
      <c r="C419" s="61"/>
      <c r="D419" s="61"/>
      <c r="E419" s="61"/>
      <c r="F419" s="61"/>
      <c r="G419" s="61"/>
      <c r="H419" s="62"/>
    </row>
    <row r="420" spans="1:8" s="35" customFormat="1" x14ac:dyDescent="0.3">
      <c r="A420" s="47" t="s">
        <v>162</v>
      </c>
      <c r="B420" s="60" t="s">
        <v>130</v>
      </c>
      <c r="C420" s="61"/>
      <c r="D420" s="61"/>
      <c r="E420" s="61"/>
      <c r="F420" s="61"/>
      <c r="G420" s="61"/>
      <c r="H420" s="62"/>
    </row>
    <row r="421" spans="1:8" s="35" customFormat="1" ht="34.5" customHeight="1" x14ac:dyDescent="0.3">
      <c r="A421" s="47" t="s">
        <v>162</v>
      </c>
      <c r="B421" s="60" t="s">
        <v>163</v>
      </c>
      <c r="C421" s="61"/>
      <c r="D421" s="61"/>
      <c r="E421" s="61"/>
      <c r="F421" s="61"/>
      <c r="G421" s="61"/>
      <c r="H421" s="62"/>
    </row>
    <row r="422" spans="1:8" s="35" customFormat="1" x14ac:dyDescent="0.3">
      <c r="A422" s="47" t="s">
        <v>162</v>
      </c>
      <c r="B422" s="60" t="s">
        <v>131</v>
      </c>
      <c r="C422" s="61"/>
      <c r="D422" s="61"/>
      <c r="E422" s="61"/>
      <c r="F422" s="61"/>
      <c r="G422" s="61"/>
      <c r="H422" s="62"/>
    </row>
    <row r="423" spans="1:8" s="35" customFormat="1" x14ac:dyDescent="0.3">
      <c r="A423" s="47" t="s">
        <v>162</v>
      </c>
      <c r="B423" s="60" t="s">
        <v>261</v>
      </c>
      <c r="C423" s="61"/>
      <c r="D423" s="61"/>
      <c r="E423" s="61"/>
      <c r="F423" s="61"/>
      <c r="G423" s="61"/>
      <c r="H423" s="62"/>
    </row>
    <row r="424" spans="1:8" s="35" customFormat="1" x14ac:dyDescent="0.3">
      <c r="A424" s="47" t="s">
        <v>162</v>
      </c>
      <c r="B424" s="60" t="s">
        <v>264</v>
      </c>
      <c r="C424" s="61"/>
      <c r="D424" s="61"/>
      <c r="E424" s="61"/>
      <c r="F424" s="61"/>
      <c r="G424" s="61"/>
      <c r="H424" s="62"/>
    </row>
    <row r="425" spans="1:8" x14ac:dyDescent="0.3">
      <c r="A425" s="125" t="s">
        <v>65</v>
      </c>
      <c r="B425" s="125"/>
      <c r="C425" s="125"/>
      <c r="D425" s="125"/>
      <c r="E425" s="125"/>
      <c r="F425" s="125"/>
      <c r="G425" s="125"/>
      <c r="H425" s="125"/>
    </row>
    <row r="426" spans="1:8" x14ac:dyDescent="0.3">
      <c r="A426" s="89" t="s">
        <v>66</v>
      </c>
      <c r="B426" s="89"/>
      <c r="C426" s="89"/>
      <c r="D426" s="89"/>
      <c r="E426" s="89"/>
      <c r="F426" s="89"/>
      <c r="G426" s="89"/>
      <c r="H426" s="89"/>
    </row>
    <row r="427" spans="1:8" ht="15.75" customHeight="1" x14ac:dyDescent="0.3">
      <c r="A427" s="90" t="s">
        <v>67</v>
      </c>
      <c r="B427" s="90"/>
      <c r="C427" s="90"/>
      <c r="D427" s="90"/>
      <c r="E427" s="90"/>
      <c r="F427" s="90"/>
      <c r="G427" s="90"/>
      <c r="H427" s="90"/>
    </row>
    <row r="428" spans="1:8" x14ac:dyDescent="0.3">
      <c r="A428" s="89" t="s">
        <v>68</v>
      </c>
      <c r="B428" s="89"/>
      <c r="C428" s="89"/>
      <c r="D428" s="89"/>
      <c r="E428" s="89"/>
      <c r="F428" s="89"/>
      <c r="G428" s="89"/>
      <c r="H428" s="89"/>
    </row>
    <row r="429" spans="1:8" x14ac:dyDescent="0.3">
      <c r="A429" s="89" t="s">
        <v>69</v>
      </c>
      <c r="B429" s="89"/>
      <c r="C429" s="89"/>
      <c r="D429" s="89"/>
      <c r="E429" s="89"/>
      <c r="F429" s="89"/>
      <c r="G429" s="89"/>
      <c r="H429" s="89"/>
    </row>
    <row r="430" spans="1:8" x14ac:dyDescent="0.3">
      <c r="A430" s="89" t="s">
        <v>132</v>
      </c>
      <c r="B430" s="89"/>
      <c r="C430" s="89"/>
      <c r="D430" s="89"/>
      <c r="E430" s="89"/>
      <c r="F430" s="89"/>
      <c r="G430" s="89"/>
      <c r="H430" s="89"/>
    </row>
    <row r="431" spans="1:8" x14ac:dyDescent="0.3">
      <c r="A431" s="126" t="s">
        <v>133</v>
      </c>
      <c r="B431" s="126"/>
      <c r="C431" s="126"/>
      <c r="D431" s="126"/>
      <c r="E431" s="126"/>
      <c r="F431" s="126"/>
      <c r="G431" s="126"/>
      <c r="H431" s="126"/>
    </row>
    <row r="432" spans="1:8" x14ac:dyDescent="0.3">
      <c r="A432" s="131" t="s">
        <v>80</v>
      </c>
      <c r="B432" s="131"/>
      <c r="C432" s="131" t="s">
        <v>257</v>
      </c>
      <c r="D432" s="131"/>
      <c r="E432" s="131" t="s">
        <v>108</v>
      </c>
      <c r="F432" s="131"/>
      <c r="G432" s="131" t="s">
        <v>265</v>
      </c>
      <c r="H432" s="131"/>
    </row>
    <row r="433" spans="1:8" x14ac:dyDescent="0.3">
      <c r="A433" s="130" t="s">
        <v>82</v>
      </c>
      <c r="B433" s="130"/>
      <c r="C433" s="130"/>
      <c r="D433" s="130"/>
      <c r="E433" s="130"/>
      <c r="F433" s="130"/>
      <c r="G433" s="130"/>
      <c r="H433" s="130"/>
    </row>
    <row r="434" spans="1:8" x14ac:dyDescent="0.3">
      <c r="A434" s="130"/>
      <c r="B434" s="130"/>
      <c r="C434" s="130"/>
      <c r="D434" s="130"/>
      <c r="E434" s="130"/>
      <c r="F434" s="130"/>
      <c r="G434" s="130"/>
      <c r="H434" s="130"/>
    </row>
    <row r="435" spans="1:8" x14ac:dyDescent="0.3">
      <c r="A435" s="130"/>
      <c r="B435" s="130"/>
      <c r="C435" s="130"/>
      <c r="D435" s="130"/>
      <c r="E435" s="130"/>
      <c r="F435" s="130"/>
      <c r="G435" s="130"/>
      <c r="H435" s="130"/>
    </row>
    <row r="436" spans="1:8" x14ac:dyDescent="0.3">
      <c r="A436" s="130"/>
      <c r="B436" s="130"/>
      <c r="C436" s="130"/>
      <c r="D436" s="130"/>
      <c r="E436" s="130"/>
      <c r="F436" s="130"/>
      <c r="G436" s="130"/>
      <c r="H436" s="130"/>
    </row>
    <row r="437" spans="1:8" x14ac:dyDescent="0.3">
      <c r="A437" s="38" t="s">
        <v>70</v>
      </c>
      <c r="B437" s="39"/>
      <c r="C437" s="39"/>
      <c r="D437" s="38" t="str">
        <f>E8</f>
        <v>Sejal Aquarius</v>
      </c>
      <c r="F437" s="39"/>
      <c r="G437" s="39"/>
      <c r="H437" s="39"/>
    </row>
    <row r="438" spans="1:8" x14ac:dyDescent="0.3">
      <c r="A438" s="39"/>
      <c r="B438" s="39"/>
      <c r="C438" s="39"/>
      <c r="D438" s="39"/>
      <c r="E438" s="39"/>
      <c r="F438" s="39"/>
      <c r="G438" s="39"/>
      <c r="H438" s="39"/>
    </row>
    <row r="439" spans="1:8" x14ac:dyDescent="0.3">
      <c r="A439" s="39"/>
      <c r="B439" s="39"/>
      <c r="C439" s="39"/>
      <c r="D439" s="39"/>
      <c r="E439" s="39"/>
      <c r="F439" s="39"/>
      <c r="G439" s="39"/>
      <c r="H439" s="39"/>
    </row>
    <row r="440" spans="1:8" ht="15" customHeight="1" x14ac:dyDescent="0.3"/>
    <row r="478" hidden="1" x14ac:dyDescent="0.3"/>
    <row r="479" hidden="1" x14ac:dyDescent="0.3"/>
    <row r="481" spans="1:1" x14ac:dyDescent="0.3">
      <c r="A481" s="41" t="s">
        <v>175</v>
      </c>
    </row>
    <row r="523" spans="1:1" x14ac:dyDescent="0.3">
      <c r="A523" s="41" t="s">
        <v>71</v>
      </c>
    </row>
  </sheetData>
  <mergeCells count="516">
    <mergeCell ref="B424:H424"/>
    <mergeCell ref="L333:M333"/>
    <mergeCell ref="A304:H304"/>
    <mergeCell ref="A305:H305"/>
    <mergeCell ref="L305:M305"/>
    <mergeCell ref="G306:H310"/>
    <mergeCell ref="A311:H311"/>
    <mergeCell ref="L311:M311"/>
    <mergeCell ref="G312:H316"/>
    <mergeCell ref="A130:B130"/>
    <mergeCell ref="C130:D130"/>
    <mergeCell ref="E130:F130"/>
    <mergeCell ref="G130:H130"/>
    <mergeCell ref="G318:H321"/>
    <mergeCell ref="A322:H322"/>
    <mergeCell ref="G323:H327"/>
    <mergeCell ref="A328:H328"/>
    <mergeCell ref="G257:H258"/>
    <mergeCell ref="A271:H271"/>
    <mergeCell ref="G251:H255"/>
    <mergeCell ref="A259:H259"/>
    <mergeCell ref="A217:H217"/>
    <mergeCell ref="A199:H199"/>
    <mergeCell ref="G140:H145"/>
    <mergeCell ref="A136:H136"/>
    <mergeCell ref="C133:C134"/>
    <mergeCell ref="B176:B177"/>
    <mergeCell ref="G290:H294"/>
    <mergeCell ref="A295:H295"/>
    <mergeCell ref="L317:M317"/>
    <mergeCell ref="A283:H283"/>
    <mergeCell ref="L283:M283"/>
    <mergeCell ref="G284:H288"/>
    <mergeCell ref="L256:M256"/>
    <mergeCell ref="G233:H237"/>
    <mergeCell ref="A238:H238"/>
    <mergeCell ref="L238:M238"/>
    <mergeCell ref="G239:H243"/>
    <mergeCell ref="A244:H244"/>
    <mergeCell ref="L244:M244"/>
    <mergeCell ref="G245:H249"/>
    <mergeCell ref="A250:H250"/>
    <mergeCell ref="L250:M250"/>
    <mergeCell ref="L217:M217"/>
    <mergeCell ref="A226:H226"/>
    <mergeCell ref="L226:M226"/>
    <mergeCell ref="G227:H231"/>
    <mergeCell ref="A220:H220"/>
    <mergeCell ref="L220:M220"/>
    <mergeCell ref="L328:M328"/>
    <mergeCell ref="A289:H289"/>
    <mergeCell ref="L259:M259"/>
    <mergeCell ref="G260:H264"/>
    <mergeCell ref="G329:H332"/>
    <mergeCell ref="A333:H333"/>
    <mergeCell ref="G334:H337"/>
    <mergeCell ref="B421:H421"/>
    <mergeCell ref="B417:H417"/>
    <mergeCell ref="B418:H418"/>
    <mergeCell ref="A413:H413"/>
    <mergeCell ref="A401:H401"/>
    <mergeCell ref="L289:M289"/>
    <mergeCell ref="L295:M295"/>
    <mergeCell ref="G296:H300"/>
    <mergeCell ref="A301:H301"/>
    <mergeCell ref="L301:M301"/>
    <mergeCell ref="L271:M271"/>
    <mergeCell ref="L277:M277"/>
    <mergeCell ref="A265:H265"/>
    <mergeCell ref="L265:M265"/>
    <mergeCell ref="G266:H270"/>
    <mergeCell ref="A395:H395"/>
    <mergeCell ref="L232:M232"/>
    <mergeCell ref="G218:H219"/>
    <mergeCell ref="L199:M199"/>
    <mergeCell ref="G200:H204"/>
    <mergeCell ref="A205:H205"/>
    <mergeCell ref="L205:M205"/>
    <mergeCell ref="G206:H210"/>
    <mergeCell ref="A211:H211"/>
    <mergeCell ref="L211:M211"/>
    <mergeCell ref="G212:H216"/>
    <mergeCell ref="L184:M184"/>
    <mergeCell ref="L185:M185"/>
    <mergeCell ref="L186:M186"/>
    <mergeCell ref="A187:H187"/>
    <mergeCell ref="L187:M187"/>
    <mergeCell ref="G188:H192"/>
    <mergeCell ref="A193:H193"/>
    <mergeCell ref="L193:M193"/>
    <mergeCell ref="G194:H198"/>
    <mergeCell ref="G180:H186"/>
    <mergeCell ref="L147:M147"/>
    <mergeCell ref="L148:M148"/>
    <mergeCell ref="L149:M149"/>
    <mergeCell ref="L150:M150"/>
    <mergeCell ref="L140:M140"/>
    <mergeCell ref="L141:M141"/>
    <mergeCell ref="L142:M142"/>
    <mergeCell ref="L143:M143"/>
    <mergeCell ref="A139:H139"/>
    <mergeCell ref="L144:M144"/>
    <mergeCell ref="A47:B47"/>
    <mergeCell ref="C47:H47"/>
    <mergeCell ref="B419:H419"/>
    <mergeCell ref="G86:H95"/>
    <mergeCell ref="A87:B87"/>
    <mergeCell ref="A88:B88"/>
    <mergeCell ref="A89:B89"/>
    <mergeCell ref="F98:H98"/>
    <mergeCell ref="A98:E98"/>
    <mergeCell ref="D133:D134"/>
    <mergeCell ref="A100:E100"/>
    <mergeCell ref="A171:B171"/>
    <mergeCell ref="A172:B172"/>
    <mergeCell ref="A173:B173"/>
    <mergeCell ref="A174:B174"/>
    <mergeCell ref="A101:E101"/>
    <mergeCell ref="A108:E108"/>
    <mergeCell ref="G121:H121"/>
    <mergeCell ref="C114:D114"/>
    <mergeCell ref="A138:H138"/>
    <mergeCell ref="A84:B84"/>
    <mergeCell ref="C84:H84"/>
    <mergeCell ref="A85:B85"/>
    <mergeCell ref="E85:F85"/>
    <mergeCell ref="G85:H85"/>
    <mergeCell ref="A102:E102"/>
    <mergeCell ref="F102:H102"/>
    <mergeCell ref="A103:E103"/>
    <mergeCell ref="A106:E106"/>
    <mergeCell ref="F99:H99"/>
    <mergeCell ref="A105:E105"/>
    <mergeCell ref="A99:E99"/>
    <mergeCell ref="A96:E96"/>
    <mergeCell ref="F100:H100"/>
    <mergeCell ref="F105:H105"/>
    <mergeCell ref="A104:E104"/>
    <mergeCell ref="F104:H104"/>
    <mergeCell ref="G171:H174"/>
    <mergeCell ref="G385:H388"/>
    <mergeCell ref="G390:H394"/>
    <mergeCell ref="G396:H400"/>
    <mergeCell ref="G402:H406"/>
    <mergeCell ref="G408:H412"/>
    <mergeCell ref="A400:B400"/>
    <mergeCell ref="A410:B410"/>
    <mergeCell ref="A407:H407"/>
    <mergeCell ref="A408:B408"/>
    <mergeCell ref="A409:B409"/>
    <mergeCell ref="A412:B412"/>
    <mergeCell ref="A411:B411"/>
    <mergeCell ref="A396:B396"/>
    <mergeCell ref="G363:H366"/>
    <mergeCell ref="A367:H367"/>
    <mergeCell ref="A256:H256"/>
    <mergeCell ref="A317:H317"/>
    <mergeCell ref="G272:H276"/>
    <mergeCell ref="A277:H277"/>
    <mergeCell ref="G278:H282"/>
    <mergeCell ref="G302:H303"/>
    <mergeCell ref="G221:H225"/>
    <mergeCell ref="A232:H232"/>
    <mergeCell ref="B414:H414"/>
    <mergeCell ref="B415:H415"/>
    <mergeCell ref="A397:B397"/>
    <mergeCell ref="A399:B399"/>
    <mergeCell ref="F108:H108"/>
    <mergeCell ref="F106:H106"/>
    <mergeCell ref="L389:M389"/>
    <mergeCell ref="A175:H175"/>
    <mergeCell ref="A176:A177"/>
    <mergeCell ref="L388:M388"/>
    <mergeCell ref="L385:M385"/>
    <mergeCell ref="L386:M386"/>
    <mergeCell ref="L387:M387"/>
    <mergeCell ref="A178:H178"/>
    <mergeCell ref="A179:H179"/>
    <mergeCell ref="L180:M180"/>
    <mergeCell ref="L181:M181"/>
    <mergeCell ref="L182:M182"/>
    <mergeCell ref="L183:M183"/>
    <mergeCell ref="L174:M174"/>
    <mergeCell ref="L173:M173"/>
    <mergeCell ref="L172:M172"/>
    <mergeCell ref="L171:M171"/>
    <mergeCell ref="L338:M338"/>
    <mergeCell ref="E119:F119"/>
    <mergeCell ref="G119:H119"/>
    <mergeCell ref="F103:H103"/>
    <mergeCell ref="A97:E97"/>
    <mergeCell ref="A170:H170"/>
    <mergeCell ref="E133:E134"/>
    <mergeCell ref="G133:H134"/>
    <mergeCell ref="A86:B86"/>
    <mergeCell ref="E86:F95"/>
    <mergeCell ref="A93:B93"/>
    <mergeCell ref="A94:B94"/>
    <mergeCell ref="A95:B95"/>
    <mergeCell ref="F96:H96"/>
    <mergeCell ref="F101:H101"/>
    <mergeCell ref="A131:H131"/>
    <mergeCell ref="A132:H132"/>
    <mergeCell ref="G116:H116"/>
    <mergeCell ref="G120:H120"/>
    <mergeCell ref="A135:H135"/>
    <mergeCell ref="A146:H146"/>
    <mergeCell ref="G147:H150"/>
    <mergeCell ref="A125:H125"/>
    <mergeCell ref="A126:B126"/>
    <mergeCell ref="B133:B134"/>
    <mergeCell ref="A62:C62"/>
    <mergeCell ref="D61:H61"/>
    <mergeCell ref="E72:F81"/>
    <mergeCell ref="G72:H81"/>
    <mergeCell ref="A80:B80"/>
    <mergeCell ref="A81:B81"/>
    <mergeCell ref="D62:H62"/>
    <mergeCell ref="A121:B121"/>
    <mergeCell ref="E121:F121"/>
    <mergeCell ref="A120:B120"/>
    <mergeCell ref="C120:D120"/>
    <mergeCell ref="E120:F120"/>
    <mergeCell ref="G112:H112"/>
    <mergeCell ref="A107:E107"/>
    <mergeCell ref="C113:D113"/>
    <mergeCell ref="E113:F113"/>
    <mergeCell ref="A75:B75"/>
    <mergeCell ref="E71:F71"/>
    <mergeCell ref="A64:C64"/>
    <mergeCell ref="D64:H64"/>
    <mergeCell ref="A79:B79"/>
    <mergeCell ref="C119:D119"/>
    <mergeCell ref="A67:C67"/>
    <mergeCell ref="D67:H67"/>
    <mergeCell ref="A42:D42"/>
    <mergeCell ref="E42:H42"/>
    <mergeCell ref="E43:H43"/>
    <mergeCell ref="E44:H44"/>
    <mergeCell ref="E45:H45"/>
    <mergeCell ref="A43:D43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65:C65"/>
    <mergeCell ref="D65:H65"/>
    <mergeCell ref="A66:C66"/>
    <mergeCell ref="D66:H66"/>
    <mergeCell ref="A72:B72"/>
    <mergeCell ref="G71:H71"/>
    <mergeCell ref="G48:H48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8:H58"/>
    <mergeCell ref="A58:C58"/>
    <mergeCell ref="G49:H49"/>
    <mergeCell ref="A50:B51"/>
    <mergeCell ref="G51:H51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1:D11"/>
    <mergeCell ref="E11:H1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433:H436"/>
    <mergeCell ref="A432:B432"/>
    <mergeCell ref="E432:F432"/>
    <mergeCell ref="C432:D432"/>
    <mergeCell ref="G432:H432"/>
    <mergeCell ref="A111:H111"/>
    <mergeCell ref="A109:E109"/>
    <mergeCell ref="F109:H109"/>
    <mergeCell ref="A110:E110"/>
    <mergeCell ref="F110:H110"/>
    <mergeCell ref="A389:H389"/>
    <mergeCell ref="A119:B119"/>
    <mergeCell ref="A398:B398"/>
    <mergeCell ref="A113:B113"/>
    <mergeCell ref="A428:H428"/>
    <mergeCell ref="A117:H117"/>
    <mergeCell ref="A431:H431"/>
    <mergeCell ref="A429:H429"/>
    <mergeCell ref="A425:H425"/>
    <mergeCell ref="A426:H426"/>
    <mergeCell ref="E118:F118"/>
    <mergeCell ref="B422:H422"/>
    <mergeCell ref="B420:H420"/>
    <mergeCell ref="B416:H416"/>
    <mergeCell ref="A133:A134"/>
    <mergeCell ref="C176:C177"/>
    <mergeCell ref="C121:D121"/>
    <mergeCell ref="A384:H384"/>
    <mergeCell ref="F107:H107"/>
    <mergeCell ref="E112:F112"/>
    <mergeCell ref="A112:B112"/>
    <mergeCell ref="E114:F114"/>
    <mergeCell ref="G114:H114"/>
    <mergeCell ref="A116:B116"/>
    <mergeCell ref="C116:D116"/>
    <mergeCell ref="E116:F116"/>
    <mergeCell ref="C112:D112"/>
    <mergeCell ref="G339:H342"/>
    <mergeCell ref="A347:H347"/>
    <mergeCell ref="A338:H338"/>
    <mergeCell ref="A381:H381"/>
    <mergeCell ref="A128:B128"/>
    <mergeCell ref="C128:D128"/>
    <mergeCell ref="E128:F128"/>
    <mergeCell ref="G128:H128"/>
    <mergeCell ref="C115:D115"/>
    <mergeCell ref="E115:F115"/>
    <mergeCell ref="A362:H362"/>
    <mergeCell ref="G50:H50"/>
    <mergeCell ref="D56:H56"/>
    <mergeCell ref="C50:E50"/>
    <mergeCell ref="A59:C60"/>
    <mergeCell ref="D59:H59"/>
    <mergeCell ref="D60:H60"/>
    <mergeCell ref="C49:E49"/>
    <mergeCell ref="A54:B54"/>
    <mergeCell ref="C54:E54"/>
    <mergeCell ref="A49:B49"/>
    <mergeCell ref="A55:H55"/>
    <mergeCell ref="A56:C56"/>
    <mergeCell ref="A57:C57"/>
    <mergeCell ref="D57:H57"/>
    <mergeCell ref="G54:H54"/>
    <mergeCell ref="C51:E51"/>
    <mergeCell ref="A52:B53"/>
    <mergeCell ref="C52:E52"/>
    <mergeCell ref="G52:H52"/>
    <mergeCell ref="C53:E53"/>
    <mergeCell ref="G53:H53"/>
    <mergeCell ref="L362:M362"/>
    <mergeCell ref="A16:B16"/>
    <mergeCell ref="C16:H16"/>
    <mergeCell ref="E41:H41"/>
    <mergeCell ref="A41:D41"/>
    <mergeCell ref="A430:H430"/>
    <mergeCell ref="A427:H427"/>
    <mergeCell ref="A118:B118"/>
    <mergeCell ref="D176:D177"/>
    <mergeCell ref="E176:E177"/>
    <mergeCell ref="G176:H177"/>
    <mergeCell ref="A90:B90"/>
    <mergeCell ref="A91:B91"/>
    <mergeCell ref="A92:B92"/>
    <mergeCell ref="A82:B82"/>
    <mergeCell ref="C82:H82"/>
    <mergeCell ref="A77:B77"/>
    <mergeCell ref="F97:H97"/>
    <mergeCell ref="G113:H113"/>
    <mergeCell ref="A48:B48"/>
    <mergeCell ref="C48:E48"/>
    <mergeCell ref="L381:M381"/>
    <mergeCell ref="G382:H383"/>
    <mergeCell ref="A151:H151"/>
    <mergeCell ref="L152:M152"/>
    <mergeCell ref="L153:M153"/>
    <mergeCell ref="L154:M154"/>
    <mergeCell ref="L155:M155"/>
    <mergeCell ref="L156:M156"/>
    <mergeCell ref="L157:M157"/>
    <mergeCell ref="G152:H157"/>
    <mergeCell ref="A158:H158"/>
    <mergeCell ref="L159:M159"/>
    <mergeCell ref="L161:M161"/>
    <mergeCell ref="L162:M162"/>
    <mergeCell ref="A163:H163"/>
    <mergeCell ref="G164:H169"/>
    <mergeCell ref="L164:M164"/>
    <mergeCell ref="L165:M165"/>
    <mergeCell ref="L166:M166"/>
    <mergeCell ref="L167:M167"/>
    <mergeCell ref="L168:M168"/>
    <mergeCell ref="L169:M169"/>
    <mergeCell ref="G159:H162"/>
    <mergeCell ref="G118:H118"/>
    <mergeCell ref="G137:H137"/>
    <mergeCell ref="G376:H380"/>
    <mergeCell ref="L367:M367"/>
    <mergeCell ref="G368:H370"/>
    <mergeCell ref="A371:H371"/>
    <mergeCell ref="L371:M371"/>
    <mergeCell ref="G372:H374"/>
    <mergeCell ref="A375:H375"/>
    <mergeCell ref="L375:M375"/>
    <mergeCell ref="L343:M343"/>
    <mergeCell ref="G344:H346"/>
    <mergeCell ref="A352:H352"/>
    <mergeCell ref="L352:M352"/>
    <mergeCell ref="G353:H356"/>
    <mergeCell ref="A357:H357"/>
    <mergeCell ref="L357:M357"/>
    <mergeCell ref="G358:H361"/>
    <mergeCell ref="L347:M347"/>
    <mergeCell ref="G348:H351"/>
    <mergeCell ref="A343:H343"/>
    <mergeCell ref="L145:M145"/>
    <mergeCell ref="L137:M137"/>
    <mergeCell ref="L160:M160"/>
    <mergeCell ref="B423:H423"/>
    <mergeCell ref="G115:H115"/>
    <mergeCell ref="A114:A115"/>
    <mergeCell ref="A129:B129"/>
    <mergeCell ref="C129:D129"/>
    <mergeCell ref="E129:F129"/>
    <mergeCell ref="G129:H129"/>
    <mergeCell ref="A122:H122"/>
    <mergeCell ref="A123:B123"/>
    <mergeCell ref="C123:D123"/>
    <mergeCell ref="E123:F123"/>
    <mergeCell ref="G123:H123"/>
    <mergeCell ref="A124:B124"/>
    <mergeCell ref="C124:D124"/>
    <mergeCell ref="E124:F124"/>
    <mergeCell ref="G124:H124"/>
    <mergeCell ref="C126:D126"/>
    <mergeCell ref="E126:F126"/>
    <mergeCell ref="G126:H126"/>
    <mergeCell ref="A127:B127"/>
    <mergeCell ref="C127:D127"/>
    <mergeCell ref="E127:F127"/>
    <mergeCell ref="G127:H127"/>
    <mergeCell ref="C118:D118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436" max="16383" man="1"/>
    <brk id="480" max="7" man="1"/>
    <brk id="5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92" t="s">
        <v>109</v>
      </c>
      <c r="C3" s="192"/>
      <c r="D3" s="192"/>
      <c r="E3" s="192"/>
      <c r="F3" s="192"/>
      <c r="G3" s="192"/>
      <c r="H3" s="192"/>
    </row>
    <row r="4" spans="1:9" x14ac:dyDescent="0.3">
      <c r="A4" s="2"/>
      <c r="B4" s="3" t="s">
        <v>110</v>
      </c>
      <c r="C4" s="3" t="s">
        <v>111</v>
      </c>
      <c r="D4" s="3" t="s">
        <v>73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2025-08-19T14:29:26Z</cp:lastPrinted>
  <dcterms:created xsi:type="dcterms:W3CDTF">2019-07-16T09:29:46Z</dcterms:created>
  <dcterms:modified xsi:type="dcterms:W3CDTF">2025-08-19T14:29:27Z</dcterms:modified>
</cp:coreProperties>
</file>