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C49A3EB8-7787-40A5-8CF2-CAA27815AC0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1" i="1" l="1"/>
  <c r="M99" i="1"/>
  <c r="M100" i="1"/>
  <c r="M102" i="1"/>
  <c r="M103" i="1"/>
  <c r="M98" i="1"/>
  <c r="J98" i="1" l="1"/>
  <c r="I98" i="1"/>
  <c r="D98" i="1" l="1"/>
  <c r="L98" i="1" s="1"/>
  <c r="D99" i="1"/>
  <c r="L99" i="1" s="1"/>
  <c r="D100" i="1"/>
  <c r="L100" i="1" s="1"/>
  <c r="D101" i="1"/>
  <c r="L101" i="1" s="1"/>
  <c r="D102" i="1"/>
  <c r="L102" i="1" s="1"/>
  <c r="D103" i="1"/>
  <c r="L103" i="1" s="1"/>
  <c r="J100" i="1"/>
  <c r="I100" i="1"/>
  <c r="I99" i="1"/>
  <c r="I37" i="1"/>
  <c r="E92" i="1" l="1"/>
  <c r="C92" i="1"/>
  <c r="E7" i="1"/>
  <c r="D59" i="1" l="1"/>
  <c r="E29" i="1"/>
  <c r="B106" i="1"/>
  <c r="C65" i="1"/>
  <c r="B66" i="1" s="1"/>
  <c r="E24" i="1"/>
  <c r="E26" i="1" l="1"/>
  <c r="C14" i="1"/>
  <c r="E42" i="1" l="1"/>
  <c r="E43" i="1" s="1"/>
  <c r="F89" i="1" l="1"/>
  <c r="G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26" i="1"/>
  <c r="G98" i="1"/>
  <c r="A99" i="1"/>
  <c r="A100" i="1" s="1"/>
  <c r="A101" i="1" s="1"/>
  <c r="A102" i="1" s="1"/>
  <c r="A103" i="1" s="1"/>
  <c r="D54" i="1"/>
  <c r="G49" i="1"/>
  <c r="G50" i="1" s="1"/>
  <c r="C49" i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l="1"/>
  <c r="G69" i="1" s="1"/>
  <c r="D63" i="1" s="1"/>
  <c r="D64" i="1" s="1"/>
  <c r="E69" i="1" l="1"/>
  <c r="D70" i="1"/>
  <c r="I66" i="1" s="1"/>
  <c r="I67" i="1" s="1"/>
  <c r="J66" i="1"/>
  <c r="F64" i="1"/>
  <c r="I65" i="1" l="1"/>
  <c r="C67" i="1" s="1"/>
</calcChain>
</file>

<file path=xl/sharedStrings.xml><?xml version="1.0" encoding="utf-8"?>
<sst xmlns="http://schemas.openxmlformats.org/spreadsheetml/2006/main" count="251" uniqueCount="211">
  <si>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</si>
  <si>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</si>
  <si>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</si>
  <si>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</si>
  <si>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</si>
  <si>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</si>
  <si>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</si>
  <si>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</si>
  <si>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</si>
  <si>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</si>
  <si>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</si>
  <si>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</si>
  <si>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</si>
  <si>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</si>
  <si>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</si>
  <si>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</si>
  <si>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</si>
  <si>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</si>
  <si>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</si>
  <si>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</si>
  <si>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</si>
  <si>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</si>
  <si>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</si>
  <si>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</si>
  <si>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</si>
  <si>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</si>
  <si>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</si>
  <si>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</si>
  <si>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</si>
  <si>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</si>
  <si>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</si>
  <si>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</si>
  <si>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</si>
  <si>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</si>
  <si>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</si>
  <si>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</si>
  <si>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</si>
  <si>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</si>
  <si>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</si>
  <si>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</si>
  <si>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</si>
  <si>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</si>
  <si>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</si>
  <si>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</si>
  <si>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</si>
  <si>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</si>
  <si>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</si>
  <si>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</si>
  <si>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</si>
  <si>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</si>
  <si>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</si>
  <si>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</si>
  <si>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</si>
  <si>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</si>
  <si>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</si>
  <si>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</si>
  <si>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</si>
  <si>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</si>
  <si>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</si>
  <si>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</si>
  <si>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</si>
  <si>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</si>
  <si>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</si>
  <si>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</si>
  <si>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</si>
  <si>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</si>
  <si>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</si>
  <si>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</si>
  <si>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</si>
  <si>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</si>
  <si>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</si>
  <si>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</si>
  <si>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</si>
  <si>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</si>
  <si>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</si>
  <si>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</si>
  <si>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</si>
  <si>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</si>
  <si>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</si>
  <si>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</si>
  <si>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</si>
  <si>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</si>
  <si>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</si>
  <si>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</si>
  <si>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</si>
  <si>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</si>
  <si>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</si>
  <si>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</si>
  <si>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</si>
  <si>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</si>
  <si>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</si>
  <si>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</si>
  <si>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</si>
  <si>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</si>
  <si>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</si>
  <si>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</si>
  <si>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</si>
  <si>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</si>
  <si>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</si>
  <si>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</si>
  <si>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</si>
  <si>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</si>
  <si>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</si>
  <si>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</si>
  <si>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</si>
  <si>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</si>
  <si>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</si>
  <si>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</si>
  <si>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</si>
  <si>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</si>
  <si>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</si>
  <si>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</si>
  <si>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</si>
  <si>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</si>
  <si>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</si>
  <si>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</si>
  <si>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</si>
  <si>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</si>
  <si>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</si>
  <si>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</si>
  <si>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</si>
  <si>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</si>
  <si>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</si>
  <si>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</si>
  <si>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</si>
  <si>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</si>
  <si>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</si>
  <si>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</si>
  <si>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</si>
  <si>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</si>
  <si>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</si>
  <si>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</si>
  <si>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</si>
  <si>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</si>
  <si>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</si>
  <si>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</si>
  <si>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</si>
  <si>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</si>
  <si>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</si>
  <si>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</si>
  <si>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</si>
  <si>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</si>
  <si>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</si>
  <si>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</si>
  <si>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</si>
  <si>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</si>
  <si>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</si>
  <si>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</si>
  <si>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</si>
  <si>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</si>
  <si>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</si>
  <si>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</si>
  <si>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</si>
  <si>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</si>
  <si>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</si>
  <si>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</si>
  <si>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</si>
  <si>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</si>
  <si>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</si>
  <si>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</si>
  <si>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</si>
  <si>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</si>
  <si>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</si>
  <si>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</si>
  <si>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</si>
  <si>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</si>
  <si>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</si>
  <si>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Badlapur</t>
  </si>
  <si>
    <t>Shiv Paradise</t>
  </si>
  <si>
    <t>Eagle Homes Builders And Developers</t>
  </si>
  <si>
    <t>P51700051408</t>
  </si>
  <si>
    <t>Vrindavan Residency</t>
  </si>
  <si>
    <t>Murbad</t>
  </si>
  <si>
    <t>Thane</t>
  </si>
  <si>
    <t>CTS No</t>
  </si>
  <si>
    <t>https://goo.gl/maps/C2GSTw2baqdfUqUz6</t>
  </si>
  <si>
    <t>Shri Hanuman Mandir</t>
  </si>
  <si>
    <t>Vaishya Samaj Hall</t>
  </si>
  <si>
    <t>Shree Ganpati Mandir</t>
  </si>
  <si>
    <t>Internal Road</t>
  </si>
  <si>
    <t>1 KM from Murbad Bus Stand</t>
  </si>
  <si>
    <t>Murbad Municipal Council</t>
  </si>
  <si>
    <t>MNP/NRV/BP/187/2022-2023</t>
  </si>
  <si>
    <t>Gr/St + 1st to 4th Floor</t>
  </si>
  <si>
    <t>As per RERA - 31/03/2026</t>
  </si>
  <si>
    <t>Ground/Stilt Floor For Parking</t>
  </si>
  <si>
    <t>2BHK</t>
  </si>
  <si>
    <t>1BHK</t>
  </si>
  <si>
    <t>We considered Gross carpet area = Net carpet + Balcony + D.B Area.</t>
  </si>
  <si>
    <t>Flats</t>
  </si>
  <si>
    <t>Flats - 24</t>
  </si>
  <si>
    <t>15, 16 &amp; 27</t>
  </si>
  <si>
    <t xml:space="preserve">Temple, 24hr CCTV Survillance, Entrance Lobby, Watchmen Cabin, Branded Lift With Power Backup etc. </t>
  </si>
  <si>
    <t>Builder Saleable area</t>
  </si>
  <si>
    <t>Other Charges</t>
  </si>
  <si>
    <t>Added by Rushikesh 29/10/2023 by igr</t>
  </si>
  <si>
    <t>19.251639,73.389707</t>
  </si>
  <si>
    <t>1st to 4th Floor For Residential</t>
  </si>
  <si>
    <t>3400 to 3500</t>
  </si>
  <si>
    <t>Rushikesh</t>
  </si>
  <si>
    <t xml:space="preserve">2BHK Case </t>
  </si>
  <si>
    <t>verbal</t>
  </si>
  <si>
    <t>2BHK SALE AREA CHANGED BY RUSHIKESH ON 09/01/2024</t>
  </si>
  <si>
    <t xml:space="preserve">Recommended Rates of the Property have been revised on 29/10/2023 &amp; 09/01/2024.
</t>
  </si>
  <si>
    <t>Mangesh Laxman Bapardekar</t>
  </si>
  <si>
    <t>Mr. Kalpesh Salunkhe - 9860954802</t>
  </si>
  <si>
    <t>Construction work is in process at the time of Visit.</t>
  </si>
  <si>
    <t>Office No. 1031, Wing J, Akshar Business Park, Plot No. 03 Sector 25, Near APMC Market,
Vashi, Navi Mumbai, Maharashtra 400703 TEL: 022-46090378/79/80
E mail : vsjcapf@gmail.com. Web site : www.vsjadon.com</t>
  </si>
  <si>
    <t>Mr. Abhijeet 8411991888</t>
  </si>
  <si>
    <t>Kunal Kadam</t>
  </si>
  <si>
    <t>Lift installed hence building common given 1 rest work is same as last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</si>
</sst>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/>
    <xf numFmtId="1" fontId="7" fillId="0" borderId="1" xfId="1" applyNumberFormat="1" applyFont="1" applyBorder="1" applyAlignment="1">
      <alignment horizontal="center" vertical="center"/>
    </xf>
    <xf numFmtId="0" fontId="16" fillId="2" borderId="0" xfId="1" applyFont="1" applyFill="1"/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2" borderId="22" xfId="1" applyNumberFormat="1" applyFont="1" applyFill="1" applyBorder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27" fillId="0" borderId="0" xfId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216477</xdr:colOff>
      <xdr:row>203</xdr:row>
      <xdr:rowOff>17318</xdr:rowOff>
    </xdr:from>
    <xdr:to>
      <xdr:col>6</xdr:col>
      <xdr:colOff>562965</xdr:colOff>
      <xdr:row>219</xdr:row>
      <xdr:rowOff>70774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8477" y="60700227"/>
          <a:ext cx="4494193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226511</xdr:colOff>
      <xdr:row>220</xdr:row>
      <xdr:rowOff>99430</xdr:rowOff>
    </xdr:from>
    <xdr:to>
      <xdr:col>6</xdr:col>
      <xdr:colOff>562965</xdr:colOff>
      <xdr:row>236</xdr:row>
      <xdr:rowOff>152884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8511" y="64168044"/>
          <a:ext cx="448415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511447</xdr:colOff>
      <xdr:row>226</xdr:row>
      <xdr:rowOff>64625</xdr:rowOff>
    </xdr:from>
    <xdr:to>
      <xdr:col>4</xdr:col>
      <xdr:colOff>52515</xdr:colOff>
      <xdr:row>230</xdr:row>
      <xdr:rowOff>60538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1294888">
          <a:off x="2918674" y="65328193"/>
          <a:ext cx="484909" cy="7925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632113</xdr:colOff>
      <xdr:row>171</xdr:row>
      <xdr:rowOff>17319</xdr:rowOff>
    </xdr:from>
    <xdr:to>
      <xdr:col>7</xdr:col>
      <xdr:colOff>113999</xdr:colOff>
      <xdr:row>189</xdr:row>
      <xdr:rowOff>32455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113" y="39736569"/>
          <a:ext cx="5170909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502920</xdr:colOff>
      <xdr:row>126</xdr:row>
      <xdr:rowOff>83820</xdr:rowOff>
    </xdr:from>
    <xdr:to>
      <xdr:col>18</xdr:col>
      <xdr:colOff>131765</xdr:colOff>
      <xdr:row>163</xdr:row>
      <xdr:rowOff>90451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305800" y="26936700"/>
          <a:ext cx="6265865" cy="7329451"/>
          <a:chOff x="114300" y="26393775"/>
          <a:chExt cx="6117275" cy="7403746"/>
        </a:xfrm>
      </xdr:grpSpPr>
      <xdr:pic>
        <xdr:nvPicPr>
          <xdr:cNvPr id="36" name="Picture 35" descr="insp-233873-1525.jpg (959×1280)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45855" y="31623218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3873-843.jpg (959×1280)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73825" y="26400100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33873-845.jpg (959×1280)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20025" y="3163752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3873-847.jpg (959×128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38098" y="29369846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3873-861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2940" y="29369846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873-862.jpg (959×128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12920" y="29369846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insp-233873-874.jpg (959×1280)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2940" y="3163752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insp-233873-1512.jpg (1259×945)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26393775"/>
            <a:ext cx="3836952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205740</xdr:colOff>
      <xdr:row>127</xdr:row>
      <xdr:rowOff>7620</xdr:rowOff>
    </xdr:from>
    <xdr:to>
      <xdr:col>7</xdr:col>
      <xdr:colOff>547172</xdr:colOff>
      <xdr:row>165</xdr:row>
      <xdr:rowOff>85306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DF962F3-04D7-E280-D3AC-2D470C822B74}"/>
            </a:ext>
          </a:extLst>
        </xdr:cNvPr>
        <xdr:cNvGrpSpPr/>
      </xdr:nvGrpSpPr>
      <xdr:grpSpPr>
        <a:xfrm>
          <a:off x="205740" y="27058620"/>
          <a:ext cx="6185972" cy="7575766"/>
          <a:chOff x="173673" y="497712"/>
          <a:chExt cx="6185972" cy="7575766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8CA2B3FD-EC9C-F69F-B6AF-7E497F5EA41B}"/>
              </a:ext>
            </a:extLst>
          </xdr:cNvPr>
          <xdr:cNvGrpSpPr/>
        </xdr:nvGrpSpPr>
        <xdr:grpSpPr>
          <a:xfrm>
            <a:off x="250169" y="3573296"/>
            <a:ext cx="6032981" cy="2520000"/>
            <a:chOff x="173673" y="3619595"/>
            <a:chExt cx="6032981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FBD126B4-6429-65D2-5D16-9B820277BE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3673" y="361959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F5F8E745-3C6D-CDC6-A8AA-EDD239A7EB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18623" y="361959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362EC0D0-16D5-0DCD-89FF-64C18FAA25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46148" y="361959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2296FA9-A8CC-F850-D95A-356B52BEEAE1}"/>
              </a:ext>
            </a:extLst>
          </xdr:cNvPr>
          <xdr:cNvGrpSpPr/>
        </xdr:nvGrpSpPr>
        <xdr:grpSpPr>
          <a:xfrm>
            <a:off x="784679" y="6273478"/>
            <a:ext cx="4963961" cy="1800000"/>
            <a:chOff x="751947" y="6273478"/>
            <a:chExt cx="4963961" cy="180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F47C3E3A-32AF-44F6-FB44-2182B3A59B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1947" y="6273478"/>
              <a:ext cx="239777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93EA197A-30EA-9549-FB34-70D60BB232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18131" y="6273478"/>
              <a:ext cx="239777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2E6D8AE3-7B97-F57B-5E9D-613B0BC4A21C}"/>
              </a:ext>
            </a:extLst>
          </xdr:cNvPr>
          <xdr:cNvGrpSpPr/>
        </xdr:nvGrpSpPr>
        <xdr:grpSpPr>
          <a:xfrm>
            <a:off x="173673" y="497712"/>
            <a:ext cx="6185972" cy="2880000"/>
            <a:chOff x="173673" y="497712"/>
            <a:chExt cx="6185972" cy="288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505DA85-805A-9306-A9C2-FECD866635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3673" y="497712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B418FE8A-EB6C-3BC8-1C72-BC15EF6F0D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01895" y="497712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2GSTw2baqdfUqUz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02"/>
  <sheetViews>
    <sheetView tabSelected="1" view="pageBreakPreview" zoomScaleNormal="100" zoomScaleSheetLayoutView="100" workbookViewId="0">
      <selection activeCell="I7" sqref="I7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1.1093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29" t="s">
        <v>207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3">
      <c r="A2" s="97" t="s">
        <v>0</v>
      </c>
      <c r="B2" s="97"/>
      <c r="C2" s="97"/>
      <c r="D2" s="97"/>
      <c r="E2" s="97"/>
      <c r="F2" s="97"/>
      <c r="G2" s="97"/>
      <c r="H2" s="97"/>
    </row>
    <row r="3" spans="1:8" x14ac:dyDescent="0.3">
      <c r="A3" s="83" t="s">
        <v>1</v>
      </c>
      <c r="B3" s="83"/>
      <c r="C3" s="83"/>
      <c r="D3" s="83"/>
      <c r="E3" s="83" t="str">
        <f ca="1">TEXT(TODAY(),"DD/MM/YYYY")</f>
        <v>14/08/2025</v>
      </c>
      <c r="F3" s="83"/>
      <c r="G3" s="83"/>
      <c r="H3" s="83"/>
    </row>
    <row r="4" spans="1:8" x14ac:dyDescent="0.3">
      <c r="A4" s="83" t="s">
        <v>2</v>
      </c>
      <c r="B4" s="83"/>
      <c r="C4" s="83"/>
      <c r="D4" s="83"/>
      <c r="E4" s="83" t="s">
        <v>167</v>
      </c>
      <c r="F4" s="83"/>
      <c r="G4" s="83"/>
      <c r="H4" s="83"/>
    </row>
    <row r="5" spans="1:8" x14ac:dyDescent="0.3">
      <c r="A5" s="83" t="s">
        <v>3</v>
      </c>
      <c r="B5" s="83"/>
      <c r="C5" s="83"/>
      <c r="D5" s="83"/>
      <c r="E5" s="130">
        <v>45882</v>
      </c>
      <c r="F5" s="131"/>
      <c r="G5" s="131"/>
      <c r="H5" s="131"/>
    </row>
    <row r="6" spans="1:8" ht="16.5" customHeight="1" x14ac:dyDescent="0.3">
      <c r="A6" s="83" t="s">
        <v>4</v>
      </c>
      <c r="B6" s="83"/>
      <c r="C6" s="83"/>
      <c r="D6" s="83"/>
      <c r="E6" s="83" t="s">
        <v>169</v>
      </c>
      <c r="F6" s="83"/>
      <c r="G6" s="83"/>
      <c r="H6" s="83"/>
    </row>
    <row r="7" spans="1:8" x14ac:dyDescent="0.3">
      <c r="A7" s="83" t="s">
        <v>5</v>
      </c>
      <c r="B7" s="83"/>
      <c r="C7" s="83"/>
      <c r="D7" s="83"/>
      <c r="E7" s="83" t="str">
        <f>E6</f>
        <v>Eagle Homes Builders And Developers</v>
      </c>
      <c r="F7" s="83"/>
      <c r="G7" s="83"/>
      <c r="H7" s="83"/>
    </row>
    <row r="8" spans="1:8" x14ac:dyDescent="0.3">
      <c r="A8" s="83" t="s">
        <v>6</v>
      </c>
      <c r="B8" s="83"/>
      <c r="C8" s="83"/>
      <c r="D8" s="83"/>
      <c r="E8" s="68" t="s">
        <v>168</v>
      </c>
      <c r="F8" s="69"/>
      <c r="G8" s="69"/>
      <c r="H8" s="70"/>
    </row>
    <row r="9" spans="1:8" x14ac:dyDescent="0.3">
      <c r="A9" s="83" t="s">
        <v>165</v>
      </c>
      <c r="B9" s="83"/>
      <c r="C9" s="83"/>
      <c r="D9" s="83"/>
      <c r="E9" s="83" t="s">
        <v>205</v>
      </c>
      <c r="F9" s="83"/>
      <c r="G9" s="83"/>
      <c r="H9" s="83"/>
    </row>
    <row r="10" spans="1:8" x14ac:dyDescent="0.3">
      <c r="A10" s="83" t="s">
        <v>166</v>
      </c>
      <c r="B10" s="83"/>
      <c r="C10" s="83"/>
      <c r="D10" s="83"/>
      <c r="E10" s="83" t="s">
        <v>208</v>
      </c>
      <c r="F10" s="83"/>
      <c r="G10" s="83"/>
      <c r="H10" s="83"/>
    </row>
    <row r="11" spans="1:8" x14ac:dyDescent="0.3">
      <c r="A11" s="83" t="s">
        <v>7</v>
      </c>
      <c r="B11" s="83"/>
      <c r="C11" s="83"/>
      <c r="D11" s="83"/>
      <c r="E11" s="83" t="s">
        <v>124</v>
      </c>
      <c r="F11" s="83"/>
      <c r="G11" s="83"/>
      <c r="H11" s="83"/>
    </row>
    <row r="12" spans="1:8" ht="32.25" customHeight="1" x14ac:dyDescent="0.3">
      <c r="A12" s="71" t="s">
        <v>8</v>
      </c>
      <c r="B12" s="71"/>
      <c r="C12" s="71"/>
      <c r="D12" s="71"/>
      <c r="E12" s="62" t="s">
        <v>107</v>
      </c>
      <c r="F12" s="62"/>
      <c r="G12" s="62"/>
      <c r="H12" s="62"/>
    </row>
    <row r="13" spans="1:8" x14ac:dyDescent="0.3">
      <c r="A13" s="71" t="s">
        <v>9</v>
      </c>
      <c r="B13" s="71"/>
      <c r="C13" s="71"/>
      <c r="D13" s="71"/>
      <c r="E13" s="62" t="s">
        <v>170</v>
      </c>
      <c r="F13" s="83"/>
      <c r="G13" s="83"/>
      <c r="H13" s="83"/>
    </row>
    <row r="14" spans="1:8" ht="36" customHeight="1" x14ac:dyDescent="0.3">
      <c r="A14" s="62" t="s">
        <v>10</v>
      </c>
      <c r="B14" s="62"/>
      <c r="C14" s="6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Shiv Paradise, CTS No.15, 16 &amp; 27, near Vrindavan Residency, Internal Road, Murbad, Murbad, Murbad, Murbad, Thane - 421401.</v>
      </c>
      <c r="D14" s="62"/>
      <c r="E14" s="62"/>
      <c r="F14" s="62"/>
      <c r="G14" s="62"/>
      <c r="H14" s="62"/>
    </row>
    <row r="15" spans="1:8" x14ac:dyDescent="0.3">
      <c r="A15" s="62" t="s">
        <v>174</v>
      </c>
      <c r="B15" s="62"/>
      <c r="C15" s="62" t="s">
        <v>191</v>
      </c>
      <c r="D15" s="62"/>
      <c r="E15" s="62"/>
      <c r="F15" s="62"/>
      <c r="G15" s="62"/>
      <c r="H15" s="62"/>
    </row>
    <row r="16" spans="1:8" ht="15.75" customHeight="1" x14ac:dyDescent="0.3">
      <c r="A16" s="62" t="s">
        <v>162</v>
      </c>
      <c r="B16" s="62"/>
      <c r="C16" s="62" t="s">
        <v>172</v>
      </c>
      <c r="D16" s="62"/>
      <c r="E16" s="62"/>
      <c r="F16" s="62"/>
      <c r="G16" s="62"/>
      <c r="H16" s="62"/>
    </row>
    <row r="17" spans="1:8" ht="15.75" customHeight="1" x14ac:dyDescent="0.3">
      <c r="A17" s="62" t="s">
        <v>11</v>
      </c>
      <c r="B17" s="62"/>
      <c r="C17" s="83" t="s">
        <v>179</v>
      </c>
      <c r="D17" s="83"/>
      <c r="E17" s="62" t="s">
        <v>75</v>
      </c>
      <c r="F17" s="62"/>
      <c r="G17" s="62" t="s">
        <v>172</v>
      </c>
      <c r="H17" s="62"/>
    </row>
    <row r="18" spans="1:8" x14ac:dyDescent="0.3">
      <c r="A18" s="83" t="s">
        <v>13</v>
      </c>
      <c r="B18" s="83"/>
      <c r="C18" s="62" t="s">
        <v>172</v>
      </c>
      <c r="D18" s="62"/>
      <c r="E18" s="62" t="s">
        <v>12</v>
      </c>
      <c r="F18" s="62"/>
      <c r="G18" s="128" t="s">
        <v>173</v>
      </c>
      <c r="H18" s="128"/>
    </row>
    <row r="19" spans="1:8" x14ac:dyDescent="0.3">
      <c r="A19" s="83" t="s">
        <v>76</v>
      </c>
      <c r="B19" s="83"/>
      <c r="C19" s="62" t="s">
        <v>172</v>
      </c>
      <c r="D19" s="62"/>
      <c r="E19" s="62" t="s">
        <v>14</v>
      </c>
      <c r="F19" s="62"/>
      <c r="G19" s="62">
        <v>421401</v>
      </c>
      <c r="H19" s="62"/>
    </row>
    <row r="20" spans="1:8" ht="32.25" customHeight="1" x14ac:dyDescent="0.3">
      <c r="A20" s="71" t="s">
        <v>125</v>
      </c>
      <c r="B20" s="71"/>
      <c r="C20" s="62" t="s">
        <v>171</v>
      </c>
      <c r="D20" s="62"/>
      <c r="E20" s="127" t="s">
        <v>15</v>
      </c>
      <c r="F20" s="127"/>
      <c r="G20" s="62" t="s">
        <v>180</v>
      </c>
      <c r="H20" s="62"/>
    </row>
    <row r="21" spans="1:8" ht="15" customHeight="1" x14ac:dyDescent="0.3">
      <c r="A21" s="127" t="s">
        <v>78</v>
      </c>
      <c r="B21" s="127"/>
      <c r="C21" s="127"/>
      <c r="D21" s="127"/>
      <c r="E21" s="83" t="s">
        <v>16</v>
      </c>
      <c r="F21" s="83"/>
      <c r="G21" s="83"/>
      <c r="H21" s="83"/>
    </row>
    <row r="22" spans="1:8" ht="18.75" customHeight="1" x14ac:dyDescent="0.3">
      <c r="A22" s="127"/>
      <c r="B22" s="127"/>
      <c r="C22" s="127"/>
      <c r="D22" s="127"/>
      <c r="E22" s="83"/>
      <c r="F22" s="83"/>
      <c r="G22" s="83"/>
      <c r="H22" s="83"/>
    </row>
    <row r="23" spans="1:8" ht="15" customHeight="1" x14ac:dyDescent="0.3">
      <c r="A23" s="127" t="s">
        <v>17</v>
      </c>
      <c r="B23" s="127"/>
      <c r="C23" s="127"/>
      <c r="D23" s="127"/>
      <c r="E23" s="62" t="s">
        <v>18</v>
      </c>
      <c r="F23" s="62"/>
      <c r="G23" s="62"/>
      <c r="H23" s="62"/>
    </row>
    <row r="24" spans="1:8" ht="15" customHeight="1" x14ac:dyDescent="0.3">
      <c r="A24" s="71" t="s">
        <v>19</v>
      </c>
      <c r="B24" s="71"/>
      <c r="C24" s="71"/>
      <c r="D24" s="71"/>
      <c r="E24" s="62" t="str">
        <f>IF(AND(G18="Mumbai"),"Upper Class","Middle Class")</f>
        <v>Middle Class</v>
      </c>
      <c r="F24" s="62"/>
      <c r="G24" s="62"/>
      <c r="H24" s="62"/>
    </row>
    <row r="25" spans="1:8" x14ac:dyDescent="0.3">
      <c r="A25" s="71" t="s">
        <v>20</v>
      </c>
      <c r="B25" s="71"/>
      <c r="C25" s="71"/>
      <c r="D25" s="71"/>
      <c r="E25" s="62" t="s">
        <v>21</v>
      </c>
      <c r="F25" s="62"/>
      <c r="G25" s="62"/>
      <c r="H25" s="62"/>
    </row>
    <row r="26" spans="1:8" ht="15.75" customHeight="1" x14ac:dyDescent="0.3">
      <c r="A26" s="71" t="s">
        <v>22</v>
      </c>
      <c r="B26" s="71"/>
      <c r="C26" s="71"/>
      <c r="D26" s="71"/>
      <c r="E26" s="62" t="str">
        <f>IF(AND(G18="Mumbai"),"Developed","Developing")</f>
        <v>Developing</v>
      </c>
      <c r="F26" s="62"/>
      <c r="G26" s="62"/>
      <c r="H26" s="62"/>
    </row>
    <row r="27" spans="1:8" x14ac:dyDescent="0.3">
      <c r="A27" s="71" t="s">
        <v>23</v>
      </c>
      <c r="B27" s="71"/>
      <c r="C27" s="71"/>
      <c r="D27" s="71"/>
      <c r="E27" s="62" t="s">
        <v>24</v>
      </c>
      <c r="F27" s="62"/>
      <c r="G27" s="62"/>
      <c r="H27" s="62"/>
    </row>
    <row r="28" spans="1:8" ht="15.75" customHeight="1" x14ac:dyDescent="0.3">
      <c r="A28" s="71" t="s">
        <v>83</v>
      </c>
      <c r="B28" s="71"/>
      <c r="C28" s="71"/>
      <c r="D28" s="71"/>
      <c r="E28" s="62" t="s">
        <v>84</v>
      </c>
      <c r="F28" s="62"/>
      <c r="G28" s="62"/>
      <c r="H28" s="62"/>
    </row>
    <row r="29" spans="1:8" ht="15" customHeight="1" x14ac:dyDescent="0.3">
      <c r="A29" s="71" t="s">
        <v>33</v>
      </c>
      <c r="B29" s="71"/>
      <c r="C29" s="71"/>
      <c r="D29" s="71"/>
      <c r="E29" s="6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2"/>
      <c r="G29" s="62"/>
      <c r="H29" s="62"/>
    </row>
    <row r="30" spans="1:8" ht="15.75" customHeight="1" x14ac:dyDescent="0.3">
      <c r="A30" s="71" t="s">
        <v>95</v>
      </c>
      <c r="B30" s="71"/>
      <c r="C30" s="71"/>
      <c r="D30" s="71"/>
      <c r="E30" s="62" t="s">
        <v>34</v>
      </c>
      <c r="F30" s="62"/>
      <c r="G30" s="62"/>
      <c r="H30" s="62"/>
    </row>
    <row r="31" spans="1:8" s="20" customFormat="1" x14ac:dyDescent="0.3">
      <c r="A31" s="126" t="s">
        <v>96</v>
      </c>
      <c r="B31" s="126"/>
      <c r="C31" s="125" t="s">
        <v>29</v>
      </c>
      <c r="D31" s="125"/>
      <c r="E31" s="125"/>
      <c r="F31" s="125" t="s">
        <v>31</v>
      </c>
      <c r="G31" s="125"/>
      <c r="H31" s="125"/>
    </row>
    <row r="32" spans="1:8" s="20" customFormat="1" x14ac:dyDescent="0.3">
      <c r="A32" s="110" t="s">
        <v>25</v>
      </c>
      <c r="B32" s="110" t="s">
        <v>30</v>
      </c>
      <c r="C32" s="111" t="s">
        <v>30</v>
      </c>
      <c r="D32" s="111"/>
      <c r="E32" s="111"/>
      <c r="F32" s="111" t="s">
        <v>176</v>
      </c>
      <c r="G32" s="111"/>
      <c r="H32" s="111"/>
    </row>
    <row r="33" spans="1:9" x14ac:dyDescent="0.3">
      <c r="A33" s="110" t="s">
        <v>26</v>
      </c>
      <c r="B33" s="110" t="s">
        <v>30</v>
      </c>
      <c r="C33" s="111" t="s">
        <v>30</v>
      </c>
      <c r="D33" s="111"/>
      <c r="E33" s="111"/>
      <c r="F33" s="111" t="s">
        <v>171</v>
      </c>
      <c r="G33" s="111"/>
      <c r="H33" s="111"/>
    </row>
    <row r="34" spans="1:9" s="20" customFormat="1" x14ac:dyDescent="0.3">
      <c r="A34" s="110" t="s">
        <v>28</v>
      </c>
      <c r="B34" s="110" t="s">
        <v>30</v>
      </c>
      <c r="C34" s="111" t="s">
        <v>30</v>
      </c>
      <c r="D34" s="111"/>
      <c r="E34" s="111"/>
      <c r="F34" s="111" t="s">
        <v>177</v>
      </c>
      <c r="G34" s="111"/>
      <c r="H34" s="111"/>
    </row>
    <row r="35" spans="1:9" x14ac:dyDescent="0.3">
      <c r="A35" s="110" t="s">
        <v>27</v>
      </c>
      <c r="B35" s="110" t="s">
        <v>30</v>
      </c>
      <c r="C35" s="111" t="s">
        <v>30</v>
      </c>
      <c r="D35" s="111"/>
      <c r="E35" s="111"/>
      <c r="F35" s="111" t="s">
        <v>178</v>
      </c>
      <c r="G35" s="111"/>
      <c r="H35" s="111"/>
    </row>
    <row r="36" spans="1:9" x14ac:dyDescent="0.3">
      <c r="A36" s="71" t="s">
        <v>32</v>
      </c>
      <c r="B36" s="71"/>
      <c r="C36" s="71"/>
      <c r="D36" s="71"/>
      <c r="E36" s="71"/>
      <c r="F36" s="71"/>
      <c r="G36" s="71"/>
      <c r="H36" s="71"/>
    </row>
    <row r="37" spans="1:9" ht="15.75" customHeight="1" x14ac:dyDescent="0.3">
      <c r="A37" s="60" t="s">
        <v>164</v>
      </c>
      <c r="B37" s="60"/>
      <c r="C37" s="71" t="s">
        <v>196</v>
      </c>
      <c r="D37" s="71"/>
      <c r="E37" s="71"/>
      <c r="F37" s="71"/>
      <c r="G37" s="71"/>
      <c r="H37" s="71"/>
      <c r="I37" s="53">
        <f>480.8*1.5</f>
        <v>721.2</v>
      </c>
    </row>
    <row r="38" spans="1:9" x14ac:dyDescent="0.3">
      <c r="A38" s="60" t="s">
        <v>161</v>
      </c>
      <c r="B38" s="60"/>
      <c r="C38" s="61" t="s">
        <v>175</v>
      </c>
      <c r="D38" s="62"/>
      <c r="E38" s="62"/>
      <c r="F38" s="62"/>
      <c r="G38" s="62"/>
      <c r="H38" s="62"/>
    </row>
    <row r="39" spans="1:9" x14ac:dyDescent="0.3">
      <c r="A39" s="60" t="s">
        <v>35</v>
      </c>
      <c r="B39" s="60"/>
      <c r="C39" s="60"/>
      <c r="D39" s="60"/>
      <c r="E39" s="60"/>
      <c r="F39" s="60"/>
      <c r="G39" s="60"/>
      <c r="H39" s="60"/>
    </row>
    <row r="40" spans="1:9" x14ac:dyDescent="0.3">
      <c r="A40" s="71" t="s">
        <v>36</v>
      </c>
      <c r="B40" s="71"/>
      <c r="C40" s="71"/>
      <c r="D40" s="71"/>
      <c r="E40" s="112">
        <v>480.8</v>
      </c>
      <c r="F40" s="112"/>
      <c r="G40" s="112"/>
      <c r="H40" s="112"/>
    </row>
    <row r="41" spans="1:9" x14ac:dyDescent="0.3">
      <c r="A41" s="71" t="s">
        <v>37</v>
      </c>
      <c r="B41" s="71"/>
      <c r="C41" s="71"/>
      <c r="D41" s="71"/>
      <c r="E41" s="114">
        <v>1.5</v>
      </c>
      <c r="F41" s="114"/>
      <c r="G41" s="114"/>
      <c r="H41" s="114"/>
    </row>
    <row r="42" spans="1:9" x14ac:dyDescent="0.3">
      <c r="A42" s="71" t="s">
        <v>38</v>
      </c>
      <c r="B42" s="71"/>
      <c r="C42" s="71"/>
      <c r="D42" s="71"/>
      <c r="E42" s="114">
        <f>E44/E40-E41</f>
        <v>0.84573627287853537</v>
      </c>
      <c r="F42" s="114"/>
      <c r="G42" s="114"/>
      <c r="H42" s="114"/>
    </row>
    <row r="43" spans="1:9" x14ac:dyDescent="0.3">
      <c r="A43" s="71" t="s">
        <v>39</v>
      </c>
      <c r="B43" s="71"/>
      <c r="C43" s="71"/>
      <c r="D43" s="71"/>
      <c r="E43" s="114">
        <f>E41+E42</f>
        <v>2.3457362728785354</v>
      </c>
      <c r="F43" s="114"/>
      <c r="G43" s="114"/>
      <c r="H43" s="114"/>
    </row>
    <row r="44" spans="1:9" x14ac:dyDescent="0.3">
      <c r="A44" s="71" t="s">
        <v>94</v>
      </c>
      <c r="B44" s="71"/>
      <c r="C44" s="71"/>
      <c r="D44" s="71"/>
      <c r="E44" s="115">
        <v>1127.83</v>
      </c>
      <c r="F44" s="115"/>
      <c r="G44" s="115"/>
      <c r="H44" s="115"/>
    </row>
    <row r="45" spans="1:9" x14ac:dyDescent="0.3">
      <c r="A45" s="83" t="s">
        <v>40</v>
      </c>
      <c r="B45" s="83"/>
      <c r="C45" s="83"/>
      <c r="D45" s="83"/>
      <c r="E45" s="83" t="s">
        <v>124</v>
      </c>
      <c r="F45" s="83"/>
      <c r="G45" s="83"/>
      <c r="H45" s="83"/>
    </row>
    <row r="46" spans="1:9" x14ac:dyDescent="0.3">
      <c r="A46" s="60" t="s">
        <v>41</v>
      </c>
      <c r="B46" s="60"/>
      <c r="C46" s="60"/>
      <c r="D46" s="60"/>
      <c r="E46" s="60"/>
      <c r="F46" s="60"/>
      <c r="G46" s="60"/>
      <c r="H46" s="60"/>
    </row>
    <row r="47" spans="1:9" ht="31.5" customHeight="1" x14ac:dyDescent="0.3">
      <c r="A47" s="66" t="s">
        <v>152</v>
      </c>
      <c r="B47" s="67"/>
      <c r="C47" s="68" t="s">
        <v>181</v>
      </c>
      <c r="D47" s="69"/>
      <c r="E47" s="69"/>
      <c r="F47" s="69"/>
      <c r="G47" s="69"/>
      <c r="H47" s="70"/>
    </row>
    <row r="48" spans="1:9" ht="15.75" customHeight="1" x14ac:dyDescent="0.3">
      <c r="A48" s="66" t="s">
        <v>42</v>
      </c>
      <c r="B48" s="67"/>
      <c r="C48" s="66">
        <v>187</v>
      </c>
      <c r="D48" s="80"/>
      <c r="E48" s="67"/>
      <c r="F48" s="17" t="s">
        <v>43</v>
      </c>
      <c r="G48" s="81">
        <v>45000</v>
      </c>
      <c r="H48" s="67"/>
    </row>
    <row r="49" spans="1:14" x14ac:dyDescent="0.3">
      <c r="A49" s="66" t="s">
        <v>44</v>
      </c>
      <c r="B49" s="67"/>
      <c r="C49" s="66">
        <f>C48</f>
        <v>187</v>
      </c>
      <c r="D49" s="80"/>
      <c r="E49" s="67"/>
      <c r="F49" s="17" t="s">
        <v>43</v>
      </c>
      <c r="G49" s="81">
        <f>G48</f>
        <v>45000</v>
      </c>
      <c r="H49" s="82"/>
    </row>
    <row r="50" spans="1:14" s="21" customFormat="1" ht="15.75" customHeight="1" x14ac:dyDescent="0.3">
      <c r="A50" s="121" t="s">
        <v>156</v>
      </c>
      <c r="B50" s="122"/>
      <c r="C50" s="66" t="s">
        <v>182</v>
      </c>
      <c r="D50" s="80"/>
      <c r="E50" s="67"/>
      <c r="F50" s="17" t="s">
        <v>43</v>
      </c>
      <c r="G50" s="81">
        <f>G49</f>
        <v>45000</v>
      </c>
      <c r="H50" s="82"/>
    </row>
    <row r="51" spans="1:14" s="21" customFormat="1" ht="17.25" customHeight="1" x14ac:dyDescent="0.3">
      <c r="A51" s="123"/>
      <c r="B51" s="124"/>
      <c r="C51" s="66" t="s">
        <v>183</v>
      </c>
      <c r="D51" s="80"/>
      <c r="E51" s="80"/>
      <c r="F51" s="80"/>
      <c r="G51" s="80"/>
      <c r="H51" s="67"/>
    </row>
    <row r="52" spans="1:14" x14ac:dyDescent="0.3">
      <c r="A52" s="151" t="s">
        <v>45</v>
      </c>
      <c r="B52" s="152"/>
      <c r="C52" s="151" t="s">
        <v>108</v>
      </c>
      <c r="D52" s="153"/>
      <c r="E52" s="152"/>
      <c r="F52" s="42" t="s">
        <v>43</v>
      </c>
      <c r="G52" s="144" t="s">
        <v>30</v>
      </c>
      <c r="H52" s="145"/>
    </row>
    <row r="53" spans="1:14" x14ac:dyDescent="0.3">
      <c r="A53" s="138" t="s">
        <v>47</v>
      </c>
      <c r="B53" s="138"/>
      <c r="C53" s="138"/>
      <c r="D53" s="138"/>
      <c r="E53" s="138"/>
      <c r="F53" s="138"/>
      <c r="G53" s="138"/>
      <c r="H53" s="138"/>
    </row>
    <row r="54" spans="1:14" x14ac:dyDescent="0.3">
      <c r="A54" s="127" t="s">
        <v>93</v>
      </c>
      <c r="B54" s="127"/>
      <c r="C54" s="127"/>
      <c r="D54" s="83">
        <f>E44</f>
        <v>1127.83</v>
      </c>
      <c r="E54" s="83"/>
      <c r="F54" s="83"/>
      <c r="G54" s="83"/>
      <c r="H54" s="83"/>
    </row>
    <row r="55" spans="1:14" x14ac:dyDescent="0.3">
      <c r="A55" s="62" t="s">
        <v>48</v>
      </c>
      <c r="B55" s="83"/>
      <c r="C55" s="83"/>
      <c r="D55" s="83" t="s">
        <v>190</v>
      </c>
      <c r="E55" s="83"/>
      <c r="F55" s="83"/>
      <c r="G55" s="83"/>
      <c r="H55" s="83"/>
      <c r="I55" s="22"/>
    </row>
    <row r="56" spans="1:14" x14ac:dyDescent="0.3">
      <c r="A56" s="118" t="s">
        <v>49</v>
      </c>
      <c r="B56" s="119"/>
      <c r="C56" s="120"/>
      <c r="D56" s="116" t="s">
        <v>183</v>
      </c>
      <c r="E56" s="117"/>
      <c r="F56" s="117"/>
      <c r="G56" s="117"/>
      <c r="H56" s="117"/>
    </row>
    <row r="57" spans="1:14" ht="15.75" customHeight="1" x14ac:dyDescent="0.3">
      <c r="A57" s="118" t="s">
        <v>91</v>
      </c>
      <c r="B57" s="119"/>
      <c r="C57" s="119"/>
      <c r="D57" s="62" t="s">
        <v>183</v>
      </c>
      <c r="E57" s="83"/>
      <c r="F57" s="83"/>
      <c r="G57" s="83"/>
      <c r="H57" s="83"/>
    </row>
    <row r="58" spans="1:14" ht="15.75" customHeight="1" x14ac:dyDescent="0.3">
      <c r="A58" s="71" t="s">
        <v>46</v>
      </c>
      <c r="B58" s="71"/>
      <c r="C58" s="71"/>
      <c r="D58" s="113" t="s">
        <v>184</v>
      </c>
      <c r="E58" s="113"/>
      <c r="F58" s="113"/>
      <c r="G58" s="113"/>
      <c r="H58" s="113"/>
      <c r="J58" s="23"/>
      <c r="K58" s="22"/>
      <c r="N58" s="22"/>
    </row>
    <row r="59" spans="1:14" ht="15.75" customHeight="1" x14ac:dyDescent="0.3">
      <c r="A59" s="71" t="s">
        <v>89</v>
      </c>
      <c r="B59" s="71"/>
      <c r="C59" s="71"/>
      <c r="D59" s="103" t="str">
        <f>(IF(G52="NA","60 Years After Completion",IF(G52&lt;&gt;"NA",""&amp;60-ROUNDDOWN((E3-G52)/360,0)&amp;" Years"," ")))</f>
        <v>60 Years After Completion</v>
      </c>
      <c r="E59" s="103"/>
      <c r="F59" s="103"/>
      <c r="G59" s="103"/>
      <c r="H59" s="103"/>
      <c r="N59" s="22"/>
    </row>
    <row r="60" spans="1:14" ht="15.75" customHeight="1" x14ac:dyDescent="0.3">
      <c r="A60" s="71" t="s">
        <v>90</v>
      </c>
      <c r="B60" s="71"/>
      <c r="C60" s="71"/>
      <c r="D60" s="62" t="s">
        <v>24</v>
      </c>
      <c r="E60" s="62"/>
      <c r="F60" s="62"/>
      <c r="G60" s="62"/>
      <c r="H60" s="62"/>
      <c r="J60" s="24"/>
      <c r="K60" s="24"/>
    </row>
    <row r="61" spans="1:14" ht="32.25" customHeight="1" x14ac:dyDescent="0.3">
      <c r="A61" s="71" t="s">
        <v>77</v>
      </c>
      <c r="B61" s="71"/>
      <c r="C61" s="71"/>
      <c r="D61" s="62" t="s">
        <v>192</v>
      </c>
      <c r="E61" s="127"/>
      <c r="F61" s="127"/>
      <c r="G61" s="127"/>
      <c r="H61" s="127"/>
    </row>
    <row r="62" spans="1:14" x14ac:dyDescent="0.3">
      <c r="A62" s="127" t="s">
        <v>151</v>
      </c>
      <c r="B62" s="127"/>
      <c r="C62" s="127"/>
      <c r="D62" s="127" t="s">
        <v>30</v>
      </c>
      <c r="E62" s="127"/>
      <c r="F62" s="127"/>
      <c r="G62" s="127"/>
      <c r="H62" s="127"/>
      <c r="I62" s="25"/>
      <c r="J62" s="25"/>
      <c r="K62" s="25"/>
      <c r="L62" s="25"/>
      <c r="M62" s="25"/>
      <c r="N62" s="25"/>
    </row>
    <row r="63" spans="1:14" ht="15.75" customHeight="1" x14ac:dyDescent="0.3">
      <c r="A63" s="150" t="s">
        <v>88</v>
      </c>
      <c r="B63" s="150"/>
      <c r="C63" s="150"/>
      <c r="D63" s="116" t="str">
        <f ca="1">(IF(G69&gt;95%,"Nothing",IF(G69&gt;0%,"Cement, Aggregate, Steel, etc",IF(G69=0%,"Work not yet Started"))))</f>
        <v>Cement, Aggregate, Steel, etc</v>
      </c>
      <c r="E63" s="116"/>
      <c r="F63" s="116"/>
      <c r="G63" s="116"/>
      <c r="H63" s="116"/>
      <c r="J63" s="24"/>
    </row>
    <row r="64" spans="1:14" ht="33.75" customHeight="1" thickBot="1" x14ac:dyDescent="0.35">
      <c r="A64" s="149" t="s">
        <v>121</v>
      </c>
      <c r="B64" s="149"/>
      <c r="C64" s="149"/>
      <c r="D64" s="116" t="str">
        <f ca="1">(IF(D63="Nothing","Yes",IF(D63="Cement, Aggregate, Steel, etc","Under Construction",IF(D63="Work not yet Started","Work not yet Started"))))</f>
        <v>Under Construction</v>
      </c>
      <c r="E64" s="116"/>
      <c r="F64" s="116" t="str">
        <f ca="1">(IF(D63="Nothing","Yes",IF(D63="Cement, Aggregate, Steel, etc","Under Construction",IF(D63="Work not yet Started","Work not yet Started"))))</f>
        <v>Under Construction</v>
      </c>
      <c r="G64" s="116"/>
      <c r="H64" s="116"/>
      <c r="I64" s="155" t="s">
        <v>210</v>
      </c>
    </row>
    <row r="65" spans="1:13" ht="15.75" customHeight="1" x14ac:dyDescent="0.3">
      <c r="A65" s="105" t="s">
        <v>143</v>
      </c>
      <c r="B65" s="106"/>
      <c r="C65" s="107" t="str">
        <f>D57</f>
        <v>Gr/St + 1st to 4th Floor</v>
      </c>
      <c r="D65" s="108"/>
      <c r="E65" s="108"/>
      <c r="F65" s="108"/>
      <c r="G65" s="108"/>
      <c r="H65" s="109"/>
      <c r="I65" s="46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3 Floor, Painting upto 3 Floor, Finishing upto 1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3 Floor, Painting upto 3 Floor, Finishing upto 1 Floor</v>
      </c>
    </row>
    <row r="66" spans="1:13" x14ac:dyDescent="0.3">
      <c r="A66" s="15" t="s">
        <v>145</v>
      </c>
      <c r="B66" s="44">
        <f>IF(AND(ISNUMBER(SEARCH("1B",C65))),1,IF(AND(ISNUMBER(SEARCH("2B",C65))),2,IF(AND(ISNUMBER(SEARCH("3B",C65))),3,IF(AND(ISNUMBER(SEARCH("4B",C65))),4,IF(ISNUMBER(SEARCH("5B",C65)),5,0)))))</f>
        <v>0</v>
      </c>
      <c r="C66" s="44" t="s">
        <v>74</v>
      </c>
      <c r="D66" s="44">
        <v>1</v>
      </c>
      <c r="E66" s="44" t="s">
        <v>73</v>
      </c>
      <c r="F66" s="44">
        <v>0</v>
      </c>
      <c r="G66" s="45" t="s">
        <v>82</v>
      </c>
      <c r="H66" s="16">
        <f ca="1">--TRIM(RIGHT(SUBSTITUTE(LEFT(C65,_xlfn.AGGREGATE(16,6,FIND({0,1,2,3,4,5,6,7,8,9},C65,ROW(INDIRECT("1:"&amp;LEN(C65)))),1))," ",REPT(" ",LEN(C65))),LEN(C65)))</f>
        <v>4</v>
      </c>
      <c r="I66" s="4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51.6" customHeight="1" x14ac:dyDescent="0.3">
      <c r="A67" s="104" t="s">
        <v>92</v>
      </c>
      <c r="B67" s="104"/>
      <c r="C67" s="78" t="str">
        <f ca="1">I65</f>
        <v>Excavation, Plinth, RCC Slab, Brickwork, Internal Plaster, External Plaster Completed, Flooring upto 3 Floor, Painting upto 3 Floor, Finishing upto 1 Floor Completed</v>
      </c>
      <c r="D67" s="78"/>
      <c r="E67" s="78"/>
      <c r="F67" s="78"/>
      <c r="G67" s="78"/>
      <c r="H67" s="78"/>
      <c r="I67" s="59" t="str">
        <f ca="1">IF(I66&lt;&gt;""," Completed","")</f>
        <v xml:space="preserve"> Completed</v>
      </c>
      <c r="J67" s="49" t="str">
        <f ca="1">IF(J65&lt;&gt;"","Completed","")</f>
        <v>Completed</v>
      </c>
    </row>
    <row r="68" spans="1:13" ht="15.75" customHeight="1" x14ac:dyDescent="0.3">
      <c r="A68" s="79" t="s">
        <v>50</v>
      </c>
      <c r="B68" s="79"/>
      <c r="C68" s="58" t="s">
        <v>142</v>
      </c>
      <c r="D68" s="58" t="s">
        <v>85</v>
      </c>
      <c r="E68" s="79" t="s">
        <v>87</v>
      </c>
      <c r="F68" s="79"/>
      <c r="G68" s="79" t="s">
        <v>86</v>
      </c>
      <c r="H68" s="79"/>
      <c r="I68" s="13" t="s">
        <v>144</v>
      </c>
      <c r="J68" s="26">
        <f ca="1">H66*25%</f>
        <v>1</v>
      </c>
    </row>
    <row r="69" spans="1:13" x14ac:dyDescent="0.3">
      <c r="A69" s="79" t="s">
        <v>131</v>
      </c>
      <c r="B69" s="79"/>
      <c r="C69" s="58">
        <f ca="1">J70</f>
        <v>4</v>
      </c>
      <c r="D69" s="18">
        <f ca="1">((100/H66)*C69)/100</f>
        <v>1</v>
      </c>
      <c r="E69" s="102">
        <f ca="1">(((C70/H66*10)+(40/(D66+F66+H66)*C71)+(7.5/(H66)*C72)+(7.5/(H66)*C73)+(10/H66*C74)+(10/H66*C75)+(5/H66*C76)+(5/H66*C77)+(5/H66*C78))/100)</f>
        <v>0.875</v>
      </c>
      <c r="F69" s="102"/>
      <c r="G69" s="102">
        <f ca="1">((((C69/H66)*20)+((C70/H66)*25)+(30/(H66+F66+D66)*C71)+(5/H66*C72)+(5/H66*C73)+(5/H66*C74)+(5/H66*C75)+(0/H66*C76)+(0/H66*C77)+(5/H66*C78))/100)</f>
        <v>0.9375</v>
      </c>
      <c r="H69" s="102"/>
      <c r="I69" s="13" t="s">
        <v>102</v>
      </c>
      <c r="J69" s="27">
        <f ca="1">H66*50%</f>
        <v>2</v>
      </c>
    </row>
    <row r="70" spans="1:13" x14ac:dyDescent="0.3">
      <c r="A70" s="79" t="s">
        <v>51</v>
      </c>
      <c r="B70" s="79"/>
      <c r="C70" s="50">
        <f ca="1">J78</f>
        <v>4</v>
      </c>
      <c r="D70" s="18">
        <f ca="1">((100/H66)*C70)/100</f>
        <v>1</v>
      </c>
      <c r="E70" s="102"/>
      <c r="F70" s="102"/>
      <c r="G70" s="102"/>
      <c r="H70" s="102"/>
      <c r="I70" s="13" t="s">
        <v>103</v>
      </c>
      <c r="J70" s="27">
        <f ca="1">H66</f>
        <v>4</v>
      </c>
    </row>
    <row r="71" spans="1:13" ht="15.75" customHeight="1" x14ac:dyDescent="0.3">
      <c r="A71" s="79" t="s">
        <v>132</v>
      </c>
      <c r="B71" s="79"/>
      <c r="C71" s="58">
        <v>5</v>
      </c>
      <c r="D71" s="18">
        <f ca="1">((100/(D66+F66+H66))*C71)/100</f>
        <v>1</v>
      </c>
      <c r="E71" s="102"/>
      <c r="F71" s="102"/>
      <c r="G71" s="102"/>
      <c r="H71" s="102"/>
      <c r="I71" s="13" t="s">
        <v>104</v>
      </c>
      <c r="J71" s="28">
        <f ca="1">(IF(B66&gt;1,(H66/(B66+2)),H66/4))</f>
        <v>1</v>
      </c>
    </row>
    <row r="72" spans="1:13" ht="15.75" customHeight="1" x14ac:dyDescent="0.3">
      <c r="A72" s="79" t="s">
        <v>139</v>
      </c>
      <c r="B72" s="79" t="s">
        <v>133</v>
      </c>
      <c r="C72" s="58">
        <v>4</v>
      </c>
      <c r="D72" s="18">
        <f ca="1">((100/H66)*C72)/100</f>
        <v>1</v>
      </c>
      <c r="E72" s="102"/>
      <c r="F72" s="102"/>
      <c r="G72" s="102"/>
      <c r="H72" s="102"/>
      <c r="I72" s="13" t="s">
        <v>105</v>
      </c>
      <c r="J72" s="28">
        <f ca="1">(IF(B66&gt;1,(H66/(B66+2)+J71),H66/4+J71))</f>
        <v>2</v>
      </c>
    </row>
    <row r="73" spans="1:13" ht="15.75" customHeight="1" x14ac:dyDescent="0.3">
      <c r="A73" s="79" t="s">
        <v>140</v>
      </c>
      <c r="B73" s="79" t="s">
        <v>133</v>
      </c>
      <c r="C73" s="58">
        <v>4</v>
      </c>
      <c r="D73" s="18">
        <f ca="1">((100/H66)*C73)/100</f>
        <v>1</v>
      </c>
      <c r="E73" s="102"/>
      <c r="F73" s="102"/>
      <c r="G73" s="102"/>
      <c r="H73" s="102"/>
      <c r="I73" s="13" t="s">
        <v>149</v>
      </c>
      <c r="J73" s="28">
        <f>(IF(B66&gt;1,(H66/(B66+2)+J72),0))</f>
        <v>0</v>
      </c>
    </row>
    <row r="74" spans="1:13" ht="15" customHeight="1" x14ac:dyDescent="0.3">
      <c r="A74" s="79" t="s">
        <v>138</v>
      </c>
      <c r="B74" s="79" t="s">
        <v>135</v>
      </c>
      <c r="C74" s="58">
        <v>4</v>
      </c>
      <c r="D74" s="18">
        <f ca="1">((100/(H66))*C74)/100</f>
        <v>1</v>
      </c>
      <c r="E74" s="102"/>
      <c r="F74" s="102"/>
      <c r="G74" s="102"/>
      <c r="H74" s="102"/>
      <c r="I74" s="13" t="s">
        <v>146</v>
      </c>
      <c r="J74" s="28">
        <f>(IF(B66&gt;2,(H66/(B66+2)+J73),0))</f>
        <v>0</v>
      </c>
    </row>
    <row r="75" spans="1:13" ht="15.75" customHeight="1" x14ac:dyDescent="0.3">
      <c r="A75" s="79" t="s">
        <v>134</v>
      </c>
      <c r="B75" s="79" t="s">
        <v>134</v>
      </c>
      <c r="C75" s="58">
        <v>3</v>
      </c>
      <c r="D75" s="18">
        <f ca="1">((100/H66)*C75)/100</f>
        <v>0.75</v>
      </c>
      <c r="E75" s="102"/>
      <c r="F75" s="102"/>
      <c r="G75" s="102"/>
      <c r="H75" s="102"/>
      <c r="I75" s="13" t="s">
        <v>147</v>
      </c>
      <c r="J75" s="29">
        <f>(IF(B66&gt;3,(H66/(B66+2)+J74),0))</f>
        <v>0</v>
      </c>
    </row>
    <row r="76" spans="1:13" ht="15.75" customHeight="1" x14ac:dyDescent="0.3">
      <c r="A76" s="79" t="s">
        <v>141</v>
      </c>
      <c r="B76" s="79"/>
      <c r="C76" s="58">
        <v>3</v>
      </c>
      <c r="D76" s="18">
        <f ca="1">((100/H66)*C76)/100</f>
        <v>0.75</v>
      </c>
      <c r="E76" s="102"/>
      <c r="F76" s="102"/>
      <c r="G76" s="102"/>
      <c r="H76" s="102"/>
      <c r="I76" s="13" t="s">
        <v>148</v>
      </c>
      <c r="J76" s="28">
        <f>(IF(B66&gt;4,(H66/(B66+2)+J75),0))</f>
        <v>0</v>
      </c>
    </row>
    <row r="77" spans="1:13" ht="15.75" customHeight="1" x14ac:dyDescent="0.3">
      <c r="A77" s="79" t="s">
        <v>136</v>
      </c>
      <c r="B77" s="79" t="s">
        <v>136</v>
      </c>
      <c r="C77" s="58">
        <v>1</v>
      </c>
      <c r="D77" s="18">
        <f ca="1">((100/(H66))*C77)/100</f>
        <v>0.25</v>
      </c>
      <c r="E77" s="102"/>
      <c r="F77" s="102"/>
      <c r="G77" s="102"/>
      <c r="H77" s="102"/>
      <c r="I77" s="13" t="s">
        <v>150</v>
      </c>
      <c r="J77" s="28">
        <f ca="1">(IF(B66=1,(H66/(B66+3)+J72),IF(B66=0,(H66/4+J72),IF(B66&gt;1,0))))</f>
        <v>3</v>
      </c>
    </row>
    <row r="78" spans="1:13" ht="16.2" thickBot="1" x14ac:dyDescent="0.35">
      <c r="A78" s="79" t="s">
        <v>137</v>
      </c>
      <c r="B78" s="79"/>
      <c r="C78" s="58">
        <v>0</v>
      </c>
      <c r="D78" s="18">
        <f ca="1">((100/(H66))*C78)/100</f>
        <v>0</v>
      </c>
      <c r="E78" s="102"/>
      <c r="F78" s="102"/>
      <c r="G78" s="102"/>
      <c r="H78" s="102"/>
      <c r="I78" s="14" t="s">
        <v>106</v>
      </c>
      <c r="J78" s="30">
        <f ca="1">(IF(B66&gt;1.5,(H66/(B66+2)+J72+MAX(0,J73-J72)+MAX(0,J74-J73)+MAX(0,J75-J74)+MAX(0,J76-J75)+MAX(0,J77-J76)),IF(B66=1,(H66/(B66+3)+J77),IF(B66=0,H66/4+J77))))</f>
        <v>4</v>
      </c>
    </row>
    <row r="79" spans="1:13" x14ac:dyDescent="0.3">
      <c r="A79" s="73" t="s">
        <v>157</v>
      </c>
      <c r="B79" s="73"/>
      <c r="C79" s="73"/>
      <c r="D79" s="73"/>
      <c r="E79" s="73"/>
      <c r="F79" s="143" t="s">
        <v>159</v>
      </c>
      <c r="G79" s="143"/>
      <c r="H79" s="143"/>
    </row>
    <row r="80" spans="1:13" x14ac:dyDescent="0.3">
      <c r="A80" s="71" t="s">
        <v>158</v>
      </c>
      <c r="B80" s="71"/>
      <c r="C80" s="71"/>
      <c r="D80" s="71"/>
      <c r="E80" s="71"/>
      <c r="F80" s="72">
        <v>3500</v>
      </c>
      <c r="G80" s="72"/>
      <c r="H80" s="72"/>
      <c r="I80" s="56" t="s">
        <v>198</v>
      </c>
      <c r="J80" s="56" t="s">
        <v>199</v>
      </c>
      <c r="K80" s="56" t="s">
        <v>200</v>
      </c>
      <c r="L80" s="56" t="s">
        <v>201</v>
      </c>
      <c r="M80" s="57">
        <v>45300</v>
      </c>
    </row>
    <row r="81" spans="1:13" s="31" customFormat="1" x14ac:dyDescent="0.25">
      <c r="A81" s="71" t="s">
        <v>194</v>
      </c>
      <c r="B81" s="71"/>
      <c r="C81" s="71"/>
      <c r="D81" s="71"/>
      <c r="E81" s="71"/>
      <c r="F81" s="72">
        <v>150000</v>
      </c>
      <c r="G81" s="72"/>
      <c r="H81" s="72"/>
      <c r="I81" s="55" t="s">
        <v>195</v>
      </c>
      <c r="J81" s="55"/>
      <c r="K81" s="55"/>
    </row>
    <row r="82" spans="1:13" s="31" customFormat="1" hidden="1" x14ac:dyDescent="0.25">
      <c r="A82" s="71" t="s">
        <v>97</v>
      </c>
      <c r="B82" s="71"/>
      <c r="C82" s="71"/>
      <c r="D82" s="71"/>
      <c r="E82" s="71"/>
      <c r="F82" s="72"/>
      <c r="G82" s="72"/>
      <c r="H82" s="72"/>
    </row>
    <row r="83" spans="1:13" s="31" customFormat="1" hidden="1" x14ac:dyDescent="0.25">
      <c r="A83" s="71" t="s">
        <v>160</v>
      </c>
      <c r="B83" s="71"/>
      <c r="C83" s="71"/>
      <c r="D83" s="71"/>
      <c r="E83" s="71"/>
      <c r="F83" s="72"/>
      <c r="G83" s="72"/>
      <c r="H83" s="72"/>
    </row>
    <row r="84" spans="1:13" s="31" customFormat="1" hidden="1" x14ac:dyDescent="0.25">
      <c r="A84" s="71" t="s">
        <v>98</v>
      </c>
      <c r="B84" s="71"/>
      <c r="C84" s="71"/>
      <c r="D84" s="71"/>
      <c r="E84" s="71"/>
      <c r="F84" s="72"/>
      <c r="G84" s="72"/>
      <c r="H84" s="72"/>
    </row>
    <row r="85" spans="1:13" s="31" customFormat="1" hidden="1" x14ac:dyDescent="0.25">
      <c r="A85" s="71" t="s">
        <v>99</v>
      </c>
      <c r="B85" s="71"/>
      <c r="C85" s="71"/>
      <c r="D85" s="71"/>
      <c r="E85" s="71"/>
      <c r="F85" s="72"/>
      <c r="G85" s="72"/>
      <c r="H85" s="72"/>
    </row>
    <row r="86" spans="1:13" s="31" customFormat="1" hidden="1" x14ac:dyDescent="0.25">
      <c r="A86" s="71" t="s">
        <v>100</v>
      </c>
      <c r="B86" s="71"/>
      <c r="C86" s="71"/>
      <c r="D86" s="71"/>
      <c r="E86" s="71"/>
      <c r="F86" s="72"/>
      <c r="G86" s="72"/>
      <c r="H86" s="72"/>
    </row>
    <row r="87" spans="1:13" s="31" customFormat="1" hidden="1" x14ac:dyDescent="0.25">
      <c r="A87" s="71" t="s">
        <v>101</v>
      </c>
      <c r="B87" s="71"/>
      <c r="C87" s="71"/>
      <c r="D87" s="71"/>
      <c r="E87" s="71"/>
      <c r="F87" s="72"/>
      <c r="G87" s="72"/>
      <c r="H87" s="72"/>
    </row>
    <row r="88" spans="1:13" x14ac:dyDescent="0.3">
      <c r="A88" s="71" t="s">
        <v>52</v>
      </c>
      <c r="B88" s="71"/>
      <c r="C88" s="71"/>
      <c r="D88" s="71"/>
      <c r="E88" s="71"/>
      <c r="F88" s="72">
        <v>100000</v>
      </c>
      <c r="G88" s="72"/>
      <c r="H88" s="72"/>
    </row>
    <row r="89" spans="1:13" s="32" customFormat="1" x14ac:dyDescent="0.3">
      <c r="A89" s="60" t="s">
        <v>53</v>
      </c>
      <c r="B89" s="60"/>
      <c r="C89" s="60"/>
      <c r="D89" s="60"/>
      <c r="E89" s="60"/>
      <c r="F89" s="72">
        <f>F80*0.8</f>
        <v>2800</v>
      </c>
      <c r="G89" s="72"/>
      <c r="H89" s="72"/>
    </row>
    <row r="90" spans="1:13" s="33" customFormat="1" x14ac:dyDescent="0.3">
      <c r="A90" s="137" t="s">
        <v>72</v>
      </c>
      <c r="B90" s="137"/>
      <c r="C90" s="137"/>
      <c r="D90" s="137"/>
      <c r="E90" s="137"/>
      <c r="F90" s="137"/>
      <c r="G90" s="137"/>
      <c r="H90" s="137"/>
    </row>
    <row r="91" spans="1:13" s="33" customFormat="1" ht="15.75" customHeight="1" x14ac:dyDescent="0.3">
      <c r="A91" s="87" t="s">
        <v>54</v>
      </c>
      <c r="B91" s="87"/>
      <c r="C91" s="86" t="s">
        <v>80</v>
      </c>
      <c r="D91" s="86"/>
      <c r="E91" s="139" t="s">
        <v>55</v>
      </c>
      <c r="F91" s="139"/>
      <c r="G91" s="87" t="s">
        <v>56</v>
      </c>
      <c r="H91" s="87"/>
    </row>
    <row r="92" spans="1:13" s="33" customFormat="1" x14ac:dyDescent="0.3">
      <c r="A92" s="136" t="s">
        <v>189</v>
      </c>
      <c r="B92" s="136"/>
      <c r="C92" s="100">
        <f>COUNT(D98:D103)*4</f>
        <v>24</v>
      </c>
      <c r="D92" s="100"/>
      <c r="E92" s="101">
        <f>SUM(D98:D103)*4</f>
        <v>10159.493759999999</v>
      </c>
      <c r="F92" s="101"/>
      <c r="G92" s="101">
        <f>SUM(F98:F103)*4</f>
        <v>15284</v>
      </c>
      <c r="H92" s="101"/>
    </row>
    <row r="93" spans="1:13" s="32" customFormat="1" x14ac:dyDescent="0.3">
      <c r="A93" s="143" t="s">
        <v>57</v>
      </c>
      <c r="B93" s="143"/>
      <c r="C93" s="143"/>
      <c r="D93" s="143"/>
      <c r="E93" s="143"/>
      <c r="F93" s="143"/>
      <c r="G93" s="143"/>
      <c r="H93" s="143"/>
    </row>
    <row r="94" spans="1:13" x14ac:dyDescent="0.3">
      <c r="A94" s="97" t="s">
        <v>58</v>
      </c>
      <c r="B94" s="97"/>
      <c r="C94" s="97"/>
      <c r="D94" s="97"/>
      <c r="E94" s="97"/>
      <c r="F94" s="97"/>
      <c r="G94" s="97"/>
      <c r="H94" s="97"/>
    </row>
    <row r="95" spans="1:13" ht="47.25" customHeight="1" x14ac:dyDescent="0.3">
      <c r="A95" s="51" t="s">
        <v>122</v>
      </c>
      <c r="B95" s="51" t="s">
        <v>123</v>
      </c>
      <c r="C95" s="41" t="s">
        <v>59</v>
      </c>
      <c r="D95" s="41" t="s">
        <v>60</v>
      </c>
      <c r="E95" s="52" t="s">
        <v>61</v>
      </c>
      <c r="F95" s="41" t="s">
        <v>193</v>
      </c>
      <c r="G95" s="141" t="s">
        <v>62</v>
      </c>
      <c r="H95" s="142"/>
      <c r="I95" s="98" t="s">
        <v>202</v>
      </c>
      <c r="J95" s="99"/>
      <c r="K95" s="99"/>
      <c r="L95" s="99"/>
      <c r="M95" s="99"/>
    </row>
    <row r="96" spans="1:13" s="35" customFormat="1" x14ac:dyDescent="0.3">
      <c r="A96" s="88" t="s">
        <v>185</v>
      </c>
      <c r="B96" s="89"/>
      <c r="C96" s="89"/>
      <c r="D96" s="89"/>
      <c r="E96" s="89"/>
      <c r="F96" s="89"/>
      <c r="G96" s="89"/>
      <c r="H96" s="90"/>
      <c r="J96" s="34"/>
    </row>
    <row r="97" spans="1:14" s="35" customFormat="1" x14ac:dyDescent="0.3">
      <c r="A97" s="135" t="s">
        <v>197</v>
      </c>
      <c r="B97" s="135"/>
      <c r="C97" s="135"/>
      <c r="D97" s="135"/>
      <c r="E97" s="135"/>
      <c r="F97" s="135"/>
      <c r="G97" s="135"/>
      <c r="H97" s="135"/>
      <c r="L97" s="84">
        <v>3500</v>
      </c>
      <c r="M97" s="84"/>
    </row>
    <row r="98" spans="1:14" s="35" customFormat="1" ht="15.75" customHeight="1" x14ac:dyDescent="0.3">
      <c r="A98" s="85">
        <v>1</v>
      </c>
      <c r="B98" s="85"/>
      <c r="C98" s="40" t="s">
        <v>186</v>
      </c>
      <c r="D98" s="54">
        <f>(49.49)*(10.764)</f>
        <v>532.71036000000004</v>
      </c>
      <c r="E98" s="40">
        <v>0</v>
      </c>
      <c r="F98" s="40">
        <v>815</v>
      </c>
      <c r="G98" s="91" t="str">
        <f>A97</f>
        <v>1st to 4th Floor For Residential</v>
      </c>
      <c r="H98" s="92"/>
      <c r="I98" s="40">
        <f>2.75*4.26+0.91*2.75+2.13*2.45+3*2.75+3.35*2.75+1.82*1.22*2+0.91*1.82</f>
        <v>42.9955</v>
      </c>
      <c r="J98" s="35">
        <f>0.91*(2.75+2.13)</f>
        <v>4.4408000000000003</v>
      </c>
      <c r="K98" s="35">
        <v>815</v>
      </c>
      <c r="L98" s="35">
        <f>K98/D98</f>
        <v>1.5299120520201634</v>
      </c>
      <c r="M98" s="35">
        <f>$L$97*F98+150000</f>
        <v>3002500</v>
      </c>
      <c r="N98" s="34"/>
    </row>
    <row r="99" spans="1:14" s="35" customFormat="1" ht="15.75" customHeight="1" x14ac:dyDescent="0.3">
      <c r="A99" s="85">
        <f>A98+1</f>
        <v>2</v>
      </c>
      <c r="B99" s="85"/>
      <c r="C99" s="40" t="s">
        <v>187</v>
      </c>
      <c r="D99" s="54">
        <f>(38.07)*(10.764)</f>
        <v>409.78547999999995</v>
      </c>
      <c r="E99" s="40">
        <v>0</v>
      </c>
      <c r="F99" s="40">
        <v>613</v>
      </c>
      <c r="G99" s="93"/>
      <c r="H99" s="94"/>
      <c r="I99" s="34">
        <f>2.75*4.26+1.82*1.22+1.82*1.22+3.45*2.75+2.13*2.45+0.91*2.13+1.52*2.75</f>
        <v>36.9801</v>
      </c>
      <c r="K99" s="35">
        <v>613</v>
      </c>
      <c r="L99" s="35">
        <f t="shared" ref="L99:L103" si="0">K99/D99</f>
        <v>1.4959046377143477</v>
      </c>
      <c r="M99" s="35">
        <f t="shared" ref="M99:M103" si="1">$L$97*F99+150000</f>
        <v>2295500</v>
      </c>
      <c r="N99" s="34"/>
    </row>
    <row r="100" spans="1:14" s="35" customFormat="1" ht="15.75" customHeight="1" x14ac:dyDescent="0.3">
      <c r="A100" s="85">
        <f>A99+1</f>
        <v>3</v>
      </c>
      <c r="B100" s="85"/>
      <c r="C100" s="40" t="s">
        <v>187</v>
      </c>
      <c r="D100" s="54">
        <f>(38.04)*(10.764)</f>
        <v>409.46255999999994</v>
      </c>
      <c r="E100" s="40">
        <v>0</v>
      </c>
      <c r="F100" s="40">
        <v>613</v>
      </c>
      <c r="G100" s="93"/>
      <c r="H100" s="94"/>
      <c r="I100" s="34">
        <f>2.75*4.26+2.13*2.45+3.15*2.75+1.82*1.22+1.82*1.22+0.91*2.13+0.91*(2.75+2.13)</f>
        <v>36.415900000000001</v>
      </c>
      <c r="J100" s="54">
        <f>10.764</f>
        <v>10.763999999999999</v>
      </c>
      <c r="K100" s="35">
        <v>613</v>
      </c>
      <c r="L100" s="35">
        <f t="shared" si="0"/>
        <v>1.4970843732330499</v>
      </c>
      <c r="M100" s="35">
        <f t="shared" si="1"/>
        <v>2295500</v>
      </c>
      <c r="N100" s="34"/>
    </row>
    <row r="101" spans="1:14" s="35" customFormat="1" ht="15.75" customHeight="1" x14ac:dyDescent="0.3">
      <c r="A101" s="85">
        <f>A100+1</f>
        <v>4</v>
      </c>
      <c r="B101" s="85"/>
      <c r="C101" s="40" t="s">
        <v>187</v>
      </c>
      <c r="D101" s="54">
        <f>(35.93)*(10.764)</f>
        <v>386.75051999999999</v>
      </c>
      <c r="E101" s="40">
        <v>0</v>
      </c>
      <c r="F101" s="40">
        <v>580</v>
      </c>
      <c r="G101" s="93"/>
      <c r="H101" s="94"/>
      <c r="I101" s="34"/>
      <c r="K101" s="35">
        <v>580</v>
      </c>
      <c r="L101" s="35">
        <f t="shared" si="0"/>
        <v>1.4996747774249923</v>
      </c>
      <c r="M101" s="35">
        <f>$L$97*F101+150000</f>
        <v>2180000</v>
      </c>
      <c r="N101" s="34"/>
    </row>
    <row r="102" spans="1:14" s="35" customFormat="1" ht="15.75" customHeight="1" x14ac:dyDescent="0.3">
      <c r="A102" s="85">
        <f>A101+1</f>
        <v>5</v>
      </c>
      <c r="B102" s="85"/>
      <c r="C102" s="40" t="s">
        <v>187</v>
      </c>
      <c r="D102" s="54">
        <f>(37.4)*(10.764)</f>
        <v>402.57359999999994</v>
      </c>
      <c r="E102" s="40">
        <v>0</v>
      </c>
      <c r="F102" s="40">
        <v>603</v>
      </c>
      <c r="G102" s="93"/>
      <c r="H102" s="94"/>
      <c r="I102" s="34"/>
      <c r="K102" s="35">
        <v>603</v>
      </c>
      <c r="L102" s="35">
        <f t="shared" si="0"/>
        <v>1.4978627510596823</v>
      </c>
      <c r="M102" s="35">
        <f t="shared" si="1"/>
        <v>2260500</v>
      </c>
      <c r="N102" s="34"/>
    </row>
    <row r="103" spans="1:14" s="35" customFormat="1" ht="15.75" customHeight="1" x14ac:dyDescent="0.3">
      <c r="A103" s="85">
        <f>A102+1</f>
        <v>6</v>
      </c>
      <c r="B103" s="85"/>
      <c r="C103" s="40" t="s">
        <v>187</v>
      </c>
      <c r="D103" s="54">
        <f>(37.03)*(10.764)</f>
        <v>398.59091999999998</v>
      </c>
      <c r="E103" s="40">
        <v>0</v>
      </c>
      <c r="F103" s="40">
        <v>597</v>
      </c>
      <c r="G103" s="95"/>
      <c r="H103" s="96"/>
      <c r="I103" s="34"/>
      <c r="K103" s="35">
        <v>597</v>
      </c>
      <c r="L103" s="35">
        <f t="shared" si="0"/>
        <v>1.4977762162770794</v>
      </c>
      <c r="M103" s="35">
        <f t="shared" si="1"/>
        <v>2239500</v>
      </c>
      <c r="N103" s="34"/>
    </row>
    <row r="104" spans="1:14" s="33" customFormat="1" x14ac:dyDescent="0.3">
      <c r="A104" s="74" t="s">
        <v>70</v>
      </c>
      <c r="B104" s="74"/>
      <c r="C104" s="74"/>
      <c r="D104" s="74"/>
      <c r="E104" s="74"/>
      <c r="F104" s="74"/>
      <c r="G104" s="74"/>
      <c r="H104" s="74"/>
    </row>
    <row r="105" spans="1:14" s="33" customFormat="1" x14ac:dyDescent="0.3">
      <c r="A105" s="43" t="s">
        <v>154</v>
      </c>
      <c r="B105" s="146" t="s">
        <v>206</v>
      </c>
      <c r="C105" s="147"/>
      <c r="D105" s="147"/>
      <c r="E105" s="147"/>
      <c r="F105" s="147"/>
      <c r="G105" s="147"/>
      <c r="H105" s="148"/>
    </row>
    <row r="106" spans="1:14" s="33" customFormat="1" x14ac:dyDescent="0.3">
      <c r="A106" s="43" t="s">
        <v>154</v>
      </c>
      <c r="B106" s="75" t="str">
        <f>(IF(F95="Saleable area Loading :","We have considered Saleable area of Flats as per our Calculation.","We considered Saleable area of Flat as per Builder area Sheet."))</f>
        <v>We considered Saleable area of Flat as per Builder area Sheet.</v>
      </c>
      <c r="C106" s="76"/>
      <c r="D106" s="76"/>
      <c r="E106" s="76"/>
      <c r="F106" s="76"/>
      <c r="G106" s="76"/>
      <c r="H106" s="77"/>
    </row>
    <row r="107" spans="1:14" s="33" customFormat="1" x14ac:dyDescent="0.3">
      <c r="A107" s="43" t="s">
        <v>154</v>
      </c>
      <c r="B107" s="63" t="s">
        <v>126</v>
      </c>
      <c r="C107" s="64"/>
      <c r="D107" s="64"/>
      <c r="E107" s="64"/>
      <c r="F107" s="64"/>
      <c r="G107" s="64"/>
      <c r="H107" s="65"/>
    </row>
    <row r="108" spans="1:14" s="33" customFormat="1" x14ac:dyDescent="0.3">
      <c r="A108" s="43" t="s">
        <v>154</v>
      </c>
      <c r="B108" s="63" t="s">
        <v>188</v>
      </c>
      <c r="C108" s="64"/>
      <c r="D108" s="64"/>
      <c r="E108" s="64"/>
      <c r="F108" s="64"/>
      <c r="G108" s="64"/>
      <c r="H108" s="65"/>
    </row>
    <row r="109" spans="1:14" s="33" customFormat="1" x14ac:dyDescent="0.3">
      <c r="A109" s="43" t="s">
        <v>154</v>
      </c>
      <c r="B109" s="63" t="s">
        <v>153</v>
      </c>
      <c r="C109" s="64"/>
      <c r="D109" s="64"/>
      <c r="E109" s="64"/>
      <c r="F109" s="64"/>
      <c r="G109" s="64"/>
      <c r="H109" s="65"/>
    </row>
    <row r="110" spans="1:14" s="33" customFormat="1" x14ac:dyDescent="0.3">
      <c r="A110" s="43" t="s">
        <v>154</v>
      </c>
      <c r="B110" s="63" t="s">
        <v>127</v>
      </c>
      <c r="C110" s="64"/>
      <c r="D110" s="64"/>
      <c r="E110" s="64"/>
      <c r="F110" s="64"/>
      <c r="G110" s="64"/>
      <c r="H110" s="65"/>
    </row>
    <row r="111" spans="1:14" s="33" customFormat="1" ht="34.5" customHeight="1" x14ac:dyDescent="0.3">
      <c r="A111" s="43" t="s">
        <v>154</v>
      </c>
      <c r="B111" s="63" t="s">
        <v>155</v>
      </c>
      <c r="C111" s="64"/>
      <c r="D111" s="64"/>
      <c r="E111" s="64"/>
      <c r="F111" s="64"/>
      <c r="G111" s="64"/>
      <c r="H111" s="65"/>
    </row>
    <row r="112" spans="1:14" s="33" customFormat="1" x14ac:dyDescent="0.3">
      <c r="A112" s="43" t="s">
        <v>154</v>
      </c>
      <c r="B112" s="63" t="s">
        <v>128</v>
      </c>
      <c r="C112" s="64"/>
      <c r="D112" s="64"/>
      <c r="E112" s="64"/>
      <c r="F112" s="64"/>
      <c r="G112" s="64"/>
      <c r="H112" s="65"/>
    </row>
    <row r="113" spans="1:8" s="33" customFormat="1" x14ac:dyDescent="0.3">
      <c r="A113" s="43" t="s">
        <v>154</v>
      </c>
      <c r="B113" s="63" t="s">
        <v>203</v>
      </c>
      <c r="C113" s="64"/>
      <c r="D113" s="64"/>
      <c r="E113" s="64"/>
      <c r="F113" s="64"/>
      <c r="G113" s="64"/>
      <c r="H113" s="65"/>
    </row>
    <row r="114" spans="1:8" x14ac:dyDescent="0.3">
      <c r="A114" s="138" t="s">
        <v>63</v>
      </c>
      <c r="B114" s="138"/>
      <c r="C114" s="138"/>
      <c r="D114" s="138"/>
      <c r="E114" s="138"/>
      <c r="F114" s="138"/>
      <c r="G114" s="138"/>
      <c r="H114" s="138"/>
    </row>
    <row r="115" spans="1:8" x14ac:dyDescent="0.3">
      <c r="A115" s="71" t="s">
        <v>64</v>
      </c>
      <c r="B115" s="71"/>
      <c r="C115" s="71"/>
      <c r="D115" s="71"/>
      <c r="E115" s="71"/>
      <c r="F115" s="71"/>
      <c r="G115" s="71"/>
      <c r="H115" s="71"/>
    </row>
    <row r="116" spans="1:8" ht="15.75" customHeight="1" x14ac:dyDescent="0.3">
      <c r="A116" s="140" t="s">
        <v>65</v>
      </c>
      <c r="B116" s="140"/>
      <c r="C116" s="140"/>
      <c r="D116" s="140"/>
      <c r="E116" s="140"/>
      <c r="F116" s="140"/>
      <c r="G116" s="140"/>
      <c r="H116" s="140"/>
    </row>
    <row r="117" spans="1:8" x14ac:dyDescent="0.3">
      <c r="A117" s="71" t="s">
        <v>66</v>
      </c>
      <c r="B117" s="71"/>
      <c r="C117" s="71"/>
      <c r="D117" s="71"/>
      <c r="E117" s="71"/>
      <c r="F117" s="71"/>
      <c r="G117" s="71"/>
      <c r="H117" s="71"/>
    </row>
    <row r="118" spans="1:8" x14ac:dyDescent="0.3">
      <c r="A118" s="71" t="s">
        <v>67</v>
      </c>
      <c r="B118" s="71"/>
      <c r="C118" s="71"/>
      <c r="D118" s="71"/>
      <c r="E118" s="71"/>
      <c r="F118" s="71"/>
      <c r="G118" s="71"/>
      <c r="H118" s="71"/>
    </row>
    <row r="119" spans="1:8" x14ac:dyDescent="0.3">
      <c r="A119" s="71" t="s">
        <v>129</v>
      </c>
      <c r="B119" s="71"/>
      <c r="C119" s="71"/>
      <c r="D119" s="71"/>
      <c r="E119" s="71"/>
      <c r="F119" s="71"/>
      <c r="G119" s="71"/>
      <c r="H119" s="71"/>
    </row>
    <row r="120" spans="1:8" ht="36" customHeight="1" x14ac:dyDescent="0.3">
      <c r="A120" s="127" t="s">
        <v>130</v>
      </c>
      <c r="B120" s="127"/>
      <c r="C120" s="127"/>
      <c r="D120" s="127"/>
      <c r="E120" s="127"/>
      <c r="F120" s="127"/>
      <c r="G120" s="127"/>
      <c r="H120" s="127"/>
    </row>
    <row r="121" spans="1:8" x14ac:dyDescent="0.3">
      <c r="A121" s="133" t="s">
        <v>79</v>
      </c>
      <c r="B121" s="133"/>
      <c r="C121" s="134" t="s">
        <v>204</v>
      </c>
      <c r="D121" s="134"/>
      <c r="E121" s="133" t="s">
        <v>109</v>
      </c>
      <c r="F121" s="133"/>
      <c r="G121" s="133" t="s">
        <v>209</v>
      </c>
      <c r="H121" s="133"/>
    </row>
    <row r="122" spans="1:8" x14ac:dyDescent="0.3">
      <c r="A122" s="132" t="s">
        <v>81</v>
      </c>
      <c r="B122" s="132"/>
      <c r="C122" s="132"/>
      <c r="D122" s="132"/>
      <c r="E122" s="132"/>
      <c r="F122" s="132"/>
      <c r="G122" s="132"/>
      <c r="H122" s="132"/>
    </row>
    <row r="123" spans="1:8" x14ac:dyDescent="0.3">
      <c r="A123" s="132"/>
      <c r="B123" s="132"/>
      <c r="C123" s="132"/>
      <c r="D123" s="132"/>
      <c r="E123" s="132"/>
      <c r="F123" s="132"/>
      <c r="G123" s="132"/>
      <c r="H123" s="132"/>
    </row>
    <row r="124" spans="1:8" x14ac:dyDescent="0.3">
      <c r="A124" s="132"/>
      <c r="B124" s="132"/>
      <c r="C124" s="132"/>
      <c r="D124" s="132"/>
      <c r="E124" s="132"/>
      <c r="F124" s="132"/>
      <c r="G124" s="132"/>
      <c r="H124" s="132"/>
    </row>
    <row r="125" spans="1:8" x14ac:dyDescent="0.3">
      <c r="A125" s="132"/>
      <c r="B125" s="132"/>
      <c r="C125" s="132"/>
      <c r="D125" s="132"/>
      <c r="E125" s="132"/>
      <c r="F125" s="132"/>
      <c r="G125" s="132"/>
      <c r="H125" s="132"/>
    </row>
    <row r="126" spans="1:8" x14ac:dyDescent="0.3">
      <c r="A126" s="36" t="s">
        <v>68</v>
      </c>
      <c r="B126" s="37"/>
      <c r="C126" s="37"/>
      <c r="D126" s="36" t="str">
        <f>E8</f>
        <v>Shiv Paradise</v>
      </c>
      <c r="F126" s="37"/>
      <c r="G126" s="37"/>
      <c r="H126" s="37"/>
    </row>
    <row r="127" spans="1:8" x14ac:dyDescent="0.3">
      <c r="A127" s="37"/>
      <c r="B127" s="37"/>
      <c r="C127" s="37"/>
      <c r="D127" s="37"/>
      <c r="E127" s="37"/>
      <c r="F127" s="37"/>
      <c r="G127" s="37"/>
      <c r="H127" s="37"/>
    </row>
    <row r="128" spans="1:8" x14ac:dyDescent="0.3">
      <c r="A128" s="37"/>
      <c r="B128" s="37"/>
      <c r="C128" s="37"/>
      <c r="D128" s="37"/>
      <c r="E128" s="37"/>
      <c r="F128" s="37"/>
      <c r="G128" s="37"/>
      <c r="H128" s="37"/>
    </row>
    <row r="129" ht="15" customHeight="1" x14ac:dyDescent="0.3"/>
    <row r="164" spans="1:1" ht="14.25" customHeight="1" x14ac:dyDescent="0.3"/>
    <row r="169" spans="1:1" x14ac:dyDescent="0.3">
      <c r="A169" s="39" t="s">
        <v>163</v>
      </c>
    </row>
    <row r="202" spans="1:1" x14ac:dyDescent="0.3">
      <c r="A202" s="39" t="s">
        <v>69</v>
      </c>
    </row>
  </sheetData>
  <mergeCells count="222">
    <mergeCell ref="B113:H113"/>
    <mergeCell ref="B110:H110"/>
    <mergeCell ref="A93:H93"/>
    <mergeCell ref="B105:H105"/>
    <mergeCell ref="E41:H41"/>
    <mergeCell ref="A41:D41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C50:E50"/>
    <mergeCell ref="A57:C57"/>
    <mergeCell ref="D57:H57"/>
    <mergeCell ref="C49:E49"/>
    <mergeCell ref="A52:B52"/>
    <mergeCell ref="C52:E52"/>
    <mergeCell ref="A49:B49"/>
    <mergeCell ref="F79:H79"/>
    <mergeCell ref="F81:H81"/>
    <mergeCell ref="A81:E81"/>
    <mergeCell ref="G52:H52"/>
    <mergeCell ref="C51:H51"/>
    <mergeCell ref="A53:H53"/>
    <mergeCell ref="A54:C54"/>
    <mergeCell ref="A55:C55"/>
    <mergeCell ref="D55:H55"/>
    <mergeCell ref="A122:H125"/>
    <mergeCell ref="A121:B121"/>
    <mergeCell ref="E121:F121"/>
    <mergeCell ref="C121:D121"/>
    <mergeCell ref="G121:H121"/>
    <mergeCell ref="A88:E88"/>
    <mergeCell ref="F88:H88"/>
    <mergeCell ref="A89:E89"/>
    <mergeCell ref="F89:H89"/>
    <mergeCell ref="A97:H97"/>
    <mergeCell ref="A92:B92"/>
    <mergeCell ref="A117:H117"/>
    <mergeCell ref="A90:H90"/>
    <mergeCell ref="A120:H120"/>
    <mergeCell ref="A118:H118"/>
    <mergeCell ref="A114:H114"/>
    <mergeCell ref="A115:H115"/>
    <mergeCell ref="E91:F91"/>
    <mergeCell ref="B112:H112"/>
    <mergeCell ref="A119:H119"/>
    <mergeCell ref="A116:H116"/>
    <mergeCell ref="A98:B98"/>
    <mergeCell ref="A91:B91"/>
    <mergeCell ref="G95:H9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37:B37"/>
    <mergeCell ref="C37:H37"/>
    <mergeCell ref="A44:D44"/>
    <mergeCell ref="A76:B76"/>
    <mergeCell ref="C92:D92"/>
    <mergeCell ref="E92:F92"/>
    <mergeCell ref="G92:H92"/>
    <mergeCell ref="F83:H83"/>
    <mergeCell ref="A80:E80"/>
    <mergeCell ref="A59:C59"/>
    <mergeCell ref="E69:F78"/>
    <mergeCell ref="G69:H78"/>
    <mergeCell ref="A77:B77"/>
    <mergeCell ref="A78:B78"/>
    <mergeCell ref="D59:H5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L97:M97"/>
    <mergeCell ref="A102:B102"/>
    <mergeCell ref="A99:B99"/>
    <mergeCell ref="A100:B100"/>
    <mergeCell ref="A87:E87"/>
    <mergeCell ref="C91:D91"/>
    <mergeCell ref="G91:H91"/>
    <mergeCell ref="F84:H84"/>
    <mergeCell ref="F87:H87"/>
    <mergeCell ref="F85:H85"/>
    <mergeCell ref="A86:E86"/>
    <mergeCell ref="A96:H96"/>
    <mergeCell ref="F86:H86"/>
    <mergeCell ref="G98:H103"/>
    <mergeCell ref="A94:H94"/>
    <mergeCell ref="A101:B101"/>
    <mergeCell ref="A103:B103"/>
    <mergeCell ref="I95:M95"/>
    <mergeCell ref="A38:B38"/>
    <mergeCell ref="C38:H38"/>
    <mergeCell ref="B111:H111"/>
    <mergeCell ref="A47:B47"/>
    <mergeCell ref="C47:H47"/>
    <mergeCell ref="B109:H109"/>
    <mergeCell ref="A82:E82"/>
    <mergeCell ref="F82:H82"/>
    <mergeCell ref="A83:E83"/>
    <mergeCell ref="A85:E85"/>
    <mergeCell ref="A84:E84"/>
    <mergeCell ref="A79:E79"/>
    <mergeCell ref="B107:H107"/>
    <mergeCell ref="B108:H108"/>
    <mergeCell ref="A104:H104"/>
    <mergeCell ref="B106:H106"/>
    <mergeCell ref="C67:H67"/>
    <mergeCell ref="A70:B70"/>
    <mergeCell ref="A74:B74"/>
    <mergeCell ref="F80:H80"/>
    <mergeCell ref="C48:E48"/>
    <mergeCell ref="G48:H48"/>
    <mergeCell ref="G50:H50"/>
    <mergeCell ref="D54:H5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25" max="16383" man="1"/>
    <brk id="168" max="16383" man="1"/>
    <brk id="2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54" t="s">
        <v>110</v>
      </c>
      <c r="C3" s="154"/>
      <c r="D3" s="154"/>
      <c r="E3" s="154"/>
      <c r="F3" s="154"/>
      <c r="G3" s="154"/>
      <c r="H3" s="154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2025-08-14T12:01:04Z</cp:lastPrinted>
  <dcterms:created xsi:type="dcterms:W3CDTF">2019-07-16T09:29:46Z</dcterms:created>
  <dcterms:modified xsi:type="dcterms:W3CDTF">2025-08-14T12:01:04Z</dcterms:modified>
</cp:coreProperties>
</file>