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Aug 25\Axis\Dump\Axis Dump\"/>
    </mc:Choice>
  </mc:AlternateContent>
  <xr:revisionPtr revIDLastSave="0" documentId="13_ncr:1_{2B5DC563-2347-41C4-8661-131F86B58376}"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s>
  <definedNames>
    <definedName name="_xlnm.Print_Area" localSheetId="0">Report!$A$1:$H$326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D174" i="1" l="1"/>
  <c r="D168" i="1"/>
  <c r="D167" i="1"/>
  <c r="D165" i="1"/>
  <c r="D164" i="1"/>
  <c r="D154" i="1"/>
  <c r="D152" i="1"/>
  <c r="D151" i="1"/>
  <c r="I140" i="1" l="1"/>
  <c r="I141" i="1"/>
  <c r="I142" i="1"/>
  <c r="I138" i="1"/>
  <c r="I137" i="1"/>
  <c r="I130" i="1"/>
  <c r="I126" i="1"/>
  <c r="I144" i="1"/>
  <c r="I143" i="1"/>
  <c r="J174" i="1"/>
  <c r="I174" i="1"/>
  <c r="J168" i="1"/>
  <c r="J167" i="1"/>
  <c r="J164" i="1"/>
  <c r="I168" i="1"/>
  <c r="I167" i="1"/>
  <c r="I166" i="1"/>
  <c r="I165" i="1"/>
  <c r="I164" i="1"/>
  <c r="E174" i="1"/>
  <c r="E173" i="1"/>
  <c r="D173" i="1"/>
  <c r="D172" i="1"/>
  <c r="D171" i="1"/>
  <c r="E168" i="1"/>
  <c r="E167" i="1"/>
  <c r="E164" i="1"/>
  <c r="D166" i="1"/>
  <c r="J154" i="1"/>
  <c r="I154" i="1"/>
  <c r="J151" i="1"/>
  <c r="J150" i="1"/>
  <c r="I152" i="1"/>
  <c r="I151" i="1"/>
  <c r="I150" i="1"/>
  <c r="E154" i="1"/>
  <c r="L151" i="1" l="1"/>
  <c r="L150" i="1"/>
  <c r="D160" i="1"/>
  <c r="F160" i="1" s="1"/>
  <c r="H160" i="1" s="1"/>
  <c r="D156" i="1"/>
  <c r="E159" i="1"/>
  <c r="D159" i="1"/>
  <c r="F159" i="1" s="1"/>
  <c r="E155" i="1"/>
  <c r="D155" i="1"/>
  <c r="E151" i="1"/>
  <c r="E150" i="1"/>
  <c r="D150" i="1"/>
  <c r="K174" i="1"/>
  <c r="K173" i="1"/>
  <c r="K172" i="1"/>
  <c r="K171" i="1"/>
  <c r="K168" i="1"/>
  <c r="K167" i="1"/>
  <c r="K166" i="1"/>
  <c r="K165" i="1"/>
  <c r="K164" i="1"/>
  <c r="K160" i="1"/>
  <c r="K159" i="1"/>
  <c r="K156" i="1"/>
  <c r="K155" i="1"/>
  <c r="K154" i="1"/>
  <c r="K152" i="1"/>
  <c r="K151" i="1"/>
  <c r="K150" i="1"/>
  <c r="F174" i="1"/>
  <c r="H174" i="1" s="1"/>
  <c r="M174" i="1" s="1"/>
  <c r="F173" i="1"/>
  <c r="H173" i="1" s="1"/>
  <c r="M173" i="1" s="1"/>
  <c r="F172" i="1"/>
  <c r="H172" i="1" s="1"/>
  <c r="M172" i="1" s="1"/>
  <c r="F171" i="1"/>
  <c r="H171" i="1" s="1"/>
  <c r="A171" i="1"/>
  <c r="A172" i="1" s="1"/>
  <c r="A173" i="1" s="1"/>
  <c r="A174" i="1" s="1"/>
  <c r="F168" i="1"/>
  <c r="H168" i="1" s="1"/>
  <c r="F167" i="1"/>
  <c r="H167" i="1" s="1"/>
  <c r="F166" i="1"/>
  <c r="H166" i="1" s="1"/>
  <c r="F165" i="1"/>
  <c r="H165" i="1" s="1"/>
  <c r="A165" i="1"/>
  <c r="A166" i="1" s="1"/>
  <c r="A167" i="1" s="1"/>
  <c r="A168" i="1" s="1"/>
  <c r="F164" i="1"/>
  <c r="D144" i="1"/>
  <c r="H144" i="1" s="1"/>
  <c r="D143" i="1"/>
  <c r="H143" i="1" s="1"/>
  <c r="A159" i="1"/>
  <c r="A160" i="1" s="1"/>
  <c r="D138" i="1"/>
  <c r="F138" i="1" s="1"/>
  <c r="D137" i="1"/>
  <c r="H137" i="1" s="1"/>
  <c r="D136" i="1"/>
  <c r="H136" i="1" s="1"/>
  <c r="D135" i="1"/>
  <c r="F135" i="1" s="1"/>
  <c r="D134" i="1"/>
  <c r="H134" i="1" s="1"/>
  <c r="D133" i="1"/>
  <c r="H133" i="1" s="1"/>
  <c r="D130" i="1"/>
  <c r="F130" i="1" s="1"/>
  <c r="D129" i="1"/>
  <c r="D128" i="1"/>
  <c r="D127" i="1"/>
  <c r="D126" i="1"/>
  <c r="E42" i="1"/>
  <c r="H164" i="1" l="1"/>
  <c r="C117" i="1"/>
  <c r="E117" i="1"/>
  <c r="H159" i="1"/>
  <c r="M159" i="1" s="1"/>
  <c r="O159" i="1"/>
  <c r="G117" i="1"/>
  <c r="G112" i="1"/>
  <c r="F143" i="1"/>
  <c r="C112" i="1" s="1"/>
  <c r="F144" i="1"/>
  <c r="H135" i="1"/>
  <c r="F133" i="1"/>
  <c r="H130" i="1"/>
  <c r="F134" i="1"/>
  <c r="H138" i="1"/>
  <c r="F137" i="1"/>
  <c r="F136" i="1"/>
  <c r="H126" i="1"/>
  <c r="F127" i="1"/>
  <c r="F128" i="1"/>
  <c r="F129" i="1"/>
  <c r="F126" i="1"/>
  <c r="H127" i="1"/>
  <c r="H128" i="1"/>
  <c r="H129" i="1"/>
  <c r="F156" i="1"/>
  <c r="H156" i="1" s="1"/>
  <c r="F155" i="1"/>
  <c r="H155" i="1" s="1"/>
  <c r="F154" i="1"/>
  <c r="H154" i="1" s="1"/>
  <c r="B178" i="1"/>
  <c r="B177" i="1"/>
  <c r="F151" i="1"/>
  <c r="O151" i="1" s="1"/>
  <c r="F152" i="1"/>
  <c r="O152" i="1" s="1"/>
  <c r="F150" i="1"/>
  <c r="C110" i="1" l="1"/>
  <c r="H150" i="1"/>
  <c r="O150" i="1"/>
  <c r="C116" i="1"/>
  <c r="C118" i="1" s="1"/>
  <c r="E116" i="1"/>
  <c r="E118" i="1" s="1"/>
  <c r="C111" i="1"/>
  <c r="C113" i="1" s="1"/>
  <c r="C119" i="1" s="1"/>
  <c r="E112" i="1"/>
  <c r="G111" i="1"/>
  <c r="E110" i="1"/>
  <c r="E111" i="1"/>
  <c r="G110" i="1"/>
  <c r="C15" i="1"/>
  <c r="G113" i="1" l="1"/>
  <c r="E113" i="1"/>
  <c r="Z12" i="1"/>
  <c r="I14" i="1"/>
  <c r="E119" i="1" l="1"/>
  <c r="E43" i="1" l="1"/>
  <c r="E44" i="1" s="1"/>
  <c r="E30" i="1" l="1"/>
  <c r="H151" i="1" l="1"/>
  <c r="H152" i="1"/>
  <c r="M152" i="1" s="1"/>
  <c r="A151" i="1"/>
  <c r="A152" i="1" s="1"/>
  <c r="G116" i="1" l="1"/>
  <c r="G118" i="1" s="1"/>
  <c r="G119" i="1" s="1"/>
  <c r="F107" i="1"/>
  <c r="F11" i="5" l="1"/>
  <c r="G11" i="5" s="1"/>
  <c r="F10" i="5"/>
  <c r="G10" i="5" s="1"/>
  <c r="F9" i="5"/>
  <c r="G9" i="5" s="1"/>
  <c r="F8" i="5"/>
  <c r="G8" i="5" s="1"/>
  <c r="F7" i="5"/>
  <c r="G7" i="5" s="1"/>
  <c r="F6" i="5"/>
  <c r="G6" i="5" s="1"/>
  <c r="F5" i="5"/>
  <c r="G5" i="5" s="1"/>
  <c r="G12" i="5" s="1"/>
  <c r="D201" i="1"/>
  <c r="A155" i="1"/>
  <c r="A156" i="1" s="1"/>
  <c r="A127" i="1"/>
  <c r="A128" i="1" s="1"/>
  <c r="A129" i="1" s="1"/>
  <c r="A130" i="1" s="1"/>
  <c r="A133" i="1" s="1"/>
  <c r="A134" i="1" s="1"/>
  <c r="A135" i="1" s="1"/>
  <c r="A136" i="1" s="1"/>
  <c r="A137" i="1" s="1"/>
  <c r="C67" i="1"/>
  <c r="B68" i="1" s="1"/>
  <c r="D55" i="1"/>
  <c r="G50" i="1"/>
  <c r="C50" i="1"/>
  <c r="E27" i="1"/>
  <c r="E25" i="1"/>
  <c r="E7" i="1"/>
  <c r="E3" i="1"/>
  <c r="A138" i="1" l="1"/>
  <c r="A144" i="1"/>
  <c r="D61" i="1"/>
  <c r="H68" i="1"/>
  <c r="D80" i="1" l="1"/>
  <c r="D78" i="1"/>
  <c r="D77" i="1"/>
  <c r="D74" i="1"/>
  <c r="D76" i="1"/>
  <c r="J73" i="1"/>
  <c r="J74" i="1" s="1"/>
  <c r="J79" i="1" s="1"/>
  <c r="D79" i="1"/>
  <c r="J67" i="1"/>
  <c r="J69" i="1" s="1"/>
  <c r="D75" i="1"/>
  <c r="J71" i="1"/>
  <c r="J72" i="1"/>
  <c r="C71" i="1" s="1"/>
  <c r="D71" i="1" s="1"/>
  <c r="J70" i="1"/>
  <c r="J75" i="1"/>
  <c r="J76" i="1" s="1"/>
  <c r="J77" i="1" s="1"/>
  <c r="J78" i="1" s="1"/>
  <c r="D73" i="1"/>
  <c r="J80" i="1" l="1"/>
  <c r="C72" i="1" s="1"/>
  <c r="G71" i="1" s="1"/>
  <c r="D65" i="1" s="1"/>
  <c r="D66" i="1" s="1"/>
  <c r="J68" i="1" l="1"/>
  <c r="D72" i="1"/>
  <c r="E71" i="1"/>
  <c r="F66" i="1"/>
  <c r="I68" i="1" l="1"/>
  <c r="I69" i="1" s="1"/>
  <c r="I67" i="1" l="1"/>
  <c r="C69" i="1" s="1"/>
  <c r="B82" i="1"/>
  <c r="H82" i="1"/>
  <c r="D94" i="1" l="1"/>
  <c r="D89" i="1"/>
  <c r="J85" i="1"/>
  <c r="D88" i="1"/>
  <c r="D87" i="1"/>
  <c r="J86" i="1"/>
  <c r="C85" i="1" s="1"/>
  <c r="J84" i="1"/>
  <c r="J81" i="1"/>
  <c r="J83" i="1" s="1"/>
  <c r="D90" i="1"/>
  <c r="D93" i="1"/>
  <c r="D92" i="1"/>
  <c r="D91" i="1"/>
  <c r="J89" i="1"/>
  <c r="J87" i="1"/>
  <c r="J88" i="1" s="1"/>
  <c r="J93" i="1" s="1"/>
  <c r="J94" i="1" s="1"/>
  <c r="C86" i="1" s="1"/>
  <c r="J90" i="1"/>
  <c r="J92" i="1"/>
  <c r="J91" i="1"/>
  <c r="E85" i="1" l="1"/>
  <c r="D86" i="1"/>
  <c r="G85" i="1"/>
  <c r="D85" i="1"/>
  <c r="I82" i="1" l="1"/>
  <c r="I83" i="1" s="1"/>
  <c r="J82" i="1"/>
  <c r="I81" i="1" l="1"/>
  <c r="C8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E11"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2"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D55" authorId="0" shapeId="0" xr:uid="{00000000-0006-0000-0000-00000300000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<sst xmlns="http://schemas.openxmlformats.org/spreadsheetml/2006/main" count="474" uniqueCount="297">
  <si>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</si>
  <si>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</si>
  <si>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</si>
  <si>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</si>
  <si>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</si>
  <si>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</si>
  <si>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</si>
  <si>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</si>
  <si>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</si>
  <si>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</si>
  <si>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</si>
  <si>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</si>
  <si>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</si>
  <si>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</si>
  <si>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</si>
  <si>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</si>
  <si>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</si>
  <si>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</si>
  <si>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</si>
  <si>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</si>
  <si>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</si>
  <si>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</si>
  <si>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</si>
  <si>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</si>
  <si>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</si>
  <si>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</si>
  <si>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</si>
  <si>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</si>
  <si>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</si>
  <si>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</si>
  <si>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</si>
  <si>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</si>
  <si>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</si>
  <si>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</si>
  <si>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</si>
  <si>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</si>
  <si>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</si>
  <si>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</si>
  <si>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</si>
  <si>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</si>
  <si>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</si>
  <si>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</si>
  <si>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</si>
  <si>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</si>
  <si>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</si>
  <si>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</si>
  <si>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</si>
  <si>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</si>
  <si>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</si>
  <si>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</si>
  <si>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</si>
  <si>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</si>
  <si>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</si>
  <si>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</si>
  <si>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</si>
  <si>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</si>
  <si>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</si>
  <si>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</si>
  <si>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</si>
  <si>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</si>
  <si>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</si>
  <si>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</si>
  <si>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</si>
  <si>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</si>
  <si>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</si>
  <si>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</si>
  <si>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</si>
  <si>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</si>
  <si>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</si>
  <si>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</si>
  <si>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</si>
  <si>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</si>
  <si>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</si>
  <si>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</si>
  <si>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</si>
  <si>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</si>
  <si>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</si>
  <si>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</si>
  <si>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</si>
  <si>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</si>
  <si>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</si>
  <si>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</si>
  <si>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</si>
  <si>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</si>
  <si>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</si>
  <si>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</si>
  <si>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</si>
  <si>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</si>
  <si>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</si>
  <si>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</si>
  <si>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</si>
  <si>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</si>
  <si>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</si>
  <si>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</si>
  <si>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</si>
  <si>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</si>
  <si>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</si>
  <si>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</si>
  <si>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</si>
  <si>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</si>
  <si>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</si>
  <si>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</si>
  <si>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</si>
  <si>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</si>
  <si>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</si>
  <si>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</si>
  <si>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</si>
  <si>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</si>
  <si>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</si>
  <si>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</si>
  <si>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</si>
  <si>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</si>
  <si>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</si>
  <si>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</si>
  <si>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</si>
  <si>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</si>
  <si>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</si>
  <si>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</si>
  <si>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</si>
  <si>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</si>
  <si>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</si>
  <si>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</si>
  <si>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</si>
  <si>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</si>
  <si>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</si>
  <si>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</si>
  <si>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</si>
  <si>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</si>
  <si>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</si>
  <si>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</si>
  <si>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</si>
  <si>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</si>
  <si>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</si>
  <si>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</si>
  <si>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</si>
  <si>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</si>
  <si>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</si>
  <si>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</si>
  <si>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</si>
  <si>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</si>
  <si>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</si>
  <si>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</si>
  <si>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</si>
  <si>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</si>
  <si>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</si>
  <si>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</si>
  <si>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</si>
  <si>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</si>
  <si>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</si>
  <si>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</si>
  <si>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</si>
  <si>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</si>
  <si>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</si>
  <si>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</si>
  <si>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</si>
  <si>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</si>
  <si>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</si>
  <si>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</si>
  <si>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</si>
  <si>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</si>
  <si>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</si>
  <si>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</si>
  <si>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</si>
  <si>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</si>
  <si>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</si>
  <si>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</si>
  <si>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</si>
  <si>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</si>
  <si>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</si>
  <si>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</si>
  <si>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</si>
  <si>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</si>
  <si>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</si>
  <si>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</si>
  <si>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</si>
  <si>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</si>
  <si>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</si>
  <si>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</si>
  <si>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</si>
  <si>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</si>
  <si>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</si>
  <si>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</si>
  <si>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</si>
  <si>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</si>
  <si>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</si>
  <si>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</si>
  <si>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</si>
  <si>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</si>
  <si>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</si>
  <si>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</si>
  <si>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</si>
  <si>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</si>
  <si>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</si>
  <si>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</si>
  <si>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</si>
  <si>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</si>
  <si>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</si>
  <si>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</si>
  <si>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</si>
  <si>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</si>
  <si>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</si>
  <si>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</si>
  <si>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</si>
  <si>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</si>
  <si>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</si>
  <si>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</si>
  <si>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</si>
  <si>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</si>
  <si>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</si>
  <si>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</si>
  <si>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</si>
  <si>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</si>
  <si>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</si>
  <si>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</si>
  <si>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</si>
  <si>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</si>
  <si>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</si>
  <si>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</si>
  <si>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</si>
  <si>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</si>
  <si>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</si>
  <si>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</si>
  <si>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</si>
  <si>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</si>
  <si>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</si>
  <si>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</si>
  <si>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</si>
  <si>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</si>
  <si>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</si>
  <si>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</si>
  <si>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</si>
  <si>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</si>
  <si>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</si>
  <si>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Since Project's Builtup Area is above 20000 Sq.M. Please check for Environment Clearance Certificate.
</t>
  </si>
  <si>
    <t>Axis Thane</t>
  </si>
  <si>
    <t>19.066111,72.894801</t>
  </si>
  <si>
    <t>https://maps.app.goo.gl/guYto1gktmzKvPbh6</t>
  </si>
  <si>
    <t>Elite Associates</t>
  </si>
  <si>
    <t>The Crown</t>
  </si>
  <si>
    <t>Mr. Lucas Mascarenhas 8850676929</t>
  </si>
  <si>
    <t>Mr. Lokesh Shah</t>
  </si>
  <si>
    <t>Wing A &amp; B</t>
  </si>
  <si>
    <t>Building No. 113 Tilak Nagar Manivishwa CHS Ltd.</t>
  </si>
  <si>
    <t>Sarvodaya Maha Buddha Vihar</t>
  </si>
  <si>
    <t>Shanta Jog Marg</t>
  </si>
  <si>
    <t>Five Star Housing Society</t>
  </si>
  <si>
    <t>750M from Tilaknagar Railway Station</t>
  </si>
  <si>
    <t>P51800048225</t>
  </si>
  <si>
    <t>12.20 M. Wide Road</t>
  </si>
  <si>
    <t>Other Plot</t>
  </si>
  <si>
    <t>Internal Road</t>
  </si>
  <si>
    <t>Tilak Nagar Education Society</t>
  </si>
  <si>
    <t>Geet Govind CHS</t>
  </si>
  <si>
    <t>02 Wings</t>
  </si>
  <si>
    <t>Maharashtra Housing and Area Development Authority (MHADA)</t>
  </si>
  <si>
    <t>Mhada-25/1073/2022</t>
  </si>
  <si>
    <t>A Wing = Gr + 1st to 15th Floor
B Wing = Gr + 1st to 15th Floor</t>
  </si>
  <si>
    <t>As per RERA - 28/04/2026</t>
  </si>
  <si>
    <r>
      <t xml:space="preserve">Proposed Amenities :                                                                                                                                                                                                                         </t>
    </r>
    <r>
      <rPr>
        <b/>
        <sz val="12"/>
        <rFont val="Times New Roman"/>
        <family val="1"/>
      </rPr>
      <t xml:space="preserve">                                               </t>
    </r>
  </si>
  <si>
    <t>Gym, Roof top sit out area, Decorative Entrance Lobby, Vitrified Flooring, Granite kitchen platform, etc.</t>
  </si>
  <si>
    <t>Ground Floor For Commercial, Entrance Lobby, Meter Room, Pump Room &amp; Parking Tower</t>
  </si>
  <si>
    <t>Shop</t>
  </si>
  <si>
    <t>Wing A</t>
  </si>
  <si>
    <t>1st Floor For Residential</t>
  </si>
  <si>
    <t>1BHK</t>
  </si>
  <si>
    <t>3BHK</t>
  </si>
  <si>
    <t>2BHK</t>
  </si>
  <si>
    <t>2nd to 7th &amp; 9th to 15th Floor</t>
  </si>
  <si>
    <t>8th Floor (Part Refuge Area)</t>
  </si>
  <si>
    <t>Refuge Area</t>
  </si>
  <si>
    <t>Wing B</t>
  </si>
  <si>
    <t>Ground Floor For Commercial, Entrance Lobby, Meter Room, Substation Area &amp; Parking Tower</t>
  </si>
  <si>
    <t>1st Floor For Fitness Centre, Society Office &amp; Commercial</t>
  </si>
  <si>
    <t>Office</t>
  </si>
  <si>
    <t>Given</t>
  </si>
  <si>
    <t>-</t>
  </si>
  <si>
    <t>Society Office &amp; Fitness Centre</t>
  </si>
  <si>
    <t>We considered Gross carpet area = Net carpet + Balcony.</t>
  </si>
  <si>
    <t xml:space="preserve">As the project is redevelopement project but rehab statement or rehab flats is not mentioned on approved layout plan &amp; floor plan.
</t>
  </si>
  <si>
    <t>Flats - 113, Shops - 11, Offices - 02</t>
  </si>
  <si>
    <t>Approved Plans, CC, Sale Plans &amp; Cost Sheet.</t>
  </si>
  <si>
    <t>The validity of provided C.C. is expired on 29/08/2023. Please provide revised aprroved C.C.</t>
  </si>
  <si>
    <t>Chembur</t>
  </si>
  <si>
    <t>Tilaknagar West</t>
  </si>
  <si>
    <t xml:space="preserve"> Road</t>
  </si>
  <si>
    <t>36 (Pt), Redevlopement of "Building No. 113 Tilak Nagar Manivishwa CHS Ltd."</t>
  </si>
  <si>
    <t>Grill Charges</t>
  </si>
  <si>
    <t>Mr. Aslam</t>
  </si>
  <si>
    <t>MH/EE/(BP)/GM/MHADA-25/1073/2025/FCC/2/Amend</t>
  </si>
  <si>
    <t>This C.C. Re-endorsed upto top of 15th floor of Wing A &amp; Wing B &amp; further extended upto top of 16th (pt.) floor of wing B (Including LMR/OHT) along with parking tower as per approved Amended plans dtd. 01.04.2025.</t>
  </si>
  <si>
    <t>A Wing = Gr + 1st to 15th Floor</t>
  </si>
  <si>
    <t>B Wing = Gr + 1st to 16th Floor</t>
  </si>
  <si>
    <t>Construction work is in process at the time of Visit.</t>
  </si>
  <si>
    <t>We have updated latest CC (On 15/05/2025).</t>
  </si>
  <si>
    <t>Please provide revised approved floor plans.</t>
  </si>
  <si>
    <t>Akash Kadam</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</si>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</sst>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1" fontId="6" fillId="0" borderId="0" xfId="1" applyNumberFormat="1" applyFont="1" applyAlignment="1" applyProtection="1">
      <alignment horizontal="center" vertical="center" wrapText="1"/>
      <protection locked="0"/>
    </xf>
    <xf numFmtId="1" fontId="15"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0" fontId="15" fillId="0" borderId="0" xfId="1" applyFont="1" applyAlignment="1">
      <alignment vertical="center"/>
    </xf>
    <xf numFmtId="0" fontId="15" fillId="0" borderId="0" xfId="1" applyFont="1" applyAlignment="1">
      <alignment horizontal="center" vertical="center"/>
    </xf>
    <xf numFmtId="1" fontId="15" fillId="0" borderId="1" xfId="0" applyNumberFormat="1" applyFont="1" applyBorder="1" applyAlignment="1" applyProtection="1">
      <alignment horizontal="center" vertical="center"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3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4" fontId="12"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10" fillId="0" borderId="2" xfId="0" applyNumberFormat="1" applyFont="1" applyBorder="1" applyAlignment="1" applyProtection="1">
      <alignment horizontal="center" vertical="center"/>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10" fillId="0" borderId="32" xfId="0" applyNumberFormat="1"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8" fillId="0" borderId="15" xfId="1" applyFont="1" applyBorder="1" applyAlignment="1" applyProtection="1">
      <alignment horizontal="center" vertical="top"/>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12"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0" fontId="27" fillId="0" borderId="1" xfId="10" applyFill="1" applyBorder="1" applyAlignment="1" applyProtection="1">
      <alignment horizontal="left"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 fontId="8" fillId="0" borderId="2"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1" fontId="6" fillId="0" borderId="16"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34"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8</xdr:col>
      <xdr:colOff>809625</xdr:colOff>
      <xdr:row>113</xdr:row>
      <xdr:rowOff>134938</xdr:rowOff>
    </xdr:from>
    <xdr:to>
      <xdr:col>14</xdr:col>
      <xdr:colOff>14867</xdr:colOff>
      <xdr:row>119</xdr:row>
      <xdr:rowOff>8438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754938" y="23772813"/>
          <a:ext cx="4531304" cy="1080000"/>
        </a:xfrm>
        <a:prstGeom prst="rect">
          <a:avLst/>
        </a:prstGeom>
        <a:ln>
          <a:solidFill>
            <a:schemeClr val="tx1"/>
          </a:solidFill>
        </a:ln>
      </xdr:spPr>
    </xdr:pic>
    <xdr:clientData/>
  </xdr:twoCellAnchor>
  <xdr:twoCellAnchor editAs="oneCell">
    <xdr:from>
      <xdr:col>1</xdr:col>
      <xdr:colOff>575717</xdr:colOff>
      <xdr:row>262</xdr:row>
      <xdr:rowOff>121880</xdr:rowOff>
    </xdr:from>
    <xdr:to>
      <xdr:col>5</xdr:col>
      <xdr:colOff>785447</xdr:colOff>
      <xdr:row>283</xdr:row>
      <xdr:rowOff>37389</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a:stretch>
          <a:fillRect/>
        </a:stretch>
      </xdr:blipFill>
      <xdr:spPr>
        <a:xfrm>
          <a:off x="1361163" y="52647126"/>
          <a:ext cx="3668038" cy="4100648"/>
        </a:xfrm>
        <a:prstGeom prst="rect">
          <a:avLst/>
        </a:prstGeom>
        <a:ln>
          <a:solidFill>
            <a:schemeClr val="tx1"/>
          </a:solidFill>
        </a:ln>
      </xdr:spPr>
    </xdr:pic>
    <xdr:clientData/>
  </xdr:twoCellAnchor>
  <xdr:twoCellAnchor editAs="oneCell">
    <xdr:from>
      <xdr:col>0</xdr:col>
      <xdr:colOff>277806</xdr:colOff>
      <xdr:row>244</xdr:row>
      <xdr:rowOff>23807</xdr:rowOff>
    </xdr:from>
    <xdr:to>
      <xdr:col>7</xdr:col>
      <xdr:colOff>592762</xdr:colOff>
      <xdr:row>262</xdr:row>
      <xdr:rowOff>313</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3"/>
        <a:srcRect t="4332" b="3471"/>
        <a:stretch/>
      </xdr:blipFill>
      <xdr:spPr>
        <a:xfrm>
          <a:off x="277806" y="50887307"/>
          <a:ext cx="6410956" cy="3548063"/>
        </a:xfrm>
        <a:prstGeom prst="rect">
          <a:avLst/>
        </a:prstGeom>
        <a:ln>
          <a:solidFill>
            <a:schemeClr val="tx1"/>
          </a:solidFill>
        </a:ln>
      </xdr:spPr>
    </xdr:pic>
    <xdr:clientData/>
  </xdr:twoCellAnchor>
  <xdr:twoCellAnchor editAs="oneCell">
    <xdr:from>
      <xdr:col>0</xdr:col>
      <xdr:colOff>555628</xdr:colOff>
      <xdr:row>286</xdr:row>
      <xdr:rowOff>23814</xdr:rowOff>
    </xdr:from>
    <xdr:to>
      <xdr:col>7</xdr:col>
      <xdr:colOff>265065</xdr:colOff>
      <xdr:row>306</xdr:row>
      <xdr:rowOff>15064</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555628" y="59634439"/>
          <a:ext cx="5805437" cy="3960000"/>
        </a:xfrm>
        <a:prstGeom prst="rect">
          <a:avLst/>
        </a:prstGeom>
        <a:ln>
          <a:solidFill>
            <a:schemeClr val="tx1"/>
          </a:solidFill>
        </a:ln>
      </xdr:spPr>
    </xdr:pic>
    <xdr:clientData/>
  </xdr:twoCellAnchor>
  <xdr:twoCellAnchor>
    <xdr:from>
      <xdr:col>1</xdr:col>
      <xdr:colOff>22545</xdr:colOff>
      <xdr:row>307</xdr:row>
      <xdr:rowOff>14699</xdr:rowOff>
    </xdr:from>
    <xdr:to>
      <xdr:col>6</xdr:col>
      <xdr:colOff>328245</xdr:colOff>
      <xdr:row>324</xdr:row>
      <xdr:rowOff>23446</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807405" y="64693259"/>
          <a:ext cx="4565280" cy="3376787"/>
          <a:chOff x="579353" y="4347712"/>
          <a:chExt cx="5699294" cy="3960000"/>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579353" y="4347712"/>
            <a:ext cx="5699294" cy="3960000"/>
          </a:xfrm>
          <a:prstGeom prst="rect">
            <a:avLst/>
          </a:prstGeom>
          <a:ln>
            <a:solidFill>
              <a:schemeClr val="tx1"/>
            </a:solidFill>
          </a:ln>
        </xdr:spPr>
      </xdr:pic>
      <xdr:sp macro="" textlink="">
        <xdr:nvSpPr>
          <xdr:cNvPr id="21" name="Rectangle 20">
            <a:extLst>
              <a:ext uri="{FF2B5EF4-FFF2-40B4-BE49-F238E27FC236}">
                <a16:creationId xmlns:a16="http://schemas.microsoft.com/office/drawing/2014/main" id="{00000000-0008-0000-0000-000015000000}"/>
              </a:ext>
            </a:extLst>
          </xdr:cNvPr>
          <xdr:cNvSpPr/>
        </xdr:nvSpPr>
        <xdr:spPr>
          <a:xfrm rot="21140822">
            <a:off x="2583970" y="5632953"/>
            <a:ext cx="1610492" cy="707366"/>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8</xdr:col>
      <xdr:colOff>630330</xdr:colOff>
      <xdr:row>211</xdr:row>
      <xdr:rowOff>141194</xdr:rowOff>
    </xdr:from>
    <xdr:to>
      <xdr:col>9</xdr:col>
      <xdr:colOff>169769</xdr:colOff>
      <xdr:row>213</xdr:row>
      <xdr:rowOff>13250</xdr:rowOff>
    </xdr:to>
    <xdr:sp macro="" textlink="">
      <xdr:nvSpPr>
        <xdr:cNvPr id="30" name="TextBox 35">
          <a:extLst>
            <a:ext uri="{FF2B5EF4-FFF2-40B4-BE49-F238E27FC236}">
              <a16:creationId xmlns:a16="http://schemas.microsoft.com/office/drawing/2014/main" id="{00000000-0008-0000-0000-00001E000000}"/>
            </a:ext>
          </a:extLst>
        </xdr:cNvPr>
        <xdr:cNvSpPr txBox="1"/>
      </xdr:nvSpPr>
      <xdr:spPr>
        <a:xfrm>
          <a:off x="7282142" y="42131876"/>
          <a:ext cx="731745" cy="266503"/>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B</a:t>
          </a: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8</xdr:col>
      <xdr:colOff>783590</xdr:colOff>
      <xdr:row>200</xdr:row>
      <xdr:rowOff>109220</xdr:rowOff>
    </xdr:from>
    <xdr:to>
      <xdr:col>16</xdr:col>
      <xdr:colOff>490437</xdr:colOff>
      <xdr:row>240</xdr:row>
      <xdr:rowOff>13874</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428230" y="43596560"/>
          <a:ext cx="6290527" cy="7821834"/>
          <a:chOff x="158750" y="43148250"/>
          <a:chExt cx="6392127" cy="7773574"/>
        </a:xfrm>
      </xdr:grpSpPr>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680445" y="47215037"/>
            <a:ext cx="2870432" cy="216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544829" y="43148250"/>
            <a:ext cx="2979282" cy="3960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306936" y="49481824"/>
            <a:ext cx="1913622" cy="1440000"/>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27800" y="43148250"/>
            <a:ext cx="2979900" cy="3960000"/>
          </a:xfrm>
          <a:prstGeom prst="rect">
            <a:avLst/>
          </a:prstGeom>
          <a:ln>
            <a:solidFill>
              <a:schemeClr val="tx1"/>
            </a:solidFill>
          </a:ln>
        </xdr:spPr>
      </xdr:pic>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919766" y="47215037"/>
            <a:ext cx="1625063" cy="2160000"/>
          </a:xfrm>
          <a:prstGeom prst="rect">
            <a:avLst/>
          </a:prstGeom>
          <a:ln>
            <a:solidFill>
              <a:schemeClr val="tx1"/>
            </a:solidFill>
          </a:ln>
        </xdr:spPr>
      </xdr:pic>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58750" y="47215037"/>
            <a:ext cx="1625400" cy="2160000"/>
          </a:xfrm>
          <a:prstGeom prst="rect">
            <a:avLst/>
          </a:prstGeom>
          <a:ln>
            <a:solidFill>
              <a:schemeClr val="tx1"/>
            </a:solidFill>
          </a:ln>
        </xdr:spPr>
      </xdr:pic>
    </xdr:grpSp>
    <xdr:clientData/>
  </xdr:twoCellAnchor>
  <xdr:twoCellAnchor>
    <xdr:from>
      <xdr:col>0</xdr:col>
      <xdr:colOff>525780</xdr:colOff>
      <xdr:row>202</xdr:row>
      <xdr:rowOff>15240</xdr:rowOff>
    </xdr:from>
    <xdr:to>
      <xdr:col>7</xdr:col>
      <xdr:colOff>220980</xdr:colOff>
      <xdr:row>241</xdr:row>
      <xdr:rowOff>15240</xdr:rowOff>
    </xdr:to>
    <xdr:grpSp>
      <xdr:nvGrpSpPr>
        <xdr:cNvPr id="28" name="Group 27">
          <a:extLst>
            <a:ext uri="{FF2B5EF4-FFF2-40B4-BE49-F238E27FC236}">
              <a16:creationId xmlns:a16="http://schemas.microsoft.com/office/drawing/2014/main" id="{55E86171-D439-F779-8019-AAE8A2494B3F}"/>
            </a:ext>
          </a:extLst>
        </xdr:cNvPr>
        <xdr:cNvGrpSpPr/>
      </xdr:nvGrpSpPr>
      <xdr:grpSpPr>
        <a:xfrm>
          <a:off x="525780" y="43898820"/>
          <a:ext cx="5524500" cy="7719060"/>
          <a:chOff x="525780" y="43898820"/>
          <a:chExt cx="5524500" cy="7719060"/>
        </a:xfrm>
      </xdr:grpSpPr>
      <xdr:grpSp>
        <xdr:nvGrpSpPr>
          <xdr:cNvPr id="4" name="Group 3">
            <a:extLst>
              <a:ext uri="{FF2B5EF4-FFF2-40B4-BE49-F238E27FC236}">
                <a16:creationId xmlns:a16="http://schemas.microsoft.com/office/drawing/2014/main" id="{9681E082-E0DA-5917-C435-5F86E9E12FF8}"/>
              </a:ext>
            </a:extLst>
          </xdr:cNvPr>
          <xdr:cNvGrpSpPr/>
        </xdr:nvGrpSpPr>
        <xdr:grpSpPr>
          <a:xfrm>
            <a:off x="525780" y="43898820"/>
            <a:ext cx="5524500" cy="7719060"/>
            <a:chOff x="393299" y="161026"/>
            <a:chExt cx="5100348" cy="7313466"/>
          </a:xfrm>
        </xdr:grpSpPr>
        <xdr:grpSp>
          <xdr:nvGrpSpPr>
            <xdr:cNvPr id="5" name="Group 4">
              <a:extLst>
                <a:ext uri="{FF2B5EF4-FFF2-40B4-BE49-F238E27FC236}">
                  <a16:creationId xmlns:a16="http://schemas.microsoft.com/office/drawing/2014/main" id="{9463A722-1AFC-B474-FE50-0AA074E8F355}"/>
                </a:ext>
              </a:extLst>
            </xdr:cNvPr>
            <xdr:cNvGrpSpPr/>
          </xdr:nvGrpSpPr>
          <xdr:grpSpPr>
            <a:xfrm>
              <a:off x="393299" y="161026"/>
              <a:ext cx="5100348" cy="2520000"/>
              <a:chOff x="299555" y="161026"/>
              <a:chExt cx="5100348" cy="2520000"/>
            </a:xfrm>
          </xdr:grpSpPr>
          <xdr:pic>
            <xdr:nvPicPr>
              <xdr:cNvPr id="13" name="Picture 12">
                <a:extLst>
                  <a:ext uri="{FF2B5EF4-FFF2-40B4-BE49-F238E27FC236}">
                    <a16:creationId xmlns:a16="http://schemas.microsoft.com/office/drawing/2014/main" id="{48678E2A-B0F2-FAAD-EB48-5EA299824888}"/>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99555" y="161026"/>
                <a:ext cx="1564674"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9FD9F8C4-C8B3-211A-3CC5-AB5BF9679E09}"/>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067392" y="161026"/>
                <a:ext cx="1564674"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74E605F5-F952-78DD-0267-9D767348C6CC}"/>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835229" y="161026"/>
                <a:ext cx="1564674" cy="252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146823C5-847A-FC94-E909-7AA58B9C4873}"/>
                </a:ext>
              </a:extLst>
            </xdr:cNvPr>
            <xdr:cNvGrpSpPr/>
          </xdr:nvGrpSpPr>
          <xdr:grpSpPr>
            <a:xfrm>
              <a:off x="393299" y="2827759"/>
              <a:ext cx="5100348" cy="2520000"/>
              <a:chOff x="299555" y="2877187"/>
              <a:chExt cx="5100348" cy="2520000"/>
            </a:xfrm>
          </xdr:grpSpPr>
          <xdr:pic>
            <xdr:nvPicPr>
              <xdr:cNvPr id="10" name="Picture 9">
                <a:extLst>
                  <a:ext uri="{FF2B5EF4-FFF2-40B4-BE49-F238E27FC236}">
                    <a16:creationId xmlns:a16="http://schemas.microsoft.com/office/drawing/2014/main" id="{5031406D-F5F6-CB03-08C8-9CB1131838B8}"/>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3835229" y="2877187"/>
                <a:ext cx="1564674"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12F3EE04-B394-672F-E871-662974D623D6}"/>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067392" y="2877187"/>
                <a:ext cx="1564674"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F14EB92F-FE67-D061-E1E9-CB2C593B0192}"/>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99555" y="2877187"/>
                <a:ext cx="1564674"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C7095D42-D179-366F-2029-9AC211AA1CA9}"/>
                </a:ext>
              </a:extLst>
            </xdr:cNvPr>
            <xdr:cNvGrpSpPr/>
          </xdr:nvGrpSpPr>
          <xdr:grpSpPr>
            <a:xfrm>
              <a:off x="467198" y="5494492"/>
              <a:ext cx="4952550" cy="1980000"/>
              <a:chOff x="634842" y="5593348"/>
              <a:chExt cx="4952550" cy="1980000"/>
            </a:xfrm>
          </xdr:grpSpPr>
          <xdr:pic>
            <xdr:nvPicPr>
              <xdr:cNvPr id="8" name="Picture 7">
                <a:extLst>
                  <a:ext uri="{FF2B5EF4-FFF2-40B4-BE49-F238E27FC236}">
                    <a16:creationId xmlns:a16="http://schemas.microsoft.com/office/drawing/2014/main" id="{D4DE256E-6C23-B439-0206-4F724D2DB631}"/>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634842" y="5593348"/>
                <a:ext cx="1229387" cy="1980000"/>
              </a:xfrm>
              <a:prstGeom prst="rect">
                <a:avLst/>
              </a:prstGeom>
              <a:ln>
                <a:solidFill>
                  <a:schemeClr val="tx1"/>
                </a:solidFill>
              </a:ln>
            </xdr:spPr>
          </xdr:pic>
          <xdr:pic>
            <xdr:nvPicPr>
              <xdr:cNvPr id="9" name="Picture 8">
                <a:extLst>
                  <a:ext uri="{FF2B5EF4-FFF2-40B4-BE49-F238E27FC236}">
                    <a16:creationId xmlns:a16="http://schemas.microsoft.com/office/drawing/2014/main" id="{288A6936-A6AF-9B6B-3B7A-C1FDD46ADA43}"/>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067392" y="5593348"/>
                <a:ext cx="3520000" cy="1980000"/>
              </a:xfrm>
              <a:prstGeom prst="rect">
                <a:avLst/>
              </a:prstGeom>
              <a:ln>
                <a:solidFill>
                  <a:schemeClr val="tx1"/>
                </a:solidFill>
              </a:ln>
            </xdr:spPr>
          </xdr:pic>
        </xdr:grpSp>
      </xdr:grpSp>
      <xdr:sp macro="" textlink="">
        <xdr:nvSpPr>
          <xdr:cNvPr id="22" name="TextBox 21">
            <a:extLst>
              <a:ext uri="{FF2B5EF4-FFF2-40B4-BE49-F238E27FC236}">
                <a16:creationId xmlns:a16="http://schemas.microsoft.com/office/drawing/2014/main" id="{145D302C-43A6-FD4C-BD67-E2E54DB887C5}"/>
              </a:ext>
            </a:extLst>
          </xdr:cNvPr>
          <xdr:cNvSpPr txBox="1"/>
        </xdr:nvSpPr>
        <xdr:spPr>
          <a:xfrm>
            <a:off x="1104900" y="44249340"/>
            <a:ext cx="2701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A</a:t>
            </a:r>
          </a:p>
        </xdr:txBody>
      </xdr:sp>
      <xdr:sp macro="" textlink="">
        <xdr:nvSpPr>
          <xdr:cNvPr id="23" name="TextBox 22">
            <a:extLst>
              <a:ext uri="{FF2B5EF4-FFF2-40B4-BE49-F238E27FC236}">
                <a16:creationId xmlns:a16="http://schemas.microsoft.com/office/drawing/2014/main" id="{173AD85E-960A-40DC-A0D8-9365F4DC57F7}"/>
              </a:ext>
            </a:extLst>
          </xdr:cNvPr>
          <xdr:cNvSpPr txBox="1"/>
        </xdr:nvSpPr>
        <xdr:spPr>
          <a:xfrm>
            <a:off x="2796540" y="44150280"/>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A</a:t>
            </a:r>
          </a:p>
        </xdr:txBody>
      </xdr:sp>
      <xdr:sp macro="" textlink="">
        <xdr:nvSpPr>
          <xdr:cNvPr id="24" name="TextBox 23">
            <a:extLst>
              <a:ext uri="{FF2B5EF4-FFF2-40B4-BE49-F238E27FC236}">
                <a16:creationId xmlns:a16="http://schemas.microsoft.com/office/drawing/2014/main" id="{AF6BBE68-FF1D-4A5D-9B8C-96B807568547}"/>
              </a:ext>
            </a:extLst>
          </xdr:cNvPr>
          <xdr:cNvSpPr txBox="1"/>
        </xdr:nvSpPr>
        <xdr:spPr>
          <a:xfrm>
            <a:off x="4434840" y="44028360"/>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A</a:t>
            </a:r>
          </a:p>
        </xdr:txBody>
      </xdr:sp>
      <xdr:sp macro="" textlink="">
        <xdr:nvSpPr>
          <xdr:cNvPr id="25" name="TextBox 24">
            <a:extLst>
              <a:ext uri="{FF2B5EF4-FFF2-40B4-BE49-F238E27FC236}">
                <a16:creationId xmlns:a16="http://schemas.microsoft.com/office/drawing/2014/main" id="{F58C31E2-53C6-4170-9A16-63C734C4AF4D}"/>
              </a:ext>
            </a:extLst>
          </xdr:cNvPr>
          <xdr:cNvSpPr txBox="1"/>
        </xdr:nvSpPr>
        <xdr:spPr>
          <a:xfrm>
            <a:off x="1432560" y="46954440"/>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B</a:t>
            </a:r>
          </a:p>
        </xdr:txBody>
      </xdr:sp>
      <xdr:sp macro="" textlink="">
        <xdr:nvSpPr>
          <xdr:cNvPr id="26" name="TextBox 25">
            <a:extLst>
              <a:ext uri="{FF2B5EF4-FFF2-40B4-BE49-F238E27FC236}">
                <a16:creationId xmlns:a16="http://schemas.microsoft.com/office/drawing/2014/main" id="{C5615A70-4AD8-4EBD-9CAC-563728198C15}"/>
              </a:ext>
            </a:extLst>
          </xdr:cNvPr>
          <xdr:cNvSpPr txBox="1"/>
        </xdr:nvSpPr>
        <xdr:spPr>
          <a:xfrm>
            <a:off x="3032760" y="46939200"/>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B</a:t>
            </a:r>
          </a:p>
        </xdr:txBody>
      </xdr:sp>
      <xdr:sp macro="" textlink="">
        <xdr:nvSpPr>
          <xdr:cNvPr id="27" name="TextBox 26">
            <a:extLst>
              <a:ext uri="{FF2B5EF4-FFF2-40B4-BE49-F238E27FC236}">
                <a16:creationId xmlns:a16="http://schemas.microsoft.com/office/drawing/2014/main" id="{BBC3D4DC-2088-4F49-B54D-D93663C3BDCF}"/>
              </a:ext>
            </a:extLst>
          </xdr:cNvPr>
          <xdr:cNvSpPr txBox="1"/>
        </xdr:nvSpPr>
        <xdr:spPr>
          <a:xfrm>
            <a:off x="1478280" y="44546520"/>
            <a:ext cx="2637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2</xdr:col>
      <xdr:colOff>2362699</xdr:colOff>
      <xdr:row>25</xdr:row>
      <xdr:rowOff>64500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3841875" cy="2160000"/>
        </a:xfrm>
        <a:prstGeom prst="rect">
          <a:avLst/>
        </a:prstGeom>
      </xdr:spPr>
    </xdr:pic>
    <xdr:clientData/>
  </xdr:twoCellAnchor>
  <xdr:twoCellAnchor editAs="oneCell">
    <xdr:from>
      <xdr:col>2</xdr:col>
      <xdr:colOff>441761</xdr:colOff>
      <xdr:row>26</xdr:row>
      <xdr:rowOff>107577</xdr:rowOff>
    </xdr:from>
    <xdr:to>
      <xdr:col>5</xdr:col>
      <xdr:colOff>294342</xdr:colOff>
      <xdr:row>37</xdr:row>
      <xdr:rowOff>172077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503643" y="5071783"/>
          <a:ext cx="3841875" cy="2160000"/>
        </a:xfrm>
        <a:prstGeom prst="rect">
          <a:avLst/>
        </a:prstGeom>
      </xdr:spPr>
    </xdr:pic>
    <xdr:clientData/>
  </xdr:twoCellAnchor>
  <xdr:twoCellAnchor editAs="oneCell">
    <xdr:from>
      <xdr:col>3</xdr:col>
      <xdr:colOff>44013</xdr:colOff>
      <xdr:row>14</xdr:row>
      <xdr:rowOff>0</xdr:rowOff>
    </xdr:from>
    <xdr:to>
      <xdr:col>7</xdr:col>
      <xdr:colOff>98299</xdr:colOff>
      <xdr:row>25</xdr:row>
      <xdr:rowOff>64500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4571189" y="2678206"/>
          <a:ext cx="3841875" cy="21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uYto1gktmzKvPbh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85"/>
  <sheetViews>
    <sheetView tabSelected="1" view="pageBreakPreview" zoomScaleNormal="100" zoomScaleSheetLayoutView="100" workbookViewId="0">
      <selection activeCell="J15" sqref="J15"/>
    </sheetView>
  </sheetViews>
  <sheetFormatPr defaultColWidth="9.109375" defaultRowHeight="15.6" x14ac:dyDescent="0.3"/>
  <cols>
    <col min="1" max="1" width="11.44140625" style="40" customWidth="1"/>
    <col min="2" max="2" width="12" style="40" customWidth="1"/>
    <col min="3" max="3" width="12.6640625" style="40" customWidth="1"/>
    <col min="4" max="4" width="14.109375" style="40" customWidth="1"/>
    <col min="5" max="6" width="11.6640625" style="40" customWidth="1"/>
    <col min="7" max="7" width="11.44140625" style="40" customWidth="1"/>
    <col min="8" max="8" width="11.88671875" style="40" customWidth="1"/>
    <col min="9" max="9" width="17.44140625" style="21" customWidth="1"/>
    <col min="10" max="10" width="11.44140625" style="21" customWidth="1"/>
    <col min="11" max="11" width="10.5546875" style="21" bestFit="1" customWidth="1"/>
    <col min="12" max="12" width="10.5546875" style="21" customWidth="1"/>
    <col min="13" max="13" width="11.88671875" style="21" customWidth="1"/>
    <col min="14" max="14" width="12.5546875" style="21" customWidth="1"/>
    <col min="15" max="15" width="9.88671875" style="21" customWidth="1"/>
    <col min="16" max="16" width="11.6640625" style="21" customWidth="1"/>
    <col min="17"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167" t="s">
        <v>164</v>
      </c>
      <c r="B1" s="167"/>
      <c r="C1" s="167"/>
      <c r="D1" s="167"/>
      <c r="E1" s="167"/>
      <c r="F1" s="167"/>
      <c r="G1" s="167"/>
      <c r="H1" s="167"/>
    </row>
    <row r="2" spans="1:26" ht="16.5" customHeight="1" x14ac:dyDescent="0.3">
      <c r="A2" s="168" t="s">
        <v>0</v>
      </c>
      <c r="B2" s="168"/>
      <c r="C2" s="168"/>
      <c r="D2" s="168"/>
      <c r="E2" s="168"/>
      <c r="F2" s="168"/>
      <c r="G2" s="168"/>
      <c r="H2" s="168"/>
    </row>
    <row r="3" spans="1:26" x14ac:dyDescent="0.3">
      <c r="A3" s="133" t="s">
        <v>1</v>
      </c>
      <c r="B3" s="133"/>
      <c r="C3" s="133"/>
      <c r="D3" s="133"/>
      <c r="E3" s="133" t="str">
        <f ca="1">TEXT(TODAY(),"DD/MM/YYYY")</f>
        <v>20/08/2025</v>
      </c>
      <c r="F3" s="133"/>
      <c r="G3" s="133"/>
      <c r="H3" s="133"/>
    </row>
    <row r="4" spans="1:26" ht="15" customHeight="1" x14ac:dyDescent="0.3">
      <c r="A4" s="133" t="s">
        <v>2</v>
      </c>
      <c r="B4" s="133"/>
      <c r="C4" s="133"/>
      <c r="D4" s="133"/>
      <c r="E4" s="133" t="s">
        <v>234</v>
      </c>
      <c r="F4" s="133"/>
      <c r="G4" s="133"/>
      <c r="H4" s="133"/>
    </row>
    <row r="5" spans="1:26" x14ac:dyDescent="0.3">
      <c r="A5" s="133" t="s">
        <v>3</v>
      </c>
      <c r="B5" s="133"/>
      <c r="C5" s="133"/>
      <c r="D5" s="133"/>
      <c r="E5" s="169">
        <v>45882</v>
      </c>
      <c r="F5" s="133"/>
      <c r="G5" s="133"/>
      <c r="H5" s="133"/>
    </row>
    <row r="6" spans="1:26" ht="16.5" customHeight="1" x14ac:dyDescent="0.3">
      <c r="A6" s="133" t="s">
        <v>4</v>
      </c>
      <c r="B6" s="133"/>
      <c r="C6" s="133"/>
      <c r="D6" s="133"/>
      <c r="E6" s="133" t="s">
        <v>237</v>
      </c>
      <c r="F6" s="133"/>
      <c r="G6" s="133"/>
      <c r="H6" s="133"/>
    </row>
    <row r="7" spans="1:26" ht="15" customHeight="1" x14ac:dyDescent="0.3">
      <c r="A7" s="133" t="s">
        <v>5</v>
      </c>
      <c r="B7" s="133"/>
      <c r="C7" s="133"/>
      <c r="D7" s="133"/>
      <c r="E7" s="133" t="str">
        <f>E6</f>
        <v>Elite Associates</v>
      </c>
      <c r="F7" s="133"/>
      <c r="G7" s="133"/>
      <c r="H7" s="133"/>
    </row>
    <row r="8" spans="1:26" x14ac:dyDescent="0.3">
      <c r="A8" s="133" t="s">
        <v>6</v>
      </c>
      <c r="B8" s="133"/>
      <c r="C8" s="133"/>
      <c r="D8" s="133"/>
      <c r="E8" s="93" t="s">
        <v>238</v>
      </c>
      <c r="F8" s="93"/>
      <c r="G8" s="93"/>
      <c r="H8" s="93"/>
    </row>
    <row r="9" spans="1:26" x14ac:dyDescent="0.3">
      <c r="A9" s="133" t="s">
        <v>167</v>
      </c>
      <c r="B9" s="133"/>
      <c r="C9" s="133"/>
      <c r="D9" s="133"/>
      <c r="E9" s="133" t="s">
        <v>239</v>
      </c>
      <c r="F9" s="133"/>
      <c r="G9" s="133"/>
      <c r="H9" s="133"/>
    </row>
    <row r="10" spans="1:26" hidden="1" x14ac:dyDescent="0.3">
      <c r="A10" s="133" t="s">
        <v>168</v>
      </c>
      <c r="B10" s="133"/>
      <c r="C10" s="133"/>
      <c r="D10" s="133"/>
      <c r="E10" s="78" t="s">
        <v>287</v>
      </c>
      <c r="F10" s="79"/>
      <c r="G10" s="79"/>
      <c r="H10" s="80"/>
      <c r="I10" s="78" t="s">
        <v>240</v>
      </c>
      <c r="J10" s="79"/>
      <c r="K10" s="79"/>
      <c r="L10" s="80"/>
    </row>
    <row r="11" spans="1:26" x14ac:dyDescent="0.3">
      <c r="A11" s="133" t="s">
        <v>7</v>
      </c>
      <c r="B11" s="133"/>
      <c r="C11" s="133"/>
      <c r="D11" s="133"/>
      <c r="E11" s="133" t="s">
        <v>241</v>
      </c>
      <c r="F11" s="133"/>
      <c r="G11" s="133"/>
      <c r="H11" s="133"/>
    </row>
    <row r="12" spans="1:26" x14ac:dyDescent="0.3">
      <c r="A12" s="133" t="s">
        <v>170</v>
      </c>
      <c r="B12" s="133"/>
      <c r="C12" s="133"/>
      <c r="D12" s="133"/>
      <c r="E12" s="133" t="s">
        <v>242</v>
      </c>
      <c r="F12" s="133"/>
      <c r="G12" s="133"/>
      <c r="H12" s="133"/>
      <c r="S12" s="54" t="s">
        <v>178</v>
      </c>
      <c r="T12" s="54" t="s">
        <v>188</v>
      </c>
      <c r="U12" s="54" t="s">
        <v>171</v>
      </c>
      <c r="V12" s="54" t="s">
        <v>193</v>
      </c>
      <c r="W12" s="54" t="s">
        <v>211</v>
      </c>
      <c r="X12"/>
      <c r="Y12" t="s">
        <v>193</v>
      </c>
      <c r="Z12" t="e">
        <f ca="1">OFFSET($S$12,1,MATCH($G19,$S$12:$W$12,0)-1,15,1)</f>
        <v>#VALUE!</v>
      </c>
    </row>
    <row r="13" spans="1:26" x14ac:dyDescent="0.3">
      <c r="A13" s="117" t="s">
        <v>8</v>
      </c>
      <c r="B13" s="117"/>
      <c r="C13" s="117"/>
      <c r="D13" s="117"/>
      <c r="E13" s="132" t="s">
        <v>280</v>
      </c>
      <c r="F13" s="132"/>
      <c r="G13" s="132"/>
      <c r="H13" s="132"/>
      <c r="S13" s="54" t="s">
        <v>179</v>
      </c>
      <c r="T13" s="54" t="s">
        <v>186</v>
      </c>
      <c r="U13" s="54" t="s">
        <v>208</v>
      </c>
      <c r="V13" s="54" t="s">
        <v>194</v>
      </c>
      <c r="W13" s="54" t="s">
        <v>212</v>
      </c>
      <c r="X13"/>
      <c r="Y13"/>
      <c r="Z13"/>
    </row>
    <row r="14" spans="1:26" x14ac:dyDescent="0.3">
      <c r="A14" s="117" t="s">
        <v>9</v>
      </c>
      <c r="B14" s="117"/>
      <c r="C14" s="117"/>
      <c r="D14" s="117"/>
      <c r="E14" s="132" t="s">
        <v>247</v>
      </c>
      <c r="F14" s="133"/>
      <c r="G14" s="133"/>
      <c r="H14" s="133"/>
      <c r="I14" s="112" t="e">
        <f ca="1">OFFSET($D$4,1,MATCH($J12,$D$4:$H$4,0)-1,15,1)</f>
        <v>#N/A</v>
      </c>
      <c r="J14" s="113"/>
      <c r="K14" s="113"/>
      <c r="L14" s="113"/>
      <c r="M14" s="113"/>
      <c r="N14" s="113"/>
      <c r="O14" s="113"/>
      <c r="P14" s="113"/>
      <c r="S14" s="54" t="s">
        <v>180</v>
      </c>
      <c r="T14" s="54" t="s">
        <v>187</v>
      </c>
      <c r="U14" s="54" t="s">
        <v>209</v>
      </c>
      <c r="V14" s="54" t="s">
        <v>195</v>
      </c>
      <c r="W14" s="54" t="s">
        <v>225</v>
      </c>
      <c r="X14"/>
      <c r="Y14"/>
      <c r="Z14"/>
    </row>
    <row r="15" spans="1:26" ht="49.5" customHeight="1" x14ac:dyDescent="0.3">
      <c r="A15" s="123" t="s">
        <v>10</v>
      </c>
      <c r="B15" s="123"/>
      <c r="C15" s="123" t="str">
        <f>CONCATENATE((IF(OR(E8="",E8="NA"),"",E8)),", ",(IF(OR(A16="",A16="NA"),"",A16)),".",(IF(OR(C16="",C16="NA"),"",C16)),", near ",(IF(OR(C21="",C21="NA"),"",C21)),", ",(IF(OR(C18="",C18="NA"),"",C18)),", ",(IF(OR(C17="",C17="NA"),"",C17)),", ",(IF(OR(G18="",G18="NA"),"",G18)),", ",(IF(OR(C19="",C19="NA"),"",C19)),", ",(IF(OR(C20="",C20="NA"),"",C20)),", ",(IF(OR(G19="",G19="NA"),"",G19))," - ",(IF(OR(G20="",G20="NA"),"",G20)),".")</f>
        <v>The Crown, CTS No.36 (Pt), Redevlopement of "Building No. 113 Tilak Nagar Manivishwa CHS Ltd.", near Five Star Housing Society, Shanta Jog Marg, Sarvodaya Maha Buddha Vihar, Chembur, Tilaknagar West, Kurla, Mumbai - 400089.</v>
      </c>
      <c r="D15" s="123"/>
      <c r="E15" s="123"/>
      <c r="F15" s="123"/>
      <c r="G15" s="123"/>
      <c r="H15" s="123"/>
      <c r="S15" s="54" t="s">
        <v>181</v>
      </c>
      <c r="T15" s="54" t="s">
        <v>189</v>
      </c>
      <c r="U15" s="54" t="s">
        <v>210</v>
      </c>
      <c r="V15" s="54" t="s">
        <v>196</v>
      </c>
      <c r="W15" s="54" t="s">
        <v>213</v>
      </c>
      <c r="X15"/>
      <c r="Y15"/>
      <c r="Z15"/>
    </row>
    <row r="16" spans="1:26" x14ac:dyDescent="0.3">
      <c r="A16" s="132" t="s">
        <v>175</v>
      </c>
      <c r="B16" s="132"/>
      <c r="C16" s="132" t="s">
        <v>285</v>
      </c>
      <c r="D16" s="132"/>
      <c r="E16" s="132"/>
      <c r="F16" s="132"/>
      <c r="G16" s="132"/>
      <c r="H16" s="132"/>
      <c r="S16" s="54" t="s">
        <v>182</v>
      </c>
      <c r="T16" s="54" t="s">
        <v>190</v>
      </c>
      <c r="U16" s="54" t="s">
        <v>171</v>
      </c>
      <c r="V16" s="54" t="s">
        <v>197</v>
      </c>
      <c r="W16" s="54" t="s">
        <v>214</v>
      </c>
      <c r="X16"/>
      <c r="Y16"/>
      <c r="Z16"/>
    </row>
    <row r="17" spans="1:26" ht="15.75" customHeight="1" x14ac:dyDescent="0.3">
      <c r="A17" s="132" t="s">
        <v>162</v>
      </c>
      <c r="B17" s="132"/>
      <c r="C17" s="132" t="s">
        <v>243</v>
      </c>
      <c r="D17" s="132"/>
      <c r="E17" s="132"/>
      <c r="F17" s="132"/>
      <c r="G17" s="132"/>
      <c r="H17" s="132"/>
      <c r="S17" s="54" t="s">
        <v>183</v>
      </c>
      <c r="T17" s="54" t="s">
        <v>188</v>
      </c>
      <c r="U17" s="54"/>
      <c r="V17" s="54" t="s">
        <v>198</v>
      </c>
      <c r="W17" s="54" t="s">
        <v>215</v>
      </c>
      <c r="X17"/>
      <c r="Y17"/>
      <c r="Z17"/>
    </row>
    <row r="18" spans="1:26" ht="15.75" customHeight="1" x14ac:dyDescent="0.3">
      <c r="A18" s="123" t="s">
        <v>11</v>
      </c>
      <c r="B18" s="123"/>
      <c r="C18" s="133" t="s">
        <v>244</v>
      </c>
      <c r="D18" s="133"/>
      <c r="E18" s="123" t="s">
        <v>72</v>
      </c>
      <c r="F18" s="123"/>
      <c r="G18" s="132" t="s">
        <v>282</v>
      </c>
      <c r="H18" s="132"/>
      <c r="S18" s="54" t="s">
        <v>184</v>
      </c>
      <c r="T18" s="54" t="s">
        <v>191</v>
      </c>
      <c r="U18" s="54"/>
      <c r="V18" s="54" t="s">
        <v>199</v>
      </c>
      <c r="W18" s="54" t="s">
        <v>216</v>
      </c>
      <c r="X18"/>
      <c r="Y18"/>
      <c r="Z18"/>
    </row>
    <row r="19" spans="1:26" x14ac:dyDescent="0.3">
      <c r="A19" s="117" t="s">
        <v>13</v>
      </c>
      <c r="B19" s="117"/>
      <c r="C19" s="132" t="s">
        <v>283</v>
      </c>
      <c r="D19" s="132"/>
      <c r="E19" s="132" t="s">
        <v>12</v>
      </c>
      <c r="F19" s="132"/>
      <c r="G19" s="173" t="s">
        <v>171</v>
      </c>
      <c r="H19" s="173"/>
      <c r="S19" s="54" t="s">
        <v>185</v>
      </c>
      <c r="T19" s="54" t="s">
        <v>192</v>
      </c>
      <c r="U19" s="54"/>
      <c r="V19" s="54" t="s">
        <v>200</v>
      </c>
      <c r="W19" s="54" t="s">
        <v>217</v>
      </c>
      <c r="X19"/>
      <c r="Y19"/>
      <c r="Z19"/>
    </row>
    <row r="20" spans="1:26" x14ac:dyDescent="0.3">
      <c r="A20" s="117" t="s">
        <v>73</v>
      </c>
      <c r="B20" s="117"/>
      <c r="C20" s="132" t="s">
        <v>210</v>
      </c>
      <c r="D20" s="132"/>
      <c r="E20" s="123" t="s">
        <v>14</v>
      </c>
      <c r="F20" s="123"/>
      <c r="G20" s="132">
        <v>400089</v>
      </c>
      <c r="H20" s="132"/>
      <c r="S20" s="54"/>
      <c r="T20" s="54"/>
      <c r="U20" s="54"/>
      <c r="V20" s="54" t="s">
        <v>201</v>
      </c>
      <c r="W20" s="54" t="s">
        <v>218</v>
      </c>
      <c r="X20"/>
      <c r="Y20"/>
      <c r="Z20"/>
    </row>
    <row r="21" spans="1:26" ht="32.25" customHeight="1" x14ac:dyDescent="0.3">
      <c r="A21" s="117" t="s">
        <v>121</v>
      </c>
      <c r="B21" s="117"/>
      <c r="C21" s="132" t="s">
        <v>245</v>
      </c>
      <c r="D21" s="132"/>
      <c r="E21" s="123" t="s">
        <v>15</v>
      </c>
      <c r="F21" s="123"/>
      <c r="G21" s="132" t="s">
        <v>246</v>
      </c>
      <c r="H21" s="132"/>
      <c r="S21" s="54"/>
      <c r="T21" s="54"/>
      <c r="U21" s="54"/>
      <c r="V21" s="54" t="s">
        <v>202</v>
      </c>
      <c r="W21" s="54" t="s">
        <v>219</v>
      </c>
      <c r="X21"/>
      <c r="Y21"/>
      <c r="Z21"/>
    </row>
    <row r="22" spans="1:26" ht="15" customHeight="1" x14ac:dyDescent="0.3">
      <c r="A22" s="123" t="s">
        <v>75</v>
      </c>
      <c r="B22" s="123"/>
      <c r="C22" s="123"/>
      <c r="D22" s="123"/>
      <c r="E22" s="133" t="s">
        <v>16</v>
      </c>
      <c r="F22" s="133"/>
      <c r="G22" s="133"/>
      <c r="H22" s="133"/>
      <c r="S22" s="54"/>
      <c r="T22" s="54"/>
      <c r="U22" s="54"/>
      <c r="V22" s="54" t="s">
        <v>203</v>
      </c>
      <c r="W22" s="54" t="s">
        <v>220</v>
      </c>
      <c r="X22"/>
      <c r="Y22"/>
      <c r="Z22"/>
    </row>
    <row r="23" spans="1:26" ht="18.75" customHeight="1" x14ac:dyDescent="0.3">
      <c r="A23" s="123"/>
      <c r="B23" s="123"/>
      <c r="C23" s="123"/>
      <c r="D23" s="123"/>
      <c r="E23" s="133"/>
      <c r="F23" s="133"/>
      <c r="G23" s="133"/>
      <c r="H23" s="133"/>
      <c r="S23" s="54"/>
      <c r="T23" s="54"/>
      <c r="U23" s="54"/>
      <c r="V23" s="54" t="s">
        <v>204</v>
      </c>
      <c r="W23" s="54" t="s">
        <v>221</v>
      </c>
      <c r="X23"/>
      <c r="Y23"/>
      <c r="Z23"/>
    </row>
    <row r="24" spans="1:26" ht="15" customHeight="1" x14ac:dyDescent="0.3">
      <c r="A24" s="123" t="s">
        <v>17</v>
      </c>
      <c r="B24" s="123"/>
      <c r="C24" s="123"/>
      <c r="D24" s="123"/>
      <c r="E24" s="132" t="s">
        <v>18</v>
      </c>
      <c r="F24" s="132"/>
      <c r="G24" s="132"/>
      <c r="H24" s="132"/>
      <c r="S24" s="54"/>
      <c r="T24" s="54"/>
      <c r="U24" s="54"/>
      <c r="V24" s="54" t="s">
        <v>205</v>
      </c>
      <c r="W24" s="54" t="s">
        <v>222</v>
      </c>
      <c r="X24"/>
      <c r="Y24"/>
      <c r="Z24"/>
    </row>
    <row r="25" spans="1:26" ht="15" customHeight="1" x14ac:dyDescent="0.3">
      <c r="A25" s="117" t="s">
        <v>19</v>
      </c>
      <c r="B25" s="117"/>
      <c r="C25" s="117"/>
      <c r="D25" s="117"/>
      <c r="E25" s="132" t="str">
        <f>IF(AND(G19="Mumbai"),"Upper Class","Middle Class")</f>
        <v>Upper Class</v>
      </c>
      <c r="F25" s="132"/>
      <c r="G25" s="132"/>
      <c r="H25" s="132"/>
      <c r="S25" s="54"/>
      <c r="T25" s="54"/>
      <c r="U25" s="54"/>
      <c r="V25" s="54" t="s">
        <v>206</v>
      </c>
      <c r="W25" s="54" t="s">
        <v>223</v>
      </c>
      <c r="X25"/>
      <c r="Y25"/>
      <c r="Z25"/>
    </row>
    <row r="26" spans="1:26" x14ac:dyDescent="0.3">
      <c r="A26" s="117" t="s">
        <v>20</v>
      </c>
      <c r="B26" s="117"/>
      <c r="C26" s="117"/>
      <c r="D26" s="117"/>
      <c r="E26" s="132" t="s">
        <v>21</v>
      </c>
      <c r="F26" s="132"/>
      <c r="G26" s="132"/>
      <c r="H26" s="132"/>
      <c r="S26" s="54"/>
      <c r="T26" s="54"/>
      <c r="U26" s="54"/>
      <c r="V26" s="54" t="s">
        <v>207</v>
      </c>
      <c r="W26" s="54" t="s">
        <v>224</v>
      </c>
      <c r="X26"/>
      <c r="Y26"/>
      <c r="Z26"/>
    </row>
    <row r="27" spans="1:26" ht="15.75" customHeight="1" x14ac:dyDescent="0.3">
      <c r="A27" s="117" t="s">
        <v>22</v>
      </c>
      <c r="B27" s="117"/>
      <c r="C27" s="117"/>
      <c r="D27" s="117"/>
      <c r="E27" s="132" t="str">
        <f>IF(AND(G19="Mumbai"),"Developed","Developing")</f>
        <v>Developed</v>
      </c>
      <c r="F27" s="132"/>
      <c r="G27" s="132"/>
      <c r="H27" s="132"/>
    </row>
    <row r="28" spans="1:26" x14ac:dyDescent="0.3">
      <c r="A28" s="117" t="s">
        <v>23</v>
      </c>
      <c r="B28" s="117"/>
      <c r="C28" s="117"/>
      <c r="D28" s="117"/>
      <c r="E28" s="132" t="s">
        <v>24</v>
      </c>
      <c r="F28" s="132"/>
      <c r="G28" s="132"/>
      <c r="H28" s="132"/>
    </row>
    <row r="29" spans="1:26" ht="15.75" customHeight="1" x14ac:dyDescent="0.3">
      <c r="A29" s="117" t="s">
        <v>80</v>
      </c>
      <c r="B29" s="117"/>
      <c r="C29" s="117"/>
      <c r="D29" s="117"/>
      <c r="E29" s="132" t="s">
        <v>81</v>
      </c>
      <c r="F29" s="132"/>
      <c r="G29" s="132"/>
      <c r="H29" s="132"/>
    </row>
    <row r="30" spans="1:26" ht="15" customHeight="1" x14ac:dyDescent="0.3">
      <c r="A30" s="117" t="s">
        <v>32</v>
      </c>
      <c r="B30" s="117"/>
      <c r="C30" s="117"/>
      <c r="D30" s="117"/>
      <c r="E30" s="132"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 + Commercial</v>
      </c>
      <c r="F30" s="132"/>
      <c r="G30" s="132"/>
      <c r="H30" s="132"/>
    </row>
    <row r="31" spans="1:26" ht="15.75" customHeight="1" x14ac:dyDescent="0.3">
      <c r="A31" s="117" t="s">
        <v>92</v>
      </c>
      <c r="B31" s="117"/>
      <c r="C31" s="117"/>
      <c r="D31" s="117"/>
      <c r="E31" s="132" t="s">
        <v>33</v>
      </c>
      <c r="F31" s="132"/>
      <c r="G31" s="132"/>
      <c r="H31" s="132"/>
    </row>
    <row r="32" spans="1:26" s="22" customFormat="1" x14ac:dyDescent="0.3">
      <c r="A32" s="178" t="s">
        <v>93</v>
      </c>
      <c r="B32" s="178"/>
      <c r="C32" s="175" t="s">
        <v>172</v>
      </c>
      <c r="D32" s="176"/>
      <c r="E32" s="177"/>
      <c r="F32" s="175" t="s">
        <v>30</v>
      </c>
      <c r="G32" s="176"/>
      <c r="H32" s="177"/>
    </row>
    <row r="33" spans="1:8" s="22" customFormat="1" x14ac:dyDescent="0.3">
      <c r="A33" s="174" t="s">
        <v>25</v>
      </c>
      <c r="B33" s="174" t="s">
        <v>29</v>
      </c>
      <c r="C33" s="170" t="s">
        <v>284</v>
      </c>
      <c r="D33" s="171"/>
      <c r="E33" s="172"/>
      <c r="F33" s="170" t="s">
        <v>244</v>
      </c>
      <c r="G33" s="171"/>
      <c r="H33" s="172"/>
    </row>
    <row r="34" spans="1:8" x14ac:dyDescent="0.3">
      <c r="A34" s="174" t="s">
        <v>26</v>
      </c>
      <c r="B34" s="174" t="s">
        <v>29</v>
      </c>
      <c r="C34" s="170" t="s">
        <v>249</v>
      </c>
      <c r="D34" s="171"/>
      <c r="E34" s="172"/>
      <c r="F34" s="170" t="s">
        <v>252</v>
      </c>
      <c r="G34" s="171"/>
      <c r="H34" s="172"/>
    </row>
    <row r="35" spans="1:8" s="22" customFormat="1" x14ac:dyDescent="0.3">
      <c r="A35" s="174" t="s">
        <v>28</v>
      </c>
      <c r="B35" s="174" t="s">
        <v>29</v>
      </c>
      <c r="C35" s="170" t="s">
        <v>249</v>
      </c>
      <c r="D35" s="171"/>
      <c r="E35" s="172"/>
      <c r="F35" s="170" t="s">
        <v>251</v>
      </c>
      <c r="G35" s="171"/>
      <c r="H35" s="172"/>
    </row>
    <row r="36" spans="1:8" x14ac:dyDescent="0.3">
      <c r="A36" s="174" t="s">
        <v>27</v>
      </c>
      <c r="B36" s="174" t="s">
        <v>29</v>
      </c>
      <c r="C36" s="170" t="s">
        <v>248</v>
      </c>
      <c r="D36" s="171"/>
      <c r="E36" s="172"/>
      <c r="F36" s="170" t="s">
        <v>250</v>
      </c>
      <c r="G36" s="171"/>
      <c r="H36" s="172"/>
    </row>
    <row r="37" spans="1:8" x14ac:dyDescent="0.3">
      <c r="A37" s="117" t="s">
        <v>31</v>
      </c>
      <c r="B37" s="117"/>
      <c r="C37" s="117"/>
      <c r="D37" s="117"/>
      <c r="E37" s="117"/>
      <c r="F37" s="117"/>
      <c r="G37" s="117"/>
      <c r="H37" s="117"/>
    </row>
    <row r="38" spans="1:8" ht="15.75" customHeight="1" x14ac:dyDescent="0.3">
      <c r="A38" s="133" t="s">
        <v>165</v>
      </c>
      <c r="B38" s="133"/>
      <c r="C38" s="93" t="s">
        <v>235</v>
      </c>
      <c r="D38" s="93"/>
      <c r="E38" s="93"/>
      <c r="F38" s="93"/>
      <c r="G38" s="93"/>
      <c r="H38" s="93"/>
    </row>
    <row r="39" spans="1:8" x14ac:dyDescent="0.3">
      <c r="A39" s="133" t="s">
        <v>161</v>
      </c>
      <c r="B39" s="133"/>
      <c r="C39" s="189" t="s">
        <v>236</v>
      </c>
      <c r="D39" s="132"/>
      <c r="E39" s="132"/>
      <c r="F39" s="132"/>
      <c r="G39" s="132"/>
      <c r="H39" s="132"/>
    </row>
    <row r="40" spans="1:8" x14ac:dyDescent="0.3">
      <c r="A40" s="163" t="s">
        <v>34</v>
      </c>
      <c r="B40" s="163"/>
      <c r="C40" s="163"/>
      <c r="D40" s="163"/>
      <c r="E40" s="163"/>
      <c r="F40" s="163"/>
      <c r="G40" s="163"/>
      <c r="H40" s="163"/>
    </row>
    <row r="41" spans="1:8" x14ac:dyDescent="0.3">
      <c r="A41" s="117" t="s">
        <v>35</v>
      </c>
      <c r="B41" s="117"/>
      <c r="C41" s="117"/>
      <c r="D41" s="117"/>
      <c r="E41" s="179">
        <v>1256.6600000000001</v>
      </c>
      <c r="F41" s="179"/>
      <c r="G41" s="179"/>
      <c r="H41" s="179"/>
    </row>
    <row r="42" spans="1:8" x14ac:dyDescent="0.3">
      <c r="A42" s="117" t="s">
        <v>36</v>
      </c>
      <c r="B42" s="117"/>
      <c r="C42" s="117"/>
      <c r="D42" s="117"/>
      <c r="E42" s="125">
        <f>3769.98/E41</f>
        <v>3</v>
      </c>
      <c r="F42" s="125"/>
      <c r="G42" s="125"/>
      <c r="H42" s="125"/>
    </row>
    <row r="43" spans="1:8" x14ac:dyDescent="0.3">
      <c r="A43" s="117" t="s">
        <v>37</v>
      </c>
      <c r="B43" s="117"/>
      <c r="C43" s="117"/>
      <c r="D43" s="117"/>
      <c r="E43" s="125">
        <f>E45/E41-E42</f>
        <v>3.2484920344404999</v>
      </c>
      <c r="F43" s="125"/>
      <c r="G43" s="125"/>
      <c r="H43" s="125"/>
    </row>
    <row r="44" spans="1:8" x14ac:dyDescent="0.3">
      <c r="A44" s="117" t="s">
        <v>38</v>
      </c>
      <c r="B44" s="117"/>
      <c r="C44" s="117"/>
      <c r="D44" s="117"/>
      <c r="E44" s="125">
        <f>E42+E43</f>
        <v>6.2484920344404999</v>
      </c>
      <c r="F44" s="125"/>
      <c r="G44" s="125"/>
      <c r="H44" s="125"/>
    </row>
    <row r="45" spans="1:8" x14ac:dyDescent="0.3">
      <c r="A45" s="117" t="s">
        <v>91</v>
      </c>
      <c r="B45" s="117"/>
      <c r="C45" s="117"/>
      <c r="D45" s="117"/>
      <c r="E45" s="182">
        <v>7852.23</v>
      </c>
      <c r="F45" s="182"/>
      <c r="G45" s="182"/>
      <c r="H45" s="182"/>
    </row>
    <row r="46" spans="1:8" x14ac:dyDescent="0.3">
      <c r="A46" s="133" t="s">
        <v>39</v>
      </c>
      <c r="B46" s="133"/>
      <c r="C46" s="133"/>
      <c r="D46" s="133"/>
      <c r="E46" s="133" t="s">
        <v>253</v>
      </c>
      <c r="F46" s="133"/>
      <c r="G46" s="133"/>
      <c r="H46" s="133"/>
    </row>
    <row r="47" spans="1:8" x14ac:dyDescent="0.3">
      <c r="A47" s="163" t="s">
        <v>40</v>
      </c>
      <c r="B47" s="163"/>
      <c r="C47" s="163"/>
      <c r="D47" s="163"/>
      <c r="E47" s="163"/>
      <c r="F47" s="163"/>
      <c r="G47" s="163"/>
      <c r="H47" s="163"/>
    </row>
    <row r="48" spans="1:8" ht="33.75" customHeight="1" x14ac:dyDescent="0.3">
      <c r="A48" s="126" t="s">
        <v>150</v>
      </c>
      <c r="B48" s="127"/>
      <c r="C48" s="192" t="s">
        <v>254</v>
      </c>
      <c r="D48" s="193"/>
      <c r="E48" s="193"/>
      <c r="F48" s="193"/>
      <c r="G48" s="193"/>
      <c r="H48" s="194"/>
    </row>
    <row r="49" spans="1:14" ht="15.75" customHeight="1" x14ac:dyDescent="0.3">
      <c r="A49" s="126" t="s">
        <v>41</v>
      </c>
      <c r="B49" s="127"/>
      <c r="C49" s="126" t="s">
        <v>255</v>
      </c>
      <c r="D49" s="128"/>
      <c r="E49" s="127"/>
      <c r="F49" s="18" t="s">
        <v>42</v>
      </c>
      <c r="G49" s="129">
        <v>44630</v>
      </c>
      <c r="H49" s="127"/>
    </row>
    <row r="50" spans="1:14" x14ac:dyDescent="0.3">
      <c r="A50" s="126" t="s">
        <v>43</v>
      </c>
      <c r="B50" s="127"/>
      <c r="C50" s="126" t="str">
        <f>C49</f>
        <v>Mhada-25/1073/2022</v>
      </c>
      <c r="D50" s="128"/>
      <c r="E50" s="127"/>
      <c r="F50" s="18" t="s">
        <v>42</v>
      </c>
      <c r="G50" s="129">
        <f>G49</f>
        <v>44630</v>
      </c>
      <c r="H50" s="130"/>
    </row>
    <row r="51" spans="1:14" s="23" customFormat="1" ht="33" customHeight="1" x14ac:dyDescent="0.3">
      <c r="A51" s="138" t="s">
        <v>154</v>
      </c>
      <c r="B51" s="139"/>
      <c r="C51" s="126" t="s">
        <v>288</v>
      </c>
      <c r="D51" s="136"/>
      <c r="E51" s="137"/>
      <c r="F51" s="18" t="s">
        <v>42</v>
      </c>
      <c r="G51" s="129">
        <v>45784</v>
      </c>
      <c r="H51" s="130"/>
    </row>
    <row r="52" spans="1:14" s="23" customFormat="1" ht="102.45" customHeight="1" x14ac:dyDescent="0.3">
      <c r="A52" s="140"/>
      <c r="B52" s="141"/>
      <c r="C52" s="126" t="s">
        <v>289</v>
      </c>
      <c r="D52" s="128"/>
      <c r="E52" s="127"/>
      <c r="F52" s="18" t="s">
        <v>120</v>
      </c>
      <c r="G52" s="129">
        <v>45898</v>
      </c>
      <c r="H52" s="127"/>
    </row>
    <row r="53" spans="1:14" x14ac:dyDescent="0.3">
      <c r="A53" s="118" t="s">
        <v>44</v>
      </c>
      <c r="B53" s="119"/>
      <c r="C53" s="118" t="s">
        <v>104</v>
      </c>
      <c r="D53" s="120"/>
      <c r="E53" s="119"/>
      <c r="F53" s="45" t="s">
        <v>42</v>
      </c>
      <c r="G53" s="134" t="s">
        <v>29</v>
      </c>
      <c r="H53" s="135"/>
    </row>
    <row r="54" spans="1:14" x14ac:dyDescent="0.3">
      <c r="A54" s="131" t="s">
        <v>46</v>
      </c>
      <c r="B54" s="131"/>
      <c r="C54" s="131"/>
      <c r="D54" s="131"/>
      <c r="E54" s="131"/>
      <c r="F54" s="131"/>
      <c r="G54" s="131"/>
      <c r="H54" s="131"/>
    </row>
    <row r="55" spans="1:14" x14ac:dyDescent="0.3">
      <c r="A55" s="123" t="s">
        <v>90</v>
      </c>
      <c r="B55" s="123"/>
      <c r="C55" s="123"/>
      <c r="D55" s="117">
        <f>E45</f>
        <v>7852.23</v>
      </c>
      <c r="E55" s="117"/>
      <c r="F55" s="117"/>
      <c r="G55" s="117"/>
      <c r="H55" s="117"/>
    </row>
    <row r="56" spans="1:14" x14ac:dyDescent="0.3">
      <c r="A56" s="132" t="s">
        <v>47</v>
      </c>
      <c r="B56" s="133"/>
      <c r="C56" s="133"/>
      <c r="D56" s="133" t="s">
        <v>279</v>
      </c>
      <c r="E56" s="133"/>
      <c r="F56" s="133"/>
      <c r="G56" s="133"/>
      <c r="H56" s="133"/>
      <c r="I56" s="24"/>
    </row>
    <row r="57" spans="1:14" ht="32.25" customHeight="1" x14ac:dyDescent="0.3">
      <c r="A57" s="81" t="s">
        <v>48</v>
      </c>
      <c r="B57" s="82"/>
      <c r="C57" s="83"/>
      <c r="D57" s="166" t="s">
        <v>256</v>
      </c>
      <c r="E57" s="183"/>
      <c r="F57" s="183"/>
      <c r="G57" s="183"/>
      <c r="H57" s="183"/>
    </row>
    <row r="58" spans="1:14" ht="15.75" customHeight="1" x14ac:dyDescent="0.3">
      <c r="A58" s="81" t="s">
        <v>88</v>
      </c>
      <c r="B58" s="82"/>
      <c r="C58" s="83"/>
      <c r="D58" s="78" t="s">
        <v>290</v>
      </c>
      <c r="E58" s="79"/>
      <c r="F58" s="79"/>
      <c r="G58" s="79"/>
      <c r="H58" s="80"/>
    </row>
    <row r="59" spans="1:14" ht="15.75" customHeight="1" x14ac:dyDescent="0.3">
      <c r="A59" s="84"/>
      <c r="B59" s="85"/>
      <c r="C59" s="86"/>
      <c r="D59" s="78" t="s">
        <v>291</v>
      </c>
      <c r="E59" s="79"/>
      <c r="F59" s="79"/>
      <c r="G59" s="79"/>
      <c r="H59" s="80"/>
    </row>
    <row r="60" spans="1:14" ht="15.75" customHeight="1" x14ac:dyDescent="0.3">
      <c r="A60" s="117" t="s">
        <v>45</v>
      </c>
      <c r="B60" s="117"/>
      <c r="C60" s="117"/>
      <c r="D60" s="180" t="s">
        <v>257</v>
      </c>
      <c r="E60" s="180"/>
      <c r="F60" s="180"/>
      <c r="G60" s="180"/>
      <c r="H60" s="180"/>
      <c r="J60" s="25"/>
      <c r="K60" s="24"/>
      <c r="N60" s="24"/>
    </row>
    <row r="61" spans="1:14" ht="15.75" customHeight="1" x14ac:dyDescent="0.3">
      <c r="A61" s="117" t="s">
        <v>86</v>
      </c>
      <c r="B61" s="117"/>
      <c r="C61" s="117"/>
      <c r="D61" s="181" t="str">
        <f>(IF(G53="NA","60 Years After Completion",IF(G53&lt;&gt;"NA",""&amp;60-ROUNDDOWN((E3-G53)/360,0)&amp;" Years"," ")))</f>
        <v>60 Years After Completion</v>
      </c>
      <c r="E61" s="181"/>
      <c r="F61" s="181"/>
      <c r="G61" s="181"/>
      <c r="H61" s="181"/>
      <c r="N61" s="24"/>
    </row>
    <row r="62" spans="1:14" ht="15.75" customHeight="1" x14ac:dyDescent="0.3">
      <c r="A62" s="117" t="s">
        <v>87</v>
      </c>
      <c r="B62" s="117"/>
      <c r="C62" s="117"/>
      <c r="D62" s="123" t="s">
        <v>24</v>
      </c>
      <c r="E62" s="123"/>
      <c r="F62" s="123"/>
      <c r="G62" s="123"/>
      <c r="H62" s="123"/>
      <c r="J62" s="26"/>
      <c r="K62" s="26"/>
    </row>
    <row r="63" spans="1:14" ht="31.5" customHeight="1" x14ac:dyDescent="0.3">
      <c r="A63" s="133" t="s">
        <v>258</v>
      </c>
      <c r="B63" s="133"/>
      <c r="C63" s="133"/>
      <c r="D63" s="132" t="s">
        <v>259</v>
      </c>
      <c r="E63" s="123"/>
      <c r="F63" s="123"/>
      <c r="G63" s="123"/>
      <c r="H63" s="123"/>
    </row>
    <row r="64" spans="1:14" x14ac:dyDescent="0.3">
      <c r="A64" s="123" t="s">
        <v>147</v>
      </c>
      <c r="B64" s="123"/>
      <c r="C64" s="123"/>
      <c r="D64" s="123" t="s">
        <v>29</v>
      </c>
      <c r="E64" s="123"/>
      <c r="F64" s="123"/>
      <c r="G64" s="123"/>
      <c r="H64" s="123"/>
      <c r="I64" s="27"/>
      <c r="J64" s="27"/>
      <c r="K64" s="27"/>
      <c r="L64" s="27"/>
      <c r="M64" s="27"/>
      <c r="N64" s="27"/>
    </row>
    <row r="65" spans="1:10" ht="15.75" customHeight="1" x14ac:dyDescent="0.3">
      <c r="A65" s="124" t="s">
        <v>85</v>
      </c>
      <c r="B65" s="124"/>
      <c r="C65" s="124"/>
      <c r="D65" s="166" t="str">
        <f ca="1">(IF(G71&gt;95%,"Nothing",IF(G71&gt;0%,"Cement, Aggregate, Steel, etc",IF(G71=0%,"Work not yet Started"))))</f>
        <v>Cement, Aggregate, Steel, etc</v>
      </c>
      <c r="E65" s="166"/>
      <c r="F65" s="166"/>
      <c r="G65" s="166"/>
      <c r="H65" s="166"/>
      <c r="J65" s="26"/>
    </row>
    <row r="66" spans="1:10" ht="33.75" customHeight="1" thickBot="1" x14ac:dyDescent="0.35">
      <c r="A66" s="165" t="s">
        <v>117</v>
      </c>
      <c r="B66" s="165"/>
      <c r="C66" s="165"/>
      <c r="D66" s="166" t="str">
        <f ca="1">(IF(D65="Nothing","Yes",IF(D65="Cement, Aggregate, Steel, etc","Under Construction",IF(D65="Work not yet Started","Work not yet Started"))))</f>
        <v>Under Construction</v>
      </c>
      <c r="E66" s="166"/>
      <c r="F66" s="166" t="str">
        <f ca="1">(IF(D65="Nothing","Yes",IF(D65="Cement, Aggregate, Steel, etc","Under Construction",IF(D65="Work not yet Started","Work not yet Started"))))</f>
        <v>Under Construction</v>
      </c>
      <c r="G66" s="166"/>
      <c r="H66" s="166"/>
    </row>
    <row r="67" spans="1:10" ht="15.75" customHeight="1" x14ac:dyDescent="0.3">
      <c r="A67" s="87" t="s">
        <v>139</v>
      </c>
      <c r="B67" s="88"/>
      <c r="C67" s="89" t="str">
        <f>D58</f>
        <v>A Wing = Gr + 1st to 15th Floor</v>
      </c>
      <c r="D67" s="90"/>
      <c r="E67" s="90"/>
      <c r="F67" s="90"/>
      <c r="G67" s="90"/>
      <c r="H67" s="91"/>
      <c r="I67" s="49" t="str">
        <f ca="1">IF(D80=100%,"All work Completed. Possession granted to the Building.",IF(D79=100%,"All work Completed, Waiting for OC",I68&amp;""&amp;I69&amp;""&amp;J68&amp;""&amp;J67&amp;" "&amp;J69))</f>
        <v>Excavation, Plinth, RCC Slab, Brickwork, Internal Plaster, External Plaster Completed, Flooring upto 14 Floor, Painting upto 13 Floor, Finishing upto 8 Floor Completed</v>
      </c>
      <c r="J67" s="50"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Flooring upto 14 Floor, Painting upto 13 Floor, Finishing upto 8 Floor</v>
      </c>
    </row>
    <row r="68" spans="1:10" x14ac:dyDescent="0.3">
      <c r="A68" s="16" t="s">
        <v>141</v>
      </c>
      <c r="B68" s="47">
        <f>IF(AND(ISNUMBER(SEARCH("1B",C67))),1,IF(AND(ISNUMBER(SEARCH("2B",C67))),2,IF(AND(ISNUMBER(SEARCH("3B",C67))),3,IF(AND(ISNUMBER(SEARCH("4B",C67))),4,IF(ISNUMBER(SEARCH("5B",C67)),5,0)))))</f>
        <v>0</v>
      </c>
      <c r="C68" s="47" t="s">
        <v>71</v>
      </c>
      <c r="D68" s="47">
        <v>1</v>
      </c>
      <c r="E68" s="47" t="s">
        <v>70</v>
      </c>
      <c r="F68" s="47">
        <v>0</v>
      </c>
      <c r="G68" s="48" t="s">
        <v>79</v>
      </c>
      <c r="H68" s="17">
        <f ca="1">--TRIM(RIGHT(SUBSTITUTE(LEFT(C67,_xlfn.AGGREGATE(16,6,FIND({0,1,2,3,4,5,6,7,8,9},C67,ROW(INDIRECT("1:"&amp;LEN(C67)))),1))," ",REPT(" ",LEN(C67))),LEN(C67)))</f>
        <v>15</v>
      </c>
      <c r="I68" s="51" t="str">
        <f ca="1">IF(D71=100%,"Excavation","")&amp;IF(D72=100%,", Plinth","")&amp;IF(D73=100%,", RCC Slab","")&amp;IF(D74=100%,", Brickwork","")&amp;IF(D75=100%,", Internal Plaster","")&amp;IF(D76=100%,", External Plaster","")&amp;IF(D77=100%,", Flooring","")&amp;IF(D78=100%,", Painting","")&amp;IF(D79=100%,", Building common Amenities","")</f>
        <v>Excavation, Plinth, RCC Slab, Brickwork, Internal Plaster, External Plaster</v>
      </c>
      <c r="J68" s="52"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row>
    <row r="69" spans="1:10" ht="48.6" customHeight="1" x14ac:dyDescent="0.3">
      <c r="A69" s="92" t="s">
        <v>89</v>
      </c>
      <c r="B69" s="93"/>
      <c r="C69" s="94" t="str">
        <f ca="1">I67</f>
        <v>Excavation, Plinth, RCC Slab, Brickwork, Internal Plaster, External Plaster Completed, Flooring upto 14 Floor, Painting upto 13 Floor, Finishing upto 8 Floor Completed</v>
      </c>
      <c r="D69" s="94"/>
      <c r="E69" s="94"/>
      <c r="F69" s="94"/>
      <c r="G69" s="94"/>
      <c r="H69" s="95"/>
      <c r="I69" s="51" t="str">
        <f ca="1">IF(I68&lt;&gt;""," Completed","")</f>
        <v xml:space="preserve"> Completed</v>
      </c>
      <c r="J69" s="52" t="str">
        <f ca="1">IF(J67&lt;&gt;"","Completed","")</f>
        <v>Completed</v>
      </c>
    </row>
    <row r="70" spans="1:10" ht="15.75" customHeight="1" x14ac:dyDescent="0.3">
      <c r="A70" s="74" t="s">
        <v>49</v>
      </c>
      <c r="B70" s="75"/>
      <c r="C70" s="43" t="s">
        <v>138</v>
      </c>
      <c r="D70" s="43" t="s">
        <v>82</v>
      </c>
      <c r="E70" s="75" t="s">
        <v>84</v>
      </c>
      <c r="F70" s="75"/>
      <c r="G70" s="75" t="s">
        <v>83</v>
      </c>
      <c r="H70" s="96"/>
      <c r="I70" s="14" t="s">
        <v>140</v>
      </c>
      <c r="J70" s="28">
        <f ca="1">H68*25%</f>
        <v>3.75</v>
      </c>
    </row>
    <row r="71" spans="1:10" x14ac:dyDescent="0.3">
      <c r="A71" s="74" t="s">
        <v>127</v>
      </c>
      <c r="B71" s="75"/>
      <c r="C71" s="43">
        <f ca="1">J72</f>
        <v>15</v>
      </c>
      <c r="D71" s="19">
        <f ca="1">((100/H68)*C71)/100</f>
        <v>1</v>
      </c>
      <c r="E71" s="65">
        <f ca="1">(((C72/H68*10)+(40/(D68+F68+H68)*C73)+(7.5/(H68)*C74)+(7.5/(H68)*C75)+(10/H68*C76)+(10/H68*C77)+(5/H68*C78)+(5/H68*C79)+(5/H68*C80))/100)</f>
        <v>0.91333333333333333</v>
      </c>
      <c r="F71" s="66"/>
      <c r="G71" s="65">
        <f ca="1">((((C71/H68)*20)+((C72/H68)*25)+(30/(H68+F68+D68)*C73)+(5/H68*C74)+(5/H68*C75)+(5/H68*C76)+(5/H68*C77)+(0/H68*C78)+(0/H68*C79)+(5/H68*C80))/100)</f>
        <v>0.94666666666666677</v>
      </c>
      <c r="H71" s="71"/>
      <c r="I71" s="14" t="s">
        <v>99</v>
      </c>
      <c r="J71" s="29">
        <f ca="1">H68*50%</f>
        <v>7.5</v>
      </c>
    </row>
    <row r="72" spans="1:10" x14ac:dyDescent="0.3">
      <c r="A72" s="74" t="s">
        <v>50</v>
      </c>
      <c r="B72" s="75"/>
      <c r="C72" s="43">
        <f ca="1">J80</f>
        <v>15</v>
      </c>
      <c r="D72" s="19">
        <f ca="1">((100/H68)*C72)/100</f>
        <v>1</v>
      </c>
      <c r="E72" s="67"/>
      <c r="F72" s="68"/>
      <c r="G72" s="67"/>
      <c r="H72" s="72"/>
      <c r="I72" s="14" t="s">
        <v>100</v>
      </c>
      <c r="J72" s="29">
        <f ca="1">H68</f>
        <v>15</v>
      </c>
    </row>
    <row r="73" spans="1:10" ht="15.75" customHeight="1" x14ac:dyDescent="0.3">
      <c r="A73" s="74" t="s">
        <v>128</v>
      </c>
      <c r="B73" s="75"/>
      <c r="C73" s="43">
        <v>16</v>
      </c>
      <c r="D73" s="19">
        <f ca="1">((100/(D68+F68+H68))*C73)/100</f>
        <v>1</v>
      </c>
      <c r="E73" s="67"/>
      <c r="F73" s="68"/>
      <c r="G73" s="67"/>
      <c r="H73" s="72"/>
      <c r="I73" s="14" t="s">
        <v>101</v>
      </c>
      <c r="J73" s="30">
        <f ca="1">(IF(B68&gt;1,(H68/(B68+2)),H68/4))</f>
        <v>3.75</v>
      </c>
    </row>
    <row r="74" spans="1:10" ht="15.75" customHeight="1" x14ac:dyDescent="0.3">
      <c r="A74" s="74" t="s">
        <v>135</v>
      </c>
      <c r="B74" s="75" t="s">
        <v>129</v>
      </c>
      <c r="C74" s="43">
        <v>15</v>
      </c>
      <c r="D74" s="19">
        <f ca="1">((100/H68)*C74)/100</f>
        <v>1</v>
      </c>
      <c r="E74" s="67"/>
      <c r="F74" s="68"/>
      <c r="G74" s="67"/>
      <c r="H74" s="72"/>
      <c r="I74" s="14" t="s">
        <v>102</v>
      </c>
      <c r="J74" s="30">
        <f ca="1">(IF(B68&gt;1,(H68/(B68+2)+J73),H68/4+J73))</f>
        <v>7.5</v>
      </c>
    </row>
    <row r="75" spans="1:10" ht="15.75" customHeight="1" x14ac:dyDescent="0.3">
      <c r="A75" s="74" t="s">
        <v>136</v>
      </c>
      <c r="B75" s="75" t="s">
        <v>129</v>
      </c>
      <c r="C75" s="43">
        <v>15</v>
      </c>
      <c r="D75" s="19">
        <f ca="1">((100/H68)*C75)/100</f>
        <v>1</v>
      </c>
      <c r="E75" s="67"/>
      <c r="F75" s="68"/>
      <c r="G75" s="67"/>
      <c r="H75" s="72"/>
      <c r="I75" s="14" t="s">
        <v>145</v>
      </c>
      <c r="J75" s="30">
        <f>(IF(B68&gt;1,(H68/(B68+2)+J74),0))</f>
        <v>0</v>
      </c>
    </row>
    <row r="76" spans="1:10" ht="15" customHeight="1" x14ac:dyDescent="0.3">
      <c r="A76" s="74" t="s">
        <v>134</v>
      </c>
      <c r="B76" s="75" t="s">
        <v>131</v>
      </c>
      <c r="C76" s="43">
        <v>15</v>
      </c>
      <c r="D76" s="19">
        <f ca="1">((100/(H68))*C76)/100</f>
        <v>1</v>
      </c>
      <c r="E76" s="67"/>
      <c r="F76" s="68"/>
      <c r="G76" s="67"/>
      <c r="H76" s="72"/>
      <c r="I76" s="14" t="s">
        <v>142</v>
      </c>
      <c r="J76" s="30">
        <f>(IF(B68&gt;2,(H68/(B68+2)+J75),0))</f>
        <v>0</v>
      </c>
    </row>
    <row r="77" spans="1:10" ht="15.75" customHeight="1" x14ac:dyDescent="0.3">
      <c r="A77" s="74" t="s">
        <v>130</v>
      </c>
      <c r="B77" s="75" t="s">
        <v>130</v>
      </c>
      <c r="C77" s="43">
        <v>14</v>
      </c>
      <c r="D77" s="19">
        <f ca="1">((100/H68)*C77)/100</f>
        <v>0.93333333333333346</v>
      </c>
      <c r="E77" s="67"/>
      <c r="F77" s="68"/>
      <c r="G77" s="67"/>
      <c r="H77" s="72"/>
      <c r="I77" s="14" t="s">
        <v>143</v>
      </c>
      <c r="J77" s="31">
        <f>(IF(B68&gt;3,(H68/(B68+2)+J76),0))</f>
        <v>0</v>
      </c>
    </row>
    <row r="78" spans="1:10" ht="15.75" customHeight="1" x14ac:dyDescent="0.3">
      <c r="A78" s="74" t="s">
        <v>137</v>
      </c>
      <c r="B78" s="75"/>
      <c r="C78" s="43">
        <v>13</v>
      </c>
      <c r="D78" s="19">
        <f ca="1">((100/H68)*C78)/100</f>
        <v>0.8666666666666667</v>
      </c>
      <c r="E78" s="67"/>
      <c r="F78" s="68"/>
      <c r="G78" s="67"/>
      <c r="H78" s="72"/>
      <c r="I78" s="14" t="s">
        <v>144</v>
      </c>
      <c r="J78" s="30">
        <f>(IF(B68&gt;4,(H68/(B68+2)+J77),0))</f>
        <v>0</v>
      </c>
    </row>
    <row r="79" spans="1:10" ht="15.75" customHeight="1" x14ac:dyDescent="0.3">
      <c r="A79" s="74" t="s">
        <v>132</v>
      </c>
      <c r="B79" s="75" t="s">
        <v>132</v>
      </c>
      <c r="C79" s="43">
        <v>8</v>
      </c>
      <c r="D79" s="19">
        <f ca="1">((100/(H68))*C79)/100</f>
        <v>0.53333333333333333</v>
      </c>
      <c r="E79" s="67"/>
      <c r="F79" s="68"/>
      <c r="G79" s="67"/>
      <c r="H79" s="72"/>
      <c r="I79" s="14" t="s">
        <v>146</v>
      </c>
      <c r="J79" s="30">
        <f ca="1">(IF(B68=1,(H68/(B68+3)+J74),IF(B68=0,(H68/4+J74),IF(B68&gt;1,0))))</f>
        <v>11.25</v>
      </c>
    </row>
    <row r="80" spans="1:10" ht="16.2" thickBot="1" x14ac:dyDescent="0.35">
      <c r="A80" s="76" t="s">
        <v>133</v>
      </c>
      <c r="B80" s="77"/>
      <c r="C80" s="44">
        <v>0</v>
      </c>
      <c r="D80" s="20">
        <f ca="1">((100/(H68))*C80)/100</f>
        <v>0</v>
      </c>
      <c r="E80" s="69"/>
      <c r="F80" s="70"/>
      <c r="G80" s="69"/>
      <c r="H80" s="73"/>
      <c r="I80" s="15" t="s">
        <v>103</v>
      </c>
      <c r="J80" s="32">
        <f ca="1">(IF(B68&gt;1.5,(H68/(B68+2)+J74+MAX(0,J75-J74)+MAX(0,J76-J75)+MAX(0,J77-J76)+MAX(0,J78-J77)+MAX(0,J79-J78)),IF(B68=1,(H68/(B68+3)+J79),IF(B68=0,H68/4+J79))))</f>
        <v>15</v>
      </c>
    </row>
    <row r="81" spans="1:10" ht="15.75" customHeight="1" x14ac:dyDescent="0.3">
      <c r="A81" s="87" t="s">
        <v>139</v>
      </c>
      <c r="B81" s="88"/>
      <c r="C81" s="89" t="str">
        <f>D59</f>
        <v>B Wing = Gr + 1st to 16th Floor</v>
      </c>
      <c r="D81" s="90"/>
      <c r="E81" s="90"/>
      <c r="F81" s="90"/>
      <c r="G81" s="90"/>
      <c r="H81" s="91"/>
      <c r="I81" s="49" t="str">
        <f ca="1">IF(D94=100%,"All work Completed. Possession granted to the Building.",IF(D93=100%,"All work Completed, Waiting for OC",I82&amp;""&amp;I83&amp;""&amp;J82&amp;""&amp;J81&amp;" "&amp;J83))</f>
        <v>Excavation, Plinth, RCC Slab, Brickwork, Internal Plaster, External Plaster Completed, Flooring upto 15 Floor, Painting upto 13 Floor, Finishing upto 6 Floor Completed</v>
      </c>
      <c r="J81" s="50"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Flooring upto 15 Floor, Painting upto 13 Floor, Finishing upto 6 Floor</v>
      </c>
    </row>
    <row r="82" spans="1:10" x14ac:dyDescent="0.3">
      <c r="A82" s="16" t="s">
        <v>141</v>
      </c>
      <c r="B82" s="47">
        <f>IF(AND(ISNUMBER(SEARCH("1B",C81))),1,IF(AND(ISNUMBER(SEARCH("2B",C81))),2,IF(AND(ISNUMBER(SEARCH("3B",C81))),3,IF(AND(ISNUMBER(SEARCH("4B",C81))),4,IF(ISNUMBER(SEARCH("5B",C81)),5,0)))))</f>
        <v>0</v>
      </c>
      <c r="C82" s="47" t="s">
        <v>71</v>
      </c>
      <c r="D82" s="47">
        <v>1</v>
      </c>
      <c r="E82" s="47" t="s">
        <v>70</v>
      </c>
      <c r="F82" s="47">
        <v>0</v>
      </c>
      <c r="G82" s="48" t="s">
        <v>79</v>
      </c>
      <c r="H82" s="17">
        <f ca="1">--TRIM(RIGHT(SUBSTITUTE(LEFT(C81,_xlfn.AGGREGATE(16,6,FIND({0,1,2,3,4,5,6,7,8,9},C81,ROW(INDIRECT("1:"&amp;LEN(C81)))),1))," ",REPT(" ",LEN(C81))),LEN(C81)))</f>
        <v>16</v>
      </c>
      <c r="I82" s="51" t="str">
        <f ca="1">IF(D85=100%,"Excavation","")&amp;IF(D86=100%,", Plinth","")&amp;IF(D87=100%,", RCC Slab","")&amp;IF(D88=100%,", Brickwork","")&amp;IF(D89=100%,", Internal Plaster","")&amp;IF(D90=100%,", External Plaster","")&amp;IF(D91=100%,", Flooring","")&amp;IF(D92=100%,", Painting","")&amp;IF(D93=100%,", Building common Amenities","")</f>
        <v>Excavation, Plinth, RCC Slab, Brickwork, Internal Plaster, External Plaster</v>
      </c>
      <c r="J82" s="52"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
      </c>
    </row>
    <row r="83" spans="1:10" ht="49.8" customHeight="1" x14ac:dyDescent="0.3">
      <c r="A83" s="92" t="s">
        <v>89</v>
      </c>
      <c r="B83" s="93"/>
      <c r="C83" s="94" t="str">
        <f ca="1">I81</f>
        <v>Excavation, Plinth, RCC Slab, Brickwork, Internal Plaster, External Plaster Completed, Flooring upto 15 Floor, Painting upto 13 Floor, Finishing upto 6 Floor Completed</v>
      </c>
      <c r="D83" s="94"/>
      <c r="E83" s="94"/>
      <c r="F83" s="94"/>
      <c r="G83" s="94"/>
      <c r="H83" s="95"/>
      <c r="I83" s="51" t="str">
        <f ca="1">IF(I82&lt;&gt;""," Completed","")</f>
        <v xml:space="preserve"> Completed</v>
      </c>
      <c r="J83" s="52" t="str">
        <f ca="1">IF(J81&lt;&gt;"","Completed","")</f>
        <v>Completed</v>
      </c>
    </row>
    <row r="84" spans="1:10" ht="15.75" customHeight="1" x14ac:dyDescent="0.3">
      <c r="A84" s="74" t="s">
        <v>49</v>
      </c>
      <c r="B84" s="75"/>
      <c r="C84" s="43" t="s">
        <v>138</v>
      </c>
      <c r="D84" s="43" t="s">
        <v>82</v>
      </c>
      <c r="E84" s="75" t="s">
        <v>84</v>
      </c>
      <c r="F84" s="75"/>
      <c r="G84" s="75" t="s">
        <v>83</v>
      </c>
      <c r="H84" s="96"/>
      <c r="I84" s="14" t="s">
        <v>140</v>
      </c>
      <c r="J84" s="28">
        <f ca="1">H82*25%</f>
        <v>4</v>
      </c>
    </row>
    <row r="85" spans="1:10" x14ac:dyDescent="0.3">
      <c r="A85" s="74" t="s">
        <v>127</v>
      </c>
      <c r="B85" s="75"/>
      <c r="C85" s="43">
        <f ca="1">J86</f>
        <v>16</v>
      </c>
      <c r="D85" s="19">
        <f ca="1">((100/H82)*C85)/100</f>
        <v>1</v>
      </c>
      <c r="E85" s="65">
        <f ca="1">(((C86/H82*10)+(40/(D82+F82+H82)*C87)+(7.5/(H82)*C88)+(7.5/(H82)*C89)+(10/H82*C90)+(10/H82*C91)+(5/H82*C92)+(5/H82*C93)+(5/H82*C94))/100)</f>
        <v>0.90312499999999996</v>
      </c>
      <c r="F85" s="66"/>
      <c r="G85" s="65">
        <f ca="1">((((C85/H82)*20)+((C86/H82)*25)+(30/(H82+F82+D82)*C87)+(5/H82*C88)+(5/H82*C89)+(5/H82*C90)+(5/H82*C91)+(0/H82*C92)+(0/H82*C93)+(5/H82*C94))/100)</f>
        <v>0.94687500000000002</v>
      </c>
      <c r="H85" s="71"/>
      <c r="I85" s="14" t="s">
        <v>99</v>
      </c>
      <c r="J85" s="29">
        <f ca="1">H82*50%</f>
        <v>8</v>
      </c>
    </row>
    <row r="86" spans="1:10" x14ac:dyDescent="0.3">
      <c r="A86" s="74" t="s">
        <v>50</v>
      </c>
      <c r="B86" s="75"/>
      <c r="C86" s="43">
        <f ca="1">J94</f>
        <v>16</v>
      </c>
      <c r="D86" s="19">
        <f ca="1">((100/H82)*C86)/100</f>
        <v>1</v>
      </c>
      <c r="E86" s="67"/>
      <c r="F86" s="68"/>
      <c r="G86" s="67"/>
      <c r="H86" s="72"/>
      <c r="I86" s="14" t="s">
        <v>100</v>
      </c>
      <c r="J86" s="29">
        <f ca="1">H82</f>
        <v>16</v>
      </c>
    </row>
    <row r="87" spans="1:10" ht="15.75" customHeight="1" x14ac:dyDescent="0.3">
      <c r="A87" s="74" t="s">
        <v>128</v>
      </c>
      <c r="B87" s="75"/>
      <c r="C87" s="43">
        <v>17</v>
      </c>
      <c r="D87" s="19">
        <f ca="1">((100/(D82+F82+H82))*C87)/100</f>
        <v>1</v>
      </c>
      <c r="E87" s="67"/>
      <c r="F87" s="68"/>
      <c r="G87" s="67"/>
      <c r="H87" s="72"/>
      <c r="I87" s="14" t="s">
        <v>101</v>
      </c>
      <c r="J87" s="30">
        <f ca="1">(IF(B82&gt;1,(H82/(B82+2)),H82/4))</f>
        <v>4</v>
      </c>
    </row>
    <row r="88" spans="1:10" ht="15.75" customHeight="1" x14ac:dyDescent="0.3">
      <c r="A88" s="74" t="s">
        <v>135</v>
      </c>
      <c r="B88" s="75" t="s">
        <v>129</v>
      </c>
      <c r="C88" s="43">
        <v>16</v>
      </c>
      <c r="D88" s="19">
        <f ca="1">((100/H82)*C88)/100</f>
        <v>1</v>
      </c>
      <c r="E88" s="67"/>
      <c r="F88" s="68"/>
      <c r="G88" s="67"/>
      <c r="H88" s="72"/>
      <c r="I88" s="14" t="s">
        <v>102</v>
      </c>
      <c r="J88" s="30">
        <f ca="1">(IF(B82&gt;1,(H82/(B82+2)+J87),H82/4+J87))</f>
        <v>8</v>
      </c>
    </row>
    <row r="89" spans="1:10" ht="15.75" customHeight="1" x14ac:dyDescent="0.3">
      <c r="A89" s="74" t="s">
        <v>136</v>
      </c>
      <c r="B89" s="75" t="s">
        <v>129</v>
      </c>
      <c r="C89" s="43">
        <v>16</v>
      </c>
      <c r="D89" s="19">
        <f ca="1">((100/H82)*C89)/100</f>
        <v>1</v>
      </c>
      <c r="E89" s="67"/>
      <c r="F89" s="68"/>
      <c r="G89" s="67"/>
      <c r="H89" s="72"/>
      <c r="I89" s="14" t="s">
        <v>145</v>
      </c>
      <c r="J89" s="30">
        <f>(IF(B82&gt;1,(H82/(B82+2)+J88),0))</f>
        <v>0</v>
      </c>
    </row>
    <row r="90" spans="1:10" ht="15" customHeight="1" x14ac:dyDescent="0.3">
      <c r="A90" s="74" t="s">
        <v>134</v>
      </c>
      <c r="B90" s="75" t="s">
        <v>131</v>
      </c>
      <c r="C90" s="43">
        <v>16</v>
      </c>
      <c r="D90" s="19">
        <f ca="1">((100/(H82))*C90)/100</f>
        <v>1</v>
      </c>
      <c r="E90" s="67"/>
      <c r="F90" s="68"/>
      <c r="G90" s="67"/>
      <c r="H90" s="72"/>
      <c r="I90" s="14" t="s">
        <v>142</v>
      </c>
      <c r="J90" s="30">
        <f>(IF(B82&gt;2,(H82/(B82+2)+J89),0))</f>
        <v>0</v>
      </c>
    </row>
    <row r="91" spans="1:10" ht="15.75" customHeight="1" x14ac:dyDescent="0.3">
      <c r="A91" s="74" t="s">
        <v>130</v>
      </c>
      <c r="B91" s="75" t="s">
        <v>130</v>
      </c>
      <c r="C91" s="43">
        <v>15</v>
      </c>
      <c r="D91" s="19">
        <f ca="1">((100/H82)*C91)/100</f>
        <v>0.9375</v>
      </c>
      <c r="E91" s="67"/>
      <c r="F91" s="68"/>
      <c r="G91" s="67"/>
      <c r="H91" s="72"/>
      <c r="I91" s="14" t="s">
        <v>143</v>
      </c>
      <c r="J91" s="31">
        <f>(IF(B82&gt;3,(H82/(B82+2)+J90),0))</f>
        <v>0</v>
      </c>
    </row>
    <row r="92" spans="1:10" ht="15.75" customHeight="1" x14ac:dyDescent="0.3">
      <c r="A92" s="74" t="s">
        <v>137</v>
      </c>
      <c r="B92" s="75"/>
      <c r="C92" s="43">
        <v>13</v>
      </c>
      <c r="D92" s="19">
        <f ca="1">((100/H82)*C92)/100</f>
        <v>0.8125</v>
      </c>
      <c r="E92" s="67"/>
      <c r="F92" s="68"/>
      <c r="G92" s="67"/>
      <c r="H92" s="72"/>
      <c r="I92" s="14" t="s">
        <v>144</v>
      </c>
      <c r="J92" s="30">
        <f>(IF(B82&gt;4,(H82/(B82+2)+J91),0))</f>
        <v>0</v>
      </c>
    </row>
    <row r="93" spans="1:10" ht="15.75" customHeight="1" x14ac:dyDescent="0.3">
      <c r="A93" s="74" t="s">
        <v>132</v>
      </c>
      <c r="B93" s="75" t="s">
        <v>132</v>
      </c>
      <c r="C93" s="43">
        <v>6</v>
      </c>
      <c r="D93" s="19">
        <f ca="1">((100/(H82))*C93)/100</f>
        <v>0.375</v>
      </c>
      <c r="E93" s="67"/>
      <c r="F93" s="68"/>
      <c r="G93" s="67"/>
      <c r="H93" s="72"/>
      <c r="I93" s="14" t="s">
        <v>146</v>
      </c>
      <c r="J93" s="30">
        <f ca="1">(IF(B82=1,(H82/(B82+3)+J88),IF(B82=0,(H82/4+J88),IF(B82&gt;1,0))))</f>
        <v>12</v>
      </c>
    </row>
    <row r="94" spans="1:10" ht="16.2" thickBot="1" x14ac:dyDescent="0.35">
      <c r="A94" s="76" t="s">
        <v>133</v>
      </c>
      <c r="B94" s="77"/>
      <c r="C94" s="44">
        <v>0</v>
      </c>
      <c r="D94" s="20">
        <f ca="1">((100/(H82))*C94)/100</f>
        <v>0</v>
      </c>
      <c r="E94" s="69"/>
      <c r="F94" s="70"/>
      <c r="G94" s="69"/>
      <c r="H94" s="73"/>
      <c r="I94" s="15" t="s">
        <v>103</v>
      </c>
      <c r="J94" s="32">
        <f ca="1">(IF(B82&gt;1.5,(H82/(B82+2)+J88+MAX(0,J89-J88)+MAX(0,J90-J89)+MAX(0,J91-J90)+MAX(0,J92-J91)+MAX(0,J93-J92)),IF(B82=1,(H82/(B82+3)+J93),IF(B82=0,H82/4+J93))))</f>
        <v>16</v>
      </c>
    </row>
    <row r="95" spans="1:10" x14ac:dyDescent="0.3">
      <c r="A95" s="187" t="s">
        <v>156</v>
      </c>
      <c r="B95" s="187"/>
      <c r="C95" s="187"/>
      <c r="D95" s="187"/>
      <c r="E95" s="187"/>
      <c r="F95" s="157" t="s">
        <v>160</v>
      </c>
      <c r="G95" s="157"/>
      <c r="H95" s="157"/>
    </row>
    <row r="96" spans="1:10" x14ac:dyDescent="0.3">
      <c r="A96" s="117" t="s">
        <v>158</v>
      </c>
      <c r="B96" s="117"/>
      <c r="C96" s="117"/>
      <c r="D96" s="117"/>
      <c r="E96" s="117"/>
      <c r="F96" s="114">
        <v>15500</v>
      </c>
      <c r="G96" s="114"/>
      <c r="H96" s="114"/>
    </row>
    <row r="97" spans="1:8" x14ac:dyDescent="0.3">
      <c r="A97" s="117" t="s">
        <v>157</v>
      </c>
      <c r="B97" s="117"/>
      <c r="C97" s="117"/>
      <c r="D97" s="117"/>
      <c r="E97" s="117"/>
      <c r="F97" s="114">
        <v>28000</v>
      </c>
      <c r="G97" s="114"/>
      <c r="H97" s="114"/>
    </row>
    <row r="98" spans="1:8" x14ac:dyDescent="0.3">
      <c r="A98" s="117" t="s">
        <v>159</v>
      </c>
      <c r="B98" s="117"/>
      <c r="C98" s="117"/>
      <c r="D98" s="117"/>
      <c r="E98" s="117"/>
      <c r="F98" s="114">
        <v>21000</v>
      </c>
      <c r="G98" s="114"/>
      <c r="H98" s="114"/>
    </row>
    <row r="99" spans="1:8" s="33" customFormat="1" hidden="1" x14ac:dyDescent="0.25">
      <c r="A99" s="117" t="s">
        <v>174</v>
      </c>
      <c r="B99" s="117"/>
      <c r="C99" s="117"/>
      <c r="D99" s="117"/>
      <c r="E99" s="117"/>
      <c r="F99" s="114"/>
      <c r="G99" s="114"/>
      <c r="H99" s="114"/>
    </row>
    <row r="100" spans="1:8" s="33" customFormat="1" hidden="1" x14ac:dyDescent="0.25">
      <c r="A100" s="117" t="s">
        <v>94</v>
      </c>
      <c r="B100" s="117"/>
      <c r="C100" s="117"/>
      <c r="D100" s="117"/>
      <c r="E100" s="117"/>
      <c r="F100" s="114"/>
      <c r="G100" s="114"/>
      <c r="H100" s="114"/>
    </row>
    <row r="101" spans="1:8" s="33" customFormat="1" hidden="1" x14ac:dyDescent="0.25">
      <c r="A101" s="117" t="s">
        <v>95</v>
      </c>
      <c r="B101" s="117"/>
      <c r="C101" s="117"/>
      <c r="D101" s="117"/>
      <c r="E101" s="117"/>
      <c r="F101" s="114"/>
      <c r="G101" s="114"/>
      <c r="H101" s="114"/>
    </row>
    <row r="102" spans="1:8" s="33" customFormat="1" hidden="1" x14ac:dyDescent="0.25">
      <c r="A102" s="117" t="s">
        <v>286</v>
      </c>
      <c r="B102" s="117"/>
      <c r="C102" s="117"/>
      <c r="D102" s="117"/>
      <c r="E102" s="117"/>
      <c r="F102" s="114">
        <v>60000</v>
      </c>
      <c r="G102" s="114"/>
      <c r="H102" s="114"/>
    </row>
    <row r="103" spans="1:8" s="33" customFormat="1" hidden="1" x14ac:dyDescent="0.25">
      <c r="A103" s="117" t="s">
        <v>96</v>
      </c>
      <c r="B103" s="117"/>
      <c r="C103" s="117"/>
      <c r="D103" s="117"/>
      <c r="E103" s="117"/>
      <c r="F103" s="114"/>
      <c r="G103" s="114"/>
      <c r="H103" s="114"/>
    </row>
    <row r="104" spans="1:8" s="33" customFormat="1" x14ac:dyDescent="0.25">
      <c r="A104" s="117" t="s">
        <v>97</v>
      </c>
      <c r="B104" s="117"/>
      <c r="C104" s="117"/>
      <c r="D104" s="117"/>
      <c r="E104" s="117"/>
      <c r="F104" s="114">
        <v>30000</v>
      </c>
      <c r="G104" s="114"/>
      <c r="H104" s="114"/>
    </row>
    <row r="105" spans="1:8" s="33" customFormat="1" hidden="1" x14ac:dyDescent="0.25">
      <c r="A105" s="117" t="s">
        <v>98</v>
      </c>
      <c r="B105" s="117"/>
      <c r="C105" s="117"/>
      <c r="D105" s="117"/>
      <c r="E105" s="117"/>
      <c r="F105" s="114"/>
      <c r="G105" s="114"/>
      <c r="H105" s="114"/>
    </row>
    <row r="106" spans="1:8" x14ac:dyDescent="0.3">
      <c r="A106" s="117" t="s">
        <v>51</v>
      </c>
      <c r="B106" s="117"/>
      <c r="C106" s="117"/>
      <c r="D106" s="117"/>
      <c r="E106" s="117"/>
      <c r="F106" s="114">
        <v>600000</v>
      </c>
      <c r="G106" s="114"/>
      <c r="H106" s="114"/>
    </row>
    <row r="107" spans="1:8" s="34" customFormat="1" x14ac:dyDescent="0.3">
      <c r="A107" s="163" t="s">
        <v>52</v>
      </c>
      <c r="B107" s="163"/>
      <c r="C107" s="163"/>
      <c r="D107" s="163"/>
      <c r="E107" s="163"/>
      <c r="F107" s="114">
        <f>F96*0.8</f>
        <v>12400</v>
      </c>
      <c r="G107" s="114"/>
      <c r="H107" s="114"/>
    </row>
    <row r="108" spans="1:8" s="35" customFormat="1" ht="15.75" customHeight="1" x14ac:dyDescent="0.3">
      <c r="A108" s="162" t="s">
        <v>74</v>
      </c>
      <c r="B108" s="162"/>
      <c r="C108" s="162"/>
      <c r="D108" s="162"/>
      <c r="E108" s="162"/>
      <c r="F108" s="162"/>
      <c r="G108" s="162"/>
      <c r="H108" s="162"/>
    </row>
    <row r="109" spans="1:8" s="35" customFormat="1" ht="15.75" customHeight="1" x14ac:dyDescent="0.3">
      <c r="A109" s="116" t="s">
        <v>53</v>
      </c>
      <c r="B109" s="116"/>
      <c r="C109" s="122" t="s">
        <v>77</v>
      </c>
      <c r="D109" s="122"/>
      <c r="E109" s="121" t="s">
        <v>54</v>
      </c>
      <c r="F109" s="121"/>
      <c r="G109" s="116" t="s">
        <v>55</v>
      </c>
      <c r="H109" s="116"/>
    </row>
    <row r="110" spans="1:8" s="35" customFormat="1" x14ac:dyDescent="0.3">
      <c r="A110" s="46" t="s">
        <v>262</v>
      </c>
      <c r="B110" s="46" t="s">
        <v>261</v>
      </c>
      <c r="C110" s="188">
        <f>COUNT(F126:F130)</f>
        <v>5</v>
      </c>
      <c r="D110" s="184"/>
      <c r="E110" s="143">
        <f>SUM(F126:F130)</f>
        <v>1321.0657200000001</v>
      </c>
      <c r="F110" s="144"/>
      <c r="G110" s="143">
        <f>SUM(H126:H130)</f>
        <v>2047.6518659999999</v>
      </c>
      <c r="H110" s="144"/>
    </row>
    <row r="111" spans="1:8" s="35" customFormat="1" x14ac:dyDescent="0.3">
      <c r="A111" s="164" t="s">
        <v>270</v>
      </c>
      <c r="B111" s="46" t="s">
        <v>261</v>
      </c>
      <c r="C111" s="188">
        <f>COUNT(F133:F138)</f>
        <v>6</v>
      </c>
      <c r="D111" s="184"/>
      <c r="E111" s="143">
        <f>SUM(F133:F138)</f>
        <v>1697.91336</v>
      </c>
      <c r="F111" s="144"/>
      <c r="G111" s="143">
        <f>SUM(H133:H138)</f>
        <v>2631.7657079999999</v>
      </c>
      <c r="H111" s="144"/>
    </row>
    <row r="112" spans="1:8" s="35" customFormat="1" x14ac:dyDescent="0.3">
      <c r="A112" s="164"/>
      <c r="B112" s="46" t="s">
        <v>273</v>
      </c>
      <c r="C112" s="188">
        <f>COUNT(F143:F144)</f>
        <v>2</v>
      </c>
      <c r="D112" s="188"/>
      <c r="E112" s="143">
        <f>SUM(F143:F144)</f>
        <v>1052.8268399999999</v>
      </c>
      <c r="F112" s="143"/>
      <c r="G112" s="143">
        <f>SUM(H143:H144)</f>
        <v>1631.8816019999999</v>
      </c>
      <c r="H112" s="143"/>
    </row>
    <row r="113" spans="1:14" s="35" customFormat="1" x14ac:dyDescent="0.3">
      <c r="A113" s="162" t="s">
        <v>149</v>
      </c>
      <c r="B113" s="162"/>
      <c r="C113" s="196">
        <f>SUM(C110:D112)</f>
        <v>13</v>
      </c>
      <c r="D113" s="122"/>
      <c r="E113" s="196">
        <f>SUM(E110:F112)</f>
        <v>4071.8059199999998</v>
      </c>
      <c r="F113" s="122"/>
      <c r="G113" s="196">
        <f>SUM(G110:H112)</f>
        <v>6311.2991760000004</v>
      </c>
      <c r="H113" s="122"/>
    </row>
    <row r="114" spans="1:14" s="35" customFormat="1" x14ac:dyDescent="0.3">
      <c r="A114" s="162" t="s">
        <v>69</v>
      </c>
      <c r="B114" s="162"/>
      <c r="C114" s="162"/>
      <c r="D114" s="162"/>
      <c r="E114" s="162"/>
      <c r="F114" s="162"/>
      <c r="G114" s="162"/>
      <c r="H114" s="162"/>
    </row>
    <row r="115" spans="1:14" s="35" customFormat="1" ht="15.75" customHeight="1" x14ac:dyDescent="0.3">
      <c r="A115" s="116" t="s">
        <v>53</v>
      </c>
      <c r="B115" s="116"/>
      <c r="C115" s="122" t="s">
        <v>77</v>
      </c>
      <c r="D115" s="122"/>
      <c r="E115" s="121" t="s">
        <v>54</v>
      </c>
      <c r="F115" s="121"/>
      <c r="G115" s="116" t="s">
        <v>55</v>
      </c>
      <c r="H115" s="116"/>
    </row>
    <row r="116" spans="1:14" s="35" customFormat="1" x14ac:dyDescent="0.3">
      <c r="A116" s="164" t="s">
        <v>262</v>
      </c>
      <c r="B116" s="164"/>
      <c r="C116" s="184">
        <f>COUNT(F150:F152)+COUNT(F154:F156)*13+COUNT(F159:F160)</f>
        <v>44</v>
      </c>
      <c r="D116" s="184"/>
      <c r="E116" s="143">
        <f>SUM(F150:F152)+SUM(F154:F156)*13+SUM(F159:F160)</f>
        <v>32043.954384000001</v>
      </c>
      <c r="F116" s="143"/>
      <c r="G116" s="143">
        <f>SUM(H150:H152)+SUM(H154:H156)*13+SUM(H159:H160)</f>
        <v>48065.931576000003</v>
      </c>
      <c r="H116" s="143"/>
    </row>
    <row r="117" spans="1:14" s="35" customFormat="1" x14ac:dyDescent="0.3">
      <c r="A117" s="164" t="s">
        <v>270</v>
      </c>
      <c r="B117" s="164"/>
      <c r="C117" s="184">
        <f>COUNT(F164:F168)*13+COUNT(F171:F174)</f>
        <v>69</v>
      </c>
      <c r="D117" s="184"/>
      <c r="E117" s="143">
        <f>SUM(F164:F168)*13+SUM(F171:F174)</f>
        <v>39010.263411599997</v>
      </c>
      <c r="F117" s="143"/>
      <c r="G117" s="143">
        <f>SUM(H164:H168)*13+SUM(H171:H174)</f>
        <v>58515.395117399996</v>
      </c>
      <c r="H117" s="143"/>
    </row>
    <row r="118" spans="1:14" s="35" customFormat="1" ht="16.2" thickBot="1" x14ac:dyDescent="0.35">
      <c r="A118" s="195" t="s">
        <v>149</v>
      </c>
      <c r="B118" s="195"/>
      <c r="C118" s="145">
        <f>SUM(C116:D117)</f>
        <v>113</v>
      </c>
      <c r="D118" s="145"/>
      <c r="E118" s="145">
        <f t="shared" ref="E118" si="0">SUM(E116:F117)</f>
        <v>71054.217795599994</v>
      </c>
      <c r="F118" s="145"/>
      <c r="G118" s="145">
        <f t="shared" ref="G118" si="1">SUM(G116:H117)</f>
        <v>106581.3266934</v>
      </c>
      <c r="H118" s="145"/>
    </row>
    <row r="119" spans="1:14" s="35" customFormat="1" ht="16.2" thickBot="1" x14ac:dyDescent="0.35">
      <c r="A119" s="149" t="s">
        <v>166</v>
      </c>
      <c r="B119" s="150"/>
      <c r="C119" s="151">
        <f>C113+C118</f>
        <v>126</v>
      </c>
      <c r="D119" s="151"/>
      <c r="E119" s="152">
        <f>E113+E118</f>
        <v>75126.023715599993</v>
      </c>
      <c r="F119" s="152"/>
      <c r="G119" s="190">
        <f>G113+G118</f>
        <v>112892.6258694</v>
      </c>
      <c r="H119" s="191"/>
    </row>
    <row r="120" spans="1:14" s="34" customFormat="1" x14ac:dyDescent="0.3">
      <c r="A120" s="157" t="s">
        <v>56</v>
      </c>
      <c r="B120" s="157"/>
      <c r="C120" s="157"/>
      <c r="D120" s="157"/>
      <c r="E120" s="157"/>
      <c r="F120" s="157"/>
      <c r="G120" s="157"/>
      <c r="H120" s="157"/>
    </row>
    <row r="121" spans="1:14" x14ac:dyDescent="0.3">
      <c r="A121" s="115" t="s">
        <v>173</v>
      </c>
      <c r="B121" s="115"/>
      <c r="C121" s="115"/>
      <c r="D121" s="115"/>
      <c r="E121" s="115"/>
      <c r="F121" s="115"/>
      <c r="G121" s="115"/>
      <c r="H121" s="115"/>
    </row>
    <row r="122" spans="1:14" ht="47.25" customHeight="1" x14ac:dyDescent="0.3">
      <c r="A122" s="110" t="s">
        <v>118</v>
      </c>
      <c r="B122" s="110" t="s">
        <v>176</v>
      </c>
      <c r="C122" s="110" t="s">
        <v>57</v>
      </c>
      <c r="D122" s="110" t="s">
        <v>232</v>
      </c>
      <c r="E122" s="185" t="s">
        <v>155</v>
      </c>
      <c r="F122" s="110" t="s">
        <v>58</v>
      </c>
      <c r="G122" s="185" t="s">
        <v>59</v>
      </c>
      <c r="H122" s="55" t="s">
        <v>148</v>
      </c>
    </row>
    <row r="123" spans="1:14" s="37" customFormat="1" x14ac:dyDescent="0.3">
      <c r="A123" s="111"/>
      <c r="B123" s="111"/>
      <c r="C123" s="111"/>
      <c r="D123" s="111"/>
      <c r="E123" s="186"/>
      <c r="F123" s="111"/>
      <c r="G123" s="186"/>
      <c r="H123" s="13">
        <v>0.55000000000000004</v>
      </c>
      <c r="I123" s="42">
        <v>10.763999999999999</v>
      </c>
    </row>
    <row r="124" spans="1:14" s="37" customFormat="1" x14ac:dyDescent="0.3">
      <c r="A124" s="103" t="s">
        <v>262</v>
      </c>
      <c r="B124" s="104"/>
      <c r="C124" s="104"/>
      <c r="D124" s="104"/>
      <c r="E124" s="104"/>
      <c r="F124" s="104"/>
      <c r="G124" s="104"/>
      <c r="H124" s="105"/>
      <c r="J124" s="36"/>
    </row>
    <row r="125" spans="1:14" s="37" customFormat="1" x14ac:dyDescent="0.3">
      <c r="A125" s="103" t="s">
        <v>271</v>
      </c>
      <c r="B125" s="104"/>
      <c r="C125" s="104"/>
      <c r="D125" s="104"/>
      <c r="E125" s="104"/>
      <c r="F125" s="104"/>
      <c r="G125" s="104"/>
      <c r="H125" s="105"/>
      <c r="J125" s="36"/>
    </row>
    <row r="126" spans="1:14" s="37" customFormat="1" ht="15.75" customHeight="1" x14ac:dyDescent="0.3">
      <c r="A126" s="101">
        <v>1</v>
      </c>
      <c r="B126" s="102"/>
      <c r="C126" s="42" t="s">
        <v>261</v>
      </c>
      <c r="D126" s="42">
        <f>(28.06)*10.764</f>
        <v>302.03783999999996</v>
      </c>
      <c r="E126" s="42">
        <v>0</v>
      </c>
      <c r="F126" s="42">
        <f>D126+E126</f>
        <v>302.03783999999996</v>
      </c>
      <c r="G126" s="42">
        <v>0</v>
      </c>
      <c r="H126" s="42">
        <f>(D126+E126)*(($H$123)+1)</f>
        <v>468.15865199999996</v>
      </c>
      <c r="I126" s="36">
        <f>4.27*4.18+2*3.45+2.12*1.5</f>
        <v>27.928599999999996</v>
      </c>
      <c r="L126" s="100"/>
      <c r="M126" s="100"/>
      <c r="N126" s="36"/>
    </row>
    <row r="127" spans="1:14" s="37" customFormat="1" ht="15.75" customHeight="1" x14ac:dyDescent="0.3">
      <c r="A127" s="101">
        <f t="shared" ref="A127:A137" si="2">A126+1</f>
        <v>2</v>
      </c>
      <c r="B127" s="102"/>
      <c r="C127" s="42" t="s">
        <v>261</v>
      </c>
      <c r="D127" s="42">
        <f>(25.46)*10.764</f>
        <v>274.05144000000001</v>
      </c>
      <c r="E127" s="42">
        <v>0</v>
      </c>
      <c r="F127" s="42">
        <f t="shared" ref="F127:F129" si="3">D127+E127</f>
        <v>274.05144000000001</v>
      </c>
      <c r="G127" s="42">
        <v>0</v>
      </c>
      <c r="H127" s="42">
        <f t="shared" ref="H127:H129" si="4">(D127+E127)*(($H$123)+1)</f>
        <v>424.77973200000002</v>
      </c>
      <c r="I127" s="36"/>
      <c r="L127" s="100"/>
      <c r="M127" s="100"/>
      <c r="N127" s="36"/>
    </row>
    <row r="128" spans="1:14" s="37" customFormat="1" ht="15.75" customHeight="1" x14ac:dyDescent="0.3">
      <c r="A128" s="101">
        <f t="shared" si="2"/>
        <v>3</v>
      </c>
      <c r="B128" s="102"/>
      <c r="C128" s="42" t="s">
        <v>261</v>
      </c>
      <c r="D128" s="42">
        <f>(17)*10.764</f>
        <v>182.988</v>
      </c>
      <c r="E128" s="42">
        <v>0</v>
      </c>
      <c r="F128" s="42">
        <f t="shared" si="3"/>
        <v>182.988</v>
      </c>
      <c r="G128" s="42">
        <v>0</v>
      </c>
      <c r="H128" s="42">
        <f t="shared" si="4"/>
        <v>283.63139999999999</v>
      </c>
      <c r="I128" s="36"/>
      <c r="L128" s="100"/>
      <c r="M128" s="100"/>
      <c r="N128" s="36"/>
    </row>
    <row r="129" spans="1:14" s="37" customFormat="1" ht="15.75" customHeight="1" x14ac:dyDescent="0.3">
      <c r="A129" s="101">
        <f t="shared" si="2"/>
        <v>4</v>
      </c>
      <c r="B129" s="102"/>
      <c r="C129" s="42" t="s">
        <v>261</v>
      </c>
      <c r="D129" s="42">
        <f>(23.6)*10.764</f>
        <v>254.03039999999999</v>
      </c>
      <c r="E129" s="42">
        <v>0</v>
      </c>
      <c r="F129" s="42">
        <f t="shared" si="3"/>
        <v>254.03039999999999</v>
      </c>
      <c r="G129" s="42">
        <v>0</v>
      </c>
      <c r="H129" s="42">
        <f t="shared" si="4"/>
        <v>393.74712</v>
      </c>
      <c r="I129" s="36"/>
      <c r="L129" s="100"/>
      <c r="M129" s="100"/>
      <c r="N129" s="36"/>
    </row>
    <row r="130" spans="1:14" s="37" customFormat="1" ht="15.75" customHeight="1" x14ac:dyDescent="0.3">
      <c r="A130" s="101">
        <f t="shared" si="2"/>
        <v>5</v>
      </c>
      <c r="B130" s="102"/>
      <c r="C130" s="42" t="s">
        <v>261</v>
      </c>
      <c r="D130" s="42">
        <f>(28.61)*10.764</f>
        <v>307.95803999999998</v>
      </c>
      <c r="E130" s="42">
        <v>0</v>
      </c>
      <c r="F130" s="42">
        <f t="shared" ref="F130:F138" si="5">D130+E130</f>
        <v>307.95803999999998</v>
      </c>
      <c r="G130" s="42">
        <v>0</v>
      </c>
      <c r="H130" s="42">
        <f t="shared" ref="H130:H138" si="6">(D130+E130)*(($H$123)+1)</f>
        <v>477.33496199999996</v>
      </c>
      <c r="I130" s="36">
        <f>4.9*5.35+1.19*1.21</f>
        <v>27.654900000000001</v>
      </c>
      <c r="L130" s="100"/>
      <c r="M130" s="100"/>
      <c r="N130" s="36"/>
    </row>
    <row r="131" spans="1:14" s="37" customFormat="1" x14ac:dyDescent="0.3">
      <c r="A131" s="103" t="s">
        <v>270</v>
      </c>
      <c r="B131" s="104"/>
      <c r="C131" s="104"/>
      <c r="D131" s="104"/>
      <c r="E131" s="104"/>
      <c r="F131" s="104"/>
      <c r="G131" s="104"/>
      <c r="H131" s="105"/>
      <c r="J131" s="36"/>
    </row>
    <row r="132" spans="1:14" s="37" customFormat="1" x14ac:dyDescent="0.3">
      <c r="A132" s="103" t="s">
        <v>260</v>
      </c>
      <c r="B132" s="104"/>
      <c r="C132" s="104"/>
      <c r="D132" s="104"/>
      <c r="E132" s="104"/>
      <c r="F132" s="104"/>
      <c r="G132" s="104"/>
      <c r="H132" s="105"/>
      <c r="J132" s="36"/>
    </row>
    <row r="133" spans="1:14" s="37" customFormat="1" ht="15.75" customHeight="1" x14ac:dyDescent="0.3">
      <c r="A133" s="101">
        <f>A130+1</f>
        <v>6</v>
      </c>
      <c r="B133" s="102"/>
      <c r="C133" s="42" t="s">
        <v>261</v>
      </c>
      <c r="D133" s="42">
        <f>(16.44)*10.764</f>
        <v>176.96016</v>
      </c>
      <c r="E133" s="42">
        <v>0</v>
      </c>
      <c r="F133" s="42">
        <f t="shared" si="5"/>
        <v>176.96016</v>
      </c>
      <c r="G133" s="42">
        <v>0</v>
      </c>
      <c r="H133" s="42">
        <f t="shared" si="6"/>
        <v>274.28824800000001</v>
      </c>
      <c r="I133" s="36"/>
      <c r="L133" s="100"/>
      <c r="M133" s="100"/>
      <c r="N133" s="36"/>
    </row>
    <row r="134" spans="1:14" s="37" customFormat="1" ht="15.75" customHeight="1" x14ac:dyDescent="0.3">
      <c r="A134" s="101">
        <f t="shared" si="2"/>
        <v>7</v>
      </c>
      <c r="B134" s="102"/>
      <c r="C134" s="42" t="s">
        <v>261</v>
      </c>
      <c r="D134" s="42">
        <f>(16.44)*10.764</f>
        <v>176.96016</v>
      </c>
      <c r="E134" s="42">
        <v>0</v>
      </c>
      <c r="F134" s="42">
        <f t="shared" si="5"/>
        <v>176.96016</v>
      </c>
      <c r="G134" s="42">
        <v>0</v>
      </c>
      <c r="H134" s="42">
        <f t="shared" si="6"/>
        <v>274.28824800000001</v>
      </c>
      <c r="I134" s="36"/>
      <c r="L134" s="100"/>
      <c r="M134" s="100"/>
      <c r="N134" s="36"/>
    </row>
    <row r="135" spans="1:14" s="37" customFormat="1" ht="15.75" customHeight="1" x14ac:dyDescent="0.3">
      <c r="A135" s="101">
        <f t="shared" si="2"/>
        <v>8</v>
      </c>
      <c r="B135" s="102"/>
      <c r="C135" s="42" t="s">
        <v>261</v>
      </c>
      <c r="D135" s="42">
        <f>(19.6)*10.764</f>
        <v>210.9744</v>
      </c>
      <c r="E135" s="42">
        <v>0</v>
      </c>
      <c r="F135" s="42">
        <f t="shared" si="5"/>
        <v>210.9744</v>
      </c>
      <c r="G135" s="42">
        <v>0</v>
      </c>
      <c r="H135" s="42">
        <f t="shared" si="6"/>
        <v>327.01032000000004</v>
      </c>
      <c r="I135" s="36"/>
      <c r="L135" s="100"/>
      <c r="M135" s="100"/>
      <c r="N135" s="36"/>
    </row>
    <row r="136" spans="1:14" s="37" customFormat="1" ht="15.75" customHeight="1" x14ac:dyDescent="0.3">
      <c r="A136" s="101">
        <f t="shared" si="2"/>
        <v>9</v>
      </c>
      <c r="B136" s="102"/>
      <c r="C136" s="42" t="s">
        <v>261</v>
      </c>
      <c r="D136" s="42">
        <f>(13.19)*10.764</f>
        <v>141.97716</v>
      </c>
      <c r="E136" s="42">
        <v>0</v>
      </c>
      <c r="F136" s="42">
        <f t="shared" si="5"/>
        <v>141.97716</v>
      </c>
      <c r="G136" s="42">
        <v>0</v>
      </c>
      <c r="H136" s="42">
        <f t="shared" si="6"/>
        <v>220.06459799999999</v>
      </c>
      <c r="I136" s="36"/>
      <c r="L136" s="100"/>
      <c r="M136" s="100"/>
      <c r="N136" s="36"/>
    </row>
    <row r="137" spans="1:14" s="37" customFormat="1" ht="15.75" customHeight="1" x14ac:dyDescent="0.3">
      <c r="A137" s="101">
        <f t="shared" si="2"/>
        <v>10</v>
      </c>
      <c r="B137" s="102"/>
      <c r="C137" s="42" t="s">
        <v>261</v>
      </c>
      <c r="D137" s="42">
        <f>(34.47)*10.764</f>
        <v>371.03507999999999</v>
      </c>
      <c r="E137" s="42">
        <v>0</v>
      </c>
      <c r="F137" s="42">
        <f t="shared" si="5"/>
        <v>371.03507999999999</v>
      </c>
      <c r="G137" s="42">
        <v>0</v>
      </c>
      <c r="H137" s="42">
        <f t="shared" si="6"/>
        <v>575.10437400000001</v>
      </c>
      <c r="I137" s="36">
        <f>1/2*4.9*9.3+2.3*2.1+(0.5*8.5)</f>
        <v>31.865000000000002</v>
      </c>
      <c r="L137" s="100"/>
      <c r="M137" s="100"/>
      <c r="N137" s="36"/>
    </row>
    <row r="138" spans="1:14" s="37" customFormat="1" ht="15.75" customHeight="1" x14ac:dyDescent="0.3">
      <c r="A138" s="101">
        <f>A137+1</f>
        <v>11</v>
      </c>
      <c r="B138" s="102"/>
      <c r="C138" s="42" t="s">
        <v>261</v>
      </c>
      <c r="D138" s="42">
        <f>(57.6)*10.764</f>
        <v>620.00639999999999</v>
      </c>
      <c r="E138" s="42">
        <v>0</v>
      </c>
      <c r="F138" s="42">
        <f t="shared" si="5"/>
        <v>620.00639999999999</v>
      </c>
      <c r="G138" s="42">
        <v>0</v>
      </c>
      <c r="H138" s="42">
        <f t="shared" si="6"/>
        <v>961.00991999999997</v>
      </c>
      <c r="I138" s="36">
        <f>5.28*((11.6+11+9)/3)</f>
        <v>55.616</v>
      </c>
      <c r="L138" s="100"/>
      <c r="M138" s="100"/>
      <c r="N138" s="36"/>
    </row>
    <row r="139" spans="1:14" s="37" customFormat="1" x14ac:dyDescent="0.3">
      <c r="A139" s="103" t="s">
        <v>272</v>
      </c>
      <c r="B139" s="104"/>
      <c r="C139" s="104"/>
      <c r="D139" s="104"/>
      <c r="E139" s="104"/>
      <c r="F139" s="104"/>
      <c r="G139" s="104"/>
      <c r="H139" s="105"/>
      <c r="J139" s="36"/>
    </row>
    <row r="140" spans="1:14" s="37" customFormat="1" ht="13.5" customHeight="1" x14ac:dyDescent="0.3">
      <c r="A140" s="101" t="s">
        <v>275</v>
      </c>
      <c r="B140" s="102"/>
      <c r="C140" s="197" t="s">
        <v>276</v>
      </c>
      <c r="D140" s="198"/>
      <c r="E140" s="198"/>
      <c r="F140" s="198"/>
      <c r="G140" s="198"/>
      <c r="H140" s="199"/>
      <c r="I140" s="36">
        <f>7*4.2+5.59*3.15+3.04*1.5+1.21*1.4</f>
        <v>53.262500000000003</v>
      </c>
      <c r="L140" s="100"/>
      <c r="M140" s="100"/>
      <c r="N140" s="36"/>
    </row>
    <row r="141" spans="1:14" s="37" customFormat="1" ht="13.5" customHeight="1" x14ac:dyDescent="0.3">
      <c r="A141" s="101" t="s">
        <v>275</v>
      </c>
      <c r="B141" s="102"/>
      <c r="C141" s="200"/>
      <c r="D141" s="201"/>
      <c r="E141" s="201"/>
      <c r="F141" s="201"/>
      <c r="G141" s="201"/>
      <c r="H141" s="202"/>
      <c r="I141" s="36">
        <f>7*4.2+5.59*3.15+3.04*1.5+1.21*1.4</f>
        <v>53.262500000000003</v>
      </c>
      <c r="L141" s="100"/>
      <c r="M141" s="100"/>
      <c r="N141" s="36"/>
    </row>
    <row r="142" spans="1:14" s="37" customFormat="1" ht="13.5" customHeight="1" x14ac:dyDescent="0.3">
      <c r="A142" s="101" t="s">
        <v>275</v>
      </c>
      <c r="B142" s="102"/>
      <c r="C142" s="203"/>
      <c r="D142" s="204"/>
      <c r="E142" s="204"/>
      <c r="F142" s="204"/>
      <c r="G142" s="204"/>
      <c r="H142" s="205"/>
      <c r="I142" s="36">
        <f>7*4.2+5.59*3.15+3.04*1.5+1.21*1.4</f>
        <v>53.262500000000003</v>
      </c>
      <c r="L142" s="100"/>
      <c r="M142" s="100"/>
      <c r="N142" s="36"/>
    </row>
    <row r="143" spans="1:14" s="37" customFormat="1" ht="15.75" customHeight="1" x14ac:dyDescent="0.3">
      <c r="A143" s="101">
        <v>1</v>
      </c>
      <c r="B143" s="102"/>
      <c r="C143" s="42" t="s">
        <v>273</v>
      </c>
      <c r="D143" s="42">
        <f>(56.45)*10.764</f>
        <v>607.62779999999998</v>
      </c>
      <c r="E143" s="42">
        <v>0</v>
      </c>
      <c r="F143" s="42">
        <f t="shared" ref="F143:F144" si="7">D143+E143</f>
        <v>607.62779999999998</v>
      </c>
      <c r="G143" s="42">
        <v>0</v>
      </c>
      <c r="H143" s="42">
        <f t="shared" ref="H143:H144" si="8">(D143+E143)*(($H$123)+1)</f>
        <v>941.82308999999998</v>
      </c>
      <c r="I143" s="36">
        <f>7*4.2+5.59*3.15+3.04*1.5+1.21*1.4</f>
        <v>53.262500000000003</v>
      </c>
      <c r="L143" s="100"/>
      <c r="M143" s="100"/>
      <c r="N143" s="36"/>
    </row>
    <row r="144" spans="1:14" s="37" customFormat="1" ht="15.75" customHeight="1" x14ac:dyDescent="0.3">
      <c r="A144" s="101">
        <f t="shared" ref="A144" si="9">A143+1</f>
        <v>2</v>
      </c>
      <c r="B144" s="102"/>
      <c r="C144" s="42" t="s">
        <v>273</v>
      </c>
      <c r="D144" s="42">
        <f>(41.36)*10.764</f>
        <v>445.19903999999997</v>
      </c>
      <c r="E144" s="42">
        <v>0</v>
      </c>
      <c r="F144" s="42">
        <f t="shared" si="7"/>
        <v>445.19903999999997</v>
      </c>
      <c r="G144" s="42">
        <v>0</v>
      </c>
      <c r="H144" s="42">
        <f t="shared" si="8"/>
        <v>690.05851199999995</v>
      </c>
      <c r="I144" s="36">
        <f>6.1*3.06+4.21*1.92+2.99*4.15+1.06*2.08</f>
        <v>41.362500000000004</v>
      </c>
      <c r="L144" s="100"/>
      <c r="M144" s="100"/>
      <c r="N144" s="36"/>
    </row>
    <row r="145" spans="1:15" s="37" customFormat="1" x14ac:dyDescent="0.3">
      <c r="A145" s="101"/>
      <c r="B145" s="109"/>
      <c r="C145" s="109"/>
      <c r="D145" s="109"/>
      <c r="E145" s="109"/>
      <c r="F145" s="109"/>
      <c r="G145" s="109"/>
      <c r="H145" s="102"/>
      <c r="I145" s="36"/>
      <c r="N145" s="36"/>
    </row>
    <row r="146" spans="1:15" ht="47.25" customHeight="1" x14ac:dyDescent="0.3">
      <c r="A146" s="158" t="s">
        <v>119</v>
      </c>
      <c r="B146" s="110" t="s">
        <v>177</v>
      </c>
      <c r="C146" s="110" t="s">
        <v>57</v>
      </c>
      <c r="D146" s="110" t="s">
        <v>232</v>
      </c>
      <c r="E146" s="110" t="s">
        <v>231</v>
      </c>
      <c r="F146" s="110" t="s">
        <v>58</v>
      </c>
      <c r="G146" s="185" t="s">
        <v>59</v>
      </c>
      <c r="H146" s="55" t="s">
        <v>148</v>
      </c>
      <c r="I146" s="36"/>
    </row>
    <row r="147" spans="1:15" s="37" customFormat="1" x14ac:dyDescent="0.3">
      <c r="A147" s="159"/>
      <c r="B147" s="111"/>
      <c r="C147" s="111"/>
      <c r="D147" s="111"/>
      <c r="E147" s="111"/>
      <c r="F147" s="111"/>
      <c r="G147" s="186"/>
      <c r="H147" s="13">
        <v>0.5</v>
      </c>
      <c r="I147" s="42">
        <v>10.763999999999999</v>
      </c>
    </row>
    <row r="148" spans="1:15" s="37" customFormat="1" x14ac:dyDescent="0.3">
      <c r="A148" s="103" t="s">
        <v>262</v>
      </c>
      <c r="B148" s="104"/>
      <c r="C148" s="104"/>
      <c r="D148" s="104"/>
      <c r="E148" s="104"/>
      <c r="F148" s="104"/>
      <c r="G148" s="104"/>
      <c r="H148" s="105"/>
      <c r="J148" s="36"/>
    </row>
    <row r="149" spans="1:15" s="37" customFormat="1" x14ac:dyDescent="0.3">
      <c r="A149" s="103" t="s">
        <v>263</v>
      </c>
      <c r="B149" s="104"/>
      <c r="C149" s="104"/>
      <c r="D149" s="104"/>
      <c r="E149" s="104"/>
      <c r="F149" s="104"/>
      <c r="G149" s="104"/>
      <c r="H149" s="105"/>
      <c r="J149" s="36"/>
      <c r="K149" s="37" t="s">
        <v>274</v>
      </c>
    </row>
    <row r="150" spans="1:15" s="37" customFormat="1" ht="15.75" customHeight="1" x14ac:dyDescent="0.3">
      <c r="A150" s="101">
        <v>1</v>
      </c>
      <c r="B150" s="102"/>
      <c r="C150" s="42" t="s">
        <v>264</v>
      </c>
      <c r="D150" s="42">
        <f>(3.35*4.9+3.04*2.28+2.12*2.4+2.99*4.2+2.11*1.21+1.19*1.21+0.9*2.3)*10.764</f>
        <v>506.50217280000004</v>
      </c>
      <c r="E150" s="42">
        <f>(3.19*1.11+2.22*0.9)*10.764</f>
        <v>59.620719599999994</v>
      </c>
      <c r="F150" s="42">
        <f>D150+E150</f>
        <v>566.12289240000007</v>
      </c>
      <c r="G150" s="42">
        <v>0</v>
      </c>
      <c r="H150" s="42">
        <f>F150*(($H$147)+1)+(IF(G150&lt;101,G150,IF(G150&lt;201,G150/2,IF(G150&lt;=301,G150/3,G150/4))))</f>
        <v>849.18433860000005</v>
      </c>
      <c r="I150" s="36">
        <f>(3.35*4.9+3.04*2.28+2.12*2.4+2.99*4.2+2.11*1.21+1.19*1.21+0.9*2.3)</f>
        <v>47.055200000000006</v>
      </c>
      <c r="J150" s="36">
        <f>(3.19*1.11+2.22*0.9)</f>
        <v>5.5388999999999999</v>
      </c>
      <c r="K150" s="36">
        <f>54.2</f>
        <v>54.2</v>
      </c>
      <c r="L150" s="36">
        <f>I150+J150</f>
        <v>52.594100000000005</v>
      </c>
      <c r="N150" s="59">
        <v>746.56</v>
      </c>
      <c r="O150" s="59">
        <f>N150/F150</f>
        <v>1.3187242735142923</v>
      </c>
    </row>
    <row r="151" spans="1:15" s="37" customFormat="1" ht="15.75" customHeight="1" x14ac:dyDescent="0.3">
      <c r="A151" s="101">
        <f t="shared" ref="A151:A152" si="10">A150+1</f>
        <v>2</v>
      </c>
      <c r="B151" s="102"/>
      <c r="C151" s="42" t="s">
        <v>265</v>
      </c>
      <c r="D151" s="42">
        <f>(4.26*4.9+3.35*2.5+2.12*2.85+3.05*3.65+3.05*3.65+3.04*4.87+1.21*2.11+2.05*1.21+1.21*2.35+0.9*1.5+0.9*1.6)*10.764</f>
        <v>893.71231560000001</v>
      </c>
      <c r="E151" s="42">
        <f>(3.5*1.31+2.22*0.9)*10.764</f>
        <v>70.859411999999992</v>
      </c>
      <c r="F151" s="42">
        <f t="shared" ref="F151:F152" si="11">D151+E151</f>
        <v>964.57172760000003</v>
      </c>
      <c r="G151" s="42">
        <v>0</v>
      </c>
      <c r="H151" s="42">
        <f>F151*(($H$147)+1)+(IF(G151&lt;101,G151,IF(G151&lt;201,G151/2,IF(G151&lt;=301,G151/3,G151/4))))</f>
        <v>1446.8575914</v>
      </c>
      <c r="I151" s="36">
        <f>(4.26*4.9+3.35*2.5+2.12*2.85+3.05*3.65+3.05*3.65+3.04*4.87+1.21*2.11+2.05*1.21+1.21*2.35+0.9*1.5+0.9*1.6)</f>
        <v>83.027900000000002</v>
      </c>
      <c r="J151" s="36">
        <f>(3.5*1.31+2.22*0.9)</f>
        <v>6.5830000000000002</v>
      </c>
      <c r="K151" s="36">
        <f>92.85</f>
        <v>92.85</v>
      </c>
      <c r="L151" s="36">
        <f>I151+J151</f>
        <v>89.610900000000001</v>
      </c>
      <c r="N151" s="59">
        <v>1374.95</v>
      </c>
      <c r="O151" s="59">
        <f>N151/F151</f>
        <v>1.4254512761026938</v>
      </c>
    </row>
    <row r="152" spans="1:15" s="37" customFormat="1" ht="15.75" customHeight="1" x14ac:dyDescent="0.3">
      <c r="A152" s="101">
        <f t="shared" si="10"/>
        <v>3</v>
      </c>
      <c r="B152" s="102"/>
      <c r="C152" s="42" t="s">
        <v>266</v>
      </c>
      <c r="D152" s="42">
        <f>(3.4*3.3+3.04*1.5+2.66*2.11+3.2*3.04+2.74*3.04+1.2*2.04+2.11*1.21+0.9*2.4+0.9*1.2)*10.764</f>
        <v>513.34915319999993</v>
      </c>
      <c r="E152" s="42">
        <v>0</v>
      </c>
      <c r="F152" s="42">
        <f t="shared" si="11"/>
        <v>513.34915319999993</v>
      </c>
      <c r="G152" s="42">
        <v>0</v>
      </c>
      <c r="H152" s="42">
        <f>F152*(($H$147)+1)+(IF(G152&lt;101,G152,IF(G152&lt;201,G152/2,IF(G152&lt;=301,G152/3,G152/4))))</f>
        <v>770.02372979999996</v>
      </c>
      <c r="I152" s="36">
        <f>(3.4*3.3+3.04*1.5+2.66*2.11+3.2*3.04+2.74*3.04+1.2*2.04+2.11*1.21+0.9*2.4+0.9*1.2)</f>
        <v>47.691299999999998</v>
      </c>
      <c r="J152" s="36"/>
      <c r="K152" s="36">
        <f>49.03</f>
        <v>49.03</v>
      </c>
      <c r="M152" s="37">
        <f>11800000/H152</f>
        <v>15324.203064579375</v>
      </c>
      <c r="N152" s="59">
        <v>793.75</v>
      </c>
      <c r="O152" s="59">
        <f>N152/F152</f>
        <v>1.5462185825224424</v>
      </c>
    </row>
    <row r="153" spans="1:15" s="37" customFormat="1" x14ac:dyDescent="0.3">
      <c r="A153" s="106" t="s">
        <v>267</v>
      </c>
      <c r="B153" s="106"/>
      <c r="C153" s="106"/>
      <c r="D153" s="106"/>
      <c r="E153" s="106"/>
      <c r="F153" s="106"/>
      <c r="G153" s="106"/>
      <c r="H153" s="106"/>
      <c r="K153" s="36"/>
      <c r="N153" s="59"/>
      <c r="O153" s="59"/>
    </row>
    <row r="154" spans="1:15" s="37" customFormat="1" x14ac:dyDescent="0.3">
      <c r="A154" s="107">
        <v>1</v>
      </c>
      <c r="B154" s="107"/>
      <c r="C154" s="42" t="s">
        <v>266</v>
      </c>
      <c r="D154" s="42">
        <f>(3.35*4.9+3.04*2.28+2.12*2.4+3.04*3.2+3.04*4.2+2.11*1.21+2.11*1.21+0.9*5.5)*10.764</f>
        <v>656.45760960000007</v>
      </c>
      <c r="E154" s="42">
        <f>(3.19*1.11+2.22*0.9)*10.764</f>
        <v>59.620719599999994</v>
      </c>
      <c r="F154" s="42">
        <f>D154+E154</f>
        <v>716.0783292000001</v>
      </c>
      <c r="G154" s="42">
        <v>0</v>
      </c>
      <c r="H154" s="42">
        <f>F154*(($H$147)+1)+(IF(G154&lt;101,G154,IF(G154&lt;201,G154/2,IF(G154&lt;=301,G154/3,G154/4))))</f>
        <v>1074.1174938000001</v>
      </c>
      <c r="I154" s="36">
        <f>(3.35*4.9+3.04*2.28+2.12*2.4+3.04*3.2+3.04*4.2+2.11*1.21+2.11*1.21+0.9*5.5)</f>
        <v>60.98640000000001</v>
      </c>
      <c r="J154" s="56">
        <f>(3.19*1.11+2.22*0.9)</f>
        <v>5.5388999999999999</v>
      </c>
      <c r="K154" s="36">
        <f>68.8</f>
        <v>68.8</v>
      </c>
      <c r="N154" s="60">
        <v>900.22</v>
      </c>
      <c r="O154" s="60"/>
    </row>
    <row r="155" spans="1:15" s="37" customFormat="1" x14ac:dyDescent="0.3">
      <c r="A155" s="107">
        <f>A154+1</f>
        <v>2</v>
      </c>
      <c r="B155" s="107"/>
      <c r="C155" s="42" t="s">
        <v>265</v>
      </c>
      <c r="D155" s="42">
        <f>(4.26*4.9+3.35*2.5+2.12*2.85+3.05*3.65+3.05*3.65+3.04*4.87+1.21*2.11+2.05*1.21+1.21*2.35+0.9*1.5+0.9*1.6)*10.764</f>
        <v>893.71231560000001</v>
      </c>
      <c r="E155" s="42">
        <f>(3.5*1.31+2.22*0.9)*10.764</f>
        <v>70.859411999999992</v>
      </c>
      <c r="F155" s="42">
        <f t="shared" ref="F155:F156" si="12">D155+E155</f>
        <v>964.57172760000003</v>
      </c>
      <c r="G155" s="42">
        <v>0</v>
      </c>
      <c r="H155" s="42">
        <f>F155*(($H$147)+1)+(IF(G155&lt;101,G155,IF(G155&lt;201,G155/2,IF(G155&lt;=301,G155/3,G155/4))))</f>
        <v>1446.8575914</v>
      </c>
      <c r="K155" s="36">
        <f>92.85</f>
        <v>92.85</v>
      </c>
      <c r="N155" s="60">
        <v>1374.95</v>
      </c>
      <c r="O155" s="60"/>
    </row>
    <row r="156" spans="1:15" s="37" customFormat="1" x14ac:dyDescent="0.3">
      <c r="A156" s="107">
        <f>A155+1</f>
        <v>3</v>
      </c>
      <c r="B156" s="107"/>
      <c r="C156" s="42" t="s">
        <v>266</v>
      </c>
      <c r="D156" s="42">
        <f>(3.4*3.3+3.04*1.5+2.66*2.11+3.2*3.04+2.74*3.04+1.2*2.04+2.11*1.21+0.9*2.4+0.9*1.2)*10.764</f>
        <v>513.34915319999993</v>
      </c>
      <c r="E156" s="42">
        <v>0</v>
      </c>
      <c r="F156" s="42">
        <f t="shared" si="12"/>
        <v>513.34915319999993</v>
      </c>
      <c r="G156" s="42">
        <v>0</v>
      </c>
      <c r="H156" s="42">
        <f>F156*(($H$147)+1)+(IF(G156&lt;101,G156,IF(G156&lt;201,G156/2,IF(G156&lt;=301,G156/3,G156/4))))</f>
        <v>770.02372979999996</v>
      </c>
      <c r="K156" s="36">
        <f>49.03</f>
        <v>49.03</v>
      </c>
      <c r="N156" s="60">
        <v>793.75</v>
      </c>
      <c r="O156" s="60"/>
    </row>
    <row r="157" spans="1:15" s="37" customFormat="1" x14ac:dyDescent="0.3">
      <c r="A157" s="106" t="s">
        <v>268</v>
      </c>
      <c r="B157" s="106"/>
      <c r="C157" s="106"/>
      <c r="D157" s="106"/>
      <c r="E157" s="106"/>
      <c r="F157" s="106"/>
      <c r="G157" s="106"/>
      <c r="H157" s="106"/>
      <c r="K157" s="36"/>
      <c r="N157" s="59"/>
      <c r="O157" s="59"/>
    </row>
    <row r="158" spans="1:15" s="37" customFormat="1" x14ac:dyDescent="0.3">
      <c r="A158" s="107">
        <v>1</v>
      </c>
      <c r="B158" s="107"/>
      <c r="C158" s="101" t="s">
        <v>269</v>
      </c>
      <c r="D158" s="109"/>
      <c r="E158" s="109"/>
      <c r="F158" s="109"/>
      <c r="G158" s="109"/>
      <c r="H158" s="102"/>
      <c r="K158" s="36"/>
      <c r="N158" s="60"/>
      <c r="O158" s="60"/>
    </row>
    <row r="159" spans="1:15" s="37" customFormat="1" x14ac:dyDescent="0.3">
      <c r="A159" s="107">
        <f>A158+1</f>
        <v>2</v>
      </c>
      <c r="B159" s="107"/>
      <c r="C159" s="42" t="s">
        <v>265</v>
      </c>
      <c r="D159" s="42">
        <f>(4.26*4.9+3.35*2.5+2.12*2.85+3.05*3.65+3.05*3.65+3.04*4.87+1.21*2.11+2.05*1.21+1.21*2.35+0.9*1.5+0.9*1.6)*10.764</f>
        <v>893.71231560000001</v>
      </c>
      <c r="E159" s="42">
        <f>(3.5*1.31+2.22*0.9)*10.764</f>
        <v>70.859411999999992</v>
      </c>
      <c r="F159" s="42">
        <f t="shared" ref="F159:F160" si="13">D159+E159</f>
        <v>964.57172760000003</v>
      </c>
      <c r="G159" s="42">
        <v>0</v>
      </c>
      <c r="H159" s="42">
        <f t="shared" ref="H159:H160" si="14">F159*(($H$147)+1)+(IF(G159&lt;101,G159,IF(G159&lt;201,G159/2,IF(G159&lt;=301,G159/3,G159/4))))</f>
        <v>1446.8575914</v>
      </c>
      <c r="K159" s="36">
        <f>92.85</f>
        <v>92.85</v>
      </c>
      <c r="M159" s="37">
        <f>20000000/H159</f>
        <v>13823.060485619539</v>
      </c>
      <c r="N159" s="60">
        <v>1374.95</v>
      </c>
      <c r="O159" s="60">
        <f>N159/F159</f>
        <v>1.4254512761026938</v>
      </c>
    </row>
    <row r="160" spans="1:15" s="37" customFormat="1" x14ac:dyDescent="0.3">
      <c r="A160" s="107">
        <f>A159+1</f>
        <v>3</v>
      </c>
      <c r="B160" s="107"/>
      <c r="C160" s="42" t="s">
        <v>266</v>
      </c>
      <c r="D160" s="42">
        <f>(3.4*3.3+3.04*1.5+2.66*2.11+3.2*3.04+2.74*3.04+1.2*2.04+2.11*1.21+0.9*2.4+0.9*1.2)*10.764</f>
        <v>513.34915319999993</v>
      </c>
      <c r="E160" s="42">
        <v>0</v>
      </c>
      <c r="F160" s="42">
        <f t="shared" si="13"/>
        <v>513.34915319999993</v>
      </c>
      <c r="G160" s="42">
        <v>0</v>
      </c>
      <c r="H160" s="42">
        <f t="shared" si="14"/>
        <v>770.02372979999996</v>
      </c>
      <c r="K160" s="36">
        <f>49.03</f>
        <v>49.03</v>
      </c>
      <c r="N160" s="60">
        <v>746.56</v>
      </c>
      <c r="O160" s="60"/>
    </row>
    <row r="161" spans="1:15" s="37" customFormat="1" x14ac:dyDescent="0.3">
      <c r="A161" s="103" t="s">
        <v>270</v>
      </c>
      <c r="B161" s="104"/>
      <c r="C161" s="104"/>
      <c r="D161" s="104"/>
      <c r="E161" s="104"/>
      <c r="F161" s="104"/>
      <c r="G161" s="104"/>
      <c r="H161" s="105"/>
      <c r="J161" s="36"/>
      <c r="N161" s="60"/>
      <c r="O161" s="60"/>
    </row>
    <row r="162" spans="1:15" s="37" customFormat="1" x14ac:dyDescent="0.3">
      <c r="A162" s="103" t="s">
        <v>272</v>
      </c>
      <c r="B162" s="104"/>
      <c r="C162" s="104"/>
      <c r="D162" s="104"/>
      <c r="E162" s="104"/>
      <c r="F162" s="104"/>
      <c r="G162" s="104"/>
      <c r="H162" s="105"/>
      <c r="J162" s="36"/>
      <c r="N162" s="60"/>
      <c r="O162" s="60"/>
    </row>
    <row r="163" spans="1:15" s="37" customFormat="1" x14ac:dyDescent="0.3">
      <c r="A163" s="106" t="s">
        <v>267</v>
      </c>
      <c r="B163" s="106"/>
      <c r="C163" s="106"/>
      <c r="D163" s="106"/>
      <c r="E163" s="106"/>
      <c r="F163" s="106"/>
      <c r="G163" s="106"/>
      <c r="H163" s="106"/>
      <c r="I163" s="36"/>
      <c r="N163" s="59"/>
      <c r="O163" s="59"/>
    </row>
    <row r="164" spans="1:15" s="37" customFormat="1" x14ac:dyDescent="0.3">
      <c r="A164" s="107">
        <v>1</v>
      </c>
      <c r="B164" s="107"/>
      <c r="C164" s="42" t="s">
        <v>266</v>
      </c>
      <c r="D164" s="42">
        <f>(3.35*3.1+3.04*2.22+2.41*2.13+3.04*4.2+3.04*3.15+1.21*2.13+2.05*1.21+0.9*3.04)*10.764</f>
        <v>564.08634359999996</v>
      </c>
      <c r="E164" s="42">
        <f>(3.04*1.06)*10.764</f>
        <v>34.685913599999999</v>
      </c>
      <c r="F164" s="42">
        <f>D164+E164</f>
        <v>598.77225720000001</v>
      </c>
      <c r="G164" s="42">
        <v>0</v>
      </c>
      <c r="H164" s="42">
        <f>F164*(($H$147)+1)+(IF(G164&lt;101,G164,IF(G164&lt;201,G164/2,IF(G164&lt;=301,G164/3,G164/4))))</f>
        <v>898.15838580000002</v>
      </c>
      <c r="I164" s="36">
        <f>(3.35*3.1+3.04*2.22+2.41*2.13+3.04*4.2+3.04*3.15+1.21*2.13+2.05*1.21+0.9*3.04)</f>
        <v>52.404899999999998</v>
      </c>
      <c r="J164" s="36">
        <f>(3.04*1.06)</f>
        <v>3.2224000000000004</v>
      </c>
      <c r="K164" s="36">
        <f>58.2</f>
        <v>58.2</v>
      </c>
      <c r="N164" s="60">
        <v>900.22</v>
      </c>
      <c r="O164" s="60"/>
    </row>
    <row r="165" spans="1:15" s="37" customFormat="1" x14ac:dyDescent="0.3">
      <c r="A165" s="107">
        <f>A164+1</f>
        <v>2</v>
      </c>
      <c r="B165" s="107"/>
      <c r="C165" s="42" t="s">
        <v>264</v>
      </c>
      <c r="D165" s="42">
        <f>(3.04*5.87+2.11*2.42+3.04*3.35+1.21*1.42+1.21*2.14+0.9*1.4)*10.764</f>
        <v>416.59478640000003</v>
      </c>
      <c r="E165" s="42">
        <v>0</v>
      </c>
      <c r="F165" s="42">
        <f t="shared" ref="F165:F166" si="15">D165+E165</f>
        <v>416.59478640000003</v>
      </c>
      <c r="G165" s="42">
        <v>0</v>
      </c>
      <c r="H165" s="42">
        <f>F165*(($H$147)+1)+(IF(G165&lt;101,G165,IF(G165&lt;201,G165/2,IF(G165&lt;=301,G165/3,G165/4))))</f>
        <v>624.89217960000008</v>
      </c>
      <c r="I165" s="36">
        <f>(3.04*5.87+2.11*2.42+3.04*3.35+1.21*1.42+1.21*2.14+0.9*1.4)</f>
        <v>38.702600000000004</v>
      </c>
      <c r="J165" s="36"/>
      <c r="K165" s="36">
        <f>40.2</f>
        <v>40.200000000000003</v>
      </c>
      <c r="N165" s="60">
        <v>603.4</v>
      </c>
      <c r="O165" s="60"/>
    </row>
    <row r="166" spans="1:15" s="37" customFormat="1" x14ac:dyDescent="0.3">
      <c r="A166" s="107">
        <f>A165+1</f>
        <v>3</v>
      </c>
      <c r="B166" s="107"/>
      <c r="C166" s="42" t="s">
        <v>264</v>
      </c>
      <c r="D166" s="42">
        <f>(3.04*5.87+2.01*2.59+3.04*3.35+2.04*1.21+1.55*1.11+0.9*1.21)*10.764</f>
        <v>414.54962640000002</v>
      </c>
      <c r="E166" s="42">
        <v>0</v>
      </c>
      <c r="F166" s="42">
        <f t="shared" si="15"/>
        <v>414.54962640000002</v>
      </c>
      <c r="G166" s="42">
        <v>0</v>
      </c>
      <c r="H166" s="42">
        <f>F166*(($H$147)+1)+(IF(G166&lt;101,G166,IF(G166&lt;201,G166/2,IF(G166&lt;=301,G166/3,G166/4))))</f>
        <v>621.82443960000001</v>
      </c>
      <c r="I166" s="36">
        <f>(3.04*5.87+2.01*2.59+3.04*3.35+2.04*1.21+1.55*1.11+0.9*1.21)</f>
        <v>38.512600000000006</v>
      </c>
      <c r="J166" s="36"/>
      <c r="K166" s="36">
        <f>40.09</f>
        <v>40.090000000000003</v>
      </c>
      <c r="N166" s="60">
        <v>597.82000000000005</v>
      </c>
      <c r="O166" s="60"/>
    </row>
    <row r="167" spans="1:15" s="37" customFormat="1" x14ac:dyDescent="0.3">
      <c r="A167" s="107">
        <f t="shared" ref="A167:A168" si="16">A166+1</f>
        <v>4</v>
      </c>
      <c r="B167" s="107"/>
      <c r="C167" s="58" t="s">
        <v>266</v>
      </c>
      <c r="D167" s="42">
        <f>(7*3.2+2.11*2.25+3.04*3.15+3.65*3.15+1.21*2.15+1.21*2.15+0.9*4.9)*10.764</f>
        <v>622.52517599999999</v>
      </c>
      <c r="E167" s="42">
        <f>(1.21*3.3)*10.764</f>
        <v>42.980651999999999</v>
      </c>
      <c r="F167" s="58">
        <f t="shared" ref="F167:F168" si="17">D167+E167</f>
        <v>665.50582799999995</v>
      </c>
      <c r="G167" s="58">
        <v>0</v>
      </c>
      <c r="H167" s="58">
        <f t="shared" ref="H167:H168" si="18">F167*(($H$147)+1)+(IF(G167&lt;101,G167,IF(G167&lt;201,G167/2,IF(G167&lt;=301,G167/3,G167/4))))</f>
        <v>998.25874199999998</v>
      </c>
      <c r="I167" s="36">
        <f>(7*3.2+2.11*2.25+3.04*3.15+3.65*3.15+1.21*2.15+1.21*2.15+0.9*4.9)</f>
        <v>57.834000000000003</v>
      </c>
      <c r="J167" s="36">
        <f>(1.21*3.3)</f>
        <v>3.9929999999999999</v>
      </c>
      <c r="K167" s="57">
        <f>73.62</f>
        <v>73.62</v>
      </c>
      <c r="N167" s="60">
        <v>933.66</v>
      </c>
      <c r="O167" s="60"/>
    </row>
    <row r="168" spans="1:15" s="37" customFormat="1" x14ac:dyDescent="0.3">
      <c r="A168" s="107">
        <f t="shared" si="16"/>
        <v>5</v>
      </c>
      <c r="B168" s="107"/>
      <c r="C168" s="58" t="s">
        <v>265</v>
      </c>
      <c r="D168" s="58">
        <f>(6.1*3.13+2.8*2.11+3.04*4.15+2.15*3.15+3.04*3.15+1.21*2.13+1.21*2.13+1.21*2.11+0.9*5)*10.764</f>
        <v>712.28832480000005</v>
      </c>
      <c r="E168" s="58">
        <f>(1.16*3.28)*10.764</f>
        <v>40.954867199999988</v>
      </c>
      <c r="F168" s="58">
        <f t="shared" si="17"/>
        <v>753.24319200000002</v>
      </c>
      <c r="G168" s="58">
        <v>0</v>
      </c>
      <c r="H168" s="58">
        <f t="shared" si="18"/>
        <v>1129.8647880000001</v>
      </c>
      <c r="I168" s="36">
        <f>(6.1*3.13+2.8*2.11+3.04*4.15+2.15*3.15+3.04*3.15+1.21*2.13+1.21*2.13+1.21*2.11+0.9*5)</f>
        <v>66.173200000000008</v>
      </c>
      <c r="J168" s="36">
        <f>(1.16*3.28)</f>
        <v>3.8047999999999993</v>
      </c>
      <c r="K168" s="57">
        <f>64.54</f>
        <v>64.540000000000006</v>
      </c>
      <c r="N168" s="60">
        <v>966.36</v>
      </c>
      <c r="O168" s="60"/>
    </row>
    <row r="169" spans="1:15" s="37" customFormat="1" x14ac:dyDescent="0.3">
      <c r="A169" s="106" t="s">
        <v>268</v>
      </c>
      <c r="B169" s="106"/>
      <c r="C169" s="106"/>
      <c r="D169" s="106"/>
      <c r="E169" s="106"/>
      <c r="F169" s="106"/>
      <c r="G169" s="106"/>
      <c r="H169" s="106"/>
      <c r="I169" s="36"/>
      <c r="N169" s="59"/>
      <c r="O169" s="59"/>
    </row>
    <row r="170" spans="1:15" s="37" customFormat="1" x14ac:dyDescent="0.3">
      <c r="A170" s="107">
        <v>1</v>
      </c>
      <c r="B170" s="107"/>
      <c r="C170" s="101" t="s">
        <v>269</v>
      </c>
      <c r="D170" s="109"/>
      <c r="E170" s="109"/>
      <c r="F170" s="109"/>
      <c r="G170" s="109"/>
      <c r="H170" s="102"/>
      <c r="I170" s="36"/>
      <c r="N170" s="60"/>
      <c r="O170" s="60"/>
    </row>
    <row r="171" spans="1:15" s="37" customFormat="1" x14ac:dyDescent="0.3">
      <c r="A171" s="107">
        <f>A170+1</f>
        <v>2</v>
      </c>
      <c r="B171" s="107"/>
      <c r="C171" s="42" t="s">
        <v>264</v>
      </c>
      <c r="D171" s="42">
        <f>(3.04*5.87+2.11*2.42+3.04*3.35+1.21*1.42+1.21*2.14+0.9*1.4)*10.764</f>
        <v>416.59478640000003</v>
      </c>
      <c r="E171" s="42">
        <v>0</v>
      </c>
      <c r="F171" s="42">
        <f t="shared" ref="F171:F174" si="19">D171+E171</f>
        <v>416.59478640000003</v>
      </c>
      <c r="G171" s="42">
        <v>0</v>
      </c>
      <c r="H171" s="42">
        <f>F171*(($H$147)+1)+(IF(G171&lt;101,G171,IF(G171&lt;201,G171/2,IF(G171&lt;=301,G171/3,G171/4))))</f>
        <v>624.89217960000008</v>
      </c>
      <c r="K171" s="36">
        <f>40.2</f>
        <v>40.200000000000003</v>
      </c>
      <c r="N171" s="60">
        <v>433</v>
      </c>
      <c r="O171" s="60"/>
    </row>
    <row r="172" spans="1:15" s="37" customFormat="1" x14ac:dyDescent="0.3">
      <c r="A172" s="108">
        <f>A171+1</f>
        <v>3</v>
      </c>
      <c r="B172" s="108"/>
      <c r="C172" s="58" t="s">
        <v>264</v>
      </c>
      <c r="D172" s="58">
        <f>(3.04*5.87+2.01*2.59+3.04*3.35+2.04*1.21+1.55*1.11+0.9*1.21)*10.764</f>
        <v>414.54962640000002</v>
      </c>
      <c r="E172" s="58">
        <v>0</v>
      </c>
      <c r="F172" s="58">
        <f t="shared" si="19"/>
        <v>414.54962640000002</v>
      </c>
      <c r="G172" s="58">
        <v>0</v>
      </c>
      <c r="H172" s="58">
        <f>F172*(($H$147)+1)+(IF(G172&lt;101,G172,IF(G172&lt;201,G172/2,IF(G172&lt;=301,G172/3,G172/4))))</f>
        <v>621.82443960000001</v>
      </c>
      <c r="K172" s="36">
        <f>40.09</f>
        <v>40.090000000000003</v>
      </c>
      <c r="M172" s="37">
        <f>96000000/H172</f>
        <v>154384.41123631899</v>
      </c>
      <c r="N172" s="60">
        <v>429</v>
      </c>
      <c r="O172" s="60"/>
    </row>
    <row r="173" spans="1:15" s="37" customFormat="1" x14ac:dyDescent="0.3">
      <c r="A173" s="108">
        <f t="shared" ref="A173:A174" si="20">A172+1</f>
        <v>4</v>
      </c>
      <c r="B173" s="108"/>
      <c r="C173" s="58" t="s">
        <v>266</v>
      </c>
      <c r="D173" s="58">
        <f>(7*3.2+2.11*2.25+3.04*3.15+3.65*3.15+1.21*2.15+1.21*2.15+0.9*4.9)*10.764</f>
        <v>622.52517599999999</v>
      </c>
      <c r="E173" s="58">
        <f>(1.21*3.3)*10.764</f>
        <v>42.980651999999999</v>
      </c>
      <c r="F173" s="58">
        <f t="shared" si="19"/>
        <v>665.50582799999995</v>
      </c>
      <c r="G173" s="58">
        <v>0</v>
      </c>
      <c r="H173" s="58">
        <f t="shared" ref="H173:H174" si="21">F173*(($H$147)+1)+(IF(G173&lt;101,G173,IF(G173&lt;201,G173/2,IF(G173&lt;=301,G173/3,G173/4))))</f>
        <v>998.25874199999998</v>
      </c>
      <c r="K173" s="57">
        <f>73.62</f>
        <v>73.62</v>
      </c>
      <c r="M173" s="37">
        <f>18400000/H173</f>
        <v>18432.095032932855</v>
      </c>
      <c r="N173" s="60"/>
      <c r="O173" s="60"/>
    </row>
    <row r="174" spans="1:15" s="37" customFormat="1" x14ac:dyDescent="0.3">
      <c r="A174" s="107">
        <f t="shared" si="20"/>
        <v>5</v>
      </c>
      <c r="B174" s="107"/>
      <c r="C174" s="58" t="s">
        <v>264</v>
      </c>
      <c r="D174" s="58">
        <f>(6.1*3.13+2.8*2.11+3.04*3.15+1.21*2.13+1.21*2.11+0.9*1.3)*10.764</f>
        <v>440.0043336</v>
      </c>
      <c r="E174" s="58">
        <f>(1.16*3.28)*10.764</f>
        <v>40.954867199999988</v>
      </c>
      <c r="F174" s="58">
        <f t="shared" si="19"/>
        <v>480.95920079999996</v>
      </c>
      <c r="G174" s="58">
        <v>0</v>
      </c>
      <c r="H174" s="58">
        <f t="shared" si="21"/>
        <v>721.43880119999994</v>
      </c>
      <c r="I174" s="36">
        <f>(6.1*3.13+2.8*2.11+3.04*3.15+1.21*2.13+1.21*2.11+0.9*1.3)</f>
        <v>40.877400000000002</v>
      </c>
      <c r="J174" s="36">
        <f>(1.16*3.28)</f>
        <v>3.8047999999999993</v>
      </c>
      <c r="K174" s="36">
        <f>46.77</f>
        <v>46.77</v>
      </c>
      <c r="M174" s="37">
        <f>10800000/H174</f>
        <v>14970.08475567976</v>
      </c>
      <c r="N174" s="60">
        <v>480</v>
      </c>
      <c r="O174" s="60"/>
    </row>
    <row r="175" spans="1:15" s="35" customFormat="1" x14ac:dyDescent="0.3">
      <c r="A175" s="156" t="s">
        <v>67</v>
      </c>
      <c r="B175" s="156"/>
      <c r="C175" s="156"/>
      <c r="D175" s="156"/>
      <c r="E175" s="156"/>
      <c r="F175" s="156"/>
      <c r="G175" s="156"/>
      <c r="H175" s="156"/>
    </row>
    <row r="176" spans="1:15" s="35" customFormat="1" x14ac:dyDescent="0.3">
      <c r="A176" s="46" t="s">
        <v>152</v>
      </c>
      <c r="B176" s="146" t="s">
        <v>292</v>
      </c>
      <c r="C176" s="147"/>
      <c r="D176" s="147"/>
      <c r="E176" s="147"/>
      <c r="F176" s="147"/>
      <c r="G176" s="147"/>
      <c r="H176" s="148"/>
    </row>
    <row r="177" spans="1:15" s="35" customFormat="1" x14ac:dyDescent="0.3">
      <c r="A177" s="46" t="s">
        <v>152</v>
      </c>
      <c r="B177" s="146" t="str">
        <f>(IF(H146="Saleable area Loading :","We have considered Saleable area of Flats as per our Calculation.","We considered Saleable area of Flat as per Builder area Sheet."))</f>
        <v>We have considered Saleable area of Flats as per our Calculation.</v>
      </c>
      <c r="C177" s="147"/>
      <c r="D177" s="147"/>
      <c r="E177" s="147"/>
      <c r="F177" s="147"/>
      <c r="G177" s="147"/>
      <c r="H177" s="148"/>
    </row>
    <row r="178" spans="1:15" s="35" customFormat="1" x14ac:dyDescent="0.3">
      <c r="A178" s="46" t="s">
        <v>152</v>
      </c>
      <c r="B178" s="146" t="str">
        <f>(IF(H122="Saleable area Loading :","We have considered Saleable area of Commercial as per our Calculation.","We considered Saleable area of Commercial as per Builder area Sheet."))</f>
        <v>We have considered Saleable area of Commercial as per our Calculation.</v>
      </c>
      <c r="C178" s="147"/>
      <c r="D178" s="147"/>
      <c r="E178" s="147"/>
      <c r="F178" s="147"/>
      <c r="G178" s="147"/>
      <c r="H178" s="148"/>
    </row>
    <row r="179" spans="1:15" s="35" customFormat="1" x14ac:dyDescent="0.3">
      <c r="A179" s="46" t="s">
        <v>152</v>
      </c>
      <c r="B179" s="153" t="s">
        <v>122</v>
      </c>
      <c r="C179" s="154"/>
      <c r="D179" s="154"/>
      <c r="E179" s="154"/>
      <c r="F179" s="154"/>
      <c r="G179" s="154"/>
      <c r="H179" s="155"/>
    </row>
    <row r="180" spans="1:15" s="35" customFormat="1" x14ac:dyDescent="0.3">
      <c r="A180" s="46" t="s">
        <v>152</v>
      </c>
      <c r="B180" s="146" t="s">
        <v>277</v>
      </c>
      <c r="C180" s="147"/>
      <c r="D180" s="147"/>
      <c r="E180" s="147"/>
      <c r="F180" s="147"/>
      <c r="G180" s="147"/>
      <c r="H180" s="148"/>
    </row>
    <row r="181" spans="1:15" s="35" customFormat="1" x14ac:dyDescent="0.3">
      <c r="A181" s="46" t="s">
        <v>152</v>
      </c>
      <c r="B181" s="153" t="s">
        <v>151</v>
      </c>
      <c r="C181" s="154"/>
      <c r="D181" s="154"/>
      <c r="E181" s="154"/>
      <c r="F181" s="154"/>
      <c r="G181" s="154"/>
      <c r="H181" s="155"/>
    </row>
    <row r="182" spans="1:15" s="35" customFormat="1" x14ac:dyDescent="0.3">
      <c r="A182" s="46" t="s">
        <v>152</v>
      </c>
      <c r="B182" s="153" t="s">
        <v>123</v>
      </c>
      <c r="C182" s="154"/>
      <c r="D182" s="154"/>
      <c r="E182" s="154"/>
      <c r="F182" s="154"/>
      <c r="G182" s="154"/>
      <c r="H182" s="155"/>
    </row>
    <row r="183" spans="1:15" s="35" customFormat="1" ht="34.5" customHeight="1" x14ac:dyDescent="0.3">
      <c r="A183" s="46" t="s">
        <v>152</v>
      </c>
      <c r="B183" s="153" t="s">
        <v>153</v>
      </c>
      <c r="C183" s="154"/>
      <c r="D183" s="154"/>
      <c r="E183" s="154"/>
      <c r="F183" s="154"/>
      <c r="G183" s="154"/>
      <c r="H183" s="155"/>
    </row>
    <row r="184" spans="1:15" s="35" customFormat="1" x14ac:dyDescent="0.3">
      <c r="A184" s="46" t="s">
        <v>152</v>
      </c>
      <c r="B184" s="153" t="s">
        <v>124</v>
      </c>
      <c r="C184" s="154"/>
      <c r="D184" s="154"/>
      <c r="E184" s="154"/>
      <c r="F184" s="154"/>
      <c r="G184" s="154"/>
      <c r="H184" s="155"/>
    </row>
    <row r="185" spans="1:15" s="35" customFormat="1" ht="17.25" hidden="1" customHeight="1" x14ac:dyDescent="0.3">
      <c r="A185" s="61" t="s">
        <v>152</v>
      </c>
      <c r="B185" s="97" t="s">
        <v>281</v>
      </c>
      <c r="C185" s="98"/>
      <c r="D185" s="98"/>
      <c r="E185" s="98"/>
      <c r="F185" s="98"/>
      <c r="G185" s="98"/>
      <c r="H185" s="99"/>
    </row>
    <row r="186" spans="1:15" s="35" customFormat="1" ht="32.25" customHeight="1" x14ac:dyDescent="0.3">
      <c r="A186" s="46" t="s">
        <v>152</v>
      </c>
      <c r="B186" s="146" t="s">
        <v>278</v>
      </c>
      <c r="C186" s="147"/>
      <c r="D186" s="147"/>
      <c r="E186" s="147"/>
      <c r="F186" s="147"/>
      <c r="G186" s="147"/>
      <c r="H186" s="148"/>
    </row>
    <row r="187" spans="1:15" s="35" customFormat="1" x14ac:dyDescent="0.3">
      <c r="A187" s="46" t="s">
        <v>152</v>
      </c>
      <c r="B187" s="62" t="s">
        <v>293</v>
      </c>
      <c r="C187" s="63"/>
      <c r="D187" s="63"/>
      <c r="E187" s="63"/>
      <c r="F187" s="63"/>
      <c r="G187" s="63"/>
      <c r="H187" s="64"/>
    </row>
    <row r="188" spans="1:15" s="35" customFormat="1" x14ac:dyDescent="0.3">
      <c r="A188" s="46" t="s">
        <v>152</v>
      </c>
      <c r="B188" s="62" t="s">
        <v>294</v>
      </c>
      <c r="C188" s="63"/>
      <c r="D188" s="63"/>
      <c r="E188" s="63"/>
      <c r="F188" s="63"/>
      <c r="G188" s="63"/>
      <c r="H188" s="64"/>
    </row>
    <row r="189" spans="1:15" x14ac:dyDescent="0.3">
      <c r="A189" s="131" t="s">
        <v>60</v>
      </c>
      <c r="B189" s="131"/>
      <c r="C189" s="131"/>
      <c r="D189" s="131"/>
      <c r="E189" s="131"/>
      <c r="F189" s="131"/>
      <c r="G189" s="131"/>
      <c r="H189" s="131"/>
      <c r="I189" s="97" t="s">
        <v>233</v>
      </c>
      <c r="J189" s="98"/>
      <c r="K189" s="98"/>
      <c r="L189" s="98"/>
      <c r="M189" s="98"/>
      <c r="N189" s="98"/>
      <c r="O189" s="99"/>
    </row>
    <row r="190" spans="1:15" x14ac:dyDescent="0.3">
      <c r="A190" s="117" t="s">
        <v>61</v>
      </c>
      <c r="B190" s="117"/>
      <c r="C190" s="117"/>
      <c r="D190" s="117"/>
      <c r="E190" s="117"/>
      <c r="F190" s="117"/>
      <c r="G190" s="117"/>
      <c r="H190" s="117"/>
    </row>
    <row r="191" spans="1:15" ht="15.75" customHeight="1" x14ac:dyDescent="0.3">
      <c r="A191" s="142" t="s">
        <v>62</v>
      </c>
      <c r="B191" s="142"/>
      <c r="C191" s="142"/>
      <c r="D191" s="142"/>
      <c r="E191" s="142"/>
      <c r="F191" s="142"/>
      <c r="G191" s="142"/>
      <c r="H191" s="142"/>
    </row>
    <row r="192" spans="1:15" x14ac:dyDescent="0.3">
      <c r="A192" s="117" t="s">
        <v>63</v>
      </c>
      <c r="B192" s="117"/>
      <c r="C192" s="117"/>
      <c r="D192" s="117"/>
      <c r="E192" s="117"/>
      <c r="F192" s="117"/>
      <c r="G192" s="117"/>
      <c r="H192" s="117"/>
    </row>
    <row r="193" spans="1:8" x14ac:dyDescent="0.3">
      <c r="A193" s="117" t="s">
        <v>64</v>
      </c>
      <c r="B193" s="117"/>
      <c r="C193" s="117"/>
      <c r="D193" s="117"/>
      <c r="E193" s="117"/>
      <c r="F193" s="117"/>
      <c r="G193" s="117"/>
      <c r="H193" s="117"/>
    </row>
    <row r="194" spans="1:8" x14ac:dyDescent="0.3">
      <c r="A194" s="117" t="s">
        <v>125</v>
      </c>
      <c r="B194" s="117"/>
      <c r="C194" s="117"/>
      <c r="D194" s="117"/>
      <c r="E194" s="117"/>
      <c r="F194" s="117"/>
      <c r="G194" s="117"/>
      <c r="H194" s="117"/>
    </row>
    <row r="195" spans="1:8" ht="33.9" customHeight="1" x14ac:dyDescent="0.3">
      <c r="A195" s="123" t="s">
        <v>126</v>
      </c>
      <c r="B195" s="123"/>
      <c r="C195" s="123"/>
      <c r="D195" s="123"/>
      <c r="E195" s="123"/>
      <c r="F195" s="123"/>
      <c r="G195" s="123"/>
      <c r="H195" s="123"/>
    </row>
    <row r="196" spans="1:8" x14ac:dyDescent="0.3">
      <c r="A196" s="161" t="s">
        <v>76</v>
      </c>
      <c r="B196" s="161"/>
      <c r="C196" s="161" t="s">
        <v>295</v>
      </c>
      <c r="D196" s="161"/>
      <c r="E196" s="161" t="s">
        <v>105</v>
      </c>
      <c r="F196" s="161"/>
      <c r="G196" s="161" t="s">
        <v>296</v>
      </c>
      <c r="H196" s="161"/>
    </row>
    <row r="197" spans="1:8" x14ac:dyDescent="0.3">
      <c r="A197" s="160" t="s">
        <v>78</v>
      </c>
      <c r="B197" s="160"/>
      <c r="C197" s="160"/>
      <c r="D197" s="160"/>
      <c r="E197" s="160"/>
      <c r="F197" s="160"/>
      <c r="G197" s="160"/>
      <c r="H197" s="160"/>
    </row>
    <row r="198" spans="1:8" x14ac:dyDescent="0.3">
      <c r="A198" s="160"/>
      <c r="B198" s="160"/>
      <c r="C198" s="160"/>
      <c r="D198" s="160"/>
      <c r="E198" s="160"/>
      <c r="F198" s="160"/>
      <c r="G198" s="160"/>
      <c r="H198" s="160"/>
    </row>
    <row r="199" spans="1:8" x14ac:dyDescent="0.3">
      <c r="A199" s="160"/>
      <c r="B199" s="160"/>
      <c r="C199" s="160"/>
      <c r="D199" s="160"/>
      <c r="E199" s="160"/>
      <c r="F199" s="160"/>
      <c r="G199" s="160"/>
      <c r="H199" s="160"/>
    </row>
    <row r="200" spans="1:8" x14ac:dyDescent="0.3">
      <c r="A200" s="160"/>
      <c r="B200" s="160"/>
      <c r="C200" s="160"/>
      <c r="D200" s="160"/>
      <c r="E200" s="160"/>
      <c r="F200" s="160"/>
      <c r="G200" s="160"/>
      <c r="H200" s="160"/>
    </row>
    <row r="201" spans="1:8" x14ac:dyDescent="0.3">
      <c r="A201" s="38" t="s">
        <v>65</v>
      </c>
      <c r="B201" s="39"/>
      <c r="C201" s="39"/>
      <c r="D201" s="38" t="str">
        <f>E8</f>
        <v>The Crown</v>
      </c>
      <c r="F201" s="39"/>
      <c r="G201" s="39"/>
      <c r="H201" s="39"/>
    </row>
    <row r="202" spans="1:8" x14ac:dyDescent="0.3">
      <c r="A202" s="39"/>
      <c r="B202" s="39"/>
      <c r="C202" s="39"/>
      <c r="D202" s="39"/>
      <c r="E202" s="39"/>
      <c r="F202" s="39"/>
      <c r="G202" s="39"/>
      <c r="H202" s="39"/>
    </row>
    <row r="203" spans="1:8" x14ac:dyDescent="0.3">
      <c r="A203" s="39"/>
      <c r="B203" s="39"/>
      <c r="C203" s="39"/>
      <c r="D203" s="39"/>
      <c r="E203" s="39"/>
      <c r="F203" s="39"/>
      <c r="G203" s="39"/>
      <c r="H203" s="39"/>
    </row>
    <row r="204" spans="1:8" ht="15" customHeight="1" x14ac:dyDescent="0.3"/>
    <row r="243" spans="1:1" x14ac:dyDescent="0.3">
      <c r="A243" s="41" t="s">
        <v>163</v>
      </c>
    </row>
    <row r="285" spans="1:1" x14ac:dyDescent="0.3">
      <c r="A285" s="41" t="s">
        <v>66</v>
      </c>
    </row>
  </sheetData>
  <mergeCells count="357">
    <mergeCell ref="I189:O189"/>
    <mergeCell ref="B187:H187"/>
    <mergeCell ref="A100:E100"/>
    <mergeCell ref="A118:B118"/>
    <mergeCell ref="E118:F118"/>
    <mergeCell ref="A105:E105"/>
    <mergeCell ref="G118:H118"/>
    <mergeCell ref="C111:D111"/>
    <mergeCell ref="E111:F111"/>
    <mergeCell ref="G111:H111"/>
    <mergeCell ref="A113:B113"/>
    <mergeCell ref="C113:D113"/>
    <mergeCell ref="E113:F113"/>
    <mergeCell ref="G113:H113"/>
    <mergeCell ref="A117:B117"/>
    <mergeCell ref="C117:D117"/>
    <mergeCell ref="E117:F117"/>
    <mergeCell ref="G117:H117"/>
    <mergeCell ref="B183:H183"/>
    <mergeCell ref="A142:B142"/>
    <mergeCell ref="A141:B141"/>
    <mergeCell ref="A140:B140"/>
    <mergeCell ref="C140:H142"/>
    <mergeCell ref="B181:H181"/>
    <mergeCell ref="A39:B39"/>
    <mergeCell ref="C39:H39"/>
    <mergeCell ref="F122:F123"/>
    <mergeCell ref="C110:D110"/>
    <mergeCell ref="E110:F110"/>
    <mergeCell ref="B122:B123"/>
    <mergeCell ref="A122:A123"/>
    <mergeCell ref="C146:C147"/>
    <mergeCell ref="G146:G147"/>
    <mergeCell ref="G119:H119"/>
    <mergeCell ref="A70:B70"/>
    <mergeCell ref="A73:B73"/>
    <mergeCell ref="A48:B48"/>
    <mergeCell ref="C48:H48"/>
    <mergeCell ref="A69:B69"/>
    <mergeCell ref="A67:B67"/>
    <mergeCell ref="C67:H67"/>
    <mergeCell ref="A75:B75"/>
    <mergeCell ref="A62:C62"/>
    <mergeCell ref="D62:H62"/>
    <mergeCell ref="C69:H69"/>
    <mergeCell ref="A72:B72"/>
    <mergeCell ref="A74:B74"/>
    <mergeCell ref="L129:M129"/>
    <mergeCell ref="L128:M128"/>
    <mergeCell ref="L127:M127"/>
    <mergeCell ref="L126:M126"/>
    <mergeCell ref="A78:B78"/>
    <mergeCell ref="C116:D116"/>
    <mergeCell ref="E116:F116"/>
    <mergeCell ref="G116:H116"/>
    <mergeCell ref="A96:E96"/>
    <mergeCell ref="A125:H125"/>
    <mergeCell ref="E122:E123"/>
    <mergeCell ref="F97:H97"/>
    <mergeCell ref="A97:E97"/>
    <mergeCell ref="D122:D123"/>
    <mergeCell ref="A99:E99"/>
    <mergeCell ref="A98:E98"/>
    <mergeCell ref="A95:E95"/>
    <mergeCell ref="F99:H99"/>
    <mergeCell ref="G122:G123"/>
    <mergeCell ref="C112:D112"/>
    <mergeCell ref="E112:F112"/>
    <mergeCell ref="G112:H112"/>
    <mergeCell ref="A111:A112"/>
    <mergeCell ref="A85:B85"/>
    <mergeCell ref="A37:H37"/>
    <mergeCell ref="A36:B36"/>
    <mergeCell ref="C36:E36"/>
    <mergeCell ref="A41:D41"/>
    <mergeCell ref="E41:H41"/>
    <mergeCell ref="A40:H40"/>
    <mergeCell ref="A60:C60"/>
    <mergeCell ref="A61:C61"/>
    <mergeCell ref="D60:H60"/>
    <mergeCell ref="D61:H61"/>
    <mergeCell ref="A43:D43"/>
    <mergeCell ref="E43:H43"/>
    <mergeCell ref="E44:H44"/>
    <mergeCell ref="E45:H45"/>
    <mergeCell ref="E46:H46"/>
    <mergeCell ref="A44:D44"/>
    <mergeCell ref="A38:B38"/>
    <mergeCell ref="C38:H38"/>
    <mergeCell ref="A45:D45"/>
    <mergeCell ref="A46:D46"/>
    <mergeCell ref="A47:H47"/>
    <mergeCell ref="D57:H57"/>
    <mergeCell ref="A57:C57"/>
    <mergeCell ref="G50:H50"/>
    <mergeCell ref="F36:H36"/>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F33:H33"/>
    <mergeCell ref="F34:H34"/>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156:B156"/>
    <mergeCell ref="A151:B151"/>
    <mergeCell ref="A152:B152"/>
    <mergeCell ref="A160:B160"/>
    <mergeCell ref="C158:H158"/>
    <mergeCell ref="A139:H139"/>
    <mergeCell ref="A137:B137"/>
    <mergeCell ref="A197:H200"/>
    <mergeCell ref="A196:B196"/>
    <mergeCell ref="E196:F196"/>
    <mergeCell ref="C196:D196"/>
    <mergeCell ref="G196:H196"/>
    <mergeCell ref="A153:H153"/>
    <mergeCell ref="A192:H192"/>
    <mergeCell ref="A195:H195"/>
    <mergeCell ref="A193:H193"/>
    <mergeCell ref="A189:H189"/>
    <mergeCell ref="B146:B147"/>
    <mergeCell ref="A190:H190"/>
    <mergeCell ref="A158:B158"/>
    <mergeCell ref="A155:B155"/>
    <mergeCell ref="B177:H177"/>
    <mergeCell ref="B179:H179"/>
    <mergeCell ref="F101:H101"/>
    <mergeCell ref="A103:E103"/>
    <mergeCell ref="F98:H98"/>
    <mergeCell ref="A102:E102"/>
    <mergeCell ref="A145:H145"/>
    <mergeCell ref="E115:F115"/>
    <mergeCell ref="A120:H120"/>
    <mergeCell ref="A146:A147"/>
    <mergeCell ref="A130:B130"/>
    <mergeCell ref="A108:H108"/>
    <mergeCell ref="A106:E106"/>
    <mergeCell ref="F106:H106"/>
    <mergeCell ref="A107:E107"/>
    <mergeCell ref="F107:H107"/>
    <mergeCell ref="A116:B116"/>
    <mergeCell ref="A114:H114"/>
    <mergeCell ref="G115:H115"/>
    <mergeCell ref="C122:C123"/>
    <mergeCell ref="A194:H194"/>
    <mergeCell ref="A191:H191"/>
    <mergeCell ref="A154:B154"/>
    <mergeCell ref="A115:B115"/>
    <mergeCell ref="D146:D147"/>
    <mergeCell ref="E146:E147"/>
    <mergeCell ref="F96:H96"/>
    <mergeCell ref="G110:H110"/>
    <mergeCell ref="F102:H102"/>
    <mergeCell ref="C109:D109"/>
    <mergeCell ref="C118:D118"/>
    <mergeCell ref="A149:H149"/>
    <mergeCell ref="A126:B126"/>
    <mergeCell ref="B186:H186"/>
    <mergeCell ref="A119:B119"/>
    <mergeCell ref="C119:D119"/>
    <mergeCell ref="E119:F119"/>
    <mergeCell ref="B184:H184"/>
    <mergeCell ref="B182:H182"/>
    <mergeCell ref="B178:H178"/>
    <mergeCell ref="B176:H176"/>
    <mergeCell ref="B180:H180"/>
    <mergeCell ref="A175:H175"/>
    <mergeCell ref="F100:H100"/>
    <mergeCell ref="G49:H49"/>
    <mergeCell ref="G51:H51"/>
    <mergeCell ref="A50:B50"/>
    <mergeCell ref="A54:H54"/>
    <mergeCell ref="A55:C55"/>
    <mergeCell ref="A56:C56"/>
    <mergeCell ref="D56:H56"/>
    <mergeCell ref="G53:H53"/>
    <mergeCell ref="C51:E51"/>
    <mergeCell ref="A51:B52"/>
    <mergeCell ref="C50:E50"/>
    <mergeCell ref="I14:P14"/>
    <mergeCell ref="F105:H105"/>
    <mergeCell ref="F103:H103"/>
    <mergeCell ref="A121:H121"/>
    <mergeCell ref="G109:H109"/>
    <mergeCell ref="A104:E104"/>
    <mergeCell ref="A127:B127"/>
    <mergeCell ref="A53:B53"/>
    <mergeCell ref="C53:E53"/>
    <mergeCell ref="D55:H55"/>
    <mergeCell ref="F104:H104"/>
    <mergeCell ref="E109:F109"/>
    <mergeCell ref="A109:B109"/>
    <mergeCell ref="C115:D115"/>
    <mergeCell ref="D64:H64"/>
    <mergeCell ref="A65:C65"/>
    <mergeCell ref="E42:H42"/>
    <mergeCell ref="A42:D42"/>
    <mergeCell ref="A76:B76"/>
    <mergeCell ref="A49:B49"/>
    <mergeCell ref="C49:E49"/>
    <mergeCell ref="C52:E52"/>
    <mergeCell ref="G52:H52"/>
    <mergeCell ref="A124:H124"/>
    <mergeCell ref="L130:M130"/>
    <mergeCell ref="A133:B133"/>
    <mergeCell ref="L133:M133"/>
    <mergeCell ref="A134:B134"/>
    <mergeCell ref="L134:M134"/>
    <mergeCell ref="A135:B135"/>
    <mergeCell ref="L135:M135"/>
    <mergeCell ref="A136:B136"/>
    <mergeCell ref="L136:M136"/>
    <mergeCell ref="A131:H131"/>
    <mergeCell ref="A132:H132"/>
    <mergeCell ref="I10:L10"/>
    <mergeCell ref="B185:H185"/>
    <mergeCell ref="L137:M137"/>
    <mergeCell ref="A138:B138"/>
    <mergeCell ref="L138:M138"/>
    <mergeCell ref="A148:H148"/>
    <mergeCell ref="A157:H157"/>
    <mergeCell ref="A159:B159"/>
    <mergeCell ref="A164:B164"/>
    <mergeCell ref="A165:B165"/>
    <mergeCell ref="L142:M142"/>
    <mergeCell ref="L141:M141"/>
    <mergeCell ref="L140:M140"/>
    <mergeCell ref="A171:B171"/>
    <mergeCell ref="A172:B172"/>
    <mergeCell ref="A173:B173"/>
    <mergeCell ref="A174:B174"/>
    <mergeCell ref="A162:H162"/>
    <mergeCell ref="A163:H163"/>
    <mergeCell ref="A143:B143"/>
    <mergeCell ref="L143:M143"/>
    <mergeCell ref="A144:B144"/>
    <mergeCell ref="L144:M144"/>
    <mergeCell ref="A161:H161"/>
    <mergeCell ref="D59:H59"/>
    <mergeCell ref="A58:C59"/>
    <mergeCell ref="A81:B81"/>
    <mergeCell ref="C81:H81"/>
    <mergeCell ref="A83:B83"/>
    <mergeCell ref="C83:H83"/>
    <mergeCell ref="A84:B84"/>
    <mergeCell ref="E84:F84"/>
    <mergeCell ref="G84:H84"/>
    <mergeCell ref="D58:H58"/>
    <mergeCell ref="A63:C63"/>
    <mergeCell ref="D63:H63"/>
    <mergeCell ref="A66:C66"/>
    <mergeCell ref="D66:H66"/>
    <mergeCell ref="A64:C64"/>
    <mergeCell ref="D65:H65"/>
    <mergeCell ref="A71:B71"/>
    <mergeCell ref="G70:H70"/>
    <mergeCell ref="E71:F80"/>
    <mergeCell ref="G71:H80"/>
    <mergeCell ref="A79:B79"/>
    <mergeCell ref="A80:B80"/>
    <mergeCell ref="A77:B77"/>
    <mergeCell ref="E70:F70"/>
    <mergeCell ref="B188:H188"/>
    <mergeCell ref="E85:F94"/>
    <mergeCell ref="G85:H94"/>
    <mergeCell ref="A86:B86"/>
    <mergeCell ref="A87:B87"/>
    <mergeCell ref="A88:B88"/>
    <mergeCell ref="A89:B89"/>
    <mergeCell ref="A90:B90"/>
    <mergeCell ref="A91:B91"/>
    <mergeCell ref="A92:B92"/>
    <mergeCell ref="A93:B93"/>
    <mergeCell ref="A94:B94"/>
    <mergeCell ref="A166:B166"/>
    <mergeCell ref="A169:H169"/>
    <mergeCell ref="A170:B170"/>
    <mergeCell ref="C170:H170"/>
    <mergeCell ref="A167:B167"/>
    <mergeCell ref="A168:B168"/>
    <mergeCell ref="F146:F147"/>
    <mergeCell ref="F95:H95"/>
    <mergeCell ref="A150:B150"/>
    <mergeCell ref="A129:B129"/>
    <mergeCell ref="A128:B128"/>
    <mergeCell ref="A101:E101"/>
  </mergeCells>
  <dataValidations count="13">
    <dataValidation type="list" allowBlank="1" showInputMessage="1" showErrorMessage="1" sqref="E4:H4" xr:uid="{00000000-0002-0000-0000-000000000000}">
      <formula1>"Axis Goregaon,Axis Thane,Axis Badlapur,Axis Sanpada, PNB Thane,IBHF Vashi,IBHF Thane,IBHF Andheri"</formula1>
    </dataValidation>
    <dataValidation type="list" allowBlank="1" showInputMessage="1" showErrorMessage="1" sqref="A16:B16" xr:uid="{00000000-0002-0000-0000-000001000000}">
      <formula1>"CTS No,Survey No,Plot No,Gut No,FP No,"</formula1>
    </dataValidation>
    <dataValidation type="list" allowBlank="1" showInputMessage="1" showErrorMessage="1" sqref="G19:H19" xr:uid="{00000000-0002-0000-0000-000002000000}">
      <formula1>$S$12:$W$12</formula1>
    </dataValidation>
    <dataValidation type="list" allowBlank="1" showInputMessage="1" showErrorMessage="1" sqref="E122:E123" xr:uid="{00000000-0002-0000-0000-000003000000}">
      <formula1>"Attached Loft area,Attached Otla area,Attached Mezzanine area"</formula1>
    </dataValidation>
    <dataValidation type="list" allowBlank="1" showInputMessage="1" showErrorMessage="1" sqref="G196:H196" xr:uid="{00000000-0002-0000-0000-000004000000}">
      <formula1>"Kunal Kadam,Pranita Mhatre,Shruti Fule,Pooja Kawale,Mansee Mohite,Anjali Kamble, Hitakshi Mhatre, Sachin Sawant"</formula1>
    </dataValidation>
    <dataValidation type="list" allowBlank="1" showInputMessage="1" showErrorMessage="1" sqref="F95:H95" xr:uid="{00000000-0002-0000-0000-000005000000}">
      <formula1>"On Saleable Area,On Builtup Area,On Carpet Area,On Plot Area"</formula1>
    </dataValidation>
    <dataValidation type="list" allowBlank="1" showInputMessage="1" showErrorMessage="1" sqref="F106:H106" xr:uid="{00000000-0002-0000-0000-000006000000}">
      <formula1>"100000,150000,200000,250000,300000,350000,400000,500000,600000,700000,800000,900000,1000000,1200000,1400000,1500000"</formula1>
    </dataValidation>
    <dataValidation type="list" allowBlank="1" showInputMessage="1" showErrorMessage="1" sqref="B122:B123" xr:uid="{00000000-0002-0000-0000-000007000000}">
      <formula1>"Shop No. (Sale Plan),Sale / Rehab,Sale / Mhada"</formula1>
    </dataValidation>
    <dataValidation type="list" allowBlank="1" showInputMessage="1" showErrorMessage="1" sqref="B146:B147" xr:uid="{00000000-0002-0000-0000-000008000000}">
      <formula1>"Flat No. (Sale Plan),Sale / Rehab,Sale / Mhada"</formula1>
    </dataValidation>
    <dataValidation type="list" allowBlank="1" showInputMessage="1" showErrorMessage="1" sqref="C20:D20" xr:uid="{00000000-0002-0000-0000-000009000000}">
      <formula1>OFFSET($S$12,1,MATCH($G19,$S$12:$W$12,0)-1,15,1)</formula1>
    </dataValidation>
    <dataValidation type="list" allowBlank="1" showInputMessage="1" showErrorMessage="1" sqref="Y12" xr:uid="{00000000-0002-0000-0000-00000A000000}">
      <formula1>$D$4:$H$4</formula1>
    </dataValidation>
    <dataValidation type="list" allowBlank="1" showInputMessage="1" showErrorMessage="1" sqref="E146:E147" xr:uid="{00000000-0002-0000-0000-00000B000000}">
      <formula1>"Fungible area,Balcony Area,Chajja Area,Cornice Area,AP Area,WS Area"</formula1>
    </dataValidation>
    <dataValidation type="list" allowBlank="1" showInputMessage="1" showErrorMessage="1" sqref="H147 H123" xr:uid="{00000000-0002-0000-0000-00000C000000}">
      <formula1>"45%,50%,55%,60%"</formula1>
    </dataValidation>
  </dataValidations>
  <hyperlinks>
    <hyperlink ref="C39"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66" max="16383" man="1"/>
    <brk id="200" max="16383" man="1"/>
    <brk id="242" max="16383" man="1"/>
    <brk id="28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06" t="s">
        <v>106</v>
      </c>
      <c r="C3" s="206"/>
      <c r="D3" s="206"/>
      <c r="E3" s="206"/>
      <c r="F3" s="206"/>
      <c r="G3" s="206"/>
      <c r="H3" s="206"/>
    </row>
    <row r="4" spans="1:9" x14ac:dyDescent="0.3">
      <c r="A4" s="2"/>
      <c r="B4" s="3" t="s">
        <v>107</v>
      </c>
      <c r="C4" s="3" t="s">
        <v>108</v>
      </c>
      <c r="D4" s="3" t="s">
        <v>68</v>
      </c>
      <c r="E4" s="3" t="s">
        <v>109</v>
      </c>
      <c r="F4" s="3" t="s">
        <v>115</v>
      </c>
      <c r="G4" s="3" t="s">
        <v>116</v>
      </c>
      <c r="H4" s="3" t="s">
        <v>110</v>
      </c>
    </row>
    <row r="5" spans="1:9" ht="15" customHeight="1" x14ac:dyDescent="0.3">
      <c r="A5" s="2"/>
      <c r="B5" s="5" t="s">
        <v>111</v>
      </c>
      <c r="C5" s="6"/>
      <c r="D5" s="5"/>
      <c r="E5" s="5"/>
      <c r="F5" s="7">
        <f>E5*1.6</f>
        <v>0</v>
      </c>
      <c r="G5" s="7" t="e">
        <f>H5/F5</f>
        <v>#DIV/0!</v>
      </c>
      <c r="H5" s="8"/>
    </row>
    <row r="6" spans="1:9" x14ac:dyDescent="0.3">
      <c r="A6" s="2"/>
      <c r="B6" s="5" t="s">
        <v>111</v>
      </c>
      <c r="C6" s="9"/>
      <c r="D6" s="5"/>
      <c r="E6" s="5"/>
      <c r="F6" s="7">
        <f t="shared" ref="F6:F11" si="0">E6*1.6</f>
        <v>0</v>
      </c>
      <c r="G6" s="7" t="e">
        <f t="shared" ref="G6:G11" si="1">H6/F6</f>
        <v>#DIV/0!</v>
      </c>
      <c r="H6" s="8"/>
    </row>
    <row r="7" spans="1:9" ht="15" customHeight="1" x14ac:dyDescent="0.3">
      <c r="A7" s="2"/>
      <c r="B7" s="5" t="s">
        <v>111</v>
      </c>
      <c r="C7" s="6"/>
      <c r="D7" s="5"/>
      <c r="E7" s="5"/>
      <c r="F7" s="7">
        <f t="shared" si="0"/>
        <v>0</v>
      </c>
      <c r="G7" s="7" t="e">
        <f t="shared" si="1"/>
        <v>#DIV/0!</v>
      </c>
      <c r="H7" s="8"/>
    </row>
    <row r="8" spans="1:9" x14ac:dyDescent="0.3">
      <c r="A8" s="2"/>
      <c r="B8" s="5" t="s">
        <v>111</v>
      </c>
      <c r="C8" s="9"/>
      <c r="D8" s="5"/>
      <c r="E8" s="5"/>
      <c r="F8" s="7">
        <f t="shared" si="0"/>
        <v>0</v>
      </c>
      <c r="G8" s="7" t="e">
        <f t="shared" si="1"/>
        <v>#DIV/0!</v>
      </c>
      <c r="H8" s="8"/>
    </row>
    <row r="9" spans="1:9" ht="15" customHeight="1" x14ac:dyDescent="0.3">
      <c r="A9" s="2"/>
      <c r="B9" s="5" t="s">
        <v>111</v>
      </c>
      <c r="C9" s="9"/>
      <c r="D9" s="5"/>
      <c r="E9" s="5"/>
      <c r="F9" s="7">
        <f t="shared" si="0"/>
        <v>0</v>
      </c>
      <c r="G9" s="7" t="e">
        <f t="shared" si="1"/>
        <v>#DIV/0!</v>
      </c>
      <c r="H9" s="8"/>
    </row>
    <row r="10" spans="1:9" ht="15" customHeight="1" x14ac:dyDescent="0.3">
      <c r="A10" s="2"/>
      <c r="B10" s="5" t="s">
        <v>112</v>
      </c>
      <c r="C10" s="6"/>
      <c r="D10" s="5"/>
      <c r="E10" s="5"/>
      <c r="F10" s="7">
        <f t="shared" si="0"/>
        <v>0</v>
      </c>
      <c r="G10" s="7" t="e">
        <f t="shared" si="1"/>
        <v>#DIV/0!</v>
      </c>
      <c r="H10" s="8"/>
    </row>
    <row r="11" spans="1:9" ht="15" customHeight="1" x14ac:dyDescent="0.3">
      <c r="A11" s="2"/>
      <c r="B11" s="5" t="s">
        <v>112</v>
      </c>
      <c r="C11" s="6"/>
      <c r="D11" s="5"/>
      <c r="E11" s="5"/>
      <c r="F11" s="7">
        <f t="shared" si="0"/>
        <v>0</v>
      </c>
      <c r="G11" s="7" t="e">
        <f t="shared" si="1"/>
        <v>#DIV/0!</v>
      </c>
      <c r="H11" s="8"/>
    </row>
    <row r="12" spans="1:9" ht="15" customHeight="1" x14ac:dyDescent="0.3">
      <c r="A12" s="2"/>
      <c r="B12" s="10" t="s">
        <v>113</v>
      </c>
      <c r="C12" s="5"/>
      <c r="D12" s="5"/>
      <c r="E12" s="5"/>
      <c r="F12" s="5"/>
      <c r="G12" s="11" t="e">
        <f>AVERAGE(G5:G11)</f>
        <v>#DIV/0!</v>
      </c>
      <c r="H12" s="5"/>
    </row>
    <row r="13" spans="1:9" ht="15" customHeight="1" x14ac:dyDescent="0.3">
      <c r="B13" s="10" t="s">
        <v>114</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30"/>
  <sheetViews>
    <sheetView zoomScale="130" zoomScaleNormal="130" workbookViewId="0">
      <selection activeCell="C3" sqref="C3:K18"/>
    </sheetView>
  </sheetViews>
  <sheetFormatPr defaultRowHeight="14.4" x14ac:dyDescent="0.3"/>
  <cols>
    <col min="4" max="4" width="11" bestFit="1" customWidth="1"/>
    <col min="5" max="5" width="10.44140625" bestFit="1" customWidth="1"/>
    <col min="8" max="8" width="10.5546875" bestFit="1" customWidth="1"/>
  </cols>
  <sheetData>
    <row r="3" spans="2:11" x14ac:dyDescent="0.3">
      <c r="J3">
        <v>1</v>
      </c>
      <c r="K3">
        <v>2</v>
      </c>
    </row>
    <row r="4" spans="2:11" x14ac:dyDescent="0.3">
      <c r="B4" s="53"/>
      <c r="C4" s="53" t="s">
        <v>12</v>
      </c>
      <c r="D4" s="54" t="s">
        <v>178</v>
      </c>
      <c r="E4" s="54" t="s">
        <v>188</v>
      </c>
      <c r="F4" s="54" t="s">
        <v>171</v>
      </c>
      <c r="G4" s="54" t="s">
        <v>193</v>
      </c>
      <c r="H4" s="54" t="s">
        <v>211</v>
      </c>
      <c r="J4" t="s">
        <v>193</v>
      </c>
      <c r="K4" t="s">
        <v>209</v>
      </c>
    </row>
    <row r="5" spans="2:11" x14ac:dyDescent="0.3">
      <c r="B5" s="53"/>
      <c r="C5" s="53"/>
      <c r="D5" s="54" t="s">
        <v>179</v>
      </c>
      <c r="E5" s="54" t="s">
        <v>186</v>
      </c>
      <c r="F5" s="54" t="s">
        <v>208</v>
      </c>
      <c r="G5" s="54" t="s">
        <v>194</v>
      </c>
      <c r="H5" s="54" t="s">
        <v>212</v>
      </c>
    </row>
    <row r="6" spans="2:11" x14ac:dyDescent="0.3">
      <c r="B6" s="53"/>
      <c r="C6" s="53"/>
      <c r="D6" s="54" t="s">
        <v>180</v>
      </c>
      <c r="E6" s="54" t="s">
        <v>187</v>
      </c>
      <c r="F6" s="54" t="s">
        <v>209</v>
      </c>
      <c r="G6" s="54" t="s">
        <v>195</v>
      </c>
      <c r="H6" s="54" t="s">
        <v>225</v>
      </c>
    </row>
    <row r="7" spans="2:11" x14ac:dyDescent="0.3">
      <c r="B7" s="53"/>
      <c r="C7" s="53"/>
      <c r="D7" s="54" t="s">
        <v>181</v>
      </c>
      <c r="E7" s="54" t="s">
        <v>189</v>
      </c>
      <c r="F7" s="54" t="s">
        <v>210</v>
      </c>
      <c r="G7" s="54" t="s">
        <v>196</v>
      </c>
      <c r="H7" s="54" t="s">
        <v>213</v>
      </c>
    </row>
    <row r="8" spans="2:11" x14ac:dyDescent="0.3">
      <c r="B8" s="53"/>
      <c r="C8" s="53"/>
      <c r="D8" s="54" t="s">
        <v>182</v>
      </c>
      <c r="E8" s="54" t="s">
        <v>190</v>
      </c>
      <c r="F8" s="54"/>
      <c r="G8" s="54" t="s">
        <v>197</v>
      </c>
      <c r="H8" s="54" t="s">
        <v>214</v>
      </c>
    </row>
    <row r="9" spans="2:11" x14ac:dyDescent="0.3">
      <c r="B9" s="53"/>
      <c r="C9" s="53"/>
      <c r="D9" s="54" t="s">
        <v>183</v>
      </c>
      <c r="E9" s="54" t="s">
        <v>188</v>
      </c>
      <c r="F9" s="54"/>
      <c r="G9" s="54" t="s">
        <v>198</v>
      </c>
      <c r="H9" s="54" t="s">
        <v>215</v>
      </c>
    </row>
    <row r="10" spans="2:11" x14ac:dyDescent="0.3">
      <c r="B10" s="53"/>
      <c r="C10" s="53"/>
      <c r="D10" s="54" t="s">
        <v>184</v>
      </c>
      <c r="E10" s="54" t="s">
        <v>191</v>
      </c>
      <c r="F10" s="54"/>
      <c r="G10" s="54" t="s">
        <v>199</v>
      </c>
      <c r="H10" s="54" t="s">
        <v>216</v>
      </c>
    </row>
    <row r="11" spans="2:11" x14ac:dyDescent="0.3">
      <c r="B11" s="53"/>
      <c r="C11" s="53"/>
      <c r="D11" s="54" t="s">
        <v>185</v>
      </c>
      <c r="E11" s="54" t="s">
        <v>192</v>
      </c>
      <c r="F11" s="54"/>
      <c r="G11" s="54" t="s">
        <v>200</v>
      </c>
      <c r="H11" s="54" t="s">
        <v>217</v>
      </c>
    </row>
    <row r="12" spans="2:11" x14ac:dyDescent="0.3">
      <c r="B12" s="53"/>
      <c r="C12" s="53"/>
      <c r="D12" s="54"/>
      <c r="E12" s="54"/>
      <c r="F12" s="54"/>
      <c r="G12" s="54" t="s">
        <v>201</v>
      </c>
      <c r="H12" s="54" t="s">
        <v>218</v>
      </c>
    </row>
    <row r="13" spans="2:11" x14ac:dyDescent="0.3">
      <c r="B13" s="53"/>
      <c r="C13" s="53"/>
      <c r="D13" s="54"/>
      <c r="E13" s="54"/>
      <c r="F13" s="54"/>
      <c r="G13" s="54" t="s">
        <v>202</v>
      </c>
      <c r="H13" s="54" t="s">
        <v>219</v>
      </c>
    </row>
    <row r="14" spans="2:11" x14ac:dyDescent="0.3">
      <c r="B14" s="53"/>
      <c r="C14" s="53"/>
      <c r="D14" s="54"/>
      <c r="E14" s="54"/>
      <c r="F14" s="54"/>
      <c r="G14" s="54" t="s">
        <v>203</v>
      </c>
      <c r="H14" s="54" t="s">
        <v>220</v>
      </c>
    </row>
    <row r="15" spans="2:11" x14ac:dyDescent="0.3">
      <c r="B15" s="53"/>
      <c r="C15" s="53"/>
      <c r="D15" s="54"/>
      <c r="E15" s="54"/>
      <c r="F15" s="54"/>
      <c r="G15" s="54" t="s">
        <v>204</v>
      </c>
      <c r="H15" s="54" t="s">
        <v>221</v>
      </c>
    </row>
    <row r="16" spans="2:11" x14ac:dyDescent="0.3">
      <c r="B16" s="53"/>
      <c r="C16" s="53"/>
      <c r="D16" s="54"/>
      <c r="E16" s="54"/>
      <c r="F16" s="54"/>
      <c r="G16" s="54" t="s">
        <v>205</v>
      </c>
      <c r="H16" s="54" t="s">
        <v>222</v>
      </c>
    </row>
    <row r="17" spans="2:8" x14ac:dyDescent="0.3">
      <c r="B17" s="53"/>
      <c r="C17" s="53"/>
      <c r="D17" s="54"/>
      <c r="E17" s="54"/>
      <c r="F17" s="54"/>
      <c r="G17" s="54" t="s">
        <v>206</v>
      </c>
      <c r="H17" s="54" t="s">
        <v>223</v>
      </c>
    </row>
    <row r="18" spans="2:8" x14ac:dyDescent="0.3">
      <c r="B18" s="53"/>
      <c r="C18" s="53"/>
      <c r="D18" s="54"/>
      <c r="E18" s="54"/>
      <c r="F18" s="54"/>
      <c r="G18" s="54" t="s">
        <v>207</v>
      </c>
      <c r="H18" s="54" t="s">
        <v>224</v>
      </c>
    </row>
    <row r="24" spans="2:8" x14ac:dyDescent="0.3">
      <c r="C24" t="s">
        <v>169</v>
      </c>
    </row>
    <row r="25" spans="2:8" x14ac:dyDescent="0.3">
      <c r="C25" t="s">
        <v>226</v>
      </c>
    </row>
    <row r="26" spans="2:8" x14ac:dyDescent="0.3">
      <c r="C26" t="s">
        <v>227</v>
      </c>
    </row>
    <row r="27" spans="2:8" x14ac:dyDescent="0.3">
      <c r="C27" t="s">
        <v>228</v>
      </c>
    </row>
    <row r="28" spans="2:8" x14ac:dyDescent="0.3">
      <c r="C28" t="s">
        <v>229</v>
      </c>
    </row>
    <row r="29" spans="2:8" x14ac:dyDescent="0.3">
      <c r="C29" t="s">
        <v>230</v>
      </c>
    </row>
    <row r="30" spans="2:8" x14ac:dyDescent="0.3">
      <c r="C30" t="s">
        <v>169</v>
      </c>
    </row>
  </sheetData>
  <dataValidations count="2">
    <dataValidation type="list" allowBlank="1" showInputMessage="1" showErrorMessage="1" sqref="J4" xr:uid="{00000000-0002-0000-0200-000000000000}">
      <formula1>$D$4:$H$4</formula1>
    </dataValidation>
    <dataValidation type="list" allowBlank="1" showInputMessage="1" showErrorMessage="1" sqref="K4" xr:uid="{00000000-0002-0000-0200-000001000000}">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2025-08-20T10:04:17Z</cp:lastPrinted>
  <dcterms:created xsi:type="dcterms:W3CDTF">2019-07-16T09:29:46Z</dcterms:created>
  <dcterms:modified xsi:type="dcterms:W3CDTF">2025-08-20T10:06:03Z</dcterms:modified>
</cp:coreProperties>
</file>