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98EF1507-31E1-4E0D-942E-B1D99FD99EAD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2" i="1" l="1"/>
  <c r="I98" i="1" l="1"/>
  <c r="D170" i="1"/>
  <c r="D151" i="1"/>
  <c r="F151" i="1" s="1"/>
  <c r="D150" i="1"/>
  <c r="F150" i="1" s="1"/>
  <c r="D149" i="1"/>
  <c r="F149" i="1" s="1"/>
  <c r="G149" i="1"/>
  <c r="G150" i="1" s="1"/>
  <c r="G151" i="1" s="1"/>
  <c r="D118" i="1"/>
  <c r="F118" i="1" s="1"/>
  <c r="D117" i="1"/>
  <c r="F117" i="1" s="1"/>
  <c r="D116" i="1"/>
  <c r="F116" i="1" s="1"/>
  <c r="I116" i="1"/>
  <c r="G116" i="1"/>
  <c r="G117" i="1" s="1"/>
  <c r="G118" i="1" s="1"/>
  <c r="D114" i="1"/>
  <c r="F114" i="1" s="1"/>
  <c r="D113" i="1"/>
  <c r="F113" i="1" s="1"/>
  <c r="D112" i="1"/>
  <c r="F112" i="1" s="1"/>
  <c r="D111" i="1"/>
  <c r="F111" i="1" s="1"/>
  <c r="D110" i="1"/>
  <c r="D109" i="1"/>
  <c r="F109" i="1" s="1"/>
  <c r="D108" i="1"/>
  <c r="F108" i="1" s="1"/>
  <c r="F110" i="1"/>
  <c r="K112" i="1"/>
  <c r="I108" i="1"/>
  <c r="G108" i="1"/>
  <c r="G109" i="1" s="1"/>
  <c r="G110" i="1" s="1"/>
  <c r="G111" i="1" s="1"/>
  <c r="G112" i="1" s="1"/>
  <c r="G113" i="1" s="1"/>
  <c r="G114" i="1" s="1"/>
  <c r="D171" i="1"/>
  <c r="F171" i="1" s="1"/>
  <c r="D169" i="1"/>
  <c r="F169" i="1" s="1"/>
  <c r="D168" i="1"/>
  <c r="D167" i="1"/>
  <c r="D166" i="1"/>
  <c r="D165" i="1"/>
  <c r="D164" i="1"/>
  <c r="D161" i="1"/>
  <c r="F161" i="1" s="1"/>
  <c r="D160" i="1"/>
  <c r="F160" i="1" s="1"/>
  <c r="D159" i="1"/>
  <c r="F159" i="1" s="1"/>
  <c r="D158" i="1"/>
  <c r="D157" i="1"/>
  <c r="D156" i="1"/>
  <c r="D155" i="1"/>
  <c r="I160" i="1"/>
  <c r="I159" i="1"/>
  <c r="D143" i="1"/>
  <c r="F143" i="1" s="1"/>
  <c r="D142" i="1"/>
  <c r="F142" i="1" s="1"/>
  <c r="D141" i="1"/>
  <c r="F141" i="1" s="1"/>
  <c r="D140" i="1"/>
  <c r="D139" i="1"/>
  <c r="F139" i="1" s="1"/>
  <c r="D138" i="1"/>
  <c r="F138" i="1" s="1"/>
  <c r="D137" i="1"/>
  <c r="F137" i="1" s="1"/>
  <c r="D136" i="1"/>
  <c r="F136" i="1" s="1"/>
  <c r="D135" i="1"/>
  <c r="F135" i="1" s="1"/>
  <c r="F140" i="1"/>
  <c r="K139" i="1"/>
  <c r="I135" i="1"/>
  <c r="G135" i="1"/>
  <c r="G136" i="1" s="1"/>
  <c r="G137" i="1" s="1"/>
  <c r="G138" i="1" s="1"/>
  <c r="G139" i="1" s="1"/>
  <c r="G140" i="1" s="1"/>
  <c r="G141" i="1" s="1"/>
  <c r="G142" i="1" s="1"/>
  <c r="G143" i="1" s="1"/>
  <c r="E133" i="1"/>
  <c r="E132" i="1"/>
  <c r="E131" i="1"/>
  <c r="E130" i="1"/>
  <c r="E129" i="1"/>
  <c r="E128" i="1"/>
  <c r="E127" i="1"/>
  <c r="E126" i="1"/>
  <c r="E125" i="1"/>
  <c r="E124" i="1"/>
  <c r="E123" i="1"/>
  <c r="E122" i="1"/>
  <c r="K126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I122" i="1"/>
  <c r="C100" i="1" l="1"/>
  <c r="E100" i="1"/>
  <c r="E101" i="1" s="1"/>
  <c r="F170" i="1"/>
  <c r="F127" i="1"/>
  <c r="C95" i="1"/>
  <c r="F126" i="1"/>
  <c r="F132" i="1"/>
  <c r="E95" i="1"/>
  <c r="F128" i="1"/>
  <c r="F131" i="1"/>
  <c r="F133" i="1"/>
  <c r="F130" i="1"/>
  <c r="F129" i="1"/>
  <c r="C101" i="1" l="1"/>
  <c r="K98" i="1"/>
  <c r="J98" i="1"/>
  <c r="E42" i="1"/>
  <c r="E43" i="1" s="1"/>
  <c r="C14" i="1" l="1"/>
  <c r="E29" i="1" l="1"/>
  <c r="F156" i="1" l="1"/>
  <c r="J95" i="1" s="1"/>
  <c r="J99" i="1" s="1"/>
  <c r="F157" i="1"/>
  <c r="F158" i="1"/>
  <c r="K95" i="1" s="1"/>
  <c r="K99" i="1" s="1"/>
  <c r="F155" i="1"/>
  <c r="G155" i="1"/>
  <c r="G156" i="1" s="1"/>
  <c r="G157" i="1" s="1"/>
  <c r="G158" i="1" s="1"/>
  <c r="G159" i="1" s="1"/>
  <c r="G160" i="1" s="1"/>
  <c r="G161" i="1" s="1"/>
  <c r="G162" i="1" s="1"/>
  <c r="L99" i="1" l="1"/>
  <c r="F92" i="1"/>
  <c r="F123" i="1" l="1"/>
  <c r="F124" i="1"/>
  <c r="L95" i="1" s="1"/>
  <c r="F125" i="1"/>
  <c r="F122" i="1"/>
  <c r="G95" i="1" l="1"/>
  <c r="B192" i="1"/>
  <c r="A185" i="1"/>
  <c r="A179" i="1"/>
  <c r="A173" i="1"/>
  <c r="F189" i="1" l="1"/>
  <c r="F188" i="1"/>
  <c r="F187" i="1"/>
  <c r="F186" i="1"/>
  <c r="F185" i="1"/>
  <c r="F183" i="1"/>
  <c r="F182" i="1"/>
  <c r="F181" i="1"/>
  <c r="F180" i="1"/>
  <c r="F179" i="1"/>
  <c r="F177" i="1"/>
  <c r="F176" i="1"/>
  <c r="F175" i="1"/>
  <c r="F174" i="1"/>
  <c r="F173" i="1"/>
  <c r="F168" i="1"/>
  <c r="F167" i="1"/>
  <c r="F165" i="1"/>
  <c r="F164" i="1"/>
  <c r="F166" i="1"/>
  <c r="A174" i="1"/>
  <c r="A180" i="1"/>
  <c r="A186" i="1"/>
  <c r="G100" i="1" l="1"/>
  <c r="G101" i="1" s="1"/>
  <c r="B193" i="1"/>
  <c r="A181" i="1"/>
  <c r="A187" i="1"/>
  <c r="A17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2" i="1"/>
  <c r="G185" i="1"/>
  <c r="G186" i="1" s="1"/>
  <c r="G187" i="1" s="1"/>
  <c r="G188" i="1" s="1"/>
  <c r="G189" i="1" s="1"/>
  <c r="G179" i="1"/>
  <c r="G180" i="1" s="1"/>
  <c r="G181" i="1" s="1"/>
  <c r="G182" i="1" s="1"/>
  <c r="G183" i="1" s="1"/>
  <c r="G173" i="1"/>
  <c r="G174" i="1" s="1"/>
  <c r="G175" i="1" s="1"/>
  <c r="G176" i="1" s="1"/>
  <c r="G177" i="1" s="1"/>
  <c r="G164" i="1"/>
  <c r="G165" i="1" s="1"/>
  <c r="G166" i="1" s="1"/>
  <c r="G167" i="1" s="1"/>
  <c r="G168" i="1" s="1"/>
  <c r="G169" i="1" s="1"/>
  <c r="G170" i="1" s="1"/>
  <c r="G171" i="1" s="1"/>
  <c r="A165" i="1"/>
  <c r="A166" i="1" s="1"/>
  <c r="A167" i="1" s="1"/>
  <c r="A168" i="1" s="1"/>
  <c r="A169" i="1" s="1"/>
  <c r="A170" i="1" s="1"/>
  <c r="A171" i="1" s="1"/>
  <c r="G122" i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C65" i="1"/>
  <c r="D54" i="1"/>
  <c r="G49" i="1"/>
  <c r="G50" i="1" s="1"/>
  <c r="C49" i="1"/>
  <c r="C50" i="1" s="1"/>
  <c r="E26" i="1"/>
  <c r="E24" i="1"/>
  <c r="E7" i="1"/>
  <c r="E3" i="1"/>
  <c r="A182" i="1"/>
  <c r="A188" i="1"/>
  <c r="A176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A189" i="1"/>
  <c r="A177" i="1"/>
  <c r="A183" i="1"/>
  <c r="J72" i="1" l="1"/>
  <c r="J73" i="1"/>
  <c r="J74" i="1" s="1"/>
  <c r="J75" i="1" s="1"/>
  <c r="J76" i="1" s="1"/>
  <c r="D71" i="1"/>
  <c r="J67" i="1"/>
  <c r="D69" i="1"/>
  <c r="J77" i="1" l="1"/>
  <c r="J78" i="1" s="1"/>
  <c r="C70" i="1" s="1"/>
  <c r="G69" i="1" l="1"/>
  <c r="D63" i="1" s="1"/>
  <c r="D64" i="1" s="1"/>
  <c r="J66" i="1"/>
  <c r="D70" i="1"/>
  <c r="I66" i="1" s="1"/>
  <c r="I67" i="1" s="1"/>
  <c r="E69" i="1"/>
  <c r="F64" i="1" l="1"/>
  <c r="I65" i="1"/>
  <c r="C67" i="1" s="1"/>
</calcChain>
</file>

<file path=xl/sharedStrings.xml><?xml version="1.0" encoding="utf-8"?>
<sst xmlns="http://schemas.openxmlformats.org/spreadsheetml/2006/main" count="330" uniqueCount="239">
  <si>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</si>
  <si>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</si>
  <si>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</si>
  <si>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</si>
  <si>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</si>
  <si>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</si>
  <si>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</si>
  <si>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</si>
  <si>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</si>
  <si>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</si>
  <si>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</si>
  <si>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</si>
  <si>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</si>
  <si>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</si>
  <si>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</si>
  <si>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</si>
  <si>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</si>
  <si>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</si>
  <si>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</si>
  <si>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</si>
  <si>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</si>
  <si>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</si>
  <si>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</si>
  <si>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</si>
  <si>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</si>
  <si>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</si>
  <si>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</si>
  <si>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</si>
  <si>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</si>
  <si>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</si>
  <si>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</si>
  <si>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</si>
  <si>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</si>
  <si>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</si>
  <si>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</si>
  <si>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</si>
  <si>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</si>
  <si>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</si>
  <si>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</si>
  <si>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</si>
  <si>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</si>
  <si>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</si>
  <si>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</si>
  <si>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</si>
  <si>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</si>
  <si>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</si>
  <si>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</si>
  <si>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</si>
  <si>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</si>
  <si>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</si>
  <si>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</si>
  <si>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</si>
  <si>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</si>
  <si>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</si>
  <si>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</si>
  <si>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</si>
  <si>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</si>
  <si>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</si>
  <si>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</si>
  <si>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</si>
  <si>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</si>
  <si>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</si>
  <si>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</si>
  <si>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</si>
  <si>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</si>
  <si>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</si>
  <si>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</si>
  <si>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</si>
  <si>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</si>
  <si>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</si>
  <si>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</si>
  <si>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</si>
  <si>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</si>
  <si>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</si>
  <si>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</si>
  <si>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</si>
  <si>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</si>
  <si>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</si>
  <si>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</si>
  <si>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</si>
  <si>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</si>
  <si>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</si>
  <si>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</si>
  <si>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</si>
  <si>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</si>
  <si>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</si>
  <si>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</si>
  <si>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</si>
  <si>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</si>
  <si>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</si>
  <si>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</si>
  <si>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</si>
  <si>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</si>
  <si>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</si>
  <si>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</si>
  <si>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</si>
  <si>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</si>
  <si>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</si>
  <si>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</si>
  <si>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</si>
  <si>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</si>
  <si>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</si>
  <si>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</si>
  <si>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</si>
  <si>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</si>
  <si>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</si>
  <si>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</si>
  <si>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</si>
  <si>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</si>
  <si>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</si>
  <si>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</si>
  <si>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</si>
  <si>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</si>
  <si>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</si>
  <si>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</si>
  <si>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</si>
  <si>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</si>
  <si>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</si>
  <si>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</si>
  <si>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</si>
  <si>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</si>
  <si>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</si>
  <si>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</si>
  <si>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</si>
  <si>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</si>
  <si>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</si>
  <si>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</si>
  <si>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</si>
  <si>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</si>
  <si>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</si>
  <si>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</si>
  <si>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</si>
  <si>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</si>
  <si>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</si>
  <si>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</si>
  <si>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</si>
  <si>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</si>
  <si>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</si>
  <si>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</si>
  <si>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</si>
  <si>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</si>
  <si>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</si>
  <si>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</si>
  <si>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</si>
  <si>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</si>
  <si>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</si>
  <si>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</si>
  <si>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</si>
  <si>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</si>
  <si>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</si>
  <si>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</si>
  <si>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</si>
  <si>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</si>
  <si>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</si>
  <si>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</si>
  <si>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</si>
  <si>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</si>
  <si>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</si>
  <si>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</si>
  <si>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</si>
  <si>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</si>
  <si>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</si>
  <si>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</si>
  <si>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</si>
  <si>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</si>
  <si>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</si>
  <si>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</si>
  <si>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</si>
  <si>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</si>
  <si>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</si>
  <si>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</si>
  <si>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</si>
  <si>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</si>
  <si>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</si>
  <si>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</si>
  <si>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</si>
  <si>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</si>
  <si>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</si>
  <si>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</si>
  <si>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</si>
  <si>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</si>
  <si>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</si>
  <si>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022-28872500</t>
  </si>
  <si>
    <t>Building No.2</t>
  </si>
  <si>
    <t>Approved Plans, CC, Sale Plans, Cost Sheet</t>
  </si>
  <si>
    <t>P51700046697</t>
  </si>
  <si>
    <t>Survey No</t>
  </si>
  <si>
    <t>443(Old), 127(New)/1PT, 444(Old), 128(New)/1PT, 3PT, 4, 5PT, Survey No. 446(Old), 130(New)/1PT,2PT, 447(Old), 142(New)</t>
  </si>
  <si>
    <t>Navghar</t>
  </si>
  <si>
    <t>Thane</t>
  </si>
  <si>
    <t>https://goo.gl/maps/i1upmhJceKbZ8gMY7</t>
  </si>
  <si>
    <t>19.288337, 72.875993</t>
  </si>
  <si>
    <t>Mira Bhayander Road</t>
  </si>
  <si>
    <t>Winstone Apartment</t>
  </si>
  <si>
    <t>Open Plot</t>
  </si>
  <si>
    <t>Internal Road</t>
  </si>
  <si>
    <t>Gaurav Residency Phase 2</t>
  </si>
  <si>
    <t>2.7 KM from Mira Road Railway Station</t>
  </si>
  <si>
    <t>Mira Road</t>
  </si>
  <si>
    <t xml:space="preserve">Mira-Bhayandar Municipal Corporation
</t>
  </si>
  <si>
    <t>MBMNP/NR/4182/2022-23</t>
  </si>
  <si>
    <t>Building No.2 - B + Gr + 5P + 6th to 29th Floor</t>
  </si>
  <si>
    <t>As per RERA -  30/06/2027</t>
  </si>
  <si>
    <t>Yoga Room, Library, Multi purpose lawn, Outdoor childrens play area</t>
  </si>
  <si>
    <t>Shop</t>
  </si>
  <si>
    <t>Ground Floor for Commercial &amp; Watchmen Cabin, Entrance Lobby, Parking</t>
  </si>
  <si>
    <t>1st Floor, Double Height Entrance Lobby &amp; Parking</t>
  </si>
  <si>
    <t>Basement Floor for Parking</t>
  </si>
  <si>
    <t>2nd to 5th Podium Floor for Parking</t>
  </si>
  <si>
    <t>6th, 11th, 16th, 21st &amp; 26th Floor for Residential</t>
  </si>
  <si>
    <t>2BHK</t>
  </si>
  <si>
    <t>Refuge Area</t>
  </si>
  <si>
    <t>7th, 8th to 10th, 12th to 15th, 17th to 20th, 22nd to 25th, 27th to 29th Floor</t>
  </si>
  <si>
    <t>We considered Gross carpet area = Net carpet + balcony + Chajja Area</t>
  </si>
  <si>
    <t>Building No.01</t>
  </si>
  <si>
    <t>Ground Floor for Commercial</t>
  </si>
  <si>
    <t>1st floor</t>
  </si>
  <si>
    <t>Office</t>
  </si>
  <si>
    <t>Building No. 01 is drafted and hide.</t>
  </si>
  <si>
    <t>2nd to 6th Floor</t>
  </si>
  <si>
    <t>Building No.2 (Shops)</t>
  </si>
  <si>
    <t>Building No.2 (Flats)</t>
  </si>
  <si>
    <t>Flats - 187, Shops - 21</t>
  </si>
  <si>
    <t>3BHK</t>
  </si>
  <si>
    <t>Builder sheet</t>
  </si>
  <si>
    <t>Housing</t>
  </si>
  <si>
    <t>Indra Neel</t>
  </si>
  <si>
    <t>9000, 20000</t>
  </si>
  <si>
    <t>0.260KM</t>
  </si>
  <si>
    <t xml:space="preserve">Sheet </t>
  </si>
  <si>
    <t>Chandan Shanti</t>
  </si>
  <si>
    <t>Urban Grandeur Bldg - 2</t>
  </si>
  <si>
    <t>Miss. Harshada : 9664372060</t>
  </si>
  <si>
    <t>Cllaro Enterprises LLP</t>
  </si>
  <si>
    <t>Miss. Priyanka : 9664372060</t>
  </si>
  <si>
    <t>Ms. Prerna Hatkar 9226102961</t>
  </si>
  <si>
    <t>Construction work is in process at the time of Visit. Internal visit not allowed.</t>
  </si>
  <si>
    <t>Kunal Kadam</t>
  </si>
  <si>
    <t>Suraj Mali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</si>
</sst>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0.000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7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7" xfId="1" applyFont="1" applyBorder="1"/>
    <xf numFmtId="0" fontId="18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25" xfId="0" applyFont="1" applyFill="1" applyBorder="1"/>
    <xf numFmtId="0" fontId="26" fillId="0" borderId="26" xfId="0" applyFont="1" applyBorder="1"/>
    <xf numFmtId="0" fontId="26" fillId="0" borderId="1" xfId="0" applyFont="1" applyBorder="1"/>
    <xf numFmtId="0" fontId="26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0" fontId="28" fillId="2" borderId="0" xfId="0" applyFont="1" applyFill="1"/>
    <xf numFmtId="0" fontId="17" fillId="2" borderId="0" xfId="1" applyFont="1" applyFill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67" fontId="7" fillId="0" borderId="0" xfId="9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2" xfId="1" applyFont="1" applyBorder="1" applyAlignment="1" applyProtection="1">
      <alignment horizontal="center" vertical="top" wrapText="1"/>
      <protection locked="0"/>
    </xf>
    <xf numFmtId="9" fontId="12" fillId="0" borderId="2" xfId="8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8" fillId="2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2" borderId="18" xfId="1" applyNumberFormat="1" applyFont="1" applyFill="1" applyBorder="1" applyAlignment="1" applyProtection="1">
      <alignment horizontal="center" vertical="center" wrapText="1"/>
      <protection locked="0"/>
    </xf>
    <xf numFmtId="1" fontId="8" fillId="2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8" xfId="0" applyNumberFormat="1" applyFont="1" applyBorder="1" applyAlignment="1" applyProtection="1">
      <alignment horizontal="center" vertical="center" wrapText="1"/>
      <protection locked="0"/>
    </xf>
    <xf numFmtId="1" fontId="8" fillId="0" borderId="29" xfId="0" applyNumberFormat="1" applyFont="1" applyBorder="1" applyAlignment="1" applyProtection="1">
      <alignment horizontal="center" vertical="center" wrapText="1"/>
      <protection locked="0"/>
    </xf>
    <xf numFmtId="1" fontId="10" fillId="0" borderId="29" xfId="0" applyNumberFormat="1" applyFont="1" applyBorder="1" applyAlignment="1" applyProtection="1">
      <alignment horizontal="center" vertical="center"/>
      <protection locked="0"/>
    </xf>
    <xf numFmtId="0" fontId="10" fillId="0" borderId="29" xfId="0" applyFont="1" applyBorder="1" applyAlignment="1" applyProtection="1">
      <alignment horizontal="center" vertical="center"/>
      <protection locked="0"/>
    </xf>
    <xf numFmtId="1" fontId="10" fillId="0" borderId="29" xfId="0" applyNumberFormat="1" applyFont="1" applyBorder="1" applyAlignment="1" applyProtection="1">
      <alignment horizontal="center" vertical="top" wrapText="1"/>
      <protection locked="0"/>
    </xf>
    <xf numFmtId="0" fontId="10" fillId="0" borderId="29" xfId="0" applyFont="1" applyBorder="1" applyAlignment="1" applyProtection="1">
      <alignment horizontal="center" vertical="top" wrapText="1"/>
      <protection locked="0"/>
    </xf>
    <xf numFmtId="1" fontId="8" fillId="0" borderId="29" xfId="0" applyNumberFormat="1" applyFont="1" applyBorder="1" applyAlignment="1" applyProtection="1">
      <alignment horizontal="center" vertical="top" wrapText="1"/>
      <protection locked="0"/>
    </xf>
    <xf numFmtId="1" fontId="8" fillId="0" borderId="30" xfId="0" applyNumberFormat="1" applyFont="1" applyBorder="1" applyAlignment="1" applyProtection="1">
      <alignment horizontal="center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7" xfId="8" applyFont="1" applyFill="1" applyBorder="1" applyAlignment="1" applyProtection="1">
      <alignment horizontal="center" vertical="center" wrapText="1"/>
      <protection locked="0"/>
    </xf>
    <xf numFmtId="0" fontId="12" fillId="0" borderId="27" xfId="1" applyFont="1" applyBorder="1" applyAlignment="1" applyProtection="1">
      <alignment horizontal="center" vertical="top" wrapText="1"/>
      <protection locked="0"/>
    </xf>
    <xf numFmtId="0" fontId="12" fillId="0" borderId="2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173182</xdr:colOff>
      <xdr:row>301</xdr:row>
      <xdr:rowOff>0</xdr:rowOff>
    </xdr:from>
    <xdr:to>
      <xdr:col>7</xdr:col>
      <xdr:colOff>632959</xdr:colOff>
      <xdr:row>319</xdr:row>
      <xdr:rowOff>72736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2" y="53477160"/>
          <a:ext cx="6342417" cy="36388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243124</xdr:colOff>
      <xdr:row>320</xdr:row>
      <xdr:rowOff>18721</xdr:rowOff>
    </xdr:from>
    <xdr:to>
      <xdr:col>7</xdr:col>
      <xdr:colOff>563016</xdr:colOff>
      <xdr:row>339</xdr:row>
      <xdr:rowOff>168070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124" y="57260161"/>
          <a:ext cx="6202532" cy="39136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112571</xdr:colOff>
      <xdr:row>256</xdr:row>
      <xdr:rowOff>17320</xdr:rowOff>
    </xdr:from>
    <xdr:to>
      <xdr:col>5</xdr:col>
      <xdr:colOff>684071</xdr:colOff>
      <xdr:row>292</xdr:row>
      <xdr:rowOff>162792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1207" y="45304365"/>
          <a:ext cx="3143250" cy="7315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632114</xdr:colOff>
      <xdr:row>276</xdr:row>
      <xdr:rowOff>121228</xdr:rowOff>
    </xdr:from>
    <xdr:to>
      <xdr:col>5</xdr:col>
      <xdr:colOff>372341</xdr:colOff>
      <xdr:row>289</xdr:row>
      <xdr:rowOff>147205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190750" y="49391455"/>
          <a:ext cx="2311977" cy="261504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424294</xdr:colOff>
      <xdr:row>275</xdr:row>
      <xdr:rowOff>25978</xdr:rowOff>
    </xdr:from>
    <xdr:to>
      <xdr:col>4</xdr:col>
      <xdr:colOff>562840</xdr:colOff>
      <xdr:row>276</xdr:row>
      <xdr:rowOff>69273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831521" y="49097046"/>
          <a:ext cx="1082387" cy="2424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No.02</a:t>
          </a:r>
        </a:p>
      </xdr:txBody>
    </xdr:sp>
    <xdr:clientData/>
  </xdr:twoCellAnchor>
  <xdr:twoCellAnchor>
    <xdr:from>
      <xdr:col>2</xdr:col>
      <xdr:colOff>701387</xdr:colOff>
      <xdr:row>326</xdr:row>
      <xdr:rowOff>173180</xdr:rowOff>
    </xdr:from>
    <xdr:to>
      <xdr:col>3</xdr:col>
      <xdr:colOff>424296</xdr:colOff>
      <xdr:row>332</xdr:row>
      <xdr:rowOff>112567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2359615">
          <a:off x="2260023" y="59401362"/>
          <a:ext cx="571500" cy="1134341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10</xdr:col>
      <xdr:colOff>143510</xdr:colOff>
      <xdr:row>209</xdr:row>
      <xdr:rowOff>191770</xdr:rowOff>
    </xdr:from>
    <xdr:to>
      <xdr:col>18</xdr:col>
      <xdr:colOff>118624</xdr:colOff>
      <xdr:row>245</xdr:row>
      <xdr:rowOff>88945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409430" y="35449510"/>
          <a:ext cx="6002534" cy="7021875"/>
          <a:chOff x="539750" y="35610800"/>
          <a:chExt cx="6095244" cy="697742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39750" y="356108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49750" y="39708225"/>
            <a:ext cx="216000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664994" y="39708225"/>
            <a:ext cx="216000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664994" y="35610800"/>
            <a:ext cx="297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541020</xdr:colOff>
      <xdr:row>213</xdr:row>
      <xdr:rowOff>30480</xdr:rowOff>
    </xdr:from>
    <xdr:to>
      <xdr:col>7</xdr:col>
      <xdr:colOff>693446</xdr:colOff>
      <xdr:row>249</xdr:row>
      <xdr:rowOff>170785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7D8C8A8-1716-510F-3C66-DCE9BBFF9DB9}"/>
            </a:ext>
          </a:extLst>
        </xdr:cNvPr>
        <xdr:cNvGrpSpPr/>
      </xdr:nvGrpSpPr>
      <xdr:grpSpPr>
        <a:xfrm>
          <a:off x="541020" y="36080700"/>
          <a:ext cx="6035066" cy="7265005"/>
          <a:chOff x="249118" y="276892"/>
          <a:chExt cx="6035066" cy="7265005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6F9FF215-908C-6C69-7FCF-AE44463862DC}"/>
              </a:ext>
            </a:extLst>
          </xdr:cNvPr>
          <xdr:cNvGrpSpPr/>
        </xdr:nvGrpSpPr>
        <xdr:grpSpPr>
          <a:xfrm>
            <a:off x="249118" y="276892"/>
            <a:ext cx="6035066" cy="5220000"/>
            <a:chOff x="249118" y="276892"/>
            <a:chExt cx="6035066" cy="522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3659FE6F-09B3-CD17-F95F-FD9C78666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94184" y="2976892"/>
              <a:ext cx="1890000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16B11034-0C23-8AEF-A0FD-F6598CBE990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94184" y="276892"/>
              <a:ext cx="1890000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C7299BCF-0BA9-007F-5A2E-0DAF523FF26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9118" y="276892"/>
              <a:ext cx="3915000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8C6B19D8-F187-CB91-F716-AB5B17CB0FA9}"/>
              </a:ext>
            </a:extLst>
          </xdr:cNvPr>
          <xdr:cNvGrpSpPr/>
        </xdr:nvGrpSpPr>
        <xdr:grpSpPr>
          <a:xfrm>
            <a:off x="1099126" y="5741897"/>
            <a:ext cx="4335050" cy="1800000"/>
            <a:chOff x="1004134" y="5820275"/>
            <a:chExt cx="4335050" cy="180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2AA1E55D-D3FF-564C-2310-2AFDE03C1D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96237" y="5820275"/>
              <a:ext cx="135084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F9FA8150-1BB5-82A5-F83D-CE4BB9018D6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989184" y="5820275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6F1255DA-4166-28F3-7FE8-F3818915831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04134" y="5820275"/>
              <a:ext cx="1350000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362746</xdr:colOff>
      <xdr:row>18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5261317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180417</xdr:colOff>
      <xdr:row>43</xdr:row>
      <xdr:rowOff>123262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21" y="3810000"/>
          <a:ext cx="4466667" cy="45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22</xdr:col>
      <xdr:colOff>20774</xdr:colOff>
      <xdr:row>26</xdr:row>
      <xdr:rowOff>190238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0893" y="3048000"/>
          <a:ext cx="7980952" cy="2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1upmhJceKbZ8gMY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00"/>
  <sheetViews>
    <sheetView tabSelected="1" view="pageBreakPreview" zoomScaleNormal="100" zoomScaleSheetLayoutView="100" workbookViewId="0">
      <selection activeCell="K4" sqref="K4"/>
    </sheetView>
  </sheetViews>
  <sheetFormatPr defaultColWidth="9.21875" defaultRowHeight="15.6" x14ac:dyDescent="0.3"/>
  <cols>
    <col min="1" max="1" width="11.44140625" style="37" customWidth="1"/>
    <col min="2" max="2" width="12" style="37" customWidth="1"/>
    <col min="3" max="3" width="12.77734375" style="37" customWidth="1"/>
    <col min="4" max="4" width="14.21875" style="37" customWidth="1"/>
    <col min="5" max="7" width="11.77734375" style="37" customWidth="1"/>
    <col min="8" max="8" width="20.44140625" style="37" customWidth="1"/>
    <col min="9" max="9" width="17.44140625" style="18" customWidth="1"/>
    <col min="10" max="10" width="11.44140625" style="18" customWidth="1"/>
    <col min="11" max="11" width="13" style="18" customWidth="1"/>
    <col min="12" max="12" width="10.5546875" style="18" customWidth="1"/>
    <col min="13" max="13" width="11.77734375" style="18" customWidth="1"/>
    <col min="14" max="14" width="12.5546875" style="18" customWidth="1"/>
    <col min="15" max="15" width="9.77734375" style="18" customWidth="1"/>
    <col min="16" max="16" width="11.77734375" style="18" customWidth="1"/>
    <col min="17" max="247" width="9.21875" style="18"/>
    <col min="248" max="248" width="8.77734375" style="18" customWidth="1"/>
    <col min="249" max="249" width="9.77734375" style="18" customWidth="1"/>
    <col min="250" max="250" width="14.44140625" style="18" customWidth="1"/>
    <col min="251" max="251" width="7.21875" style="18" customWidth="1"/>
    <col min="252" max="252" width="5.5546875" style="18" customWidth="1"/>
    <col min="253" max="253" width="9" style="18" customWidth="1"/>
    <col min="254" max="255" width="9.77734375" style="18" customWidth="1"/>
    <col min="256" max="256" width="11.21875" style="18" customWidth="1"/>
    <col min="257" max="257" width="2.77734375" style="18" customWidth="1"/>
    <col min="258" max="258" width="3.5546875" style="18" customWidth="1"/>
    <col min="259" max="503" width="9.21875" style="18"/>
    <col min="504" max="504" width="8.77734375" style="18" customWidth="1"/>
    <col min="505" max="505" width="9.77734375" style="18" customWidth="1"/>
    <col min="506" max="506" width="14.44140625" style="18" customWidth="1"/>
    <col min="507" max="507" width="7.21875" style="18" customWidth="1"/>
    <col min="508" max="508" width="5.5546875" style="18" customWidth="1"/>
    <col min="509" max="509" width="9" style="18" customWidth="1"/>
    <col min="510" max="511" width="9.77734375" style="18" customWidth="1"/>
    <col min="512" max="512" width="11.21875" style="18" customWidth="1"/>
    <col min="513" max="513" width="2.77734375" style="18" customWidth="1"/>
    <col min="514" max="514" width="3.5546875" style="18" customWidth="1"/>
    <col min="515" max="759" width="9.21875" style="18"/>
    <col min="760" max="760" width="8.77734375" style="18" customWidth="1"/>
    <col min="761" max="761" width="9.77734375" style="18" customWidth="1"/>
    <col min="762" max="762" width="14.44140625" style="18" customWidth="1"/>
    <col min="763" max="763" width="7.21875" style="18" customWidth="1"/>
    <col min="764" max="764" width="5.5546875" style="18" customWidth="1"/>
    <col min="765" max="765" width="9" style="18" customWidth="1"/>
    <col min="766" max="767" width="9.77734375" style="18" customWidth="1"/>
    <col min="768" max="768" width="11.21875" style="18" customWidth="1"/>
    <col min="769" max="769" width="2.77734375" style="18" customWidth="1"/>
    <col min="770" max="770" width="3.5546875" style="18" customWidth="1"/>
    <col min="771" max="1015" width="9.21875" style="18"/>
    <col min="1016" max="1016" width="8.77734375" style="18" customWidth="1"/>
    <col min="1017" max="1017" width="9.77734375" style="18" customWidth="1"/>
    <col min="1018" max="1018" width="14.44140625" style="18" customWidth="1"/>
    <col min="1019" max="1019" width="7.21875" style="18" customWidth="1"/>
    <col min="1020" max="1020" width="5.5546875" style="18" customWidth="1"/>
    <col min="1021" max="1021" width="9" style="18" customWidth="1"/>
    <col min="1022" max="1023" width="9.77734375" style="18" customWidth="1"/>
    <col min="1024" max="1024" width="11.21875" style="18" customWidth="1"/>
    <col min="1025" max="1025" width="2.77734375" style="18" customWidth="1"/>
    <col min="1026" max="1026" width="3.5546875" style="18" customWidth="1"/>
    <col min="1027" max="1271" width="9.21875" style="18"/>
    <col min="1272" max="1272" width="8.77734375" style="18" customWidth="1"/>
    <col min="1273" max="1273" width="9.77734375" style="18" customWidth="1"/>
    <col min="1274" max="1274" width="14.44140625" style="18" customWidth="1"/>
    <col min="1275" max="1275" width="7.21875" style="18" customWidth="1"/>
    <col min="1276" max="1276" width="5.5546875" style="18" customWidth="1"/>
    <col min="1277" max="1277" width="9" style="18" customWidth="1"/>
    <col min="1278" max="1279" width="9.77734375" style="18" customWidth="1"/>
    <col min="1280" max="1280" width="11.21875" style="18" customWidth="1"/>
    <col min="1281" max="1281" width="2.77734375" style="18" customWidth="1"/>
    <col min="1282" max="1282" width="3.5546875" style="18" customWidth="1"/>
    <col min="1283" max="1527" width="9.21875" style="18"/>
    <col min="1528" max="1528" width="8.77734375" style="18" customWidth="1"/>
    <col min="1529" max="1529" width="9.77734375" style="18" customWidth="1"/>
    <col min="1530" max="1530" width="14.44140625" style="18" customWidth="1"/>
    <col min="1531" max="1531" width="7.21875" style="18" customWidth="1"/>
    <col min="1532" max="1532" width="5.5546875" style="18" customWidth="1"/>
    <col min="1533" max="1533" width="9" style="18" customWidth="1"/>
    <col min="1534" max="1535" width="9.77734375" style="18" customWidth="1"/>
    <col min="1536" max="1536" width="11.21875" style="18" customWidth="1"/>
    <col min="1537" max="1537" width="2.77734375" style="18" customWidth="1"/>
    <col min="1538" max="1538" width="3.5546875" style="18" customWidth="1"/>
    <col min="1539" max="1783" width="9.21875" style="18"/>
    <col min="1784" max="1784" width="8.77734375" style="18" customWidth="1"/>
    <col min="1785" max="1785" width="9.77734375" style="18" customWidth="1"/>
    <col min="1786" max="1786" width="14.44140625" style="18" customWidth="1"/>
    <col min="1787" max="1787" width="7.21875" style="18" customWidth="1"/>
    <col min="1788" max="1788" width="5.5546875" style="18" customWidth="1"/>
    <col min="1789" max="1789" width="9" style="18" customWidth="1"/>
    <col min="1790" max="1791" width="9.77734375" style="18" customWidth="1"/>
    <col min="1792" max="1792" width="11.21875" style="18" customWidth="1"/>
    <col min="1793" max="1793" width="2.77734375" style="18" customWidth="1"/>
    <col min="1794" max="1794" width="3.5546875" style="18" customWidth="1"/>
    <col min="1795" max="2039" width="9.21875" style="18"/>
    <col min="2040" max="2040" width="8.77734375" style="18" customWidth="1"/>
    <col min="2041" max="2041" width="9.77734375" style="18" customWidth="1"/>
    <col min="2042" max="2042" width="14.44140625" style="18" customWidth="1"/>
    <col min="2043" max="2043" width="7.21875" style="18" customWidth="1"/>
    <col min="2044" max="2044" width="5.5546875" style="18" customWidth="1"/>
    <col min="2045" max="2045" width="9" style="18" customWidth="1"/>
    <col min="2046" max="2047" width="9.77734375" style="18" customWidth="1"/>
    <col min="2048" max="2048" width="11.21875" style="18" customWidth="1"/>
    <col min="2049" max="2049" width="2.77734375" style="18" customWidth="1"/>
    <col min="2050" max="2050" width="3.5546875" style="18" customWidth="1"/>
    <col min="2051" max="2295" width="9.21875" style="18"/>
    <col min="2296" max="2296" width="8.77734375" style="18" customWidth="1"/>
    <col min="2297" max="2297" width="9.77734375" style="18" customWidth="1"/>
    <col min="2298" max="2298" width="14.44140625" style="18" customWidth="1"/>
    <col min="2299" max="2299" width="7.21875" style="18" customWidth="1"/>
    <col min="2300" max="2300" width="5.5546875" style="18" customWidth="1"/>
    <col min="2301" max="2301" width="9" style="18" customWidth="1"/>
    <col min="2302" max="2303" width="9.77734375" style="18" customWidth="1"/>
    <col min="2304" max="2304" width="11.21875" style="18" customWidth="1"/>
    <col min="2305" max="2305" width="2.77734375" style="18" customWidth="1"/>
    <col min="2306" max="2306" width="3.5546875" style="18" customWidth="1"/>
    <col min="2307" max="2551" width="9.21875" style="18"/>
    <col min="2552" max="2552" width="8.77734375" style="18" customWidth="1"/>
    <col min="2553" max="2553" width="9.77734375" style="18" customWidth="1"/>
    <col min="2554" max="2554" width="14.44140625" style="18" customWidth="1"/>
    <col min="2555" max="2555" width="7.21875" style="18" customWidth="1"/>
    <col min="2556" max="2556" width="5.5546875" style="18" customWidth="1"/>
    <col min="2557" max="2557" width="9" style="18" customWidth="1"/>
    <col min="2558" max="2559" width="9.77734375" style="18" customWidth="1"/>
    <col min="2560" max="2560" width="11.21875" style="18" customWidth="1"/>
    <col min="2561" max="2561" width="2.77734375" style="18" customWidth="1"/>
    <col min="2562" max="2562" width="3.5546875" style="18" customWidth="1"/>
    <col min="2563" max="2807" width="9.21875" style="18"/>
    <col min="2808" max="2808" width="8.77734375" style="18" customWidth="1"/>
    <col min="2809" max="2809" width="9.77734375" style="18" customWidth="1"/>
    <col min="2810" max="2810" width="14.44140625" style="18" customWidth="1"/>
    <col min="2811" max="2811" width="7.21875" style="18" customWidth="1"/>
    <col min="2812" max="2812" width="5.5546875" style="18" customWidth="1"/>
    <col min="2813" max="2813" width="9" style="18" customWidth="1"/>
    <col min="2814" max="2815" width="9.77734375" style="18" customWidth="1"/>
    <col min="2816" max="2816" width="11.21875" style="18" customWidth="1"/>
    <col min="2817" max="2817" width="2.77734375" style="18" customWidth="1"/>
    <col min="2818" max="2818" width="3.5546875" style="18" customWidth="1"/>
    <col min="2819" max="3063" width="9.21875" style="18"/>
    <col min="3064" max="3064" width="8.77734375" style="18" customWidth="1"/>
    <col min="3065" max="3065" width="9.77734375" style="18" customWidth="1"/>
    <col min="3066" max="3066" width="14.44140625" style="18" customWidth="1"/>
    <col min="3067" max="3067" width="7.21875" style="18" customWidth="1"/>
    <col min="3068" max="3068" width="5.5546875" style="18" customWidth="1"/>
    <col min="3069" max="3069" width="9" style="18" customWidth="1"/>
    <col min="3070" max="3071" width="9.77734375" style="18" customWidth="1"/>
    <col min="3072" max="3072" width="11.21875" style="18" customWidth="1"/>
    <col min="3073" max="3073" width="2.77734375" style="18" customWidth="1"/>
    <col min="3074" max="3074" width="3.5546875" style="18" customWidth="1"/>
    <col min="3075" max="3319" width="9.21875" style="18"/>
    <col min="3320" max="3320" width="8.77734375" style="18" customWidth="1"/>
    <col min="3321" max="3321" width="9.77734375" style="18" customWidth="1"/>
    <col min="3322" max="3322" width="14.44140625" style="18" customWidth="1"/>
    <col min="3323" max="3323" width="7.21875" style="18" customWidth="1"/>
    <col min="3324" max="3324" width="5.5546875" style="18" customWidth="1"/>
    <col min="3325" max="3325" width="9" style="18" customWidth="1"/>
    <col min="3326" max="3327" width="9.77734375" style="18" customWidth="1"/>
    <col min="3328" max="3328" width="11.21875" style="18" customWidth="1"/>
    <col min="3329" max="3329" width="2.77734375" style="18" customWidth="1"/>
    <col min="3330" max="3330" width="3.5546875" style="18" customWidth="1"/>
    <col min="3331" max="3575" width="9.21875" style="18"/>
    <col min="3576" max="3576" width="8.77734375" style="18" customWidth="1"/>
    <col min="3577" max="3577" width="9.77734375" style="18" customWidth="1"/>
    <col min="3578" max="3578" width="14.44140625" style="18" customWidth="1"/>
    <col min="3579" max="3579" width="7.21875" style="18" customWidth="1"/>
    <col min="3580" max="3580" width="5.5546875" style="18" customWidth="1"/>
    <col min="3581" max="3581" width="9" style="18" customWidth="1"/>
    <col min="3582" max="3583" width="9.77734375" style="18" customWidth="1"/>
    <col min="3584" max="3584" width="11.21875" style="18" customWidth="1"/>
    <col min="3585" max="3585" width="2.77734375" style="18" customWidth="1"/>
    <col min="3586" max="3586" width="3.5546875" style="18" customWidth="1"/>
    <col min="3587" max="3831" width="9.21875" style="18"/>
    <col min="3832" max="3832" width="8.77734375" style="18" customWidth="1"/>
    <col min="3833" max="3833" width="9.77734375" style="18" customWidth="1"/>
    <col min="3834" max="3834" width="14.44140625" style="18" customWidth="1"/>
    <col min="3835" max="3835" width="7.21875" style="18" customWidth="1"/>
    <col min="3836" max="3836" width="5.5546875" style="18" customWidth="1"/>
    <col min="3837" max="3837" width="9" style="18" customWidth="1"/>
    <col min="3838" max="3839" width="9.77734375" style="18" customWidth="1"/>
    <col min="3840" max="3840" width="11.21875" style="18" customWidth="1"/>
    <col min="3841" max="3841" width="2.77734375" style="18" customWidth="1"/>
    <col min="3842" max="3842" width="3.5546875" style="18" customWidth="1"/>
    <col min="3843" max="4087" width="9.21875" style="18"/>
    <col min="4088" max="4088" width="8.77734375" style="18" customWidth="1"/>
    <col min="4089" max="4089" width="9.77734375" style="18" customWidth="1"/>
    <col min="4090" max="4090" width="14.44140625" style="18" customWidth="1"/>
    <col min="4091" max="4091" width="7.21875" style="18" customWidth="1"/>
    <col min="4092" max="4092" width="5.5546875" style="18" customWidth="1"/>
    <col min="4093" max="4093" width="9" style="18" customWidth="1"/>
    <col min="4094" max="4095" width="9.77734375" style="18" customWidth="1"/>
    <col min="4096" max="4096" width="11.21875" style="18" customWidth="1"/>
    <col min="4097" max="4097" width="2.77734375" style="18" customWidth="1"/>
    <col min="4098" max="4098" width="3.5546875" style="18" customWidth="1"/>
    <col min="4099" max="4343" width="9.21875" style="18"/>
    <col min="4344" max="4344" width="8.77734375" style="18" customWidth="1"/>
    <col min="4345" max="4345" width="9.77734375" style="18" customWidth="1"/>
    <col min="4346" max="4346" width="14.44140625" style="18" customWidth="1"/>
    <col min="4347" max="4347" width="7.21875" style="18" customWidth="1"/>
    <col min="4348" max="4348" width="5.5546875" style="18" customWidth="1"/>
    <col min="4349" max="4349" width="9" style="18" customWidth="1"/>
    <col min="4350" max="4351" width="9.77734375" style="18" customWidth="1"/>
    <col min="4352" max="4352" width="11.21875" style="18" customWidth="1"/>
    <col min="4353" max="4353" width="2.77734375" style="18" customWidth="1"/>
    <col min="4354" max="4354" width="3.5546875" style="18" customWidth="1"/>
    <col min="4355" max="4599" width="9.21875" style="18"/>
    <col min="4600" max="4600" width="8.77734375" style="18" customWidth="1"/>
    <col min="4601" max="4601" width="9.77734375" style="18" customWidth="1"/>
    <col min="4602" max="4602" width="14.44140625" style="18" customWidth="1"/>
    <col min="4603" max="4603" width="7.21875" style="18" customWidth="1"/>
    <col min="4604" max="4604" width="5.5546875" style="18" customWidth="1"/>
    <col min="4605" max="4605" width="9" style="18" customWidth="1"/>
    <col min="4606" max="4607" width="9.77734375" style="18" customWidth="1"/>
    <col min="4608" max="4608" width="11.21875" style="18" customWidth="1"/>
    <col min="4609" max="4609" width="2.77734375" style="18" customWidth="1"/>
    <col min="4610" max="4610" width="3.5546875" style="18" customWidth="1"/>
    <col min="4611" max="4855" width="9.21875" style="18"/>
    <col min="4856" max="4856" width="8.77734375" style="18" customWidth="1"/>
    <col min="4857" max="4857" width="9.77734375" style="18" customWidth="1"/>
    <col min="4858" max="4858" width="14.44140625" style="18" customWidth="1"/>
    <col min="4859" max="4859" width="7.21875" style="18" customWidth="1"/>
    <col min="4860" max="4860" width="5.5546875" style="18" customWidth="1"/>
    <col min="4861" max="4861" width="9" style="18" customWidth="1"/>
    <col min="4862" max="4863" width="9.77734375" style="18" customWidth="1"/>
    <col min="4864" max="4864" width="11.21875" style="18" customWidth="1"/>
    <col min="4865" max="4865" width="2.77734375" style="18" customWidth="1"/>
    <col min="4866" max="4866" width="3.5546875" style="18" customWidth="1"/>
    <col min="4867" max="5111" width="9.21875" style="18"/>
    <col min="5112" max="5112" width="8.77734375" style="18" customWidth="1"/>
    <col min="5113" max="5113" width="9.77734375" style="18" customWidth="1"/>
    <col min="5114" max="5114" width="14.44140625" style="18" customWidth="1"/>
    <col min="5115" max="5115" width="7.21875" style="18" customWidth="1"/>
    <col min="5116" max="5116" width="5.5546875" style="18" customWidth="1"/>
    <col min="5117" max="5117" width="9" style="18" customWidth="1"/>
    <col min="5118" max="5119" width="9.77734375" style="18" customWidth="1"/>
    <col min="5120" max="5120" width="11.21875" style="18" customWidth="1"/>
    <col min="5121" max="5121" width="2.77734375" style="18" customWidth="1"/>
    <col min="5122" max="5122" width="3.5546875" style="18" customWidth="1"/>
    <col min="5123" max="5367" width="9.21875" style="18"/>
    <col min="5368" max="5368" width="8.77734375" style="18" customWidth="1"/>
    <col min="5369" max="5369" width="9.77734375" style="18" customWidth="1"/>
    <col min="5370" max="5370" width="14.44140625" style="18" customWidth="1"/>
    <col min="5371" max="5371" width="7.21875" style="18" customWidth="1"/>
    <col min="5372" max="5372" width="5.5546875" style="18" customWidth="1"/>
    <col min="5373" max="5373" width="9" style="18" customWidth="1"/>
    <col min="5374" max="5375" width="9.77734375" style="18" customWidth="1"/>
    <col min="5376" max="5376" width="11.21875" style="18" customWidth="1"/>
    <col min="5377" max="5377" width="2.77734375" style="18" customWidth="1"/>
    <col min="5378" max="5378" width="3.5546875" style="18" customWidth="1"/>
    <col min="5379" max="5623" width="9.21875" style="18"/>
    <col min="5624" max="5624" width="8.77734375" style="18" customWidth="1"/>
    <col min="5625" max="5625" width="9.77734375" style="18" customWidth="1"/>
    <col min="5626" max="5626" width="14.44140625" style="18" customWidth="1"/>
    <col min="5627" max="5627" width="7.21875" style="18" customWidth="1"/>
    <col min="5628" max="5628" width="5.5546875" style="18" customWidth="1"/>
    <col min="5629" max="5629" width="9" style="18" customWidth="1"/>
    <col min="5630" max="5631" width="9.77734375" style="18" customWidth="1"/>
    <col min="5632" max="5632" width="11.21875" style="18" customWidth="1"/>
    <col min="5633" max="5633" width="2.77734375" style="18" customWidth="1"/>
    <col min="5634" max="5634" width="3.5546875" style="18" customWidth="1"/>
    <col min="5635" max="5879" width="9.21875" style="18"/>
    <col min="5880" max="5880" width="8.77734375" style="18" customWidth="1"/>
    <col min="5881" max="5881" width="9.77734375" style="18" customWidth="1"/>
    <col min="5882" max="5882" width="14.44140625" style="18" customWidth="1"/>
    <col min="5883" max="5883" width="7.21875" style="18" customWidth="1"/>
    <col min="5884" max="5884" width="5.5546875" style="18" customWidth="1"/>
    <col min="5885" max="5885" width="9" style="18" customWidth="1"/>
    <col min="5886" max="5887" width="9.77734375" style="18" customWidth="1"/>
    <col min="5888" max="5888" width="11.21875" style="18" customWidth="1"/>
    <col min="5889" max="5889" width="2.77734375" style="18" customWidth="1"/>
    <col min="5890" max="5890" width="3.5546875" style="18" customWidth="1"/>
    <col min="5891" max="6135" width="9.21875" style="18"/>
    <col min="6136" max="6136" width="8.77734375" style="18" customWidth="1"/>
    <col min="6137" max="6137" width="9.77734375" style="18" customWidth="1"/>
    <col min="6138" max="6138" width="14.44140625" style="18" customWidth="1"/>
    <col min="6139" max="6139" width="7.21875" style="18" customWidth="1"/>
    <col min="6140" max="6140" width="5.5546875" style="18" customWidth="1"/>
    <col min="6141" max="6141" width="9" style="18" customWidth="1"/>
    <col min="6142" max="6143" width="9.77734375" style="18" customWidth="1"/>
    <col min="6144" max="6144" width="11.21875" style="18" customWidth="1"/>
    <col min="6145" max="6145" width="2.77734375" style="18" customWidth="1"/>
    <col min="6146" max="6146" width="3.5546875" style="18" customWidth="1"/>
    <col min="6147" max="6391" width="9.21875" style="18"/>
    <col min="6392" max="6392" width="8.77734375" style="18" customWidth="1"/>
    <col min="6393" max="6393" width="9.77734375" style="18" customWidth="1"/>
    <col min="6394" max="6394" width="14.44140625" style="18" customWidth="1"/>
    <col min="6395" max="6395" width="7.21875" style="18" customWidth="1"/>
    <col min="6396" max="6396" width="5.5546875" style="18" customWidth="1"/>
    <col min="6397" max="6397" width="9" style="18" customWidth="1"/>
    <col min="6398" max="6399" width="9.77734375" style="18" customWidth="1"/>
    <col min="6400" max="6400" width="11.21875" style="18" customWidth="1"/>
    <col min="6401" max="6401" width="2.77734375" style="18" customWidth="1"/>
    <col min="6402" max="6402" width="3.5546875" style="18" customWidth="1"/>
    <col min="6403" max="6647" width="9.21875" style="18"/>
    <col min="6648" max="6648" width="8.77734375" style="18" customWidth="1"/>
    <col min="6649" max="6649" width="9.77734375" style="18" customWidth="1"/>
    <col min="6650" max="6650" width="14.44140625" style="18" customWidth="1"/>
    <col min="6651" max="6651" width="7.21875" style="18" customWidth="1"/>
    <col min="6652" max="6652" width="5.5546875" style="18" customWidth="1"/>
    <col min="6653" max="6653" width="9" style="18" customWidth="1"/>
    <col min="6654" max="6655" width="9.77734375" style="18" customWidth="1"/>
    <col min="6656" max="6656" width="11.21875" style="18" customWidth="1"/>
    <col min="6657" max="6657" width="2.77734375" style="18" customWidth="1"/>
    <col min="6658" max="6658" width="3.5546875" style="18" customWidth="1"/>
    <col min="6659" max="6903" width="9.21875" style="18"/>
    <col min="6904" max="6904" width="8.77734375" style="18" customWidth="1"/>
    <col min="6905" max="6905" width="9.77734375" style="18" customWidth="1"/>
    <col min="6906" max="6906" width="14.44140625" style="18" customWidth="1"/>
    <col min="6907" max="6907" width="7.21875" style="18" customWidth="1"/>
    <col min="6908" max="6908" width="5.5546875" style="18" customWidth="1"/>
    <col min="6909" max="6909" width="9" style="18" customWidth="1"/>
    <col min="6910" max="6911" width="9.77734375" style="18" customWidth="1"/>
    <col min="6912" max="6912" width="11.21875" style="18" customWidth="1"/>
    <col min="6913" max="6913" width="2.77734375" style="18" customWidth="1"/>
    <col min="6914" max="6914" width="3.5546875" style="18" customWidth="1"/>
    <col min="6915" max="7159" width="9.21875" style="18"/>
    <col min="7160" max="7160" width="8.77734375" style="18" customWidth="1"/>
    <col min="7161" max="7161" width="9.77734375" style="18" customWidth="1"/>
    <col min="7162" max="7162" width="14.44140625" style="18" customWidth="1"/>
    <col min="7163" max="7163" width="7.21875" style="18" customWidth="1"/>
    <col min="7164" max="7164" width="5.5546875" style="18" customWidth="1"/>
    <col min="7165" max="7165" width="9" style="18" customWidth="1"/>
    <col min="7166" max="7167" width="9.77734375" style="18" customWidth="1"/>
    <col min="7168" max="7168" width="11.21875" style="18" customWidth="1"/>
    <col min="7169" max="7169" width="2.77734375" style="18" customWidth="1"/>
    <col min="7170" max="7170" width="3.5546875" style="18" customWidth="1"/>
    <col min="7171" max="7415" width="9.21875" style="18"/>
    <col min="7416" max="7416" width="8.77734375" style="18" customWidth="1"/>
    <col min="7417" max="7417" width="9.77734375" style="18" customWidth="1"/>
    <col min="7418" max="7418" width="14.44140625" style="18" customWidth="1"/>
    <col min="7419" max="7419" width="7.21875" style="18" customWidth="1"/>
    <col min="7420" max="7420" width="5.5546875" style="18" customWidth="1"/>
    <col min="7421" max="7421" width="9" style="18" customWidth="1"/>
    <col min="7422" max="7423" width="9.77734375" style="18" customWidth="1"/>
    <col min="7424" max="7424" width="11.21875" style="18" customWidth="1"/>
    <col min="7425" max="7425" width="2.77734375" style="18" customWidth="1"/>
    <col min="7426" max="7426" width="3.5546875" style="18" customWidth="1"/>
    <col min="7427" max="7671" width="9.21875" style="18"/>
    <col min="7672" max="7672" width="8.77734375" style="18" customWidth="1"/>
    <col min="7673" max="7673" width="9.77734375" style="18" customWidth="1"/>
    <col min="7674" max="7674" width="14.44140625" style="18" customWidth="1"/>
    <col min="7675" max="7675" width="7.21875" style="18" customWidth="1"/>
    <col min="7676" max="7676" width="5.5546875" style="18" customWidth="1"/>
    <col min="7677" max="7677" width="9" style="18" customWidth="1"/>
    <col min="7678" max="7679" width="9.77734375" style="18" customWidth="1"/>
    <col min="7680" max="7680" width="11.21875" style="18" customWidth="1"/>
    <col min="7681" max="7681" width="2.77734375" style="18" customWidth="1"/>
    <col min="7682" max="7682" width="3.5546875" style="18" customWidth="1"/>
    <col min="7683" max="7927" width="9.21875" style="18"/>
    <col min="7928" max="7928" width="8.77734375" style="18" customWidth="1"/>
    <col min="7929" max="7929" width="9.77734375" style="18" customWidth="1"/>
    <col min="7930" max="7930" width="14.44140625" style="18" customWidth="1"/>
    <col min="7931" max="7931" width="7.21875" style="18" customWidth="1"/>
    <col min="7932" max="7932" width="5.5546875" style="18" customWidth="1"/>
    <col min="7933" max="7933" width="9" style="18" customWidth="1"/>
    <col min="7934" max="7935" width="9.77734375" style="18" customWidth="1"/>
    <col min="7936" max="7936" width="11.21875" style="18" customWidth="1"/>
    <col min="7937" max="7937" width="2.77734375" style="18" customWidth="1"/>
    <col min="7938" max="7938" width="3.5546875" style="18" customWidth="1"/>
    <col min="7939" max="8183" width="9.21875" style="18"/>
    <col min="8184" max="8184" width="8.77734375" style="18" customWidth="1"/>
    <col min="8185" max="8185" width="9.77734375" style="18" customWidth="1"/>
    <col min="8186" max="8186" width="14.44140625" style="18" customWidth="1"/>
    <col min="8187" max="8187" width="7.21875" style="18" customWidth="1"/>
    <col min="8188" max="8188" width="5.5546875" style="18" customWidth="1"/>
    <col min="8189" max="8189" width="9" style="18" customWidth="1"/>
    <col min="8190" max="8191" width="9.77734375" style="18" customWidth="1"/>
    <col min="8192" max="8192" width="11.21875" style="18" customWidth="1"/>
    <col min="8193" max="8193" width="2.77734375" style="18" customWidth="1"/>
    <col min="8194" max="8194" width="3.5546875" style="18" customWidth="1"/>
    <col min="8195" max="8439" width="9.21875" style="18"/>
    <col min="8440" max="8440" width="8.77734375" style="18" customWidth="1"/>
    <col min="8441" max="8441" width="9.77734375" style="18" customWidth="1"/>
    <col min="8442" max="8442" width="14.44140625" style="18" customWidth="1"/>
    <col min="8443" max="8443" width="7.21875" style="18" customWidth="1"/>
    <col min="8444" max="8444" width="5.5546875" style="18" customWidth="1"/>
    <col min="8445" max="8445" width="9" style="18" customWidth="1"/>
    <col min="8446" max="8447" width="9.77734375" style="18" customWidth="1"/>
    <col min="8448" max="8448" width="11.21875" style="18" customWidth="1"/>
    <col min="8449" max="8449" width="2.77734375" style="18" customWidth="1"/>
    <col min="8450" max="8450" width="3.5546875" style="18" customWidth="1"/>
    <col min="8451" max="8695" width="9.21875" style="18"/>
    <col min="8696" max="8696" width="8.77734375" style="18" customWidth="1"/>
    <col min="8697" max="8697" width="9.77734375" style="18" customWidth="1"/>
    <col min="8698" max="8698" width="14.44140625" style="18" customWidth="1"/>
    <col min="8699" max="8699" width="7.21875" style="18" customWidth="1"/>
    <col min="8700" max="8700" width="5.5546875" style="18" customWidth="1"/>
    <col min="8701" max="8701" width="9" style="18" customWidth="1"/>
    <col min="8702" max="8703" width="9.77734375" style="18" customWidth="1"/>
    <col min="8704" max="8704" width="11.21875" style="18" customWidth="1"/>
    <col min="8705" max="8705" width="2.77734375" style="18" customWidth="1"/>
    <col min="8706" max="8706" width="3.5546875" style="18" customWidth="1"/>
    <col min="8707" max="8951" width="9.21875" style="18"/>
    <col min="8952" max="8952" width="8.77734375" style="18" customWidth="1"/>
    <col min="8953" max="8953" width="9.77734375" style="18" customWidth="1"/>
    <col min="8954" max="8954" width="14.44140625" style="18" customWidth="1"/>
    <col min="8955" max="8955" width="7.21875" style="18" customWidth="1"/>
    <col min="8956" max="8956" width="5.5546875" style="18" customWidth="1"/>
    <col min="8957" max="8957" width="9" style="18" customWidth="1"/>
    <col min="8958" max="8959" width="9.77734375" style="18" customWidth="1"/>
    <col min="8960" max="8960" width="11.21875" style="18" customWidth="1"/>
    <col min="8961" max="8961" width="2.77734375" style="18" customWidth="1"/>
    <col min="8962" max="8962" width="3.5546875" style="18" customWidth="1"/>
    <col min="8963" max="9207" width="9.21875" style="18"/>
    <col min="9208" max="9208" width="8.77734375" style="18" customWidth="1"/>
    <col min="9209" max="9209" width="9.77734375" style="18" customWidth="1"/>
    <col min="9210" max="9210" width="14.44140625" style="18" customWidth="1"/>
    <col min="9211" max="9211" width="7.21875" style="18" customWidth="1"/>
    <col min="9212" max="9212" width="5.5546875" style="18" customWidth="1"/>
    <col min="9213" max="9213" width="9" style="18" customWidth="1"/>
    <col min="9214" max="9215" width="9.77734375" style="18" customWidth="1"/>
    <col min="9216" max="9216" width="11.21875" style="18" customWidth="1"/>
    <col min="9217" max="9217" width="2.77734375" style="18" customWidth="1"/>
    <col min="9218" max="9218" width="3.5546875" style="18" customWidth="1"/>
    <col min="9219" max="9463" width="9.21875" style="18"/>
    <col min="9464" max="9464" width="8.77734375" style="18" customWidth="1"/>
    <col min="9465" max="9465" width="9.77734375" style="18" customWidth="1"/>
    <col min="9466" max="9466" width="14.44140625" style="18" customWidth="1"/>
    <col min="9467" max="9467" width="7.21875" style="18" customWidth="1"/>
    <col min="9468" max="9468" width="5.5546875" style="18" customWidth="1"/>
    <col min="9469" max="9469" width="9" style="18" customWidth="1"/>
    <col min="9470" max="9471" width="9.77734375" style="18" customWidth="1"/>
    <col min="9472" max="9472" width="11.21875" style="18" customWidth="1"/>
    <col min="9473" max="9473" width="2.77734375" style="18" customWidth="1"/>
    <col min="9474" max="9474" width="3.5546875" style="18" customWidth="1"/>
    <col min="9475" max="9719" width="9.21875" style="18"/>
    <col min="9720" max="9720" width="8.77734375" style="18" customWidth="1"/>
    <col min="9721" max="9721" width="9.77734375" style="18" customWidth="1"/>
    <col min="9722" max="9722" width="14.44140625" style="18" customWidth="1"/>
    <col min="9723" max="9723" width="7.21875" style="18" customWidth="1"/>
    <col min="9724" max="9724" width="5.5546875" style="18" customWidth="1"/>
    <col min="9725" max="9725" width="9" style="18" customWidth="1"/>
    <col min="9726" max="9727" width="9.77734375" style="18" customWidth="1"/>
    <col min="9728" max="9728" width="11.21875" style="18" customWidth="1"/>
    <col min="9729" max="9729" width="2.77734375" style="18" customWidth="1"/>
    <col min="9730" max="9730" width="3.5546875" style="18" customWidth="1"/>
    <col min="9731" max="9975" width="9.21875" style="18"/>
    <col min="9976" max="9976" width="8.77734375" style="18" customWidth="1"/>
    <col min="9977" max="9977" width="9.77734375" style="18" customWidth="1"/>
    <col min="9978" max="9978" width="14.44140625" style="18" customWidth="1"/>
    <col min="9979" max="9979" width="7.21875" style="18" customWidth="1"/>
    <col min="9980" max="9980" width="5.5546875" style="18" customWidth="1"/>
    <col min="9981" max="9981" width="9" style="18" customWidth="1"/>
    <col min="9982" max="9983" width="9.77734375" style="18" customWidth="1"/>
    <col min="9984" max="9984" width="11.21875" style="18" customWidth="1"/>
    <col min="9985" max="9985" width="2.77734375" style="18" customWidth="1"/>
    <col min="9986" max="9986" width="3.5546875" style="18" customWidth="1"/>
    <col min="9987" max="10231" width="9.21875" style="18"/>
    <col min="10232" max="10232" width="8.77734375" style="18" customWidth="1"/>
    <col min="10233" max="10233" width="9.77734375" style="18" customWidth="1"/>
    <col min="10234" max="10234" width="14.44140625" style="18" customWidth="1"/>
    <col min="10235" max="10235" width="7.21875" style="18" customWidth="1"/>
    <col min="10236" max="10236" width="5.5546875" style="18" customWidth="1"/>
    <col min="10237" max="10237" width="9" style="18" customWidth="1"/>
    <col min="10238" max="10239" width="9.77734375" style="18" customWidth="1"/>
    <col min="10240" max="10240" width="11.21875" style="18" customWidth="1"/>
    <col min="10241" max="10241" width="2.77734375" style="18" customWidth="1"/>
    <col min="10242" max="10242" width="3.5546875" style="18" customWidth="1"/>
    <col min="10243" max="10487" width="9.21875" style="18"/>
    <col min="10488" max="10488" width="8.77734375" style="18" customWidth="1"/>
    <col min="10489" max="10489" width="9.77734375" style="18" customWidth="1"/>
    <col min="10490" max="10490" width="14.44140625" style="18" customWidth="1"/>
    <col min="10491" max="10491" width="7.21875" style="18" customWidth="1"/>
    <col min="10492" max="10492" width="5.5546875" style="18" customWidth="1"/>
    <col min="10493" max="10493" width="9" style="18" customWidth="1"/>
    <col min="10494" max="10495" width="9.77734375" style="18" customWidth="1"/>
    <col min="10496" max="10496" width="11.21875" style="18" customWidth="1"/>
    <col min="10497" max="10497" width="2.77734375" style="18" customWidth="1"/>
    <col min="10498" max="10498" width="3.5546875" style="18" customWidth="1"/>
    <col min="10499" max="10743" width="9.21875" style="18"/>
    <col min="10744" max="10744" width="8.77734375" style="18" customWidth="1"/>
    <col min="10745" max="10745" width="9.77734375" style="18" customWidth="1"/>
    <col min="10746" max="10746" width="14.44140625" style="18" customWidth="1"/>
    <col min="10747" max="10747" width="7.21875" style="18" customWidth="1"/>
    <col min="10748" max="10748" width="5.5546875" style="18" customWidth="1"/>
    <col min="10749" max="10749" width="9" style="18" customWidth="1"/>
    <col min="10750" max="10751" width="9.77734375" style="18" customWidth="1"/>
    <col min="10752" max="10752" width="11.21875" style="18" customWidth="1"/>
    <col min="10753" max="10753" width="2.77734375" style="18" customWidth="1"/>
    <col min="10754" max="10754" width="3.5546875" style="18" customWidth="1"/>
    <col min="10755" max="10999" width="9.21875" style="18"/>
    <col min="11000" max="11000" width="8.77734375" style="18" customWidth="1"/>
    <col min="11001" max="11001" width="9.77734375" style="18" customWidth="1"/>
    <col min="11002" max="11002" width="14.44140625" style="18" customWidth="1"/>
    <col min="11003" max="11003" width="7.21875" style="18" customWidth="1"/>
    <col min="11004" max="11004" width="5.5546875" style="18" customWidth="1"/>
    <col min="11005" max="11005" width="9" style="18" customWidth="1"/>
    <col min="11006" max="11007" width="9.77734375" style="18" customWidth="1"/>
    <col min="11008" max="11008" width="11.21875" style="18" customWidth="1"/>
    <col min="11009" max="11009" width="2.77734375" style="18" customWidth="1"/>
    <col min="11010" max="11010" width="3.5546875" style="18" customWidth="1"/>
    <col min="11011" max="11255" width="9.21875" style="18"/>
    <col min="11256" max="11256" width="8.77734375" style="18" customWidth="1"/>
    <col min="11257" max="11257" width="9.77734375" style="18" customWidth="1"/>
    <col min="11258" max="11258" width="14.44140625" style="18" customWidth="1"/>
    <col min="11259" max="11259" width="7.21875" style="18" customWidth="1"/>
    <col min="11260" max="11260" width="5.5546875" style="18" customWidth="1"/>
    <col min="11261" max="11261" width="9" style="18" customWidth="1"/>
    <col min="11262" max="11263" width="9.77734375" style="18" customWidth="1"/>
    <col min="11264" max="11264" width="11.21875" style="18" customWidth="1"/>
    <col min="11265" max="11265" width="2.77734375" style="18" customWidth="1"/>
    <col min="11266" max="11266" width="3.5546875" style="18" customWidth="1"/>
    <col min="11267" max="11511" width="9.21875" style="18"/>
    <col min="11512" max="11512" width="8.77734375" style="18" customWidth="1"/>
    <col min="11513" max="11513" width="9.77734375" style="18" customWidth="1"/>
    <col min="11514" max="11514" width="14.44140625" style="18" customWidth="1"/>
    <col min="11515" max="11515" width="7.21875" style="18" customWidth="1"/>
    <col min="11516" max="11516" width="5.5546875" style="18" customWidth="1"/>
    <col min="11517" max="11517" width="9" style="18" customWidth="1"/>
    <col min="11518" max="11519" width="9.77734375" style="18" customWidth="1"/>
    <col min="11520" max="11520" width="11.21875" style="18" customWidth="1"/>
    <col min="11521" max="11521" width="2.77734375" style="18" customWidth="1"/>
    <col min="11522" max="11522" width="3.5546875" style="18" customWidth="1"/>
    <col min="11523" max="11767" width="9.21875" style="18"/>
    <col min="11768" max="11768" width="8.77734375" style="18" customWidth="1"/>
    <col min="11769" max="11769" width="9.77734375" style="18" customWidth="1"/>
    <col min="11770" max="11770" width="14.44140625" style="18" customWidth="1"/>
    <col min="11771" max="11771" width="7.21875" style="18" customWidth="1"/>
    <col min="11772" max="11772" width="5.5546875" style="18" customWidth="1"/>
    <col min="11773" max="11773" width="9" style="18" customWidth="1"/>
    <col min="11774" max="11775" width="9.77734375" style="18" customWidth="1"/>
    <col min="11776" max="11776" width="11.21875" style="18" customWidth="1"/>
    <col min="11777" max="11777" width="2.77734375" style="18" customWidth="1"/>
    <col min="11778" max="11778" width="3.5546875" style="18" customWidth="1"/>
    <col min="11779" max="12023" width="9.21875" style="18"/>
    <col min="12024" max="12024" width="8.77734375" style="18" customWidth="1"/>
    <col min="12025" max="12025" width="9.77734375" style="18" customWidth="1"/>
    <col min="12026" max="12026" width="14.44140625" style="18" customWidth="1"/>
    <col min="12027" max="12027" width="7.21875" style="18" customWidth="1"/>
    <col min="12028" max="12028" width="5.5546875" style="18" customWidth="1"/>
    <col min="12029" max="12029" width="9" style="18" customWidth="1"/>
    <col min="12030" max="12031" width="9.77734375" style="18" customWidth="1"/>
    <col min="12032" max="12032" width="11.21875" style="18" customWidth="1"/>
    <col min="12033" max="12033" width="2.77734375" style="18" customWidth="1"/>
    <col min="12034" max="12034" width="3.5546875" style="18" customWidth="1"/>
    <col min="12035" max="12279" width="9.21875" style="18"/>
    <col min="12280" max="12280" width="8.77734375" style="18" customWidth="1"/>
    <col min="12281" max="12281" width="9.77734375" style="18" customWidth="1"/>
    <col min="12282" max="12282" width="14.44140625" style="18" customWidth="1"/>
    <col min="12283" max="12283" width="7.21875" style="18" customWidth="1"/>
    <col min="12284" max="12284" width="5.5546875" style="18" customWidth="1"/>
    <col min="12285" max="12285" width="9" style="18" customWidth="1"/>
    <col min="12286" max="12287" width="9.77734375" style="18" customWidth="1"/>
    <col min="12288" max="12288" width="11.21875" style="18" customWidth="1"/>
    <col min="12289" max="12289" width="2.77734375" style="18" customWidth="1"/>
    <col min="12290" max="12290" width="3.5546875" style="18" customWidth="1"/>
    <col min="12291" max="12535" width="9.21875" style="18"/>
    <col min="12536" max="12536" width="8.77734375" style="18" customWidth="1"/>
    <col min="12537" max="12537" width="9.77734375" style="18" customWidth="1"/>
    <col min="12538" max="12538" width="14.44140625" style="18" customWidth="1"/>
    <col min="12539" max="12539" width="7.21875" style="18" customWidth="1"/>
    <col min="12540" max="12540" width="5.5546875" style="18" customWidth="1"/>
    <col min="12541" max="12541" width="9" style="18" customWidth="1"/>
    <col min="12542" max="12543" width="9.77734375" style="18" customWidth="1"/>
    <col min="12544" max="12544" width="11.21875" style="18" customWidth="1"/>
    <col min="12545" max="12545" width="2.77734375" style="18" customWidth="1"/>
    <col min="12546" max="12546" width="3.5546875" style="18" customWidth="1"/>
    <col min="12547" max="12791" width="9.21875" style="18"/>
    <col min="12792" max="12792" width="8.77734375" style="18" customWidth="1"/>
    <col min="12793" max="12793" width="9.77734375" style="18" customWidth="1"/>
    <col min="12794" max="12794" width="14.44140625" style="18" customWidth="1"/>
    <col min="12795" max="12795" width="7.21875" style="18" customWidth="1"/>
    <col min="12796" max="12796" width="5.5546875" style="18" customWidth="1"/>
    <col min="12797" max="12797" width="9" style="18" customWidth="1"/>
    <col min="12798" max="12799" width="9.77734375" style="18" customWidth="1"/>
    <col min="12800" max="12800" width="11.21875" style="18" customWidth="1"/>
    <col min="12801" max="12801" width="2.77734375" style="18" customWidth="1"/>
    <col min="12802" max="12802" width="3.5546875" style="18" customWidth="1"/>
    <col min="12803" max="13047" width="9.21875" style="18"/>
    <col min="13048" max="13048" width="8.77734375" style="18" customWidth="1"/>
    <col min="13049" max="13049" width="9.77734375" style="18" customWidth="1"/>
    <col min="13050" max="13050" width="14.44140625" style="18" customWidth="1"/>
    <col min="13051" max="13051" width="7.21875" style="18" customWidth="1"/>
    <col min="13052" max="13052" width="5.5546875" style="18" customWidth="1"/>
    <col min="13053" max="13053" width="9" style="18" customWidth="1"/>
    <col min="13054" max="13055" width="9.77734375" style="18" customWidth="1"/>
    <col min="13056" max="13056" width="11.21875" style="18" customWidth="1"/>
    <col min="13057" max="13057" width="2.77734375" style="18" customWidth="1"/>
    <col min="13058" max="13058" width="3.5546875" style="18" customWidth="1"/>
    <col min="13059" max="13303" width="9.21875" style="18"/>
    <col min="13304" max="13304" width="8.77734375" style="18" customWidth="1"/>
    <col min="13305" max="13305" width="9.77734375" style="18" customWidth="1"/>
    <col min="13306" max="13306" width="14.44140625" style="18" customWidth="1"/>
    <col min="13307" max="13307" width="7.21875" style="18" customWidth="1"/>
    <col min="13308" max="13308" width="5.5546875" style="18" customWidth="1"/>
    <col min="13309" max="13309" width="9" style="18" customWidth="1"/>
    <col min="13310" max="13311" width="9.77734375" style="18" customWidth="1"/>
    <col min="13312" max="13312" width="11.21875" style="18" customWidth="1"/>
    <col min="13313" max="13313" width="2.77734375" style="18" customWidth="1"/>
    <col min="13314" max="13314" width="3.5546875" style="18" customWidth="1"/>
    <col min="13315" max="13559" width="9.21875" style="18"/>
    <col min="13560" max="13560" width="8.77734375" style="18" customWidth="1"/>
    <col min="13561" max="13561" width="9.77734375" style="18" customWidth="1"/>
    <col min="13562" max="13562" width="14.44140625" style="18" customWidth="1"/>
    <col min="13563" max="13563" width="7.21875" style="18" customWidth="1"/>
    <col min="13564" max="13564" width="5.5546875" style="18" customWidth="1"/>
    <col min="13565" max="13565" width="9" style="18" customWidth="1"/>
    <col min="13566" max="13567" width="9.77734375" style="18" customWidth="1"/>
    <col min="13568" max="13568" width="11.21875" style="18" customWidth="1"/>
    <col min="13569" max="13569" width="2.77734375" style="18" customWidth="1"/>
    <col min="13570" max="13570" width="3.5546875" style="18" customWidth="1"/>
    <col min="13571" max="13815" width="9.21875" style="18"/>
    <col min="13816" max="13816" width="8.77734375" style="18" customWidth="1"/>
    <col min="13817" max="13817" width="9.77734375" style="18" customWidth="1"/>
    <col min="13818" max="13818" width="14.44140625" style="18" customWidth="1"/>
    <col min="13819" max="13819" width="7.21875" style="18" customWidth="1"/>
    <col min="13820" max="13820" width="5.5546875" style="18" customWidth="1"/>
    <col min="13821" max="13821" width="9" style="18" customWidth="1"/>
    <col min="13822" max="13823" width="9.77734375" style="18" customWidth="1"/>
    <col min="13824" max="13824" width="11.21875" style="18" customWidth="1"/>
    <col min="13825" max="13825" width="2.77734375" style="18" customWidth="1"/>
    <col min="13826" max="13826" width="3.5546875" style="18" customWidth="1"/>
    <col min="13827" max="14071" width="9.21875" style="18"/>
    <col min="14072" max="14072" width="8.77734375" style="18" customWidth="1"/>
    <col min="14073" max="14073" width="9.77734375" style="18" customWidth="1"/>
    <col min="14074" max="14074" width="14.44140625" style="18" customWidth="1"/>
    <col min="14075" max="14075" width="7.21875" style="18" customWidth="1"/>
    <col min="14076" max="14076" width="5.5546875" style="18" customWidth="1"/>
    <col min="14077" max="14077" width="9" style="18" customWidth="1"/>
    <col min="14078" max="14079" width="9.77734375" style="18" customWidth="1"/>
    <col min="14080" max="14080" width="11.21875" style="18" customWidth="1"/>
    <col min="14081" max="14081" width="2.77734375" style="18" customWidth="1"/>
    <col min="14082" max="14082" width="3.5546875" style="18" customWidth="1"/>
    <col min="14083" max="14327" width="9.21875" style="18"/>
    <col min="14328" max="14328" width="8.77734375" style="18" customWidth="1"/>
    <col min="14329" max="14329" width="9.77734375" style="18" customWidth="1"/>
    <col min="14330" max="14330" width="14.44140625" style="18" customWidth="1"/>
    <col min="14331" max="14331" width="7.21875" style="18" customWidth="1"/>
    <col min="14332" max="14332" width="5.5546875" style="18" customWidth="1"/>
    <col min="14333" max="14333" width="9" style="18" customWidth="1"/>
    <col min="14334" max="14335" width="9.77734375" style="18" customWidth="1"/>
    <col min="14336" max="14336" width="11.21875" style="18" customWidth="1"/>
    <col min="14337" max="14337" width="2.77734375" style="18" customWidth="1"/>
    <col min="14338" max="14338" width="3.5546875" style="18" customWidth="1"/>
    <col min="14339" max="14583" width="9.21875" style="18"/>
    <col min="14584" max="14584" width="8.77734375" style="18" customWidth="1"/>
    <col min="14585" max="14585" width="9.77734375" style="18" customWidth="1"/>
    <col min="14586" max="14586" width="14.44140625" style="18" customWidth="1"/>
    <col min="14587" max="14587" width="7.21875" style="18" customWidth="1"/>
    <col min="14588" max="14588" width="5.5546875" style="18" customWidth="1"/>
    <col min="14589" max="14589" width="9" style="18" customWidth="1"/>
    <col min="14590" max="14591" width="9.77734375" style="18" customWidth="1"/>
    <col min="14592" max="14592" width="11.21875" style="18" customWidth="1"/>
    <col min="14593" max="14593" width="2.77734375" style="18" customWidth="1"/>
    <col min="14594" max="14594" width="3.5546875" style="18" customWidth="1"/>
    <col min="14595" max="14839" width="9.21875" style="18"/>
    <col min="14840" max="14840" width="8.77734375" style="18" customWidth="1"/>
    <col min="14841" max="14841" width="9.77734375" style="18" customWidth="1"/>
    <col min="14842" max="14842" width="14.44140625" style="18" customWidth="1"/>
    <col min="14843" max="14843" width="7.21875" style="18" customWidth="1"/>
    <col min="14844" max="14844" width="5.5546875" style="18" customWidth="1"/>
    <col min="14845" max="14845" width="9" style="18" customWidth="1"/>
    <col min="14846" max="14847" width="9.77734375" style="18" customWidth="1"/>
    <col min="14848" max="14848" width="11.21875" style="18" customWidth="1"/>
    <col min="14849" max="14849" width="2.77734375" style="18" customWidth="1"/>
    <col min="14850" max="14850" width="3.5546875" style="18" customWidth="1"/>
    <col min="14851" max="15095" width="9.21875" style="18"/>
    <col min="15096" max="15096" width="8.77734375" style="18" customWidth="1"/>
    <col min="15097" max="15097" width="9.77734375" style="18" customWidth="1"/>
    <col min="15098" max="15098" width="14.44140625" style="18" customWidth="1"/>
    <col min="15099" max="15099" width="7.21875" style="18" customWidth="1"/>
    <col min="15100" max="15100" width="5.5546875" style="18" customWidth="1"/>
    <col min="15101" max="15101" width="9" style="18" customWidth="1"/>
    <col min="15102" max="15103" width="9.77734375" style="18" customWidth="1"/>
    <col min="15104" max="15104" width="11.21875" style="18" customWidth="1"/>
    <col min="15105" max="15105" width="2.77734375" style="18" customWidth="1"/>
    <col min="15106" max="15106" width="3.5546875" style="18" customWidth="1"/>
    <col min="15107" max="15351" width="9.21875" style="18"/>
    <col min="15352" max="15352" width="8.77734375" style="18" customWidth="1"/>
    <col min="15353" max="15353" width="9.77734375" style="18" customWidth="1"/>
    <col min="15354" max="15354" width="14.44140625" style="18" customWidth="1"/>
    <col min="15355" max="15355" width="7.21875" style="18" customWidth="1"/>
    <col min="15356" max="15356" width="5.5546875" style="18" customWidth="1"/>
    <col min="15357" max="15357" width="9" style="18" customWidth="1"/>
    <col min="15358" max="15359" width="9.77734375" style="18" customWidth="1"/>
    <col min="15360" max="15360" width="11.21875" style="18" customWidth="1"/>
    <col min="15361" max="15361" width="2.77734375" style="18" customWidth="1"/>
    <col min="15362" max="15362" width="3.5546875" style="18" customWidth="1"/>
    <col min="15363" max="15607" width="9.21875" style="18"/>
    <col min="15608" max="15608" width="8.77734375" style="18" customWidth="1"/>
    <col min="15609" max="15609" width="9.77734375" style="18" customWidth="1"/>
    <col min="15610" max="15610" width="14.44140625" style="18" customWidth="1"/>
    <col min="15611" max="15611" width="7.21875" style="18" customWidth="1"/>
    <col min="15612" max="15612" width="5.5546875" style="18" customWidth="1"/>
    <col min="15613" max="15613" width="9" style="18" customWidth="1"/>
    <col min="15614" max="15615" width="9.77734375" style="18" customWidth="1"/>
    <col min="15616" max="15616" width="11.21875" style="18" customWidth="1"/>
    <col min="15617" max="15617" width="2.77734375" style="18" customWidth="1"/>
    <col min="15618" max="15618" width="3.5546875" style="18" customWidth="1"/>
    <col min="15619" max="15863" width="9.21875" style="18"/>
    <col min="15864" max="15864" width="8.77734375" style="18" customWidth="1"/>
    <col min="15865" max="15865" width="9.77734375" style="18" customWidth="1"/>
    <col min="15866" max="15866" width="14.44140625" style="18" customWidth="1"/>
    <col min="15867" max="15867" width="7.21875" style="18" customWidth="1"/>
    <col min="15868" max="15868" width="5.5546875" style="18" customWidth="1"/>
    <col min="15869" max="15869" width="9" style="18" customWidth="1"/>
    <col min="15870" max="15871" width="9.77734375" style="18" customWidth="1"/>
    <col min="15872" max="15872" width="11.21875" style="18" customWidth="1"/>
    <col min="15873" max="15873" width="2.77734375" style="18" customWidth="1"/>
    <col min="15874" max="15874" width="3.5546875" style="18" customWidth="1"/>
    <col min="15875" max="16119" width="9.21875" style="18"/>
    <col min="16120" max="16120" width="8.77734375" style="18" customWidth="1"/>
    <col min="16121" max="16121" width="9.77734375" style="18" customWidth="1"/>
    <col min="16122" max="16122" width="14.44140625" style="18" customWidth="1"/>
    <col min="16123" max="16123" width="7.21875" style="18" customWidth="1"/>
    <col min="16124" max="16124" width="5.5546875" style="18" customWidth="1"/>
    <col min="16125" max="16125" width="9" style="18" customWidth="1"/>
    <col min="16126" max="16127" width="9.77734375" style="18" customWidth="1"/>
    <col min="16128" max="16128" width="11.21875" style="18" customWidth="1"/>
    <col min="16129" max="16129" width="2.77734375" style="18" customWidth="1"/>
    <col min="16130" max="16130" width="3.5546875" style="18" customWidth="1"/>
    <col min="16131" max="16384" width="9.21875" style="18"/>
  </cols>
  <sheetData>
    <row r="1" spans="1:13" ht="46.5" customHeight="1" x14ac:dyDescent="0.3">
      <c r="A1" s="138" t="s">
        <v>176</v>
      </c>
      <c r="B1" s="138"/>
      <c r="C1" s="138"/>
      <c r="D1" s="138"/>
      <c r="E1" s="138"/>
      <c r="F1" s="138"/>
      <c r="G1" s="138"/>
      <c r="H1" s="138"/>
    </row>
    <row r="2" spans="1:13" ht="16.5" customHeight="1" x14ac:dyDescent="0.3">
      <c r="A2" s="130" t="s">
        <v>0</v>
      </c>
      <c r="B2" s="130"/>
      <c r="C2" s="130"/>
      <c r="D2" s="130"/>
      <c r="E2" s="130"/>
      <c r="F2" s="130"/>
      <c r="G2" s="130"/>
      <c r="H2" s="130"/>
    </row>
    <row r="3" spans="1:13" x14ac:dyDescent="0.3">
      <c r="A3" s="66" t="s">
        <v>1</v>
      </c>
      <c r="B3" s="66"/>
      <c r="C3" s="66"/>
      <c r="D3" s="66"/>
      <c r="E3" s="66" t="str">
        <f ca="1">TEXT(TODAY(),"DD/MM/YYYY")</f>
        <v>18/08/2025</v>
      </c>
      <c r="F3" s="66"/>
      <c r="G3" s="66"/>
      <c r="H3" s="66"/>
    </row>
    <row r="4" spans="1:13" ht="15" customHeight="1" x14ac:dyDescent="0.3">
      <c r="A4" s="66" t="s">
        <v>2</v>
      </c>
      <c r="B4" s="66"/>
      <c r="C4" s="66"/>
      <c r="D4" s="66"/>
      <c r="E4" s="66" t="s">
        <v>181</v>
      </c>
      <c r="F4" s="66"/>
      <c r="G4" s="66"/>
      <c r="H4" s="66"/>
    </row>
    <row r="5" spans="1:13" x14ac:dyDescent="0.3">
      <c r="A5" s="66" t="s">
        <v>3</v>
      </c>
      <c r="B5" s="66"/>
      <c r="C5" s="66"/>
      <c r="D5" s="66"/>
      <c r="E5" s="140">
        <v>45881</v>
      </c>
      <c r="F5" s="66"/>
      <c r="G5" s="66"/>
      <c r="H5" s="66"/>
    </row>
    <row r="6" spans="1:13" ht="16.5" customHeight="1" x14ac:dyDescent="0.3">
      <c r="A6" s="66" t="s">
        <v>4</v>
      </c>
      <c r="B6" s="66"/>
      <c r="C6" s="66"/>
      <c r="D6" s="66"/>
      <c r="E6" s="66" t="s">
        <v>233</v>
      </c>
      <c r="F6" s="66"/>
      <c r="G6" s="66"/>
      <c r="H6" s="66"/>
    </row>
    <row r="7" spans="1:13" ht="15" customHeight="1" x14ac:dyDescent="0.3">
      <c r="A7" s="66" t="s">
        <v>5</v>
      </c>
      <c r="B7" s="66"/>
      <c r="C7" s="66"/>
      <c r="D7" s="66"/>
      <c r="E7" s="66" t="str">
        <f>E6</f>
        <v>Cllaro Enterprises LLP</v>
      </c>
      <c r="F7" s="66"/>
      <c r="G7" s="66"/>
      <c r="H7" s="66"/>
    </row>
    <row r="8" spans="1:13" x14ac:dyDescent="0.3">
      <c r="A8" s="66" t="s">
        <v>6</v>
      </c>
      <c r="B8" s="66"/>
      <c r="C8" s="66"/>
      <c r="D8" s="66"/>
      <c r="E8" s="139" t="s">
        <v>231</v>
      </c>
      <c r="F8" s="139"/>
      <c r="G8" s="139"/>
      <c r="H8" s="139"/>
    </row>
    <row r="9" spans="1:13" x14ac:dyDescent="0.3">
      <c r="A9" s="66" t="s">
        <v>179</v>
      </c>
      <c r="B9" s="66"/>
      <c r="C9" s="66"/>
      <c r="D9" s="66"/>
      <c r="E9" s="66" t="s">
        <v>182</v>
      </c>
      <c r="F9" s="66"/>
      <c r="G9" s="66"/>
      <c r="H9" s="66"/>
    </row>
    <row r="10" spans="1:13" hidden="1" x14ac:dyDescent="0.3">
      <c r="A10" s="66" t="s">
        <v>180</v>
      </c>
      <c r="B10" s="66"/>
      <c r="C10" s="66"/>
      <c r="D10" s="66"/>
      <c r="E10" s="66" t="s">
        <v>235</v>
      </c>
      <c r="F10" s="66"/>
      <c r="G10" s="66"/>
      <c r="H10" s="66"/>
      <c r="I10" s="66" t="s">
        <v>232</v>
      </c>
      <c r="J10" s="66"/>
      <c r="K10" s="66"/>
      <c r="L10" s="66"/>
    </row>
    <row r="11" spans="1:13" x14ac:dyDescent="0.3">
      <c r="A11" s="66" t="s">
        <v>7</v>
      </c>
      <c r="B11" s="66"/>
      <c r="C11" s="66"/>
      <c r="D11" s="66"/>
      <c r="E11" s="66" t="s">
        <v>183</v>
      </c>
      <c r="F11" s="66"/>
      <c r="G11" s="66"/>
      <c r="H11" s="66"/>
      <c r="J11" s="66" t="s">
        <v>234</v>
      </c>
      <c r="K11" s="66"/>
      <c r="L11" s="66"/>
      <c r="M11" s="66"/>
    </row>
    <row r="12" spans="1:13" x14ac:dyDescent="0.3">
      <c r="A12" s="86" t="s">
        <v>8</v>
      </c>
      <c r="B12" s="86"/>
      <c r="C12" s="86"/>
      <c r="D12" s="86"/>
      <c r="E12" s="120" t="s">
        <v>184</v>
      </c>
      <c r="F12" s="120"/>
      <c r="G12" s="120"/>
      <c r="H12" s="120"/>
    </row>
    <row r="13" spans="1:13" x14ac:dyDescent="0.3">
      <c r="A13" s="86" t="s">
        <v>9</v>
      </c>
      <c r="B13" s="86"/>
      <c r="C13" s="86"/>
      <c r="D13" s="86"/>
      <c r="E13" s="120" t="s">
        <v>185</v>
      </c>
      <c r="F13" s="66"/>
      <c r="G13" s="66"/>
      <c r="H13" s="66"/>
    </row>
    <row r="14" spans="1:13" ht="65.25" customHeight="1" x14ac:dyDescent="0.3">
      <c r="A14" s="120" t="s">
        <v>10</v>
      </c>
      <c r="B14" s="120"/>
      <c r="C14" s="120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Urban Grandeur Bldg - 2, Survey No.443(Old), 127(New)/1PT, 444(Old), 128(New)/1PT, 3PT, 4, 5PT, Survey No. 446(Old), 130(New)/1PT,2PT, 447(Old), 142(New), near Winstone Apartment, Mira Bhayander Road, Chandan Shanti, Navghar, Mira Road, Thane, Thane - 401107.</v>
      </c>
      <c r="D14" s="120"/>
      <c r="E14" s="120"/>
      <c r="F14" s="120"/>
      <c r="G14" s="120"/>
      <c r="H14" s="120"/>
    </row>
    <row r="15" spans="1:13" ht="33" customHeight="1" x14ac:dyDescent="0.3">
      <c r="A15" s="120" t="s">
        <v>186</v>
      </c>
      <c r="B15" s="120"/>
      <c r="C15" s="120" t="s">
        <v>187</v>
      </c>
      <c r="D15" s="120"/>
      <c r="E15" s="120"/>
      <c r="F15" s="120"/>
      <c r="G15" s="120"/>
      <c r="H15" s="120"/>
    </row>
    <row r="16" spans="1:13" ht="15.75" customHeight="1" x14ac:dyDescent="0.3">
      <c r="A16" s="120" t="s">
        <v>174</v>
      </c>
      <c r="B16" s="120"/>
      <c r="C16" s="120" t="s">
        <v>230</v>
      </c>
      <c r="D16" s="120"/>
      <c r="E16" s="120"/>
      <c r="F16" s="120"/>
      <c r="G16" s="120"/>
      <c r="H16" s="120"/>
    </row>
    <row r="17" spans="1:8" ht="15.75" customHeight="1" x14ac:dyDescent="0.3">
      <c r="A17" s="120" t="s">
        <v>11</v>
      </c>
      <c r="B17" s="120"/>
      <c r="C17" s="66" t="s">
        <v>192</v>
      </c>
      <c r="D17" s="66"/>
      <c r="E17" s="120" t="s">
        <v>75</v>
      </c>
      <c r="F17" s="120"/>
      <c r="G17" s="120" t="s">
        <v>188</v>
      </c>
      <c r="H17" s="120"/>
    </row>
    <row r="18" spans="1:8" x14ac:dyDescent="0.3">
      <c r="A18" s="66" t="s">
        <v>13</v>
      </c>
      <c r="B18" s="66"/>
      <c r="C18" s="120" t="s">
        <v>198</v>
      </c>
      <c r="D18" s="120"/>
      <c r="E18" s="120" t="s">
        <v>12</v>
      </c>
      <c r="F18" s="120"/>
      <c r="G18" s="141" t="s">
        <v>189</v>
      </c>
      <c r="H18" s="141"/>
    </row>
    <row r="19" spans="1:8" x14ac:dyDescent="0.3">
      <c r="A19" s="66" t="s">
        <v>76</v>
      </c>
      <c r="B19" s="66"/>
      <c r="C19" s="120" t="s">
        <v>189</v>
      </c>
      <c r="D19" s="120"/>
      <c r="E19" s="120" t="s">
        <v>14</v>
      </c>
      <c r="F19" s="120"/>
      <c r="G19" s="120">
        <v>401107</v>
      </c>
      <c r="H19" s="120"/>
    </row>
    <row r="20" spans="1:8" ht="32.25" customHeight="1" x14ac:dyDescent="0.3">
      <c r="A20" s="66" t="s">
        <v>128</v>
      </c>
      <c r="B20" s="66"/>
      <c r="C20" s="120" t="s">
        <v>193</v>
      </c>
      <c r="D20" s="120"/>
      <c r="E20" s="120" t="s">
        <v>15</v>
      </c>
      <c r="F20" s="120"/>
      <c r="G20" s="120" t="s">
        <v>197</v>
      </c>
      <c r="H20" s="120"/>
    </row>
    <row r="21" spans="1:8" ht="15" customHeight="1" x14ac:dyDescent="0.3">
      <c r="A21" s="119" t="s">
        <v>79</v>
      </c>
      <c r="B21" s="119"/>
      <c r="C21" s="119"/>
      <c r="D21" s="119"/>
      <c r="E21" s="66" t="s">
        <v>16</v>
      </c>
      <c r="F21" s="66"/>
      <c r="G21" s="66"/>
      <c r="H21" s="66"/>
    </row>
    <row r="22" spans="1:8" ht="18.75" customHeight="1" x14ac:dyDescent="0.3">
      <c r="A22" s="119"/>
      <c r="B22" s="119"/>
      <c r="C22" s="119"/>
      <c r="D22" s="119"/>
      <c r="E22" s="66"/>
      <c r="F22" s="66"/>
      <c r="G22" s="66"/>
      <c r="H22" s="66"/>
    </row>
    <row r="23" spans="1:8" ht="15" customHeight="1" x14ac:dyDescent="0.3">
      <c r="A23" s="119" t="s">
        <v>17</v>
      </c>
      <c r="B23" s="119"/>
      <c r="C23" s="119"/>
      <c r="D23" s="119"/>
      <c r="E23" s="120" t="s">
        <v>18</v>
      </c>
      <c r="F23" s="120"/>
      <c r="G23" s="120"/>
      <c r="H23" s="120"/>
    </row>
    <row r="24" spans="1:8" ht="15" customHeight="1" x14ac:dyDescent="0.3">
      <c r="A24" s="86" t="s">
        <v>19</v>
      </c>
      <c r="B24" s="86"/>
      <c r="C24" s="86"/>
      <c r="D24" s="86"/>
      <c r="E24" s="120" t="str">
        <f>IF(AND(G18="Mumbai"),"Upper Class","Middle Class")</f>
        <v>Middle Class</v>
      </c>
      <c r="F24" s="120"/>
      <c r="G24" s="120"/>
      <c r="H24" s="120"/>
    </row>
    <row r="25" spans="1:8" x14ac:dyDescent="0.3">
      <c r="A25" s="86" t="s">
        <v>20</v>
      </c>
      <c r="B25" s="86"/>
      <c r="C25" s="86"/>
      <c r="D25" s="86"/>
      <c r="E25" s="120" t="s">
        <v>21</v>
      </c>
      <c r="F25" s="120"/>
      <c r="G25" s="120"/>
      <c r="H25" s="120"/>
    </row>
    <row r="26" spans="1:8" ht="15.75" customHeight="1" x14ac:dyDescent="0.3">
      <c r="A26" s="86" t="s">
        <v>22</v>
      </c>
      <c r="B26" s="86"/>
      <c r="C26" s="86"/>
      <c r="D26" s="86"/>
      <c r="E26" s="120" t="str">
        <f>IF(AND(G18="Mumbai"),"Developed","Developing")</f>
        <v>Developing</v>
      </c>
      <c r="F26" s="120"/>
      <c r="G26" s="120"/>
      <c r="H26" s="120"/>
    </row>
    <row r="27" spans="1:8" x14ac:dyDescent="0.3">
      <c r="A27" s="86" t="s">
        <v>23</v>
      </c>
      <c r="B27" s="86"/>
      <c r="C27" s="86"/>
      <c r="D27" s="86"/>
      <c r="E27" s="120" t="s">
        <v>24</v>
      </c>
      <c r="F27" s="120"/>
      <c r="G27" s="120"/>
      <c r="H27" s="120"/>
    </row>
    <row r="28" spans="1:8" ht="15.75" customHeight="1" x14ac:dyDescent="0.3">
      <c r="A28" s="86" t="s">
        <v>84</v>
      </c>
      <c r="B28" s="86"/>
      <c r="C28" s="86"/>
      <c r="D28" s="86"/>
      <c r="E28" s="120" t="s">
        <v>85</v>
      </c>
      <c r="F28" s="120"/>
      <c r="G28" s="120"/>
      <c r="H28" s="120"/>
    </row>
    <row r="29" spans="1:8" ht="15" customHeight="1" x14ac:dyDescent="0.3">
      <c r="A29" s="86" t="s">
        <v>33</v>
      </c>
      <c r="B29" s="86"/>
      <c r="C29" s="86"/>
      <c r="D29" s="86"/>
      <c r="E29" s="12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20"/>
      <c r="G29" s="120"/>
      <c r="H29" s="120"/>
    </row>
    <row r="30" spans="1:8" ht="15.75" customHeight="1" x14ac:dyDescent="0.3">
      <c r="A30" s="86" t="s">
        <v>96</v>
      </c>
      <c r="B30" s="86"/>
      <c r="C30" s="86"/>
      <c r="D30" s="86"/>
      <c r="E30" s="120" t="s">
        <v>34</v>
      </c>
      <c r="F30" s="120"/>
      <c r="G30" s="120"/>
      <c r="H30" s="120"/>
    </row>
    <row r="31" spans="1:8" s="19" customFormat="1" x14ac:dyDescent="0.3">
      <c r="A31" s="145" t="s">
        <v>97</v>
      </c>
      <c r="B31" s="145"/>
      <c r="C31" s="144" t="s">
        <v>29</v>
      </c>
      <c r="D31" s="144"/>
      <c r="E31" s="144"/>
      <c r="F31" s="144" t="s">
        <v>31</v>
      </c>
      <c r="G31" s="144"/>
      <c r="H31" s="144"/>
    </row>
    <row r="32" spans="1:8" s="19" customFormat="1" x14ac:dyDescent="0.3">
      <c r="A32" s="142" t="s">
        <v>25</v>
      </c>
      <c r="B32" s="142" t="s">
        <v>30</v>
      </c>
      <c r="C32" s="143" t="s">
        <v>30</v>
      </c>
      <c r="D32" s="143"/>
      <c r="E32" s="143"/>
      <c r="F32" s="143" t="s">
        <v>193</v>
      </c>
      <c r="G32" s="143"/>
      <c r="H32" s="143"/>
    </row>
    <row r="33" spans="1:8" x14ac:dyDescent="0.3">
      <c r="A33" s="142" t="s">
        <v>26</v>
      </c>
      <c r="B33" s="142" t="s">
        <v>30</v>
      </c>
      <c r="C33" s="143" t="s">
        <v>30</v>
      </c>
      <c r="D33" s="143"/>
      <c r="E33" s="143"/>
      <c r="F33" s="99" t="s">
        <v>196</v>
      </c>
      <c r="G33" s="143"/>
      <c r="H33" s="143"/>
    </row>
    <row r="34" spans="1:8" s="19" customFormat="1" x14ac:dyDescent="0.3">
      <c r="A34" s="142" t="s">
        <v>28</v>
      </c>
      <c r="B34" s="142" t="s">
        <v>30</v>
      </c>
      <c r="C34" s="143" t="s">
        <v>30</v>
      </c>
      <c r="D34" s="143"/>
      <c r="E34" s="143"/>
      <c r="F34" s="143" t="s">
        <v>194</v>
      </c>
      <c r="G34" s="143"/>
      <c r="H34" s="143"/>
    </row>
    <row r="35" spans="1:8" x14ac:dyDescent="0.3">
      <c r="A35" s="142" t="s">
        <v>27</v>
      </c>
      <c r="B35" s="142" t="s">
        <v>30</v>
      </c>
      <c r="C35" s="143" t="s">
        <v>30</v>
      </c>
      <c r="D35" s="143"/>
      <c r="E35" s="143"/>
      <c r="F35" s="143" t="s">
        <v>195</v>
      </c>
      <c r="G35" s="143"/>
      <c r="H35" s="143"/>
    </row>
    <row r="36" spans="1:8" x14ac:dyDescent="0.3">
      <c r="A36" s="86" t="s">
        <v>32</v>
      </c>
      <c r="B36" s="86"/>
      <c r="C36" s="86"/>
      <c r="D36" s="86"/>
      <c r="E36" s="86"/>
      <c r="F36" s="86"/>
      <c r="G36" s="86"/>
      <c r="H36" s="86"/>
    </row>
    <row r="37" spans="1:8" ht="15.75" customHeight="1" x14ac:dyDescent="0.3">
      <c r="A37" s="86" t="s">
        <v>177</v>
      </c>
      <c r="B37" s="86"/>
      <c r="C37" s="86" t="s">
        <v>191</v>
      </c>
      <c r="D37" s="136"/>
      <c r="E37" s="136"/>
      <c r="F37" s="136"/>
      <c r="G37" s="136"/>
      <c r="H37" s="136"/>
    </row>
    <row r="38" spans="1:8" x14ac:dyDescent="0.3">
      <c r="A38" s="86" t="s">
        <v>173</v>
      </c>
      <c r="B38" s="86"/>
      <c r="C38" s="173" t="s">
        <v>190</v>
      </c>
      <c r="D38" s="120"/>
      <c r="E38" s="120"/>
      <c r="F38" s="120"/>
      <c r="G38" s="120"/>
      <c r="H38" s="120"/>
    </row>
    <row r="39" spans="1:8" x14ac:dyDescent="0.3">
      <c r="A39" s="139" t="s">
        <v>35</v>
      </c>
      <c r="B39" s="139"/>
      <c r="C39" s="139"/>
      <c r="D39" s="139"/>
      <c r="E39" s="139"/>
      <c r="F39" s="139"/>
      <c r="G39" s="139"/>
      <c r="H39" s="139"/>
    </row>
    <row r="40" spans="1:8" x14ac:dyDescent="0.3">
      <c r="A40" s="66" t="s">
        <v>36</v>
      </c>
      <c r="B40" s="66"/>
      <c r="C40" s="66"/>
      <c r="D40" s="66"/>
      <c r="E40" s="146">
        <v>18320.57</v>
      </c>
      <c r="F40" s="146"/>
      <c r="G40" s="146"/>
      <c r="H40" s="146"/>
    </row>
    <row r="41" spans="1:8" x14ac:dyDescent="0.3">
      <c r="A41" s="66" t="s">
        <v>37</v>
      </c>
      <c r="B41" s="66"/>
      <c r="C41" s="66"/>
      <c r="D41" s="66"/>
      <c r="E41" s="85">
        <v>1</v>
      </c>
      <c r="F41" s="85"/>
      <c r="G41" s="85"/>
      <c r="H41" s="85"/>
    </row>
    <row r="42" spans="1:8" x14ac:dyDescent="0.3">
      <c r="A42" s="66" t="s">
        <v>38</v>
      </c>
      <c r="B42" s="66"/>
      <c r="C42" s="66"/>
      <c r="D42" s="66"/>
      <c r="E42" s="85">
        <f>E44/E40-E41</f>
        <v>7.7606209850457741E-2</v>
      </c>
      <c r="F42" s="85"/>
      <c r="G42" s="85"/>
      <c r="H42" s="85"/>
    </row>
    <row r="43" spans="1:8" x14ac:dyDescent="0.3">
      <c r="A43" s="66" t="s">
        <v>39</v>
      </c>
      <c r="B43" s="66"/>
      <c r="C43" s="66"/>
      <c r="D43" s="66"/>
      <c r="E43" s="85">
        <f>E41+E42</f>
        <v>1.0776062098504577</v>
      </c>
      <c r="F43" s="85"/>
      <c r="G43" s="85"/>
      <c r="H43" s="85"/>
    </row>
    <row r="44" spans="1:8" x14ac:dyDescent="0.3">
      <c r="A44" s="66" t="s">
        <v>95</v>
      </c>
      <c r="B44" s="66"/>
      <c r="C44" s="66"/>
      <c r="D44" s="66"/>
      <c r="E44" s="161">
        <v>19742.36</v>
      </c>
      <c r="F44" s="161"/>
      <c r="G44" s="161"/>
      <c r="H44" s="161"/>
    </row>
    <row r="45" spans="1:8" x14ac:dyDescent="0.3">
      <c r="A45" s="66" t="s">
        <v>40</v>
      </c>
      <c r="B45" s="66"/>
      <c r="C45" s="66"/>
      <c r="D45" s="66"/>
      <c r="E45" s="66" t="s">
        <v>127</v>
      </c>
      <c r="F45" s="66"/>
      <c r="G45" s="66"/>
      <c r="H45" s="66"/>
    </row>
    <row r="46" spans="1:8" x14ac:dyDescent="0.3">
      <c r="A46" s="136" t="s">
        <v>41</v>
      </c>
      <c r="B46" s="136"/>
      <c r="C46" s="136"/>
      <c r="D46" s="136"/>
      <c r="E46" s="136"/>
      <c r="F46" s="136"/>
      <c r="G46" s="136"/>
      <c r="H46" s="136"/>
    </row>
    <row r="47" spans="1:8" ht="33.75" customHeight="1" x14ac:dyDescent="0.3">
      <c r="A47" s="120" t="s">
        <v>160</v>
      </c>
      <c r="B47" s="120"/>
      <c r="C47" s="168" t="s">
        <v>199</v>
      </c>
      <c r="D47" s="139"/>
      <c r="E47" s="139"/>
      <c r="F47" s="139"/>
      <c r="G47" s="139"/>
      <c r="H47" s="139"/>
    </row>
    <row r="48" spans="1:8" ht="15.75" customHeight="1" x14ac:dyDescent="0.3">
      <c r="A48" s="103" t="s">
        <v>42</v>
      </c>
      <c r="B48" s="104"/>
      <c r="C48" s="103" t="s">
        <v>200</v>
      </c>
      <c r="D48" s="105"/>
      <c r="E48" s="104"/>
      <c r="F48" s="47" t="s">
        <v>43</v>
      </c>
      <c r="G48" s="106">
        <v>44950</v>
      </c>
      <c r="H48" s="104"/>
    </row>
    <row r="49" spans="1:14" x14ac:dyDescent="0.3">
      <c r="A49" s="103" t="s">
        <v>44</v>
      </c>
      <c r="B49" s="104"/>
      <c r="C49" s="103" t="str">
        <f>C48</f>
        <v>MBMNP/NR/4182/2022-23</v>
      </c>
      <c r="D49" s="105"/>
      <c r="E49" s="104"/>
      <c r="F49" s="47" t="s">
        <v>43</v>
      </c>
      <c r="G49" s="106">
        <f>G48</f>
        <v>44950</v>
      </c>
      <c r="H49" s="104"/>
    </row>
    <row r="50" spans="1:14" s="20" customFormat="1" ht="15.75" customHeight="1" x14ac:dyDescent="0.3">
      <c r="A50" s="107" t="s">
        <v>164</v>
      </c>
      <c r="B50" s="148"/>
      <c r="C50" s="103" t="str">
        <f>C49</f>
        <v>MBMNP/NR/4182/2022-23</v>
      </c>
      <c r="D50" s="105"/>
      <c r="E50" s="104"/>
      <c r="F50" s="47" t="s">
        <v>43</v>
      </c>
      <c r="G50" s="106">
        <f>G49</f>
        <v>44950</v>
      </c>
      <c r="H50" s="104"/>
    </row>
    <row r="51" spans="1:14" s="20" customFormat="1" x14ac:dyDescent="0.3">
      <c r="A51" s="149"/>
      <c r="B51" s="150"/>
      <c r="C51" s="103" t="s">
        <v>201</v>
      </c>
      <c r="D51" s="105"/>
      <c r="E51" s="105"/>
      <c r="F51" s="105"/>
      <c r="G51" s="105"/>
      <c r="H51" s="104"/>
    </row>
    <row r="52" spans="1:14" x14ac:dyDescent="0.3">
      <c r="A52" s="115" t="s">
        <v>45</v>
      </c>
      <c r="B52" s="116"/>
      <c r="C52" s="115" t="s">
        <v>109</v>
      </c>
      <c r="D52" s="117"/>
      <c r="E52" s="116"/>
      <c r="F52" s="48" t="s">
        <v>43</v>
      </c>
      <c r="G52" s="121" t="s">
        <v>30</v>
      </c>
      <c r="H52" s="122"/>
    </row>
    <row r="53" spans="1:14" x14ac:dyDescent="0.3">
      <c r="A53" s="118" t="s">
        <v>47</v>
      </c>
      <c r="B53" s="118"/>
      <c r="C53" s="118"/>
      <c r="D53" s="118"/>
      <c r="E53" s="118"/>
      <c r="F53" s="118"/>
      <c r="G53" s="118"/>
      <c r="H53" s="118"/>
    </row>
    <row r="54" spans="1:14" x14ac:dyDescent="0.3">
      <c r="A54" s="119" t="s">
        <v>94</v>
      </c>
      <c r="B54" s="119"/>
      <c r="C54" s="119"/>
      <c r="D54" s="86">
        <f>E44</f>
        <v>19742.36</v>
      </c>
      <c r="E54" s="86"/>
      <c r="F54" s="86"/>
      <c r="G54" s="86"/>
      <c r="H54" s="86"/>
    </row>
    <row r="55" spans="1:14" x14ac:dyDescent="0.3">
      <c r="A55" s="120" t="s">
        <v>48</v>
      </c>
      <c r="B55" s="66"/>
      <c r="C55" s="66"/>
      <c r="D55" s="66" t="s">
        <v>222</v>
      </c>
      <c r="E55" s="66"/>
      <c r="F55" s="66"/>
      <c r="G55" s="66"/>
      <c r="H55" s="66"/>
      <c r="I55" s="21"/>
    </row>
    <row r="56" spans="1:14" x14ac:dyDescent="0.3">
      <c r="A56" s="107" t="s">
        <v>49</v>
      </c>
      <c r="B56" s="108"/>
      <c r="C56" s="148"/>
      <c r="D56" s="124" t="s">
        <v>201</v>
      </c>
      <c r="E56" s="147"/>
      <c r="F56" s="147"/>
      <c r="G56" s="147"/>
      <c r="H56" s="147"/>
    </row>
    <row r="57" spans="1:14" ht="15.75" customHeight="1" x14ac:dyDescent="0.3">
      <c r="A57" s="107" t="s">
        <v>92</v>
      </c>
      <c r="B57" s="108"/>
      <c r="C57" s="108"/>
      <c r="D57" s="112" t="s">
        <v>201</v>
      </c>
      <c r="E57" s="113"/>
      <c r="F57" s="113"/>
      <c r="G57" s="113"/>
      <c r="H57" s="114"/>
    </row>
    <row r="58" spans="1:14" ht="15.75" customHeight="1" x14ac:dyDescent="0.3">
      <c r="A58" s="86" t="s">
        <v>46</v>
      </c>
      <c r="B58" s="86"/>
      <c r="C58" s="86"/>
      <c r="D58" s="151" t="s">
        <v>202</v>
      </c>
      <c r="E58" s="151"/>
      <c r="F58" s="151"/>
      <c r="G58" s="151"/>
      <c r="H58" s="151"/>
      <c r="J58" s="22"/>
      <c r="K58" s="21"/>
      <c r="N58" s="21"/>
    </row>
    <row r="59" spans="1:14" ht="15.75" customHeight="1" x14ac:dyDescent="0.3">
      <c r="A59" s="86" t="s">
        <v>90</v>
      </c>
      <c r="B59" s="86"/>
      <c r="C59" s="86"/>
      <c r="D59" s="160" t="str">
        <f>(IF(G52="NA","60 Years After Completion",IF(G52&lt;&gt;"NA",""&amp;60-ROUNDDOWN((E3-G52)/360,0)&amp;" Years"," ")))</f>
        <v>60 Years After Completion</v>
      </c>
      <c r="E59" s="160"/>
      <c r="F59" s="160"/>
      <c r="G59" s="160"/>
      <c r="H59" s="160"/>
      <c r="N59" s="21"/>
    </row>
    <row r="60" spans="1:14" ht="15.75" customHeight="1" x14ac:dyDescent="0.3">
      <c r="A60" s="86" t="s">
        <v>91</v>
      </c>
      <c r="B60" s="86"/>
      <c r="C60" s="86"/>
      <c r="D60" s="119" t="s">
        <v>24</v>
      </c>
      <c r="E60" s="119"/>
      <c r="F60" s="119"/>
      <c r="G60" s="119"/>
      <c r="H60" s="119"/>
      <c r="J60" s="23"/>
      <c r="K60" s="23"/>
    </row>
    <row r="61" spans="1:14" x14ac:dyDescent="0.3">
      <c r="A61" s="86" t="s">
        <v>77</v>
      </c>
      <c r="B61" s="86"/>
      <c r="C61" s="86"/>
      <c r="D61" s="120" t="s">
        <v>203</v>
      </c>
      <c r="E61" s="119"/>
      <c r="F61" s="119"/>
      <c r="G61" s="119"/>
      <c r="H61" s="119"/>
    </row>
    <row r="62" spans="1:14" x14ac:dyDescent="0.3">
      <c r="A62" s="119" t="s">
        <v>156</v>
      </c>
      <c r="B62" s="119"/>
      <c r="C62" s="119"/>
      <c r="D62" s="119" t="s">
        <v>30</v>
      </c>
      <c r="E62" s="119"/>
      <c r="F62" s="119"/>
      <c r="G62" s="119"/>
      <c r="H62" s="119"/>
      <c r="I62" s="24"/>
      <c r="J62" s="24"/>
      <c r="K62" s="24"/>
      <c r="L62" s="24"/>
      <c r="M62" s="24"/>
      <c r="N62" s="24"/>
    </row>
    <row r="63" spans="1:14" ht="15.75" customHeight="1" x14ac:dyDescent="0.3">
      <c r="A63" s="125" t="s">
        <v>89</v>
      </c>
      <c r="B63" s="125"/>
      <c r="C63" s="125"/>
      <c r="D63" s="124" t="str">
        <f ca="1">(IF(G69&gt;95%,"Nothing",IF(G69&gt;0%,"Cement, Aggregate, Steel, etc",IF(G69=0%,"Work not yet Started"))))</f>
        <v>Cement, Aggregate, Steel, etc</v>
      </c>
      <c r="E63" s="124"/>
      <c r="F63" s="124"/>
      <c r="G63" s="124"/>
      <c r="H63" s="124"/>
      <c r="J63" s="23"/>
    </row>
    <row r="64" spans="1:14" ht="33.75" customHeight="1" thickBot="1" x14ac:dyDescent="0.35">
      <c r="A64" s="123" t="s">
        <v>122</v>
      </c>
      <c r="B64" s="123"/>
      <c r="C64" s="123"/>
      <c r="D64" s="124" t="str">
        <f ca="1">(IF(D63="Nothing","Yes",IF(D63="Cement, Aggregate, Steel, etc","Under Construction",IF(D63="Work not yet Started","Work not yet Started"))))</f>
        <v>Under Construction</v>
      </c>
      <c r="E64" s="124"/>
      <c r="F64" s="124" t="str">
        <f ca="1">(IF(D63="Nothing","Yes",IF(D63="Cement, Aggregate, Steel, etc","Under Construction",IF(D63="Work not yet Started","Work not yet Started"))))</f>
        <v>Under Construction</v>
      </c>
      <c r="G64" s="124"/>
      <c r="H64" s="124"/>
    </row>
    <row r="65" spans="1:10" ht="15.75" customHeight="1" x14ac:dyDescent="0.3">
      <c r="A65" s="163" t="s">
        <v>146</v>
      </c>
      <c r="B65" s="164"/>
      <c r="C65" s="165" t="str">
        <f>D57</f>
        <v>Building No.2 - B + Gr + 5P + 6th to 29th Floor</v>
      </c>
      <c r="D65" s="166"/>
      <c r="E65" s="166"/>
      <c r="F65" s="166"/>
      <c r="G65" s="166"/>
      <c r="H65" s="167"/>
      <c r="I65" s="42" t="str">
        <f ca="1">IF(D78=100%,"All work Completed. Possession granted to the Building.",IF(D77=100%,"All work Completed, Waiting for OC",I66&amp;""&amp;I67&amp;""&amp;J66&amp;""&amp;J65&amp;" "&amp;J67))</f>
        <v>Excavation, Plinth, RCC Slab, Brickwork Completed, Internal Plaster upto 25 Floor, External Plaster upto 25 Floor, Flooring upto 15 Floor, Painting upto 10 Floor Completed</v>
      </c>
      <c r="J65" s="43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Internal Plaster upto 25 Floor, External Plaster upto 25 Floor, Flooring upto 15 Floor, Painting upto 10 Floor</v>
      </c>
    </row>
    <row r="66" spans="1:10" x14ac:dyDescent="0.3">
      <c r="A66" s="16" t="s">
        <v>148</v>
      </c>
      <c r="B66" s="46">
        <v>1</v>
      </c>
      <c r="C66" s="46" t="s">
        <v>74</v>
      </c>
      <c r="D66" s="46">
        <v>1</v>
      </c>
      <c r="E66" s="46" t="s">
        <v>73</v>
      </c>
      <c r="F66" s="46">
        <v>0</v>
      </c>
      <c r="G66" s="46" t="s">
        <v>83</v>
      </c>
      <c r="H66" s="17">
        <f ca="1">--TRIM(RIGHT(SUBSTITUTE(LEFT(C65,_xlfn.AGGREGATE(16,6,FIND({0,1,2,3,4,5,6,7,8,9},C65,ROW(INDIRECT("1:"&amp;LEN(C65)))),1))," ",REPT(" ",LEN(C65))),LEN(C65)))</f>
        <v>29</v>
      </c>
      <c r="I66" s="44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48.6" customHeight="1" x14ac:dyDescent="0.3">
      <c r="A67" s="162" t="s">
        <v>93</v>
      </c>
      <c r="B67" s="139"/>
      <c r="C67" s="168" t="str">
        <f ca="1">I65</f>
        <v>Excavation, Plinth, RCC Slab, Brickwork Completed, Internal Plaster upto 25 Floor, External Plaster upto 25 Floor, Flooring upto 15 Floor, Painting upto 10 Floor Completed</v>
      </c>
      <c r="D67" s="168"/>
      <c r="E67" s="168"/>
      <c r="F67" s="168"/>
      <c r="G67" s="168"/>
      <c r="H67" s="169"/>
      <c r="I67" s="44" t="str">
        <f ca="1">IF(I66&lt;&gt;""," Completed","")</f>
        <v xml:space="preserve"> Completed</v>
      </c>
      <c r="J67" s="45" t="str">
        <f ca="1">IF(J65&lt;&gt;"","Completed","")</f>
        <v>Completed</v>
      </c>
    </row>
    <row r="68" spans="1:10" ht="15.75" customHeight="1" x14ac:dyDescent="0.3">
      <c r="A68" s="98" t="s">
        <v>50</v>
      </c>
      <c r="B68" s="99"/>
      <c r="C68" s="49" t="s">
        <v>145</v>
      </c>
      <c r="D68" s="49" t="s">
        <v>86</v>
      </c>
      <c r="E68" s="99" t="s">
        <v>88</v>
      </c>
      <c r="F68" s="99"/>
      <c r="G68" s="99" t="s">
        <v>87</v>
      </c>
      <c r="H68" s="137"/>
      <c r="I68" s="14" t="s">
        <v>147</v>
      </c>
      <c r="J68" s="25">
        <f ca="1">H66*25%</f>
        <v>7.25</v>
      </c>
    </row>
    <row r="69" spans="1:10" x14ac:dyDescent="0.3">
      <c r="A69" s="98" t="s">
        <v>134</v>
      </c>
      <c r="B69" s="99"/>
      <c r="C69" s="49">
        <f ca="1">J70</f>
        <v>29</v>
      </c>
      <c r="D69" s="50">
        <f ca="1">((100/H66)*C69)/100</f>
        <v>1</v>
      </c>
      <c r="E69" s="152">
        <f ca="1">(((C70/H66*10)+(40/(D66+F66+H66)*C71)+(7.5/(H66)*C72)+(7.5/(H66)*C73)+(10/H66*C74)+(10/H66*C75)+(5/H66*C76)+(5/H66*C77)+(5/H66*C78))/100)</f>
        <v>0.79482758620689653</v>
      </c>
      <c r="F69" s="153"/>
      <c r="G69" s="152">
        <f ca="1">((((C69/H66)*20)+((C70/H66)*25)+(30/(H66+F66+D66)*C71)+(5/H66*C72)+(5/H66*C73)+(5/H66*C74)+(5/H66*C75)+(0/H66*C76)+(0/H66*C77)+(5/H66*C78))/100)</f>
        <v>0.91206896551724137</v>
      </c>
      <c r="H69" s="156"/>
      <c r="I69" s="14" t="s">
        <v>104</v>
      </c>
      <c r="J69" s="26">
        <f ca="1">H66*50%</f>
        <v>14.5</v>
      </c>
    </row>
    <row r="70" spans="1:10" x14ac:dyDescent="0.3">
      <c r="A70" s="98" t="s">
        <v>51</v>
      </c>
      <c r="B70" s="99"/>
      <c r="C70" s="55">
        <f ca="1">J78</f>
        <v>29</v>
      </c>
      <c r="D70" s="50">
        <f ca="1">((100/H66)*C70)/100</f>
        <v>1</v>
      </c>
      <c r="E70" s="154"/>
      <c r="F70" s="155"/>
      <c r="G70" s="154"/>
      <c r="H70" s="157"/>
      <c r="I70" s="14" t="s">
        <v>105</v>
      </c>
      <c r="J70" s="26">
        <f ca="1">H66</f>
        <v>29</v>
      </c>
    </row>
    <row r="71" spans="1:10" ht="15.75" customHeight="1" x14ac:dyDescent="0.3">
      <c r="A71" s="98" t="s">
        <v>135</v>
      </c>
      <c r="B71" s="99"/>
      <c r="C71" s="49">
        <v>30</v>
      </c>
      <c r="D71" s="50">
        <f ca="1">((100/(D66+F66+H66))*C71)/100</f>
        <v>1</v>
      </c>
      <c r="E71" s="154"/>
      <c r="F71" s="155"/>
      <c r="G71" s="154"/>
      <c r="H71" s="157"/>
      <c r="I71" s="14" t="s">
        <v>106</v>
      </c>
      <c r="J71" s="27">
        <f ca="1">(IF(B66&gt;1,(H66/(B66+2)),H66/4))</f>
        <v>7.25</v>
      </c>
    </row>
    <row r="72" spans="1:10" ht="15.75" customHeight="1" x14ac:dyDescent="0.3">
      <c r="A72" s="98" t="s">
        <v>142</v>
      </c>
      <c r="B72" s="99" t="s">
        <v>136</v>
      </c>
      <c r="C72" s="49">
        <f>C71-D66-F66</f>
        <v>29</v>
      </c>
      <c r="D72" s="50">
        <f ca="1">((100/H66)*C72)/100</f>
        <v>1</v>
      </c>
      <c r="E72" s="154"/>
      <c r="F72" s="155"/>
      <c r="G72" s="154"/>
      <c r="H72" s="157"/>
      <c r="I72" s="14" t="s">
        <v>107</v>
      </c>
      <c r="J72" s="27">
        <f ca="1">(IF(B66&gt;1,(H66/(B66+2)+J71),H66/4+J71))</f>
        <v>14.5</v>
      </c>
    </row>
    <row r="73" spans="1:10" ht="15.75" customHeight="1" x14ac:dyDescent="0.3">
      <c r="A73" s="98" t="s">
        <v>143</v>
      </c>
      <c r="B73" s="99" t="s">
        <v>136</v>
      </c>
      <c r="C73" s="55">
        <v>25</v>
      </c>
      <c r="D73" s="50">
        <f ca="1">((100/H66)*C73)/100</f>
        <v>0.86206896551724133</v>
      </c>
      <c r="E73" s="154"/>
      <c r="F73" s="155"/>
      <c r="G73" s="154"/>
      <c r="H73" s="157"/>
      <c r="I73" s="14" t="s">
        <v>154</v>
      </c>
      <c r="J73" s="27">
        <f>(IF(B66&gt;1,(H66/(B66+2)+J72),0))</f>
        <v>0</v>
      </c>
    </row>
    <row r="74" spans="1:10" ht="15" customHeight="1" x14ac:dyDescent="0.3">
      <c r="A74" s="98" t="s">
        <v>141</v>
      </c>
      <c r="B74" s="99" t="s">
        <v>138</v>
      </c>
      <c r="C74" s="55">
        <v>25</v>
      </c>
      <c r="D74" s="50">
        <f ca="1">((100/(H66))*C74)/100</f>
        <v>0.86206896551724133</v>
      </c>
      <c r="E74" s="154"/>
      <c r="F74" s="155"/>
      <c r="G74" s="154"/>
      <c r="H74" s="157"/>
      <c r="I74" s="14" t="s">
        <v>149</v>
      </c>
      <c r="J74" s="27">
        <f>(IF(B66&gt;2,(H66/(B66+2)+J73),0))</f>
        <v>0</v>
      </c>
    </row>
    <row r="75" spans="1:10" ht="15.75" customHeight="1" x14ac:dyDescent="0.3">
      <c r="A75" s="98" t="s">
        <v>137</v>
      </c>
      <c r="B75" s="99" t="s">
        <v>137</v>
      </c>
      <c r="C75" s="55">
        <v>15</v>
      </c>
      <c r="D75" s="50">
        <f ca="1">((100/H66)*C75)/100</f>
        <v>0.51724137931034475</v>
      </c>
      <c r="E75" s="154"/>
      <c r="F75" s="155"/>
      <c r="G75" s="154"/>
      <c r="H75" s="157"/>
      <c r="I75" s="14" t="s">
        <v>150</v>
      </c>
      <c r="J75" s="28">
        <f>(IF(B66&gt;3,(H66/(B66+2)+J74),0))</f>
        <v>0</v>
      </c>
    </row>
    <row r="76" spans="1:10" ht="15.75" customHeight="1" x14ac:dyDescent="0.3">
      <c r="A76" s="98" t="s">
        <v>144</v>
      </c>
      <c r="B76" s="99"/>
      <c r="C76" s="49">
        <v>10</v>
      </c>
      <c r="D76" s="50">
        <f ca="1">((100/H66)*C76)/100</f>
        <v>0.34482758620689652</v>
      </c>
      <c r="E76" s="154"/>
      <c r="F76" s="155"/>
      <c r="G76" s="154"/>
      <c r="H76" s="157"/>
      <c r="I76" s="14" t="s">
        <v>151</v>
      </c>
      <c r="J76" s="27">
        <f>(IF(B66&gt;4,(H66/(B66+2)+J75),0))</f>
        <v>0</v>
      </c>
    </row>
    <row r="77" spans="1:10" ht="15.75" customHeight="1" x14ac:dyDescent="0.3">
      <c r="A77" s="98" t="s">
        <v>139</v>
      </c>
      <c r="B77" s="99" t="s">
        <v>139</v>
      </c>
      <c r="C77" s="49">
        <v>0</v>
      </c>
      <c r="D77" s="50">
        <f ca="1">((100/(H66))*C77)/100</f>
        <v>0</v>
      </c>
      <c r="E77" s="154"/>
      <c r="F77" s="155"/>
      <c r="G77" s="154"/>
      <c r="H77" s="157"/>
      <c r="I77" s="14" t="s">
        <v>155</v>
      </c>
      <c r="J77" s="27">
        <f ca="1">(IF(B66=1,(H66/(B66+3)+J72),IF(B66=0,(H66/4+J72),IF(B66&gt;1,0))))</f>
        <v>21.75</v>
      </c>
    </row>
    <row r="78" spans="1:10" ht="16.2" thickBot="1" x14ac:dyDescent="0.35">
      <c r="A78" s="158" t="s">
        <v>140</v>
      </c>
      <c r="B78" s="159"/>
      <c r="C78" s="64">
        <v>0</v>
      </c>
      <c r="D78" s="65">
        <f ca="1">((100/(H66))*C78)/100</f>
        <v>0</v>
      </c>
      <c r="E78" s="154"/>
      <c r="F78" s="155"/>
      <c r="G78" s="154"/>
      <c r="H78" s="157"/>
      <c r="I78" s="15" t="s">
        <v>108</v>
      </c>
      <c r="J78" s="29">
        <f ca="1">(IF(B66&gt;1.5,(H66/(B66+2)+J72+MAX(0,J73-J72)+MAX(0,J74-J73)+MAX(0,J75-J74)+MAX(0,J76-J75)+MAX(0,J77-J76)),IF(B66=1,(H66/(B66+3)+J77),IF(B66=0,H66/4+J77))))</f>
        <v>29</v>
      </c>
    </row>
    <row r="79" spans="1:10" x14ac:dyDescent="0.3">
      <c r="A79" s="136" t="s">
        <v>166</v>
      </c>
      <c r="B79" s="136"/>
      <c r="C79" s="136"/>
      <c r="D79" s="136"/>
      <c r="E79" s="136"/>
      <c r="F79" s="130" t="s">
        <v>171</v>
      </c>
      <c r="G79" s="130"/>
      <c r="H79" s="130"/>
    </row>
    <row r="80" spans="1:10" x14ac:dyDescent="0.3">
      <c r="A80" s="86" t="s">
        <v>169</v>
      </c>
      <c r="B80" s="86"/>
      <c r="C80" s="86"/>
      <c r="D80" s="86"/>
      <c r="E80" s="86"/>
      <c r="F80" s="100">
        <v>9000</v>
      </c>
      <c r="G80" s="100"/>
      <c r="H80" s="100"/>
    </row>
    <row r="81" spans="1:13" x14ac:dyDescent="0.3">
      <c r="A81" s="86" t="s">
        <v>168</v>
      </c>
      <c r="B81" s="86"/>
      <c r="C81" s="86"/>
      <c r="D81" s="86"/>
      <c r="E81" s="86"/>
      <c r="F81" s="100">
        <v>20000</v>
      </c>
      <c r="G81" s="100"/>
      <c r="H81" s="100"/>
    </row>
    <row r="82" spans="1:13" hidden="1" x14ac:dyDescent="0.3">
      <c r="A82" s="86" t="s">
        <v>170</v>
      </c>
      <c r="B82" s="86"/>
      <c r="C82" s="86"/>
      <c r="D82" s="86"/>
      <c r="E82" s="86"/>
      <c r="F82" s="100"/>
      <c r="G82" s="100"/>
      <c r="H82" s="100"/>
    </row>
    <row r="83" spans="1:13" s="30" customFormat="1" hidden="1" x14ac:dyDescent="0.25">
      <c r="A83" s="86" t="s">
        <v>167</v>
      </c>
      <c r="B83" s="86"/>
      <c r="C83" s="86"/>
      <c r="D83" s="86"/>
      <c r="E83" s="86"/>
      <c r="F83" s="100"/>
      <c r="G83" s="100"/>
      <c r="H83" s="100"/>
    </row>
    <row r="84" spans="1:13" s="30" customFormat="1" hidden="1" x14ac:dyDescent="0.25">
      <c r="A84" s="86" t="s">
        <v>98</v>
      </c>
      <c r="B84" s="86"/>
      <c r="C84" s="86"/>
      <c r="D84" s="86"/>
      <c r="E84" s="86"/>
      <c r="F84" s="100"/>
      <c r="G84" s="100"/>
      <c r="H84" s="100"/>
    </row>
    <row r="85" spans="1:13" s="30" customFormat="1" hidden="1" x14ac:dyDescent="0.25">
      <c r="A85" s="86" t="s">
        <v>99</v>
      </c>
      <c r="B85" s="86"/>
      <c r="C85" s="86"/>
      <c r="D85" s="86"/>
      <c r="E85" s="86"/>
      <c r="F85" s="100"/>
      <c r="G85" s="100"/>
      <c r="H85" s="100"/>
    </row>
    <row r="86" spans="1:13" s="30" customFormat="1" hidden="1" x14ac:dyDescent="0.25">
      <c r="A86" s="86" t="s">
        <v>172</v>
      </c>
      <c r="B86" s="86"/>
      <c r="C86" s="86"/>
      <c r="D86" s="86"/>
      <c r="E86" s="86"/>
      <c r="F86" s="100">
        <v>4</v>
      </c>
      <c r="G86" s="100"/>
      <c r="H86" s="100"/>
    </row>
    <row r="87" spans="1:13" s="30" customFormat="1" hidden="1" x14ac:dyDescent="0.25">
      <c r="A87" s="86" t="s">
        <v>100</v>
      </c>
      <c r="B87" s="86"/>
      <c r="C87" s="86"/>
      <c r="D87" s="86"/>
      <c r="E87" s="86"/>
      <c r="F87" s="100"/>
      <c r="G87" s="100"/>
      <c r="H87" s="100"/>
    </row>
    <row r="88" spans="1:13" s="30" customFormat="1" hidden="1" x14ac:dyDescent="0.25">
      <c r="A88" s="86" t="s">
        <v>101</v>
      </c>
      <c r="B88" s="86"/>
      <c r="C88" s="86"/>
      <c r="D88" s="86"/>
      <c r="E88" s="86"/>
      <c r="F88" s="100"/>
      <c r="G88" s="100"/>
      <c r="H88" s="100"/>
    </row>
    <row r="89" spans="1:13" s="30" customFormat="1" hidden="1" x14ac:dyDescent="0.25">
      <c r="A89" s="86" t="s">
        <v>102</v>
      </c>
      <c r="B89" s="86"/>
      <c r="C89" s="86"/>
      <c r="D89" s="86"/>
      <c r="E89" s="86"/>
      <c r="F89" s="100"/>
      <c r="G89" s="100"/>
      <c r="H89" s="100"/>
    </row>
    <row r="90" spans="1:13" s="30" customFormat="1" hidden="1" x14ac:dyDescent="0.25">
      <c r="A90" s="86" t="s">
        <v>103</v>
      </c>
      <c r="B90" s="86"/>
      <c r="C90" s="86"/>
      <c r="D90" s="86"/>
      <c r="E90" s="86"/>
      <c r="F90" s="100"/>
      <c r="G90" s="100"/>
      <c r="H90" s="100"/>
    </row>
    <row r="91" spans="1:13" x14ac:dyDescent="0.3">
      <c r="A91" s="86" t="s">
        <v>52</v>
      </c>
      <c r="B91" s="86"/>
      <c r="C91" s="86"/>
      <c r="D91" s="86"/>
      <c r="E91" s="86"/>
      <c r="F91" s="100">
        <v>400000</v>
      </c>
      <c r="G91" s="100"/>
      <c r="H91" s="100"/>
    </row>
    <row r="92" spans="1:13" s="31" customFormat="1" x14ac:dyDescent="0.3">
      <c r="A92" s="136" t="s">
        <v>53</v>
      </c>
      <c r="B92" s="136"/>
      <c r="C92" s="136"/>
      <c r="D92" s="136"/>
      <c r="E92" s="136"/>
      <c r="F92" s="100">
        <f>F80*0.8</f>
        <v>7200</v>
      </c>
      <c r="G92" s="100"/>
      <c r="H92" s="100"/>
    </row>
    <row r="93" spans="1:13" s="32" customFormat="1" ht="15.75" customHeight="1" x14ac:dyDescent="0.3">
      <c r="A93" s="135" t="s">
        <v>78</v>
      </c>
      <c r="B93" s="135"/>
      <c r="C93" s="135"/>
      <c r="D93" s="135"/>
      <c r="E93" s="135"/>
      <c r="F93" s="135"/>
      <c r="G93" s="135"/>
      <c r="H93" s="135"/>
    </row>
    <row r="94" spans="1:13" s="32" customFormat="1" ht="15.75" customHeight="1" x14ac:dyDescent="0.3">
      <c r="A94" s="89" t="s">
        <v>54</v>
      </c>
      <c r="B94" s="89"/>
      <c r="C94" s="111" t="s">
        <v>81</v>
      </c>
      <c r="D94" s="111"/>
      <c r="E94" s="109" t="s">
        <v>55</v>
      </c>
      <c r="F94" s="109"/>
      <c r="G94" s="89" t="s">
        <v>56</v>
      </c>
      <c r="H94" s="89"/>
      <c r="I94" s="57" t="s">
        <v>224</v>
      </c>
      <c r="J94" s="32" t="s">
        <v>225</v>
      </c>
      <c r="K94" s="32" t="s">
        <v>116</v>
      </c>
      <c r="L94" s="32" t="s">
        <v>204</v>
      </c>
      <c r="M94" s="32" t="s">
        <v>229</v>
      </c>
    </row>
    <row r="95" spans="1:13" s="32" customFormat="1" x14ac:dyDescent="0.3">
      <c r="A95" s="110" t="s">
        <v>220</v>
      </c>
      <c r="B95" s="110"/>
      <c r="C95" s="131">
        <f>COUNT(D122:D133)+COUNT(D135:D143)</f>
        <v>21</v>
      </c>
      <c r="D95" s="132"/>
      <c r="E95" s="101">
        <f>SUM(D122:D133)+SUM(D135:D143)</f>
        <v>14480.378639999999</v>
      </c>
      <c r="F95" s="102"/>
      <c r="G95" s="101">
        <f>SUM(F122:F133)+SUM(F135:F143)</f>
        <v>29015.984403899998</v>
      </c>
      <c r="H95" s="102"/>
      <c r="I95" s="56">
        <v>15350</v>
      </c>
      <c r="J95" s="56">
        <f>10800000/F156</f>
        <v>9463.728368282882</v>
      </c>
      <c r="K95" s="58">
        <f>10000000/F158</f>
        <v>8762.7114521137792</v>
      </c>
      <c r="L95" s="58">
        <f>14100000/F124</f>
        <v>24149.476876344092</v>
      </c>
      <c r="M95" s="63">
        <v>8500</v>
      </c>
    </row>
    <row r="96" spans="1:13" s="32" customFormat="1" hidden="1" x14ac:dyDescent="0.3">
      <c r="A96" s="110"/>
      <c r="B96" s="110"/>
      <c r="C96" s="132"/>
      <c r="D96" s="132"/>
      <c r="E96" s="102"/>
      <c r="F96" s="102"/>
      <c r="G96" s="171"/>
      <c r="H96" s="171"/>
      <c r="J96" s="56"/>
      <c r="K96" s="58"/>
    </row>
    <row r="97" spans="1:14" s="32" customFormat="1" hidden="1" x14ac:dyDescent="0.3">
      <c r="A97" s="135" t="s">
        <v>159</v>
      </c>
      <c r="B97" s="135"/>
      <c r="C97" s="111"/>
      <c r="D97" s="111"/>
      <c r="E97" s="109"/>
      <c r="F97" s="109"/>
      <c r="G97" s="89"/>
      <c r="H97" s="89"/>
      <c r="J97" s="56"/>
      <c r="K97" s="58"/>
    </row>
    <row r="98" spans="1:14" s="32" customFormat="1" x14ac:dyDescent="0.3">
      <c r="A98" s="135" t="s">
        <v>72</v>
      </c>
      <c r="B98" s="135"/>
      <c r="C98" s="135"/>
      <c r="D98" s="135"/>
      <c r="E98" s="135"/>
      <c r="F98" s="135"/>
      <c r="G98" s="135"/>
      <c r="H98" s="135"/>
      <c r="I98" s="61">
        <f>I95/1.5</f>
        <v>10233.333333333334</v>
      </c>
      <c r="J98" s="56">
        <f>12000000/F170</f>
        <v>8358.2786158623749</v>
      </c>
      <c r="K98" s="58">
        <f>15200000/F170</f>
        <v>10587.152913425676</v>
      </c>
    </row>
    <row r="99" spans="1:14" s="32" customFormat="1" ht="15.75" customHeight="1" x14ac:dyDescent="0.3">
      <c r="A99" s="89" t="s">
        <v>54</v>
      </c>
      <c r="B99" s="89"/>
      <c r="C99" s="111" t="s">
        <v>81</v>
      </c>
      <c r="D99" s="111"/>
      <c r="E99" s="109" t="s">
        <v>55</v>
      </c>
      <c r="F99" s="109"/>
      <c r="G99" s="89" t="s">
        <v>56</v>
      </c>
      <c r="H99" s="89"/>
      <c r="J99" s="59">
        <f>AVERAGE(J95:J98)</f>
        <v>8911.0034920726284</v>
      </c>
      <c r="K99" s="60">
        <f>AVERAGE(K95:K98)</f>
        <v>9674.9321827697277</v>
      </c>
      <c r="L99" s="62">
        <f>AVERAGE(J99:K99,I98)</f>
        <v>9606.4230027252288</v>
      </c>
    </row>
    <row r="100" spans="1:14" s="32" customFormat="1" x14ac:dyDescent="0.3">
      <c r="A100" s="110" t="s">
        <v>221</v>
      </c>
      <c r="B100" s="110"/>
      <c r="C100" s="132">
        <f>COUNT(D155:D161)*5+COUNT(D164:D171)*19</f>
        <v>187</v>
      </c>
      <c r="D100" s="132"/>
      <c r="E100" s="101">
        <f>SUM(D155:D161)*5+SUM(D164:D171)*19</f>
        <v>145999.88207999998</v>
      </c>
      <c r="F100" s="101"/>
      <c r="G100" s="101">
        <f>SUM(F155:F161)*5+SUM(F164:F171)*19</f>
        <v>218999.82311999999</v>
      </c>
      <c r="H100" s="101"/>
    </row>
    <row r="101" spans="1:14" s="32" customFormat="1" ht="16.2" thickBot="1" x14ac:dyDescent="0.35">
      <c r="A101" s="77" t="s">
        <v>178</v>
      </c>
      <c r="B101" s="78"/>
      <c r="C101" s="79">
        <f>C100+C95</f>
        <v>208</v>
      </c>
      <c r="D101" s="80"/>
      <c r="E101" s="81">
        <f>E100+E95</f>
        <v>160480.26071999999</v>
      </c>
      <c r="F101" s="82"/>
      <c r="G101" s="83">
        <f>G100+G95</f>
        <v>248015.80752389997</v>
      </c>
      <c r="H101" s="84"/>
    </row>
    <row r="102" spans="1:14" s="31" customFormat="1" x14ac:dyDescent="0.3">
      <c r="A102" s="126" t="s">
        <v>57</v>
      </c>
      <c r="B102" s="126"/>
      <c r="C102" s="126"/>
      <c r="D102" s="126"/>
      <c r="E102" s="126"/>
      <c r="F102" s="126"/>
      <c r="G102" s="126"/>
      <c r="H102" s="126"/>
      <c r="J102" t="s">
        <v>226</v>
      </c>
      <c r="K102" s="31" t="s">
        <v>227</v>
      </c>
      <c r="L102" s="31" t="s">
        <v>228</v>
      </c>
    </row>
    <row r="103" spans="1:14" x14ac:dyDescent="0.3">
      <c r="A103" s="130" t="s">
        <v>58</v>
      </c>
      <c r="B103" s="130"/>
      <c r="C103" s="130"/>
      <c r="D103" s="130"/>
      <c r="E103" s="130"/>
      <c r="F103" s="130"/>
      <c r="G103" s="130"/>
      <c r="H103" s="130"/>
    </row>
    <row r="104" spans="1:14" ht="47.25" customHeight="1" x14ac:dyDescent="0.3">
      <c r="A104" s="90" t="s">
        <v>124</v>
      </c>
      <c r="B104" s="90" t="s">
        <v>123</v>
      </c>
      <c r="C104" s="90" t="s">
        <v>59</v>
      </c>
      <c r="D104" s="90" t="s">
        <v>60</v>
      </c>
      <c r="E104" s="92" t="s">
        <v>165</v>
      </c>
      <c r="F104" s="40" t="s">
        <v>157</v>
      </c>
      <c r="G104" s="94" t="s">
        <v>62</v>
      </c>
      <c r="H104" s="95"/>
    </row>
    <row r="105" spans="1:14" s="34" customFormat="1" x14ac:dyDescent="0.3">
      <c r="A105" s="91"/>
      <c r="B105" s="91"/>
      <c r="C105" s="91"/>
      <c r="D105" s="91"/>
      <c r="E105" s="93"/>
      <c r="F105" s="13">
        <v>0.55000000000000004</v>
      </c>
      <c r="G105" s="96"/>
      <c r="H105" s="97"/>
    </row>
    <row r="106" spans="1:14" s="34" customFormat="1" hidden="1" x14ac:dyDescent="0.3">
      <c r="A106" s="68" t="s">
        <v>214</v>
      </c>
      <c r="B106" s="69"/>
      <c r="C106" s="69"/>
      <c r="D106" s="69"/>
      <c r="E106" s="69"/>
      <c r="F106" s="69"/>
      <c r="G106" s="69"/>
      <c r="H106" s="70"/>
      <c r="J106" s="33"/>
    </row>
    <row r="107" spans="1:14" s="34" customFormat="1" hidden="1" x14ac:dyDescent="0.3">
      <c r="A107" s="71" t="s">
        <v>215</v>
      </c>
      <c r="B107" s="72"/>
      <c r="C107" s="72"/>
      <c r="D107" s="72"/>
      <c r="E107" s="72"/>
      <c r="F107" s="72"/>
      <c r="G107" s="72"/>
      <c r="H107" s="73"/>
      <c r="J107" s="33"/>
    </row>
    <row r="108" spans="1:14" s="34" customFormat="1" hidden="1" x14ac:dyDescent="0.3">
      <c r="A108" s="74">
        <v>1</v>
      </c>
      <c r="B108" s="75"/>
      <c r="C108" s="39" t="s">
        <v>204</v>
      </c>
      <c r="D108" s="51">
        <f>(16.19)*10.764</f>
        <v>174.26916</v>
      </c>
      <c r="E108" s="51">
        <v>0</v>
      </c>
      <c r="F108" s="39">
        <f>(D108+E108)*(($F$105)+1)</f>
        <v>270.11719800000003</v>
      </c>
      <c r="G108" s="74" t="str">
        <f>A107</f>
        <v>Ground Floor for Commercial</v>
      </c>
      <c r="H108" s="75"/>
      <c r="I108" s="33">
        <f>2.86*7.76+1.51*1.95+1.2*1.8</f>
        <v>27.298100000000002</v>
      </c>
      <c r="L108" s="67"/>
      <c r="M108" s="67"/>
      <c r="N108" s="33"/>
    </row>
    <row r="109" spans="1:14" s="34" customFormat="1" hidden="1" x14ac:dyDescent="0.3">
      <c r="A109" s="74">
        <v>2</v>
      </c>
      <c r="B109" s="75"/>
      <c r="C109" s="39" t="s">
        <v>204</v>
      </c>
      <c r="D109" s="51">
        <f>(14.9)*10.764</f>
        <v>160.3836</v>
      </c>
      <c r="E109" s="51">
        <v>0</v>
      </c>
      <c r="F109" s="39">
        <f t="shared" ref="F109:F111" si="0">(D109+E109)*(($F$105)+1)</f>
        <v>248.59458000000001</v>
      </c>
      <c r="G109" s="74" t="str">
        <f t="shared" ref="G109:G114" si="1">G108</f>
        <v>Ground Floor for Commercial</v>
      </c>
      <c r="H109" s="75"/>
      <c r="I109" s="33"/>
      <c r="L109" s="67"/>
      <c r="M109" s="67"/>
      <c r="N109" s="33"/>
    </row>
    <row r="110" spans="1:14" s="34" customFormat="1" hidden="1" x14ac:dyDescent="0.3">
      <c r="A110" s="74">
        <v>3</v>
      </c>
      <c r="B110" s="75"/>
      <c r="C110" s="39" t="s">
        <v>204</v>
      </c>
      <c r="D110" s="51">
        <f>(18.96)*10.764</f>
        <v>204.08544000000001</v>
      </c>
      <c r="E110" s="51">
        <v>0</v>
      </c>
      <c r="F110" s="39">
        <f t="shared" si="0"/>
        <v>316.33243200000004</v>
      </c>
      <c r="G110" s="74" t="str">
        <f t="shared" si="1"/>
        <v>Ground Floor for Commercial</v>
      </c>
      <c r="H110" s="75"/>
      <c r="I110" s="33"/>
      <c r="L110" s="67"/>
      <c r="M110" s="67"/>
      <c r="N110" s="33"/>
    </row>
    <row r="111" spans="1:14" s="34" customFormat="1" hidden="1" x14ac:dyDescent="0.3">
      <c r="A111" s="74">
        <v>4</v>
      </c>
      <c r="B111" s="75"/>
      <c r="C111" s="39" t="s">
        <v>204</v>
      </c>
      <c r="D111" s="51">
        <f>(18.96)*10.764</f>
        <v>204.08544000000001</v>
      </c>
      <c r="E111" s="51">
        <v>0</v>
      </c>
      <c r="F111" s="39">
        <f t="shared" si="0"/>
        <v>316.33243200000004</v>
      </c>
      <c r="G111" s="74" t="str">
        <f t="shared" si="1"/>
        <v>Ground Floor for Commercial</v>
      </c>
      <c r="H111" s="75"/>
      <c r="I111" s="33"/>
      <c r="L111" s="67"/>
      <c r="M111" s="67"/>
      <c r="N111" s="33"/>
    </row>
    <row r="112" spans="1:14" s="34" customFormat="1" hidden="1" x14ac:dyDescent="0.3">
      <c r="A112" s="74">
        <v>5</v>
      </c>
      <c r="B112" s="75"/>
      <c r="C112" s="39" t="s">
        <v>204</v>
      </c>
      <c r="D112" s="51">
        <f>(14.9)*10.764</f>
        <v>160.3836</v>
      </c>
      <c r="E112" s="51">
        <v>0</v>
      </c>
      <c r="F112" s="39">
        <f>(D112+E112)*(($F$105)+1)</f>
        <v>248.59458000000001</v>
      </c>
      <c r="G112" s="74" t="str">
        <f t="shared" si="1"/>
        <v>Ground Floor for Commercial</v>
      </c>
      <c r="H112" s="75"/>
      <c r="I112" s="33"/>
      <c r="K112" s="34">
        <f>9.71-7.76</f>
        <v>1.9500000000000011</v>
      </c>
      <c r="L112" s="67"/>
      <c r="M112" s="67"/>
      <c r="N112" s="33"/>
    </row>
    <row r="113" spans="1:14" s="34" customFormat="1" hidden="1" x14ac:dyDescent="0.3">
      <c r="A113" s="74">
        <v>6</v>
      </c>
      <c r="B113" s="75"/>
      <c r="C113" s="39" t="s">
        <v>204</v>
      </c>
      <c r="D113" s="51">
        <f>(15.92)*10.764</f>
        <v>171.36287999999999</v>
      </c>
      <c r="E113" s="51">
        <v>0</v>
      </c>
      <c r="F113" s="39">
        <f>(D113+E113)*(($F$105)+1)</f>
        <v>265.61246399999999</v>
      </c>
      <c r="G113" s="74" t="str">
        <f t="shared" si="1"/>
        <v>Ground Floor for Commercial</v>
      </c>
      <c r="H113" s="75"/>
      <c r="I113" s="33"/>
      <c r="J113" s="51">
        <v>10.763999999999999</v>
      </c>
      <c r="L113" s="67"/>
      <c r="M113" s="67"/>
      <c r="N113" s="33"/>
    </row>
    <row r="114" spans="1:14" s="34" customFormat="1" hidden="1" x14ac:dyDescent="0.3">
      <c r="A114" s="74">
        <v>7</v>
      </c>
      <c r="B114" s="75"/>
      <c r="C114" s="39" t="s">
        <v>204</v>
      </c>
      <c r="D114" s="51">
        <f>(8.92)*10.764</f>
        <v>96.014879999999991</v>
      </c>
      <c r="E114" s="51">
        <v>0</v>
      </c>
      <c r="F114" s="39">
        <f>(D114+E114)*(($F$105)+1)</f>
        <v>148.82306399999999</v>
      </c>
      <c r="G114" s="74" t="str">
        <f t="shared" si="1"/>
        <v>Ground Floor for Commercial</v>
      </c>
      <c r="H114" s="75"/>
      <c r="I114" s="33"/>
      <c r="L114" s="67"/>
      <c r="M114" s="67"/>
      <c r="N114" s="33"/>
    </row>
    <row r="115" spans="1:14" s="34" customFormat="1" hidden="1" x14ac:dyDescent="0.3">
      <c r="A115" s="71" t="s">
        <v>216</v>
      </c>
      <c r="B115" s="72"/>
      <c r="C115" s="72"/>
      <c r="D115" s="72"/>
      <c r="E115" s="72"/>
      <c r="F115" s="72"/>
      <c r="G115" s="72"/>
      <c r="H115" s="73"/>
      <c r="J115" s="33"/>
    </row>
    <row r="116" spans="1:14" s="34" customFormat="1" hidden="1" x14ac:dyDescent="0.3">
      <c r="A116" s="74">
        <v>1</v>
      </c>
      <c r="B116" s="75"/>
      <c r="C116" s="39" t="s">
        <v>217</v>
      </c>
      <c r="D116" s="51">
        <f>(56.13+2.94)*10.764</f>
        <v>635.82947999999999</v>
      </c>
      <c r="E116" s="51">
        <v>0</v>
      </c>
      <c r="F116" s="39">
        <f>(D116+E116)*(($F$105)+1)</f>
        <v>985.53569400000003</v>
      </c>
      <c r="G116" s="74" t="str">
        <f>A115</f>
        <v>1st floor</v>
      </c>
      <c r="H116" s="75"/>
      <c r="I116" s="33">
        <f>2.86*7.76+1.51*1.95+1.2*1.8</f>
        <v>27.298100000000002</v>
      </c>
      <c r="L116" s="67"/>
      <c r="M116" s="67"/>
      <c r="N116" s="33"/>
    </row>
    <row r="117" spans="1:14" s="34" customFormat="1" hidden="1" x14ac:dyDescent="0.3">
      <c r="A117" s="74">
        <v>2</v>
      </c>
      <c r="B117" s="75"/>
      <c r="C117" s="39" t="s">
        <v>217</v>
      </c>
      <c r="D117" s="51">
        <f>(42.09+2.92)*10.764</f>
        <v>484.48764</v>
      </c>
      <c r="E117" s="51">
        <v>0</v>
      </c>
      <c r="F117" s="39">
        <f>(D117+E117)*(($F$105)+1)</f>
        <v>750.95584200000008</v>
      </c>
      <c r="G117" s="74" t="str">
        <f t="shared" ref="G117:G118" si="2">G116</f>
        <v>1st floor</v>
      </c>
      <c r="H117" s="75"/>
      <c r="I117" s="33"/>
      <c r="L117" s="67"/>
      <c r="M117" s="67"/>
      <c r="N117" s="33"/>
    </row>
    <row r="118" spans="1:14" s="34" customFormat="1" hidden="1" x14ac:dyDescent="0.3">
      <c r="A118" s="74">
        <v>3</v>
      </c>
      <c r="B118" s="75"/>
      <c r="C118" s="39" t="s">
        <v>217</v>
      </c>
      <c r="D118" s="51">
        <f>(42.09+2.92)*10.764</f>
        <v>484.48764</v>
      </c>
      <c r="E118" s="51">
        <v>0</v>
      </c>
      <c r="F118" s="39">
        <f>(D118+E118)*(($F$105)+1)</f>
        <v>750.95584200000008</v>
      </c>
      <c r="G118" s="74" t="str">
        <f t="shared" si="2"/>
        <v>1st floor</v>
      </c>
      <c r="H118" s="75"/>
      <c r="I118" s="33"/>
      <c r="L118" s="67"/>
      <c r="M118" s="67"/>
      <c r="N118" s="33"/>
    </row>
    <row r="119" spans="1:14" s="34" customFormat="1" x14ac:dyDescent="0.3">
      <c r="A119" s="71" t="s">
        <v>183</v>
      </c>
      <c r="B119" s="72"/>
      <c r="C119" s="72"/>
      <c r="D119" s="72"/>
      <c r="E119" s="72"/>
      <c r="F119" s="72"/>
      <c r="G119" s="72"/>
      <c r="H119" s="73"/>
      <c r="J119" s="53" t="s">
        <v>218</v>
      </c>
      <c r="K119" s="54"/>
      <c r="L119" s="54"/>
    </row>
    <row r="120" spans="1:14" s="34" customFormat="1" x14ac:dyDescent="0.3">
      <c r="A120" s="71" t="s">
        <v>207</v>
      </c>
      <c r="B120" s="72"/>
      <c r="C120" s="72"/>
      <c r="D120" s="72"/>
      <c r="E120" s="72"/>
      <c r="F120" s="72"/>
      <c r="G120" s="72"/>
      <c r="H120" s="73"/>
      <c r="J120" s="33"/>
    </row>
    <row r="121" spans="1:14" s="34" customFormat="1" x14ac:dyDescent="0.3">
      <c r="A121" s="71" t="s">
        <v>205</v>
      </c>
      <c r="B121" s="72"/>
      <c r="C121" s="72"/>
      <c r="D121" s="72"/>
      <c r="E121" s="72"/>
      <c r="F121" s="72"/>
      <c r="G121" s="72"/>
      <c r="H121" s="73"/>
      <c r="J121" s="33"/>
    </row>
    <row r="122" spans="1:14" s="34" customFormat="1" x14ac:dyDescent="0.3">
      <c r="A122" s="74">
        <v>1</v>
      </c>
      <c r="B122" s="75"/>
      <c r="C122" s="39" t="s">
        <v>204</v>
      </c>
      <c r="D122" s="51">
        <f>(28.9)*10.764</f>
        <v>311.07959999999997</v>
      </c>
      <c r="E122" s="51">
        <f>(1.95*2.86)*10.764</f>
        <v>60.030827999999993</v>
      </c>
      <c r="F122" s="39">
        <f>(D122+E122)*(($F$105)+1)</f>
        <v>575.22116339999991</v>
      </c>
      <c r="G122" s="74" t="str">
        <f>A121</f>
        <v>Ground Floor for Commercial &amp; Watchmen Cabin, Entrance Lobby, Parking</v>
      </c>
      <c r="H122" s="75"/>
      <c r="I122" s="33">
        <f>2.86*7.76+1.51*1.95+1.2*1.8</f>
        <v>27.298100000000002</v>
      </c>
      <c r="L122" s="67"/>
      <c r="M122" s="67"/>
      <c r="N122" s="33"/>
    </row>
    <row r="123" spans="1:14" s="34" customFormat="1" x14ac:dyDescent="0.3">
      <c r="A123" s="74">
        <v>2</v>
      </c>
      <c r="B123" s="75"/>
      <c r="C123" s="39" t="s">
        <v>204</v>
      </c>
      <c r="D123" s="51">
        <f>(23.24)*10.764</f>
        <v>250.15535999999997</v>
      </c>
      <c r="E123" s="51">
        <f>(3.15*3.7)*10.764</f>
        <v>125.45441999999998</v>
      </c>
      <c r="F123" s="39">
        <f t="shared" ref="F123:F125" si="3">(D123+E123)*(($F$105)+1)</f>
        <v>582.19515899999988</v>
      </c>
      <c r="G123" s="74" t="str">
        <f t="shared" ref="G123:G133" si="4">G122</f>
        <v>Ground Floor for Commercial &amp; Watchmen Cabin, Entrance Lobby, Parking</v>
      </c>
      <c r="H123" s="75"/>
      <c r="I123" s="33"/>
      <c r="L123" s="67"/>
      <c r="M123" s="67"/>
      <c r="N123" s="33"/>
    </row>
    <row r="124" spans="1:14" s="34" customFormat="1" x14ac:dyDescent="0.3">
      <c r="A124" s="74">
        <v>3</v>
      </c>
      <c r="B124" s="75"/>
      <c r="C124" s="39" t="s">
        <v>204</v>
      </c>
      <c r="D124" s="51">
        <f>(23.34)*10.764</f>
        <v>251.23175999999998</v>
      </c>
      <c r="E124" s="51">
        <f>(3.15*3.7)*10.764</f>
        <v>125.45441999999998</v>
      </c>
      <c r="F124" s="39">
        <f t="shared" si="3"/>
        <v>583.86357899999996</v>
      </c>
      <c r="G124" s="74" t="str">
        <f t="shared" si="4"/>
        <v>Ground Floor for Commercial &amp; Watchmen Cabin, Entrance Lobby, Parking</v>
      </c>
      <c r="H124" s="75"/>
      <c r="I124" s="33"/>
      <c r="L124" s="67"/>
      <c r="M124" s="67"/>
      <c r="N124" s="33"/>
    </row>
    <row r="125" spans="1:14" s="34" customFormat="1" x14ac:dyDescent="0.3">
      <c r="A125" s="74">
        <v>4</v>
      </c>
      <c r="B125" s="75"/>
      <c r="C125" s="39" t="s">
        <v>204</v>
      </c>
      <c r="D125" s="51">
        <f>(62.69)*10.764</f>
        <v>674.7951599999999</v>
      </c>
      <c r="E125" s="51">
        <f>(6.25*4.9)*10.764</f>
        <v>329.64750000000004</v>
      </c>
      <c r="F125" s="39">
        <f t="shared" si="3"/>
        <v>1556.886123</v>
      </c>
      <c r="G125" s="74" t="str">
        <f t="shared" si="4"/>
        <v>Ground Floor for Commercial &amp; Watchmen Cabin, Entrance Lobby, Parking</v>
      </c>
      <c r="H125" s="75"/>
      <c r="I125" s="33"/>
      <c r="L125" s="67"/>
      <c r="M125" s="67"/>
      <c r="N125" s="33"/>
    </row>
    <row r="126" spans="1:14" s="34" customFormat="1" x14ac:dyDescent="0.3">
      <c r="A126" s="74">
        <v>5</v>
      </c>
      <c r="B126" s="75"/>
      <c r="C126" s="39" t="s">
        <v>204</v>
      </c>
      <c r="D126" s="51">
        <f>(31.06)*10.764</f>
        <v>334.32983999999999</v>
      </c>
      <c r="E126" s="51">
        <f>(4.9*3.15)*10.764</f>
        <v>166.14233999999999</v>
      </c>
      <c r="F126" s="39">
        <f>(D126+E126)*(($F$105)+1)</f>
        <v>775.73187899999994</v>
      </c>
      <c r="G126" s="74" t="str">
        <f t="shared" si="4"/>
        <v>Ground Floor for Commercial &amp; Watchmen Cabin, Entrance Lobby, Parking</v>
      </c>
      <c r="H126" s="75"/>
      <c r="I126" s="33"/>
      <c r="K126" s="34">
        <f>9.71-7.76</f>
        <v>1.9500000000000011</v>
      </c>
      <c r="L126" s="67"/>
      <c r="M126" s="67"/>
      <c r="N126" s="33"/>
    </row>
    <row r="127" spans="1:14" s="34" customFormat="1" x14ac:dyDescent="0.3">
      <c r="A127" s="74">
        <v>6</v>
      </c>
      <c r="B127" s="75"/>
      <c r="C127" s="39" t="s">
        <v>204</v>
      </c>
      <c r="D127" s="51">
        <f>(119.67)*10.764</f>
        <v>1288.12788</v>
      </c>
      <c r="E127" s="51">
        <f>(6.35*8.36)*10.764</f>
        <v>571.41770399999984</v>
      </c>
      <c r="F127" s="39">
        <f t="shared" ref="F127:F129" si="5">(D127+E127)*(($F$105)+1)</f>
        <v>2882.2956552000001</v>
      </c>
      <c r="G127" s="74" t="str">
        <f t="shared" si="4"/>
        <v>Ground Floor for Commercial &amp; Watchmen Cabin, Entrance Lobby, Parking</v>
      </c>
      <c r="H127" s="75"/>
      <c r="I127" s="33"/>
      <c r="J127" s="51">
        <v>10.763999999999999</v>
      </c>
      <c r="L127" s="67"/>
      <c r="M127" s="67"/>
      <c r="N127" s="33"/>
    </row>
    <row r="128" spans="1:14" s="34" customFormat="1" x14ac:dyDescent="0.3">
      <c r="A128" s="74">
        <v>7</v>
      </c>
      <c r="B128" s="75"/>
      <c r="C128" s="39" t="s">
        <v>204</v>
      </c>
      <c r="D128" s="51">
        <f>(101.97)*10.764</f>
        <v>1097.6050799999998</v>
      </c>
      <c r="E128" s="51">
        <f>(6.45*7.9)*10.764</f>
        <v>548.47962000000007</v>
      </c>
      <c r="F128" s="39">
        <f t="shared" si="5"/>
        <v>2551.4312850000001</v>
      </c>
      <c r="G128" s="74" t="str">
        <f t="shared" si="4"/>
        <v>Ground Floor for Commercial &amp; Watchmen Cabin, Entrance Lobby, Parking</v>
      </c>
      <c r="H128" s="75"/>
      <c r="I128" s="33"/>
      <c r="L128" s="67"/>
      <c r="M128" s="67"/>
      <c r="N128" s="33"/>
    </row>
    <row r="129" spans="1:14" s="34" customFormat="1" x14ac:dyDescent="0.3">
      <c r="A129" s="74">
        <v>8</v>
      </c>
      <c r="B129" s="75"/>
      <c r="C129" s="39" t="s">
        <v>204</v>
      </c>
      <c r="D129" s="51">
        <f>(101.18)*10.764</f>
        <v>1089.1015199999999</v>
      </c>
      <c r="E129" s="51">
        <f>(6.4*7.9)*10.764</f>
        <v>544.22784000000001</v>
      </c>
      <c r="F129" s="39">
        <f t="shared" si="5"/>
        <v>2531.6605079999999</v>
      </c>
      <c r="G129" s="74" t="str">
        <f t="shared" si="4"/>
        <v>Ground Floor for Commercial &amp; Watchmen Cabin, Entrance Lobby, Parking</v>
      </c>
      <c r="H129" s="75"/>
      <c r="I129" s="33"/>
      <c r="L129" s="67"/>
      <c r="M129" s="67"/>
      <c r="N129" s="33"/>
    </row>
    <row r="130" spans="1:14" s="34" customFormat="1" x14ac:dyDescent="0.3">
      <c r="A130" s="74">
        <v>9</v>
      </c>
      <c r="B130" s="75"/>
      <c r="C130" s="39" t="s">
        <v>204</v>
      </c>
      <c r="D130" s="51">
        <f>(101.18)*10.764</f>
        <v>1089.1015199999999</v>
      </c>
      <c r="E130" s="51">
        <f>(7.9*6.45)*10.764</f>
        <v>548.47962000000007</v>
      </c>
      <c r="F130" s="39">
        <f t="shared" ref="F130:F132" si="6">(D130+E130)*(($F$105)+1)</f>
        <v>2538.250767</v>
      </c>
      <c r="G130" s="74" t="str">
        <f t="shared" si="4"/>
        <v>Ground Floor for Commercial &amp; Watchmen Cabin, Entrance Lobby, Parking</v>
      </c>
      <c r="H130" s="75"/>
      <c r="I130" s="33"/>
      <c r="L130" s="67"/>
      <c r="M130" s="67"/>
      <c r="N130" s="33"/>
    </row>
    <row r="131" spans="1:14" s="34" customFormat="1" x14ac:dyDescent="0.3">
      <c r="A131" s="74">
        <v>10</v>
      </c>
      <c r="B131" s="75"/>
      <c r="C131" s="39" t="s">
        <v>204</v>
      </c>
      <c r="D131" s="51">
        <f>(76.89)*10.764</f>
        <v>827.64395999999999</v>
      </c>
      <c r="E131" s="51">
        <f>(4.55*8.15)*10.764</f>
        <v>399.15602999999999</v>
      </c>
      <c r="F131" s="39">
        <f t="shared" si="6"/>
        <v>1901.5399844999999</v>
      </c>
      <c r="G131" s="74" t="str">
        <f t="shared" si="4"/>
        <v>Ground Floor for Commercial &amp; Watchmen Cabin, Entrance Lobby, Parking</v>
      </c>
      <c r="H131" s="75"/>
      <c r="I131" s="33"/>
      <c r="L131" s="67"/>
      <c r="M131" s="67"/>
      <c r="N131" s="33"/>
    </row>
    <row r="132" spans="1:14" s="34" customFormat="1" x14ac:dyDescent="0.3">
      <c r="A132" s="74">
        <v>11</v>
      </c>
      <c r="B132" s="75"/>
      <c r="C132" s="39" t="s">
        <v>204</v>
      </c>
      <c r="D132" s="51">
        <f>(76.56)*10.764</f>
        <v>824.09183999999993</v>
      </c>
      <c r="E132" s="51">
        <f>(4.68*8.15)*10.764</f>
        <v>410.56048799999991</v>
      </c>
      <c r="F132" s="39">
        <f t="shared" si="6"/>
        <v>1913.7111083999998</v>
      </c>
      <c r="G132" s="74" t="str">
        <f t="shared" si="4"/>
        <v>Ground Floor for Commercial &amp; Watchmen Cabin, Entrance Lobby, Parking</v>
      </c>
      <c r="H132" s="75"/>
      <c r="I132" s="33"/>
      <c r="L132" s="67"/>
      <c r="M132" s="67"/>
      <c r="N132" s="33"/>
    </row>
    <row r="133" spans="1:14" s="34" customFormat="1" x14ac:dyDescent="0.3">
      <c r="A133" s="74">
        <v>12</v>
      </c>
      <c r="B133" s="75"/>
      <c r="C133" s="39" t="s">
        <v>204</v>
      </c>
      <c r="D133" s="51">
        <f>(76.56)*10.764</f>
        <v>824.09183999999993</v>
      </c>
      <c r="E133" s="51">
        <f>(4.68*8.15)*10.764</f>
        <v>410.56048799999991</v>
      </c>
      <c r="F133" s="39">
        <f t="shared" ref="F133" si="7">(D133+E133)*(($F$105)+1)</f>
        <v>1913.7111083999998</v>
      </c>
      <c r="G133" s="74" t="str">
        <f t="shared" si="4"/>
        <v>Ground Floor for Commercial &amp; Watchmen Cabin, Entrance Lobby, Parking</v>
      </c>
      <c r="H133" s="75"/>
      <c r="I133" s="33"/>
      <c r="L133" s="67"/>
      <c r="M133" s="67"/>
      <c r="N133" s="33"/>
    </row>
    <row r="134" spans="1:14" s="34" customFormat="1" x14ac:dyDescent="0.3">
      <c r="A134" s="71" t="s">
        <v>206</v>
      </c>
      <c r="B134" s="72"/>
      <c r="C134" s="72"/>
      <c r="D134" s="72"/>
      <c r="E134" s="72"/>
      <c r="F134" s="72"/>
      <c r="G134" s="72"/>
      <c r="H134" s="73"/>
      <c r="J134" s="33"/>
    </row>
    <row r="135" spans="1:14" s="34" customFormat="1" x14ac:dyDescent="0.3">
      <c r="A135" s="74">
        <v>1</v>
      </c>
      <c r="B135" s="75"/>
      <c r="C135" s="39" t="s">
        <v>204</v>
      </c>
      <c r="D135" s="51">
        <f>(28.66)*10.764</f>
        <v>308.49624</v>
      </c>
      <c r="E135" s="51">
        <v>0</v>
      </c>
      <c r="F135" s="39">
        <f>(D135+E135)*(($F$105)+1)</f>
        <v>478.169172</v>
      </c>
      <c r="G135" s="74" t="str">
        <f>A134</f>
        <v>1st Floor, Double Height Entrance Lobby &amp; Parking</v>
      </c>
      <c r="H135" s="75"/>
      <c r="I135" s="33">
        <f>2.86*7.76+1.51*1.95+1.2*1.8</f>
        <v>27.298100000000002</v>
      </c>
      <c r="L135" s="67"/>
      <c r="M135" s="67"/>
      <c r="N135" s="33"/>
    </row>
    <row r="136" spans="1:14" s="34" customFormat="1" x14ac:dyDescent="0.3">
      <c r="A136" s="74">
        <v>2</v>
      </c>
      <c r="B136" s="75"/>
      <c r="C136" s="39" t="s">
        <v>204</v>
      </c>
      <c r="D136" s="51">
        <f>(18.62)*10.764</f>
        <v>200.42568</v>
      </c>
      <c r="E136" s="51">
        <v>0</v>
      </c>
      <c r="F136" s="39">
        <f t="shared" ref="F136:F138" si="8">(D136+E136)*(($F$105)+1)</f>
        <v>310.65980400000001</v>
      </c>
      <c r="G136" s="74" t="str">
        <f t="shared" ref="G136:G143" si="9">G135</f>
        <v>1st Floor, Double Height Entrance Lobby &amp; Parking</v>
      </c>
      <c r="H136" s="75"/>
      <c r="I136" s="33"/>
      <c r="L136" s="67"/>
      <c r="M136" s="67"/>
      <c r="N136" s="33"/>
    </row>
    <row r="137" spans="1:14" s="34" customFormat="1" x14ac:dyDescent="0.3">
      <c r="A137" s="74">
        <v>3</v>
      </c>
      <c r="B137" s="75"/>
      <c r="C137" s="39" t="s">
        <v>204</v>
      </c>
      <c r="D137" s="51">
        <f>(18.62)*10.764</f>
        <v>200.42568</v>
      </c>
      <c r="E137" s="51">
        <v>0</v>
      </c>
      <c r="F137" s="39">
        <f t="shared" si="8"/>
        <v>310.65980400000001</v>
      </c>
      <c r="G137" s="74" t="str">
        <f t="shared" si="9"/>
        <v>1st Floor, Double Height Entrance Lobby &amp; Parking</v>
      </c>
      <c r="H137" s="75"/>
      <c r="I137" s="33"/>
      <c r="L137" s="67"/>
      <c r="M137" s="67"/>
      <c r="N137" s="33"/>
    </row>
    <row r="138" spans="1:14" s="34" customFormat="1" x14ac:dyDescent="0.3">
      <c r="A138" s="74">
        <v>4</v>
      </c>
      <c r="B138" s="75"/>
      <c r="C138" s="39" t="s">
        <v>204</v>
      </c>
      <c r="D138" s="51">
        <f>(54.32)*10.764</f>
        <v>584.70047999999997</v>
      </c>
      <c r="E138" s="51">
        <v>0</v>
      </c>
      <c r="F138" s="39">
        <f t="shared" si="8"/>
        <v>906.28574400000002</v>
      </c>
      <c r="G138" s="74" t="str">
        <f t="shared" si="9"/>
        <v>1st Floor, Double Height Entrance Lobby &amp; Parking</v>
      </c>
      <c r="H138" s="75"/>
      <c r="I138" s="33"/>
      <c r="L138" s="67"/>
      <c r="M138" s="67"/>
      <c r="N138" s="33"/>
    </row>
    <row r="139" spans="1:14" s="34" customFormat="1" x14ac:dyDescent="0.3">
      <c r="A139" s="74">
        <v>5</v>
      </c>
      <c r="B139" s="75"/>
      <c r="C139" s="39" t="s">
        <v>204</v>
      </c>
      <c r="D139" s="51">
        <f>(26.33)*10.764</f>
        <v>283.41611999999998</v>
      </c>
      <c r="E139" s="51">
        <v>0</v>
      </c>
      <c r="F139" s="39">
        <f>(D139+E139)*(($F$105)+1)</f>
        <v>439.29498599999999</v>
      </c>
      <c r="G139" s="74" t="str">
        <f t="shared" si="9"/>
        <v>1st Floor, Double Height Entrance Lobby &amp; Parking</v>
      </c>
      <c r="H139" s="75"/>
      <c r="I139" s="33"/>
      <c r="K139" s="34">
        <f>9.71-7.76</f>
        <v>1.9500000000000011</v>
      </c>
      <c r="L139" s="67"/>
      <c r="M139" s="67"/>
      <c r="N139" s="33"/>
    </row>
    <row r="140" spans="1:14" s="34" customFormat="1" x14ac:dyDescent="0.3">
      <c r="A140" s="74">
        <v>6</v>
      </c>
      <c r="B140" s="75"/>
      <c r="C140" s="39" t="s">
        <v>204</v>
      </c>
      <c r="D140" s="51">
        <f>(90.38)*10.764</f>
        <v>972.8503199999999</v>
      </c>
      <c r="E140" s="51">
        <v>0</v>
      </c>
      <c r="F140" s="39">
        <f t="shared" ref="F140:F143" si="10">(D140+E140)*(($F$105)+1)</f>
        <v>1507.9179959999999</v>
      </c>
      <c r="G140" s="74" t="str">
        <f t="shared" si="9"/>
        <v>1st Floor, Double Height Entrance Lobby &amp; Parking</v>
      </c>
      <c r="H140" s="75"/>
      <c r="I140" s="33"/>
      <c r="J140" s="51">
        <v>10.763999999999999</v>
      </c>
      <c r="L140" s="67"/>
      <c r="M140" s="67"/>
      <c r="N140" s="33"/>
    </row>
    <row r="141" spans="1:14" s="34" customFormat="1" x14ac:dyDescent="0.3">
      <c r="A141" s="74">
        <v>7</v>
      </c>
      <c r="B141" s="75"/>
      <c r="C141" s="39" t="s">
        <v>204</v>
      </c>
      <c r="D141" s="51">
        <f>(92.3)*10.764</f>
        <v>993.51719999999989</v>
      </c>
      <c r="E141" s="51">
        <v>0</v>
      </c>
      <c r="F141" s="39">
        <f t="shared" si="10"/>
        <v>1539.9516599999999</v>
      </c>
      <c r="G141" s="74" t="str">
        <f t="shared" si="9"/>
        <v>1st Floor, Double Height Entrance Lobby &amp; Parking</v>
      </c>
      <c r="H141" s="75"/>
      <c r="I141" s="33"/>
      <c r="L141" s="67"/>
      <c r="M141" s="67"/>
      <c r="N141" s="33"/>
    </row>
    <row r="142" spans="1:14" s="34" customFormat="1" x14ac:dyDescent="0.3">
      <c r="A142" s="74">
        <v>8</v>
      </c>
      <c r="B142" s="75"/>
      <c r="C142" s="39" t="s">
        <v>204</v>
      </c>
      <c r="D142" s="51">
        <f>(91.58)*10.764</f>
        <v>985.76711999999998</v>
      </c>
      <c r="E142" s="51">
        <v>0</v>
      </c>
      <c r="F142" s="39">
        <f t="shared" si="10"/>
        <v>1527.939036</v>
      </c>
      <c r="G142" s="74" t="str">
        <f t="shared" si="9"/>
        <v>1st Floor, Double Height Entrance Lobby &amp; Parking</v>
      </c>
      <c r="H142" s="75"/>
      <c r="I142" s="33"/>
      <c r="L142" s="67"/>
      <c r="M142" s="67"/>
      <c r="N142" s="33"/>
    </row>
    <row r="143" spans="1:14" s="34" customFormat="1" x14ac:dyDescent="0.3">
      <c r="A143" s="74">
        <v>9</v>
      </c>
      <c r="B143" s="75"/>
      <c r="C143" s="39" t="s">
        <v>204</v>
      </c>
      <c r="D143" s="51">
        <f>(101.21)*10.764</f>
        <v>1089.4244399999998</v>
      </c>
      <c r="E143" s="51">
        <v>0</v>
      </c>
      <c r="F143" s="39">
        <f t="shared" si="10"/>
        <v>1688.6078819999998</v>
      </c>
      <c r="G143" s="74" t="str">
        <f t="shared" si="9"/>
        <v>1st Floor, Double Height Entrance Lobby &amp; Parking</v>
      </c>
      <c r="H143" s="75"/>
      <c r="I143" s="33"/>
      <c r="L143" s="67"/>
      <c r="M143" s="67"/>
      <c r="N143" s="33"/>
    </row>
    <row r="144" spans="1:14" s="34" customFormat="1" x14ac:dyDescent="0.3">
      <c r="A144" s="74"/>
      <c r="B144" s="170"/>
      <c r="C144" s="170"/>
      <c r="D144" s="170"/>
      <c r="E144" s="170"/>
      <c r="F144" s="170"/>
      <c r="G144" s="170"/>
      <c r="H144" s="75"/>
      <c r="I144" s="33"/>
      <c r="N144" s="33"/>
    </row>
    <row r="145" spans="1:14" ht="47.25" customHeight="1" x14ac:dyDescent="0.3">
      <c r="A145" s="94" t="s">
        <v>125</v>
      </c>
      <c r="B145" s="94" t="s">
        <v>126</v>
      </c>
      <c r="C145" s="90" t="s">
        <v>59</v>
      </c>
      <c r="D145" s="90" t="s">
        <v>60</v>
      </c>
      <c r="E145" s="92" t="s">
        <v>61</v>
      </c>
      <c r="F145" s="40" t="s">
        <v>157</v>
      </c>
      <c r="G145" s="94" t="s">
        <v>62</v>
      </c>
      <c r="H145" s="95"/>
      <c r="I145" s="33"/>
    </row>
    <row r="146" spans="1:14" s="34" customFormat="1" x14ac:dyDescent="0.3">
      <c r="A146" s="96"/>
      <c r="B146" s="96"/>
      <c r="C146" s="91"/>
      <c r="D146" s="91"/>
      <c r="E146" s="93"/>
      <c r="F146" s="13">
        <v>0.5</v>
      </c>
      <c r="G146" s="96"/>
      <c r="H146" s="97"/>
      <c r="I146" s="33"/>
    </row>
    <row r="147" spans="1:14" s="34" customFormat="1" hidden="1" x14ac:dyDescent="0.3">
      <c r="A147" s="68" t="s">
        <v>214</v>
      </c>
      <c r="B147" s="69"/>
      <c r="C147" s="69"/>
      <c r="D147" s="69"/>
      <c r="E147" s="69"/>
      <c r="F147" s="69"/>
      <c r="G147" s="69"/>
      <c r="H147" s="70"/>
      <c r="J147" s="33"/>
    </row>
    <row r="148" spans="1:14" s="34" customFormat="1" hidden="1" x14ac:dyDescent="0.3">
      <c r="A148" s="71" t="s">
        <v>219</v>
      </c>
      <c r="B148" s="72"/>
      <c r="C148" s="72"/>
      <c r="D148" s="72"/>
      <c r="E148" s="72"/>
      <c r="F148" s="72"/>
      <c r="G148" s="72"/>
      <c r="H148" s="73"/>
      <c r="J148" s="33"/>
    </row>
    <row r="149" spans="1:14" s="34" customFormat="1" hidden="1" x14ac:dyDescent="0.3">
      <c r="A149" s="74">
        <v>1</v>
      </c>
      <c r="B149" s="75"/>
      <c r="C149" s="39" t="s">
        <v>210</v>
      </c>
      <c r="D149" s="51">
        <f>(56.13+2.94)*10.764</f>
        <v>635.82947999999999</v>
      </c>
      <c r="E149" s="39">
        <v>0</v>
      </c>
      <c r="F149" s="39">
        <f>D149*(($F$146)+1)+(IF(E149&lt;101,E149,IF(E149&lt;201,E149/2,IF(E149&lt;=301,E149/3,E149/4))))</f>
        <v>953.74422000000004</v>
      </c>
      <c r="G149" s="74" t="str">
        <f>A148</f>
        <v>2nd to 6th Floor</v>
      </c>
      <c r="H149" s="75"/>
      <c r="I149" s="33"/>
      <c r="J149" s="51">
        <v>10.763999999999999</v>
      </c>
      <c r="L149" s="67"/>
      <c r="M149" s="67"/>
      <c r="N149" s="33"/>
    </row>
    <row r="150" spans="1:14" s="34" customFormat="1" hidden="1" x14ac:dyDescent="0.3">
      <c r="A150" s="74">
        <v>2</v>
      </c>
      <c r="B150" s="75"/>
      <c r="C150" s="39" t="s">
        <v>210</v>
      </c>
      <c r="D150" s="51">
        <f>(42.09+2.92)*10.764</f>
        <v>484.48764</v>
      </c>
      <c r="E150" s="39">
        <v>0</v>
      </c>
      <c r="F150" s="39">
        <f>D150*(($F$146)+1)+(IF(E150&lt;101,E150,IF(E150&lt;201,E150/2,IF(E150&lt;=301,E150/3,E150/4))))</f>
        <v>726.73145999999997</v>
      </c>
      <c r="G150" s="74" t="str">
        <f t="shared" ref="G150:G151" si="11">G149</f>
        <v>2nd to 6th Floor</v>
      </c>
      <c r="H150" s="75"/>
      <c r="I150" s="33"/>
      <c r="L150" s="67"/>
      <c r="M150" s="67"/>
      <c r="N150" s="33"/>
    </row>
    <row r="151" spans="1:14" s="34" customFormat="1" hidden="1" x14ac:dyDescent="0.3">
      <c r="A151" s="74">
        <v>3</v>
      </c>
      <c r="B151" s="75"/>
      <c r="C151" s="39" t="s">
        <v>210</v>
      </c>
      <c r="D151" s="51">
        <f>(42.09+2.92)*10.764</f>
        <v>484.48764</v>
      </c>
      <c r="E151" s="39">
        <v>0</v>
      </c>
      <c r="F151" s="39">
        <f>D151*(($F$146)+1)+(IF(E151&lt;101,E151,IF(E151&lt;201,E151/2,IF(E151&lt;=301,E151/3,E151/4))))</f>
        <v>726.73145999999997</v>
      </c>
      <c r="G151" s="74" t="str">
        <f t="shared" si="11"/>
        <v>2nd to 6th Floor</v>
      </c>
      <c r="H151" s="75"/>
      <c r="I151" s="33"/>
      <c r="L151" s="67"/>
      <c r="M151" s="67"/>
      <c r="N151" s="33"/>
    </row>
    <row r="152" spans="1:14" s="34" customFormat="1" x14ac:dyDescent="0.3">
      <c r="A152" s="76" t="s">
        <v>183</v>
      </c>
      <c r="B152" s="76"/>
      <c r="C152" s="76"/>
      <c r="D152" s="76"/>
      <c r="E152" s="76"/>
      <c r="F152" s="76"/>
      <c r="G152" s="76"/>
      <c r="H152" s="76"/>
      <c r="J152" s="33"/>
    </row>
    <row r="153" spans="1:14" s="34" customFormat="1" x14ac:dyDescent="0.3">
      <c r="A153" s="76" t="s">
        <v>208</v>
      </c>
      <c r="B153" s="76"/>
      <c r="C153" s="76"/>
      <c r="D153" s="76"/>
      <c r="E153" s="76"/>
      <c r="F153" s="76"/>
      <c r="G153" s="76"/>
      <c r="H153" s="76"/>
      <c r="J153" s="33"/>
    </row>
    <row r="154" spans="1:14" s="34" customFormat="1" x14ac:dyDescent="0.3">
      <c r="A154" s="76" t="s">
        <v>209</v>
      </c>
      <c r="B154" s="76"/>
      <c r="C154" s="76"/>
      <c r="D154" s="76"/>
      <c r="E154" s="76"/>
      <c r="F154" s="76"/>
      <c r="G154" s="76"/>
      <c r="H154" s="76"/>
      <c r="J154" s="33"/>
    </row>
    <row r="155" spans="1:14" s="34" customFormat="1" x14ac:dyDescent="0.3">
      <c r="A155" s="88">
        <v>1</v>
      </c>
      <c r="B155" s="88"/>
      <c r="C155" s="39" t="s">
        <v>210</v>
      </c>
      <c r="D155" s="51">
        <f t="shared" ref="D155:D161" si="12">(63.13+3.05+0.75*(3+3))*10.764</f>
        <v>760.79952000000003</v>
      </c>
      <c r="E155" s="39">
        <v>0</v>
      </c>
      <c r="F155" s="39">
        <f t="shared" ref="F155:F161" si="13">D155*(($F$146)+1)+(IF(E155&lt;101,E155,IF(E155&lt;201,E155/2,IF(E155&lt;=301,E155/3,E155/4))))</f>
        <v>1141.19928</v>
      </c>
      <c r="G155" s="88" t="str">
        <f>A154</f>
        <v>6th, 11th, 16th, 21st &amp; 26th Floor for Residential</v>
      </c>
      <c r="H155" s="88"/>
      <c r="I155" s="33"/>
      <c r="L155" s="67"/>
      <c r="M155" s="67"/>
      <c r="N155" s="33"/>
    </row>
    <row r="156" spans="1:14" s="34" customFormat="1" x14ac:dyDescent="0.3">
      <c r="A156" s="88">
        <v>2</v>
      </c>
      <c r="B156" s="88"/>
      <c r="C156" s="39" t="s">
        <v>210</v>
      </c>
      <c r="D156" s="51">
        <f t="shared" si="12"/>
        <v>760.79952000000003</v>
      </c>
      <c r="E156" s="39">
        <v>0</v>
      </c>
      <c r="F156" s="39">
        <f t="shared" si="13"/>
        <v>1141.19928</v>
      </c>
      <c r="G156" s="88" t="str">
        <f t="shared" ref="G156:G162" si="14">G155</f>
        <v>6th, 11th, 16th, 21st &amp; 26th Floor for Residential</v>
      </c>
      <c r="H156" s="88"/>
      <c r="I156" s="33"/>
      <c r="L156" s="67"/>
      <c r="M156" s="67"/>
      <c r="N156" s="33"/>
    </row>
    <row r="157" spans="1:14" s="34" customFormat="1" x14ac:dyDescent="0.3">
      <c r="A157" s="88">
        <v>3</v>
      </c>
      <c r="B157" s="88"/>
      <c r="C157" s="39" t="s">
        <v>210</v>
      </c>
      <c r="D157" s="51">
        <f t="shared" si="12"/>
        <v>760.79952000000003</v>
      </c>
      <c r="E157" s="39">
        <v>0</v>
      </c>
      <c r="F157" s="39">
        <f t="shared" si="13"/>
        <v>1141.19928</v>
      </c>
      <c r="G157" s="88" t="str">
        <f t="shared" si="14"/>
        <v>6th, 11th, 16th, 21st &amp; 26th Floor for Residential</v>
      </c>
      <c r="H157" s="88"/>
      <c r="I157" s="33"/>
      <c r="L157" s="67"/>
      <c r="M157" s="67"/>
      <c r="N157" s="33"/>
    </row>
    <row r="158" spans="1:14" s="34" customFormat="1" x14ac:dyDescent="0.3">
      <c r="A158" s="88">
        <v>4</v>
      </c>
      <c r="B158" s="88"/>
      <c r="C158" s="39" t="s">
        <v>210</v>
      </c>
      <c r="D158" s="51">
        <f t="shared" si="12"/>
        <v>760.79952000000003</v>
      </c>
      <c r="E158" s="39">
        <v>0</v>
      </c>
      <c r="F158" s="39">
        <f t="shared" si="13"/>
        <v>1141.19928</v>
      </c>
      <c r="G158" s="88" t="str">
        <f t="shared" si="14"/>
        <v>6th, 11th, 16th, 21st &amp; 26th Floor for Residential</v>
      </c>
      <c r="H158" s="88"/>
      <c r="I158" s="33"/>
      <c r="L158" s="67"/>
      <c r="M158" s="67"/>
      <c r="N158" s="33"/>
    </row>
    <row r="159" spans="1:14" s="34" customFormat="1" x14ac:dyDescent="0.3">
      <c r="A159" s="88">
        <v>5</v>
      </c>
      <c r="B159" s="88"/>
      <c r="C159" s="39" t="s">
        <v>210</v>
      </c>
      <c r="D159" s="51">
        <f t="shared" si="12"/>
        <v>760.79952000000003</v>
      </c>
      <c r="E159" s="39">
        <v>0</v>
      </c>
      <c r="F159" s="39">
        <f t="shared" si="13"/>
        <v>1141.19928</v>
      </c>
      <c r="G159" s="88" t="str">
        <f t="shared" si="14"/>
        <v>6th, 11th, 16th, 21st &amp; 26th Floor for Residential</v>
      </c>
      <c r="H159" s="88"/>
      <c r="I159" s="33">
        <f>2.6*1.05+2.15*2.75+3.4*0.9+5.3*3.05+2.25*1.2+3.15*3+2.85*0.68+3.36*3+2.25*1.35+1*3</f>
        <v>58.073</v>
      </c>
      <c r="J159" s="52"/>
      <c r="L159" s="67"/>
      <c r="M159" s="67"/>
      <c r="N159" s="33"/>
    </row>
    <row r="160" spans="1:14" s="34" customFormat="1" x14ac:dyDescent="0.3">
      <c r="A160" s="88">
        <v>6</v>
      </c>
      <c r="B160" s="88"/>
      <c r="C160" s="39" t="s">
        <v>210</v>
      </c>
      <c r="D160" s="51">
        <f t="shared" si="12"/>
        <v>760.79952000000003</v>
      </c>
      <c r="E160" s="39">
        <v>0</v>
      </c>
      <c r="F160" s="39">
        <f t="shared" si="13"/>
        <v>1141.19928</v>
      </c>
      <c r="G160" s="88" t="str">
        <f t="shared" si="14"/>
        <v>6th, 11th, 16th, 21st &amp; 26th Floor for Residential</v>
      </c>
      <c r="H160" s="88"/>
      <c r="I160" s="33">
        <f>1*3.05</f>
        <v>3.05</v>
      </c>
      <c r="L160" s="67"/>
      <c r="M160" s="67"/>
      <c r="N160" s="33"/>
    </row>
    <row r="161" spans="1:14" s="34" customFormat="1" x14ac:dyDescent="0.3">
      <c r="A161" s="88">
        <v>7</v>
      </c>
      <c r="B161" s="88"/>
      <c r="C161" s="39" t="s">
        <v>210</v>
      </c>
      <c r="D161" s="51">
        <f t="shared" si="12"/>
        <v>760.79952000000003</v>
      </c>
      <c r="E161" s="39">
        <v>0</v>
      </c>
      <c r="F161" s="39">
        <f t="shared" si="13"/>
        <v>1141.19928</v>
      </c>
      <c r="G161" s="88" t="str">
        <f t="shared" si="14"/>
        <v>6th, 11th, 16th, 21st &amp; 26th Floor for Residential</v>
      </c>
      <c r="H161" s="88"/>
      <c r="I161" s="33"/>
      <c r="L161" s="67"/>
      <c r="M161" s="67"/>
      <c r="N161" s="33"/>
    </row>
    <row r="162" spans="1:14" s="34" customFormat="1" x14ac:dyDescent="0.3">
      <c r="A162" s="88">
        <v>8</v>
      </c>
      <c r="B162" s="88"/>
      <c r="C162" s="88" t="s">
        <v>211</v>
      </c>
      <c r="D162" s="88"/>
      <c r="E162" s="88"/>
      <c r="F162" s="88"/>
      <c r="G162" s="88" t="str">
        <f t="shared" si="14"/>
        <v>6th, 11th, 16th, 21st &amp; 26th Floor for Residential</v>
      </c>
      <c r="H162" s="88"/>
      <c r="I162" s="33"/>
      <c r="L162" s="67"/>
      <c r="M162" s="67"/>
      <c r="N162" s="33"/>
    </row>
    <row r="163" spans="1:14" s="34" customFormat="1" x14ac:dyDescent="0.3">
      <c r="A163" s="76" t="s">
        <v>212</v>
      </c>
      <c r="B163" s="76"/>
      <c r="C163" s="76"/>
      <c r="D163" s="76"/>
      <c r="E163" s="76"/>
      <c r="F163" s="76"/>
      <c r="G163" s="76"/>
      <c r="H163" s="76"/>
      <c r="I163" s="33"/>
      <c r="L163" s="67"/>
      <c r="M163" s="67"/>
    </row>
    <row r="164" spans="1:14" s="34" customFormat="1" x14ac:dyDescent="0.3">
      <c r="A164" s="88">
        <v>1</v>
      </c>
      <c r="B164" s="88"/>
      <c r="C164" s="39" t="s">
        <v>210</v>
      </c>
      <c r="D164" s="51">
        <f t="shared" ref="D164:D169" si="15">(63.13+3.05+0.75*(3+3))*10.764</f>
        <v>760.79952000000003</v>
      </c>
      <c r="E164" s="39">
        <v>0</v>
      </c>
      <c r="F164" s="39">
        <f t="shared" ref="F164:F165" si="16">D164*(($F$146)+1)+(IF(E164&lt;101,E164,IF(E164&lt;201,E164/2,IF(E164&lt;=301,E164/3,E164/4))))</f>
        <v>1141.19928</v>
      </c>
      <c r="G164" s="88" t="str">
        <f>A163</f>
        <v>7th, 8th to 10th, 12th to 15th, 17th to 20th, 22nd to 25th, 27th to 29th Floor</v>
      </c>
      <c r="H164" s="88"/>
      <c r="I164" s="33"/>
      <c r="N164" s="33"/>
    </row>
    <row r="165" spans="1:14" s="34" customFormat="1" x14ac:dyDescent="0.3">
      <c r="A165" s="88">
        <f t="shared" ref="A165:A171" si="17">A164+1</f>
        <v>2</v>
      </c>
      <c r="B165" s="88"/>
      <c r="C165" s="39" t="s">
        <v>210</v>
      </c>
      <c r="D165" s="51">
        <f t="shared" si="15"/>
        <v>760.79952000000003</v>
      </c>
      <c r="E165" s="39">
        <v>0</v>
      </c>
      <c r="F165" s="39">
        <f t="shared" si="16"/>
        <v>1141.19928</v>
      </c>
      <c r="G165" s="88" t="str">
        <f t="shared" ref="G165:G171" si="18">G164</f>
        <v>7th, 8th to 10th, 12th to 15th, 17th to 20th, 22nd to 25th, 27th to 29th Floor</v>
      </c>
      <c r="H165" s="88"/>
      <c r="I165" s="51">
        <v>10.763999999999999</v>
      </c>
      <c r="N165" s="33"/>
    </row>
    <row r="166" spans="1:14" s="34" customFormat="1" x14ac:dyDescent="0.3">
      <c r="A166" s="88">
        <f t="shared" si="17"/>
        <v>3</v>
      </c>
      <c r="B166" s="88"/>
      <c r="C166" s="39" t="s">
        <v>210</v>
      </c>
      <c r="D166" s="51">
        <f t="shared" si="15"/>
        <v>760.79952000000003</v>
      </c>
      <c r="E166" s="39">
        <v>0</v>
      </c>
      <c r="F166" s="39">
        <f t="shared" ref="F166:F171" si="19">D166*(($F$146)+1)+(IF(E166&lt;101,E166,IF(E166&lt;201,E166/2,IF(E166&lt;=301,E166/3,E166/4))))</f>
        <v>1141.19928</v>
      </c>
      <c r="G166" s="88" t="str">
        <f t="shared" si="18"/>
        <v>7th, 8th to 10th, 12th to 15th, 17th to 20th, 22nd to 25th, 27th to 29th Floor</v>
      </c>
      <c r="H166" s="88"/>
      <c r="I166" s="33"/>
      <c r="N166" s="33"/>
    </row>
    <row r="167" spans="1:14" s="34" customFormat="1" x14ac:dyDescent="0.3">
      <c r="A167" s="88">
        <f t="shared" si="17"/>
        <v>4</v>
      </c>
      <c r="B167" s="88"/>
      <c r="C167" s="39" t="s">
        <v>210</v>
      </c>
      <c r="D167" s="51">
        <f t="shared" si="15"/>
        <v>760.79952000000003</v>
      </c>
      <c r="E167" s="39">
        <v>0</v>
      </c>
      <c r="F167" s="39">
        <f t="shared" si="19"/>
        <v>1141.19928</v>
      </c>
      <c r="G167" s="88" t="str">
        <f t="shared" si="18"/>
        <v>7th, 8th to 10th, 12th to 15th, 17th to 20th, 22nd to 25th, 27th to 29th Floor</v>
      </c>
      <c r="H167" s="88"/>
      <c r="I167" s="33"/>
      <c r="N167" s="33"/>
    </row>
    <row r="168" spans="1:14" s="34" customFormat="1" x14ac:dyDescent="0.3">
      <c r="A168" s="88">
        <f t="shared" si="17"/>
        <v>5</v>
      </c>
      <c r="B168" s="88"/>
      <c r="C168" s="39" t="s">
        <v>210</v>
      </c>
      <c r="D168" s="51">
        <f t="shared" si="15"/>
        <v>760.79952000000003</v>
      </c>
      <c r="E168" s="39">
        <v>0</v>
      </c>
      <c r="F168" s="39">
        <f t="shared" si="19"/>
        <v>1141.19928</v>
      </c>
      <c r="G168" s="88" t="str">
        <f t="shared" si="18"/>
        <v>7th, 8th to 10th, 12th to 15th, 17th to 20th, 22nd to 25th, 27th to 29th Floor</v>
      </c>
      <c r="H168" s="88"/>
      <c r="I168" s="33"/>
      <c r="N168" s="33"/>
    </row>
    <row r="169" spans="1:14" s="34" customFormat="1" x14ac:dyDescent="0.3">
      <c r="A169" s="88">
        <f t="shared" si="17"/>
        <v>6</v>
      </c>
      <c r="B169" s="88"/>
      <c r="C169" s="39" t="s">
        <v>210</v>
      </c>
      <c r="D169" s="51">
        <f t="shared" si="15"/>
        <v>760.79952000000003</v>
      </c>
      <c r="E169" s="39">
        <v>0</v>
      </c>
      <c r="F169" s="39">
        <f t="shared" si="19"/>
        <v>1141.19928</v>
      </c>
      <c r="G169" s="88" t="str">
        <f t="shared" si="18"/>
        <v>7th, 8th to 10th, 12th to 15th, 17th to 20th, 22nd to 25th, 27th to 29th Floor</v>
      </c>
      <c r="H169" s="88"/>
      <c r="I169" s="33"/>
      <c r="N169" s="33"/>
    </row>
    <row r="170" spans="1:14" s="34" customFormat="1" x14ac:dyDescent="0.3">
      <c r="A170" s="88">
        <f t="shared" si="17"/>
        <v>7</v>
      </c>
      <c r="B170" s="88"/>
      <c r="C170" s="39" t="s">
        <v>223</v>
      </c>
      <c r="D170" s="51">
        <f>(80.57+6.1+0.75*(3))*10.764</f>
        <v>957.13487999999984</v>
      </c>
      <c r="E170" s="39">
        <v>0</v>
      </c>
      <c r="F170" s="39">
        <f t="shared" si="19"/>
        <v>1435.7023199999999</v>
      </c>
      <c r="G170" s="88" t="str">
        <f t="shared" si="18"/>
        <v>7th, 8th to 10th, 12th to 15th, 17th to 20th, 22nd to 25th, 27th to 29th Floor</v>
      </c>
      <c r="H170" s="88"/>
      <c r="I170" s="33"/>
      <c r="N170" s="33"/>
    </row>
    <row r="171" spans="1:14" s="34" customFormat="1" x14ac:dyDescent="0.3">
      <c r="A171" s="88">
        <f t="shared" si="17"/>
        <v>8</v>
      </c>
      <c r="B171" s="88"/>
      <c r="C171" s="39" t="s">
        <v>210</v>
      </c>
      <c r="D171" s="51">
        <f>(63.13+3.05+0.75*(3+3))*10.764</f>
        <v>760.79952000000003</v>
      </c>
      <c r="E171" s="39">
        <v>0</v>
      </c>
      <c r="F171" s="39">
        <f t="shared" si="19"/>
        <v>1141.19928</v>
      </c>
      <c r="G171" s="88" t="str">
        <f t="shared" si="18"/>
        <v>7th, 8th to 10th, 12th to 15th, 17th to 20th, 22nd to 25th, 27th to 29th Floor</v>
      </c>
      <c r="H171" s="88"/>
      <c r="I171" s="33"/>
      <c r="N171" s="33"/>
    </row>
    <row r="172" spans="1:14" s="34" customFormat="1" ht="15.75" hidden="1" customHeight="1" x14ac:dyDescent="0.3">
      <c r="A172" s="71" t="s">
        <v>158</v>
      </c>
      <c r="B172" s="72"/>
      <c r="C172" s="72"/>
      <c r="D172" s="72"/>
      <c r="E172" s="72"/>
      <c r="F172" s="72"/>
      <c r="G172" s="72"/>
      <c r="H172" s="73"/>
      <c r="I172" s="33"/>
    </row>
    <row r="173" spans="1:14" s="34" customFormat="1" hidden="1" x14ac:dyDescent="0.3">
      <c r="A173" s="74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10^ROW(INDIRECT("1:"&amp;LEN((LEFT(A172,SUM(LEN(A172)-LEN(SUBSTITUTE(A172,{"0","1","2"},""))))))))/10))*100+1&amp;""&amp;" ,..,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",LEN(A172))),LEN(A172)))))))/10))*100+1</f>
        <v>301 ,.., 1501</v>
      </c>
      <c r="B173" s="75"/>
      <c r="C173" s="39"/>
      <c r="D173" s="39"/>
      <c r="E173" s="39">
        <v>0</v>
      </c>
      <c r="F173" s="39">
        <f>D173*(($F$146)+1)+(IF(E173&lt;101,E173,IF(E173&lt;201,E173/2,IF(E173&lt;=301,E173/3,E173/4))))</f>
        <v>0</v>
      </c>
      <c r="G173" s="74" t="str">
        <f>A172</f>
        <v>3rd, 5th, 7th, 9th, 11th, 13th, 15th Floor</v>
      </c>
      <c r="H173" s="75"/>
      <c r="I173" s="33"/>
    </row>
    <row r="174" spans="1:14" s="34" customFormat="1" hidden="1" x14ac:dyDescent="0.3">
      <c r="A174" s="74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,..,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302 ,.., 1502</v>
      </c>
      <c r="B174" s="75"/>
      <c r="C174" s="39"/>
      <c r="D174" s="39"/>
      <c r="E174" s="39">
        <v>0</v>
      </c>
      <c r="F174" s="39">
        <f>D174*(($F$146)+1)+(IF(E174&lt;101,E174,IF(E174&lt;201,E174/2,IF(E174&lt;=301,E174/3,E174/4))))</f>
        <v>0</v>
      </c>
      <c r="G174" s="74" t="str">
        <f>G173</f>
        <v>3rd, 5th, 7th, 9th, 11th, 13th, 15th Floor</v>
      </c>
      <c r="H174" s="75"/>
      <c r="I174" s="33"/>
    </row>
    <row r="175" spans="1:14" s="34" customFormat="1" ht="15.75" hidden="1" customHeight="1" x14ac:dyDescent="0.3">
      <c r="A175" s="74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,..,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303 ,.., 1503</v>
      </c>
      <c r="B175" s="75"/>
      <c r="C175" s="39"/>
      <c r="D175" s="39"/>
      <c r="E175" s="39">
        <v>0</v>
      </c>
      <c r="F175" s="39">
        <f>D175*(($F$146)+1)+(IF(E175&lt;101,E175,IF(E175&lt;201,E175/2,IF(E175&lt;=301,E175/3,E175/4))))</f>
        <v>0</v>
      </c>
      <c r="G175" s="74" t="str">
        <f>G174</f>
        <v>3rd, 5th, 7th, 9th, 11th, 13th, 15th Floor</v>
      </c>
      <c r="H175" s="75"/>
      <c r="I175" s="33"/>
    </row>
    <row r="176" spans="1:14" s="34" customFormat="1" ht="15.75" hidden="1" customHeight="1" x14ac:dyDescent="0.3">
      <c r="A176" s="74" t="str">
        <f ca="1">(SUMPRODUCT(MID(0&amp;(LEFT(A175,SUM(LEN(A175)-LEN(SUBSTITUTE(A175,{"0","1","2"},""))))), LARGE(INDEX(ISNUMBER(--MID((LEFT(A175,SUM(LEN(A175)-LEN(SUBSTITUTE(A175,{"0","1","2"},""))))), ROW(INDIRECT("1:"&amp;LEN((LEFT(A175,SUM(LEN(A175)-LEN(SUBSTITUTE(A175,{"0","1","2"},"")))))))), 1)) * ROW(INDIRECT("1:"&amp;LEN((LEFT(A175,SUM(LEN(A175)-LEN(SUBSTITUTE(A175,{"0","1","2"},"")))))))), 0), ROW(INDIRECT("1:"&amp;LEN((LEFT(A175,SUM(LEN(A175)-LEN(SUBSTITUTE(A175,{"0","1","2"},"")))))))))+1, 1) * 10^ROW(INDIRECT("1:"&amp;LEN((LEFT(A175,SUM(LEN(A175)-LEN(SUBSTITUTE(A175,{"0","1","2"},""))))))))/10))*1+1&amp;""&amp;" ,.., "&amp;""&amp;(SUMPRODUCT(MID(0&amp;(--TRIM(RIGHT(SUBSTITUTE(LEFT(A175,_xlfn.AGGREGATE(16,6,FIND({0,1,2,3,4,5,6,7,8,9},A175,ROW(INDIRECT("1:"&amp;LEN(A175)))),1))," ",REPT(" ",LEN(A175))),LEN(A175)))), LARGE(INDEX(ISNUMBER(--MID((--TRIM(RIGHT(SUBSTITUTE(LEFT(A175,_xlfn.AGGREGATE(16,6,FIND({0,1,2,3,4,5,6,7,8,9},A175,ROW(INDIRECT("1:"&amp;LEN(A175)))),1))," ",REPT(" ",LEN(A175))),LEN(A175)))), ROW(INDIRECT("1:"&amp;LEN((--TRIM(RIGHT(SUBSTITUTE(LEFT(A175,_xlfn.AGGREGATE(16,6,FIND({0,1,2,3,4,5,6,7,8,9},A175,ROW(INDIRECT("1:"&amp;LEN(A175)))),1))," ",REPT(" ",LEN(A175))),LEN(A175))))))), 1)) * ROW(INDIRECT("1:"&amp;LEN((--TRIM(RIGHT(SUBSTITUTE(LEFT(A175,_xlfn.AGGREGATE(16,6,FIND({0,1,2,3,4,5,6,7,8,9},A175,ROW(INDIRECT("1:"&amp;LEN(A175)))),1))," ",REPT(" ",LEN(A175))),LEN(A175))))))), 0), ROW(INDIRECT("1:"&amp;LEN((--TRIM(RIGHT(SUBSTITUTE(LEFT(A175,_xlfn.AGGREGATE(16,6,FIND({0,1,2,3,4,5,6,7,8,9},A175,ROW(INDIRECT("1:"&amp;LEN(A175)))),1))," ",REPT(" ",LEN(A175))),LEN(A175))))))))+1, 1) * 10^ROW(INDIRECT("1:"&amp;LEN((--TRIM(RIGHT(SUBSTITUTE(LEFT(A175,_xlfn.AGGREGATE(16,6,FIND({0,1,2,3,4,5,6,7,8,9},A175,ROW(INDIRECT("1:"&amp;LEN(A175)))),1))," ",REPT(" ",LEN(A175))),LEN(A175)))))))/10))*1+1</f>
        <v>304 ,.., 1504</v>
      </c>
      <c r="B176" s="75"/>
      <c r="C176" s="39"/>
      <c r="D176" s="39"/>
      <c r="E176" s="39">
        <v>0</v>
      </c>
      <c r="F176" s="39">
        <f>D176*(($F$146)+1)+(IF(E176&lt;101,E176,IF(E176&lt;201,E176/2,IF(E176&lt;=301,E176/3,E176/4))))</f>
        <v>0</v>
      </c>
      <c r="G176" s="74" t="str">
        <f>G175</f>
        <v>3rd, 5th, 7th, 9th, 11th, 13th, 15th Floor</v>
      </c>
      <c r="H176" s="75"/>
      <c r="I176" s="33"/>
    </row>
    <row r="177" spans="1:9" s="34" customFormat="1" ht="15.75" hidden="1" customHeight="1" x14ac:dyDescent="0.3">
      <c r="A177" s="74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10^ROW(INDIRECT("1:"&amp;LEN((LEFT(A176,SUM(LEN(A176)-LEN(SUBSTITUTE(A176,{"0","1","2"},""))))))))/10))*1+1&amp;""&amp;" ,..,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",LEN(A176))),LEN(A176)))))))/10))*1+1</f>
        <v>305 ,.., 1505</v>
      </c>
      <c r="B177" s="75"/>
      <c r="C177" s="39"/>
      <c r="D177" s="39"/>
      <c r="E177" s="39">
        <v>0</v>
      </c>
      <c r="F177" s="39">
        <f>D177*(($F$146)+1)+(IF(E177&lt;101,E177,IF(E177&lt;201,E177/2,IF(E177&lt;=301,E177/3,E177/4))))</f>
        <v>0</v>
      </c>
      <c r="G177" s="74" t="str">
        <f>G176</f>
        <v>3rd, 5th, 7th, 9th, 11th, 13th, 15th Floor</v>
      </c>
      <c r="H177" s="75"/>
      <c r="I177" s="33"/>
    </row>
    <row r="178" spans="1:9" s="34" customFormat="1" hidden="1" x14ac:dyDescent="0.3">
      <c r="A178" s="71" t="s">
        <v>152</v>
      </c>
      <c r="B178" s="72"/>
      <c r="C178" s="72"/>
      <c r="D178" s="72"/>
      <c r="E178" s="72"/>
      <c r="F178" s="72"/>
      <c r="G178" s="72"/>
      <c r="H178" s="73"/>
      <c r="I178" s="33"/>
    </row>
    <row r="179" spans="1:9" s="34" customFormat="1" hidden="1" x14ac:dyDescent="0.3">
      <c r="A179" s="74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10^ROW(INDIRECT("1:"&amp;LEN((LEFT(A178,SUM(LEN(A178)-LEN(SUBSTITUTE(A178,{"0","1","2"},""))))))))/10))*100+1&amp;""&amp;"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",LEN(A178))),LEN(A178)))))))/10))*100+1</f>
        <v>201 to 501</v>
      </c>
      <c r="B179" s="75"/>
      <c r="C179" s="39"/>
      <c r="D179" s="39"/>
      <c r="E179" s="39">
        <v>0</v>
      </c>
      <c r="F179" s="39">
        <f>D179*(($F$146)+1)+(IF(E179&lt;101,E179,IF(E179&lt;201,E179/2,IF(E179&lt;=301,E179/3,E179/4))))</f>
        <v>0</v>
      </c>
      <c r="G179" s="74" t="str">
        <f>A178</f>
        <v>2nd to 5th Floor</v>
      </c>
      <c r="H179" s="75"/>
      <c r="I179" s="33"/>
    </row>
    <row r="180" spans="1:9" s="34" customFormat="1" hidden="1" x14ac:dyDescent="0.3">
      <c r="A180" s="74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202 to 502</v>
      </c>
      <c r="B180" s="75"/>
      <c r="C180" s="39"/>
      <c r="D180" s="39"/>
      <c r="E180" s="39">
        <v>0</v>
      </c>
      <c r="F180" s="39">
        <f>D180*(($F$146)+1)+(IF(E180&lt;101,E180,IF(E180&lt;201,E180/2,IF(E180&lt;=301,E180/3,E180/4))))</f>
        <v>0</v>
      </c>
      <c r="G180" s="74" t="str">
        <f>G179</f>
        <v>2nd to 5th Floor</v>
      </c>
      <c r="H180" s="75"/>
      <c r="I180" s="33"/>
    </row>
    <row r="181" spans="1:9" s="34" customFormat="1" hidden="1" x14ac:dyDescent="0.3">
      <c r="A181" s="74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203 to 503</v>
      </c>
      <c r="B181" s="75"/>
      <c r="C181" s="39"/>
      <c r="D181" s="39"/>
      <c r="E181" s="39">
        <v>0</v>
      </c>
      <c r="F181" s="39">
        <f>D181*(($F$146)+1)+(IF(E181&lt;101,E181,IF(E181&lt;201,E181/2,IF(E181&lt;=301,E181/3,E181/4))))</f>
        <v>0</v>
      </c>
      <c r="G181" s="74" t="str">
        <f>G180</f>
        <v>2nd to 5th Floor</v>
      </c>
      <c r="H181" s="75"/>
      <c r="I181" s="33"/>
    </row>
    <row r="182" spans="1:9" s="34" customFormat="1" hidden="1" x14ac:dyDescent="0.3">
      <c r="A182" s="74" t="str">
        <f ca="1">(SUMPRODUCT(MID(0&amp;(LEFT(A181,SUM(LEN(A181)-LEN(SUBSTITUTE(A181,{"0","1","2"},""))))), LARGE(INDEX(ISNUMBER(--MID((LEFT(A181,SUM(LEN(A181)-LEN(SUBSTITUTE(A181,{"0","1","2"},""))))), ROW(INDIRECT("1:"&amp;LEN((LEFT(A181,SUM(LEN(A181)-LEN(SUBSTITUTE(A181,{"0","1","2"},"")))))))), 1)) * ROW(INDIRECT("1:"&amp;LEN((LEFT(A181,SUM(LEN(A181)-LEN(SUBSTITUTE(A181,{"0","1","2"},"")))))))), 0), ROW(INDIRECT("1:"&amp;LEN((LEFT(A181,SUM(LEN(A181)-LEN(SUBSTITUTE(A181,{"0","1","2"},"")))))))))+1, 1) * 10^ROW(INDIRECT("1:"&amp;LEN((LEFT(A181,SUM(LEN(A181)-LEN(SUBSTITUTE(A181,{"0","1","2"},""))))))))/10))*1+1&amp;""&amp;" to "&amp;""&amp;(SUMPRODUCT(MID(0&amp;(--TRIM(RIGHT(SUBSTITUTE(LEFT(A181,_xlfn.AGGREGATE(16,6,FIND({0,1,2,3,4,5,6,7,8,9},A181,ROW(INDIRECT("1:"&amp;LEN(A181)))),1))," ",REPT(" ",LEN(A181))),LEN(A181)))), LARGE(INDEX(ISNUMBER(--MID((--TRIM(RIGHT(SUBSTITUTE(LEFT(A181,_xlfn.AGGREGATE(16,6,FIND({0,1,2,3,4,5,6,7,8,9},A181,ROW(INDIRECT("1:"&amp;LEN(A181)))),1))," ",REPT(" ",LEN(A181))),LEN(A181)))), ROW(INDIRECT("1:"&amp;LEN((--TRIM(RIGHT(SUBSTITUTE(LEFT(A181,_xlfn.AGGREGATE(16,6,FIND({0,1,2,3,4,5,6,7,8,9},A181,ROW(INDIRECT("1:"&amp;LEN(A181)))),1))," ",REPT(" ",LEN(A181))),LEN(A181))))))), 1)) * ROW(INDIRECT("1:"&amp;LEN((--TRIM(RIGHT(SUBSTITUTE(LEFT(A181,_xlfn.AGGREGATE(16,6,FIND({0,1,2,3,4,5,6,7,8,9},A181,ROW(INDIRECT("1:"&amp;LEN(A181)))),1))," ",REPT(" ",LEN(A181))),LEN(A181))))))), 0), ROW(INDIRECT("1:"&amp;LEN((--TRIM(RIGHT(SUBSTITUTE(LEFT(A181,_xlfn.AGGREGATE(16,6,FIND({0,1,2,3,4,5,6,7,8,9},A181,ROW(INDIRECT("1:"&amp;LEN(A181)))),1))," ",REPT(" ",LEN(A181))),LEN(A181))))))))+1, 1) * 10^ROW(INDIRECT("1:"&amp;LEN((--TRIM(RIGHT(SUBSTITUTE(LEFT(A181,_xlfn.AGGREGATE(16,6,FIND({0,1,2,3,4,5,6,7,8,9},A181,ROW(INDIRECT("1:"&amp;LEN(A181)))),1))," ",REPT(" ",LEN(A181))),LEN(A181)))))))/10))*1+1</f>
        <v>204 to 504</v>
      </c>
      <c r="B182" s="75"/>
      <c r="C182" s="39"/>
      <c r="D182" s="39"/>
      <c r="E182" s="39">
        <v>0</v>
      </c>
      <c r="F182" s="39">
        <f>D182*(($F$146)+1)+(IF(E182&lt;101,E182,IF(E182&lt;201,E182/2,IF(E182&lt;=301,E182/3,E182/4))))</f>
        <v>0</v>
      </c>
      <c r="G182" s="74" t="str">
        <f>G181</f>
        <v>2nd to 5th Floor</v>
      </c>
      <c r="H182" s="75"/>
      <c r="I182" s="33"/>
    </row>
    <row r="183" spans="1:9" s="34" customFormat="1" hidden="1" x14ac:dyDescent="0.3">
      <c r="A183" s="74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10^ROW(INDIRECT("1:"&amp;LEN((LEFT(A182,SUM(LEN(A182)-LEN(SUBSTITUTE(A182,{"0","1","2"},""))))))))/10))*1+1&amp;""&amp;" to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",LEN(A182))),LEN(A182)))))))/10))*1+1</f>
        <v>205 to 505</v>
      </c>
      <c r="B183" s="75"/>
      <c r="C183" s="39"/>
      <c r="D183" s="39"/>
      <c r="E183" s="39">
        <v>0</v>
      </c>
      <c r="F183" s="39">
        <f>D183*(($F$146)+1)+(IF(E183&lt;101,E183,IF(E183&lt;201,E183/2,IF(E183&lt;=301,E183/3,E183/4))))</f>
        <v>0</v>
      </c>
      <c r="G183" s="74" t="str">
        <f>G182</f>
        <v>2nd to 5th Floor</v>
      </c>
      <c r="H183" s="75"/>
      <c r="I183" s="33"/>
    </row>
    <row r="184" spans="1:9" s="34" customFormat="1" hidden="1" x14ac:dyDescent="0.3">
      <c r="A184" s="71" t="s">
        <v>153</v>
      </c>
      <c r="B184" s="72"/>
      <c r="C184" s="72"/>
      <c r="D184" s="72"/>
      <c r="E184" s="72"/>
      <c r="F184" s="72"/>
      <c r="G184" s="72"/>
      <c r="H184" s="73"/>
      <c r="I184" s="33"/>
    </row>
    <row r="185" spans="1:9" s="34" customFormat="1" hidden="1" x14ac:dyDescent="0.3">
      <c r="A185" s="74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10^ROW(INDIRECT("1:"&amp;LEN((LEFT(A184,SUM(LEN(A184)-LEN(SUBSTITUTE(A184,{"0","1","2"},""))))))))/10))*100+1&amp;""&amp;" &amp;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",LEN(A184))),LEN(A184)))))))/10))*100+1</f>
        <v>201 &amp; 501</v>
      </c>
      <c r="B185" s="75"/>
      <c r="C185" s="39"/>
      <c r="D185" s="39"/>
      <c r="E185" s="39">
        <v>0</v>
      </c>
      <c r="F185" s="39">
        <f>D185*(($F$146)+1)+(IF(E185&lt;101,E185,IF(E185&lt;201,E185/2,IF(E185&lt;=301,E185/3,E185/4))))</f>
        <v>0</v>
      </c>
      <c r="G185" s="74" t="str">
        <f>A184</f>
        <v>2nd &amp; 5th Floor</v>
      </c>
      <c r="H185" s="75"/>
      <c r="I185" s="33"/>
    </row>
    <row r="186" spans="1:9" s="34" customFormat="1" hidden="1" x14ac:dyDescent="0.3">
      <c r="A186" s="74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&amp;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202 &amp; 502</v>
      </c>
      <c r="B186" s="75"/>
      <c r="C186" s="39"/>
      <c r="D186" s="39"/>
      <c r="E186" s="39">
        <v>0</v>
      </c>
      <c r="F186" s="39">
        <f>D186*(($F$146)+1)+(IF(E186&lt;101,E186,IF(E186&lt;201,E186/2,IF(E186&lt;=301,E186/3,E186/4))))</f>
        <v>0</v>
      </c>
      <c r="G186" s="74" t="str">
        <f t="shared" ref="G186:G189" si="20">G185</f>
        <v>2nd &amp; 5th Floor</v>
      </c>
      <c r="H186" s="75"/>
      <c r="I186" s="33"/>
    </row>
    <row r="187" spans="1:9" s="34" customFormat="1" hidden="1" x14ac:dyDescent="0.3">
      <c r="A187" s="74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&amp;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203 &amp; 503</v>
      </c>
      <c r="B187" s="75"/>
      <c r="C187" s="39"/>
      <c r="D187" s="39"/>
      <c r="E187" s="39">
        <v>0</v>
      </c>
      <c r="F187" s="39">
        <f>D187*(($F$146)+1)+(IF(E187&lt;101,E187,IF(E187&lt;201,E187/2,IF(E187&lt;=301,E187/3,E187/4))))</f>
        <v>0</v>
      </c>
      <c r="G187" s="74" t="str">
        <f t="shared" si="20"/>
        <v>2nd &amp; 5th Floor</v>
      </c>
      <c r="H187" s="75"/>
      <c r="I187" s="33"/>
    </row>
    <row r="188" spans="1:9" s="34" customFormat="1" hidden="1" x14ac:dyDescent="0.3">
      <c r="A188" s="74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10^ROW(INDIRECT("1:"&amp;LEN((LEFT(A187,SUM(LEN(A187)-LEN(SUBSTITUTE(A187,{"0","1","2"},""))))))))/10))*1+1&amp;""&amp;" &amp;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",LEN(A187))),LEN(A187)))))))/10))*1+1</f>
        <v>204 &amp; 504</v>
      </c>
      <c r="B188" s="75"/>
      <c r="C188" s="39"/>
      <c r="D188" s="39"/>
      <c r="E188" s="39">
        <v>0</v>
      </c>
      <c r="F188" s="39">
        <f>D188*(($F$146)+1)+(IF(E188&lt;101,E188,IF(E188&lt;201,E188/2,IF(E188&lt;=301,E188/3,E188/4))))</f>
        <v>0</v>
      </c>
      <c r="G188" s="74" t="str">
        <f t="shared" si="20"/>
        <v>2nd &amp; 5th Floor</v>
      </c>
      <c r="H188" s="75"/>
      <c r="I188" s="33"/>
    </row>
    <row r="189" spans="1:9" s="34" customFormat="1" hidden="1" x14ac:dyDescent="0.3">
      <c r="A189" s="74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&amp;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205 &amp; 505</v>
      </c>
      <c r="B189" s="75"/>
      <c r="C189" s="39"/>
      <c r="D189" s="39"/>
      <c r="E189" s="39">
        <v>0</v>
      </c>
      <c r="F189" s="39">
        <f>D189*(($F$146)+1)+(IF(E189&lt;101,E189,IF(E189&lt;201,E189/2,IF(E189&lt;=301,E189/3,E189/4))))</f>
        <v>0</v>
      </c>
      <c r="G189" s="74" t="str">
        <f t="shared" si="20"/>
        <v>2nd &amp; 5th Floor</v>
      </c>
      <c r="H189" s="75"/>
      <c r="I189" s="33"/>
    </row>
    <row r="190" spans="1:9" s="32" customFormat="1" x14ac:dyDescent="0.3">
      <c r="A190" s="172" t="s">
        <v>70</v>
      </c>
      <c r="B190" s="172"/>
      <c r="C190" s="172"/>
      <c r="D190" s="172"/>
      <c r="E190" s="172"/>
      <c r="F190" s="172"/>
      <c r="G190" s="172"/>
      <c r="H190" s="172"/>
    </row>
    <row r="191" spans="1:9" s="32" customFormat="1" x14ac:dyDescent="0.3">
      <c r="A191" s="41" t="s">
        <v>162</v>
      </c>
      <c r="B191" s="127" t="s">
        <v>236</v>
      </c>
      <c r="C191" s="128"/>
      <c r="D191" s="128"/>
      <c r="E191" s="128"/>
      <c r="F191" s="128"/>
      <c r="G191" s="128"/>
      <c r="H191" s="129"/>
    </row>
    <row r="192" spans="1:9" s="32" customFormat="1" x14ac:dyDescent="0.3">
      <c r="A192" s="41" t="s">
        <v>162</v>
      </c>
      <c r="B192" s="127" t="str">
        <f>(IF(F145="Saleable area Loading :","We have considered Saleable area of Flats as per our Calculation.","We considered Saleable area of Flat as per Builder area Sheet."))</f>
        <v>We have considered Saleable area of Flats as per our Calculation.</v>
      </c>
      <c r="C192" s="128"/>
      <c r="D192" s="128"/>
      <c r="E192" s="128"/>
      <c r="F192" s="128"/>
      <c r="G192" s="128"/>
      <c r="H192" s="129"/>
    </row>
    <row r="193" spans="1:8" s="32" customFormat="1" x14ac:dyDescent="0.3">
      <c r="A193" s="41" t="s">
        <v>162</v>
      </c>
      <c r="B193" s="127" t="str">
        <f>(IF(F104="Saleable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3" s="128"/>
      <c r="D193" s="128"/>
      <c r="E193" s="128"/>
      <c r="F193" s="128"/>
      <c r="G193" s="128"/>
      <c r="H193" s="129"/>
    </row>
    <row r="194" spans="1:8" s="32" customFormat="1" x14ac:dyDescent="0.3">
      <c r="A194" s="41" t="s">
        <v>162</v>
      </c>
      <c r="B194" s="127" t="s">
        <v>129</v>
      </c>
      <c r="C194" s="128"/>
      <c r="D194" s="128"/>
      <c r="E194" s="128"/>
      <c r="F194" s="128"/>
      <c r="G194" s="128"/>
      <c r="H194" s="129"/>
    </row>
    <row r="195" spans="1:8" s="32" customFormat="1" x14ac:dyDescent="0.3">
      <c r="A195" s="41" t="s">
        <v>162</v>
      </c>
      <c r="B195" s="127" t="s">
        <v>213</v>
      </c>
      <c r="C195" s="128"/>
      <c r="D195" s="128"/>
      <c r="E195" s="128"/>
      <c r="F195" s="128"/>
      <c r="G195" s="128"/>
      <c r="H195" s="129"/>
    </row>
    <row r="196" spans="1:8" s="32" customFormat="1" x14ac:dyDescent="0.3">
      <c r="A196" s="41" t="s">
        <v>162</v>
      </c>
      <c r="B196" s="127" t="s">
        <v>161</v>
      </c>
      <c r="C196" s="128"/>
      <c r="D196" s="128"/>
      <c r="E196" s="128"/>
      <c r="F196" s="128"/>
      <c r="G196" s="128"/>
      <c r="H196" s="129"/>
    </row>
    <row r="197" spans="1:8" s="32" customFormat="1" x14ac:dyDescent="0.3">
      <c r="A197" s="41" t="s">
        <v>162</v>
      </c>
      <c r="B197" s="127" t="s">
        <v>130</v>
      </c>
      <c r="C197" s="128"/>
      <c r="D197" s="128"/>
      <c r="E197" s="128"/>
      <c r="F197" s="128"/>
      <c r="G197" s="128"/>
      <c r="H197" s="129"/>
    </row>
    <row r="198" spans="1:8" s="32" customFormat="1" ht="34.5" customHeight="1" x14ac:dyDescent="0.3">
      <c r="A198" s="41" t="s">
        <v>162</v>
      </c>
      <c r="B198" s="127" t="s">
        <v>163</v>
      </c>
      <c r="C198" s="128"/>
      <c r="D198" s="128"/>
      <c r="E198" s="128"/>
      <c r="F198" s="128"/>
      <c r="G198" s="128"/>
      <c r="H198" s="129"/>
    </row>
    <row r="199" spans="1:8" s="32" customFormat="1" x14ac:dyDescent="0.3">
      <c r="A199" s="41" t="s">
        <v>162</v>
      </c>
      <c r="B199" s="127" t="s">
        <v>131</v>
      </c>
      <c r="C199" s="128"/>
      <c r="D199" s="128"/>
      <c r="E199" s="128"/>
      <c r="F199" s="128"/>
      <c r="G199" s="128"/>
      <c r="H199" s="129"/>
    </row>
    <row r="200" spans="1:8" x14ac:dyDescent="0.3">
      <c r="A200" s="118" t="s">
        <v>63</v>
      </c>
      <c r="B200" s="118"/>
      <c r="C200" s="118"/>
      <c r="D200" s="118"/>
      <c r="E200" s="118"/>
      <c r="F200" s="118"/>
      <c r="G200" s="118"/>
      <c r="H200" s="118"/>
    </row>
    <row r="201" spans="1:8" x14ac:dyDescent="0.3">
      <c r="A201" s="86" t="s">
        <v>64</v>
      </c>
      <c r="B201" s="86"/>
      <c r="C201" s="86"/>
      <c r="D201" s="86"/>
      <c r="E201" s="86"/>
      <c r="F201" s="86"/>
      <c r="G201" s="86"/>
      <c r="H201" s="86"/>
    </row>
    <row r="202" spans="1:8" ht="15.75" customHeight="1" x14ac:dyDescent="0.3">
      <c r="A202" s="87" t="s">
        <v>65</v>
      </c>
      <c r="B202" s="87"/>
      <c r="C202" s="87"/>
      <c r="D202" s="87"/>
      <c r="E202" s="87"/>
      <c r="F202" s="87"/>
      <c r="G202" s="87"/>
      <c r="H202" s="87"/>
    </row>
    <row r="203" spans="1:8" x14ac:dyDescent="0.3">
      <c r="A203" s="86" t="s">
        <v>66</v>
      </c>
      <c r="B203" s="86"/>
      <c r="C203" s="86"/>
      <c r="D203" s="86"/>
      <c r="E203" s="86"/>
      <c r="F203" s="86"/>
      <c r="G203" s="86"/>
      <c r="H203" s="86"/>
    </row>
    <row r="204" spans="1:8" x14ac:dyDescent="0.3">
      <c r="A204" s="86" t="s">
        <v>67</v>
      </c>
      <c r="B204" s="86"/>
      <c r="C204" s="86"/>
      <c r="D204" s="86"/>
      <c r="E204" s="86"/>
      <c r="F204" s="86"/>
      <c r="G204" s="86"/>
      <c r="H204" s="86"/>
    </row>
    <row r="205" spans="1:8" x14ac:dyDescent="0.3">
      <c r="A205" s="86" t="s">
        <v>132</v>
      </c>
      <c r="B205" s="86"/>
      <c r="C205" s="86"/>
      <c r="D205" s="86"/>
      <c r="E205" s="86"/>
      <c r="F205" s="86"/>
      <c r="G205" s="86"/>
      <c r="H205" s="86"/>
    </row>
    <row r="206" spans="1:8" x14ac:dyDescent="0.3">
      <c r="A206" s="119" t="s">
        <v>133</v>
      </c>
      <c r="B206" s="119"/>
      <c r="C206" s="119"/>
      <c r="D206" s="119"/>
      <c r="E206" s="119"/>
      <c r="F206" s="119"/>
      <c r="G206" s="119"/>
      <c r="H206" s="119"/>
    </row>
    <row r="207" spans="1:8" x14ac:dyDescent="0.3">
      <c r="A207" s="134" t="s">
        <v>80</v>
      </c>
      <c r="B207" s="134"/>
      <c r="C207" s="134" t="s">
        <v>238</v>
      </c>
      <c r="D207" s="134"/>
      <c r="E207" s="134" t="s">
        <v>110</v>
      </c>
      <c r="F207" s="134"/>
      <c r="G207" s="134" t="s">
        <v>237</v>
      </c>
      <c r="H207" s="134"/>
    </row>
    <row r="208" spans="1:8" x14ac:dyDescent="0.3">
      <c r="A208" s="133" t="s">
        <v>82</v>
      </c>
      <c r="B208" s="133"/>
      <c r="C208" s="133"/>
      <c r="D208" s="133"/>
      <c r="E208" s="133"/>
      <c r="F208" s="133"/>
      <c r="G208" s="133"/>
      <c r="H208" s="133"/>
    </row>
    <row r="209" spans="1:8" x14ac:dyDescent="0.3">
      <c r="A209" s="133"/>
      <c r="B209" s="133"/>
      <c r="C209" s="133"/>
      <c r="D209" s="133"/>
      <c r="E209" s="133"/>
      <c r="F209" s="133"/>
      <c r="G209" s="133"/>
      <c r="H209" s="133"/>
    </row>
    <row r="210" spans="1:8" x14ac:dyDescent="0.3">
      <c r="A210" s="133"/>
      <c r="B210" s="133"/>
      <c r="C210" s="133"/>
      <c r="D210" s="133"/>
      <c r="E210" s="133"/>
      <c r="F210" s="133"/>
      <c r="G210" s="133"/>
      <c r="H210" s="133"/>
    </row>
    <row r="211" spans="1:8" x14ac:dyDescent="0.3">
      <c r="A211" s="133"/>
      <c r="B211" s="133"/>
      <c r="C211" s="133"/>
      <c r="D211" s="133"/>
      <c r="E211" s="133"/>
      <c r="F211" s="133"/>
      <c r="G211" s="133"/>
      <c r="H211" s="133"/>
    </row>
    <row r="212" spans="1:8" x14ac:dyDescent="0.3">
      <c r="A212" s="35" t="s">
        <v>68</v>
      </c>
      <c r="B212" s="36"/>
      <c r="C212" s="36"/>
      <c r="D212" s="35" t="str">
        <f>E8</f>
        <v>Urban Grandeur Bldg - 2</v>
      </c>
      <c r="F212" s="36"/>
      <c r="G212" s="36"/>
      <c r="H212" s="36"/>
    </row>
    <row r="213" spans="1:8" x14ac:dyDescent="0.3">
      <c r="A213" s="36"/>
      <c r="B213" s="36"/>
      <c r="C213" s="36"/>
      <c r="D213" s="36"/>
      <c r="E213" s="36"/>
      <c r="F213" s="36"/>
      <c r="G213" s="36"/>
      <c r="H213" s="36"/>
    </row>
    <row r="214" spans="1:8" x14ac:dyDescent="0.3">
      <c r="A214" s="36"/>
      <c r="B214" s="36"/>
      <c r="C214" s="36"/>
      <c r="D214" s="36"/>
      <c r="E214" s="36"/>
      <c r="F214" s="36"/>
      <c r="G214" s="36"/>
      <c r="H214" s="36"/>
    </row>
    <row r="215" spans="1:8" ht="15" customHeight="1" x14ac:dyDescent="0.3"/>
    <row r="256" spans="1:1" x14ac:dyDescent="0.3">
      <c r="A256" s="38" t="s">
        <v>175</v>
      </c>
    </row>
    <row r="300" spans="1:1" x14ac:dyDescent="0.3">
      <c r="A300" s="38" t="s">
        <v>69</v>
      </c>
    </row>
  </sheetData>
  <mergeCells count="442">
    <mergeCell ref="J11:M11"/>
    <mergeCell ref="F83:H83"/>
    <mergeCell ref="A84:E84"/>
    <mergeCell ref="A38:B38"/>
    <mergeCell ref="C38:H38"/>
    <mergeCell ref="B198:H198"/>
    <mergeCell ref="A47:B47"/>
    <mergeCell ref="C47:H47"/>
    <mergeCell ref="B196:H196"/>
    <mergeCell ref="F81:H81"/>
    <mergeCell ref="A81:E81"/>
    <mergeCell ref="G174:H174"/>
    <mergeCell ref="G167:H167"/>
    <mergeCell ref="G164:H164"/>
    <mergeCell ref="D104:D105"/>
    <mergeCell ref="A83:E83"/>
    <mergeCell ref="A122:B122"/>
    <mergeCell ref="A123:B123"/>
    <mergeCell ref="B145:B146"/>
    <mergeCell ref="A178:H178"/>
    <mergeCell ref="A172:H172"/>
    <mergeCell ref="A158:B158"/>
    <mergeCell ref="G175:H175"/>
    <mergeCell ref="G173:H173"/>
    <mergeCell ref="A155:B155"/>
    <mergeCell ref="A180:B180"/>
    <mergeCell ref="A167:B167"/>
    <mergeCell ref="G168:H168"/>
    <mergeCell ref="G177:H177"/>
    <mergeCell ref="G176:H176"/>
    <mergeCell ref="A157:B157"/>
    <mergeCell ref="G157:H157"/>
    <mergeCell ref="G125:H125"/>
    <mergeCell ref="A126:B126"/>
    <mergeCell ref="G126:H126"/>
    <mergeCell ref="A130:B130"/>
    <mergeCell ref="G130:H130"/>
    <mergeCell ref="A134:H134"/>
    <mergeCell ref="A135:B135"/>
    <mergeCell ref="G135:H135"/>
    <mergeCell ref="G169:H169"/>
    <mergeCell ref="A170:B170"/>
    <mergeCell ref="G170:H170"/>
    <mergeCell ref="A171:B171"/>
    <mergeCell ref="G171:H171"/>
    <mergeCell ref="A153:H153"/>
    <mergeCell ref="A159:B159"/>
    <mergeCell ref="G159:H159"/>
    <mergeCell ref="L157:M157"/>
    <mergeCell ref="B194:H194"/>
    <mergeCell ref="B195:H195"/>
    <mergeCell ref="G185:H185"/>
    <mergeCell ref="G183:H183"/>
    <mergeCell ref="A190:H190"/>
    <mergeCell ref="A182:B182"/>
    <mergeCell ref="A183:B183"/>
    <mergeCell ref="G181:H181"/>
    <mergeCell ref="A181:B181"/>
    <mergeCell ref="G179:H179"/>
    <mergeCell ref="A177:B177"/>
    <mergeCell ref="G158:H158"/>
    <mergeCell ref="A160:B160"/>
    <mergeCell ref="G160:H160"/>
    <mergeCell ref="L160:M160"/>
    <mergeCell ref="A161:B161"/>
    <mergeCell ref="G161:H161"/>
    <mergeCell ref="L161:M161"/>
    <mergeCell ref="A162:B162"/>
    <mergeCell ref="G162:H162"/>
    <mergeCell ref="L162:M162"/>
    <mergeCell ref="C162:F162"/>
    <mergeCell ref="A169:B169"/>
    <mergeCell ref="A59:C59"/>
    <mergeCell ref="F79:H79"/>
    <mergeCell ref="F84:H84"/>
    <mergeCell ref="L163:M163"/>
    <mergeCell ref="A144:H144"/>
    <mergeCell ref="A145:A146"/>
    <mergeCell ref="A168:B168"/>
    <mergeCell ref="A165:B165"/>
    <mergeCell ref="A166:B166"/>
    <mergeCell ref="A90:E90"/>
    <mergeCell ref="C96:D96"/>
    <mergeCell ref="E96:F96"/>
    <mergeCell ref="G96:H96"/>
    <mergeCell ref="A97:B97"/>
    <mergeCell ref="C97:D97"/>
    <mergeCell ref="E97:F97"/>
    <mergeCell ref="G97:H97"/>
    <mergeCell ref="L158:M158"/>
    <mergeCell ref="G155:H155"/>
    <mergeCell ref="L155:M155"/>
    <mergeCell ref="A156:B156"/>
    <mergeCell ref="G156:H156"/>
    <mergeCell ref="L156:M156"/>
    <mergeCell ref="G99:H99"/>
    <mergeCell ref="L125:M125"/>
    <mergeCell ref="L124:M124"/>
    <mergeCell ref="L123:M123"/>
    <mergeCell ref="L122:M122"/>
    <mergeCell ref="A76:B76"/>
    <mergeCell ref="C100:D100"/>
    <mergeCell ref="E100:F100"/>
    <mergeCell ref="G100:H100"/>
    <mergeCell ref="F86:H86"/>
    <mergeCell ref="A80:E80"/>
    <mergeCell ref="A121:H121"/>
    <mergeCell ref="E104:E105"/>
    <mergeCell ref="G104:H105"/>
    <mergeCell ref="C104:C105"/>
    <mergeCell ref="A124:B124"/>
    <mergeCell ref="A85:E85"/>
    <mergeCell ref="F85:H85"/>
    <mergeCell ref="A86:E86"/>
    <mergeCell ref="A88:E88"/>
    <mergeCell ref="F82:H82"/>
    <mergeCell ref="G123:H123"/>
    <mergeCell ref="A87:E87"/>
    <mergeCell ref="A82:E82"/>
    <mergeCell ref="A79:E79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44:D44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A43:D43"/>
    <mergeCell ref="F35:H35"/>
    <mergeCell ref="A45:D45"/>
    <mergeCell ref="A46:H46"/>
    <mergeCell ref="D56:H56"/>
    <mergeCell ref="A56:C56"/>
    <mergeCell ref="G49:H49"/>
    <mergeCell ref="A50:B51"/>
    <mergeCell ref="D58:H58"/>
    <mergeCell ref="A37:B37"/>
    <mergeCell ref="C37:H37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69:B69"/>
    <mergeCell ref="G68:H68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A208:H211"/>
    <mergeCell ref="A207:B207"/>
    <mergeCell ref="E207:F207"/>
    <mergeCell ref="C207:D207"/>
    <mergeCell ref="G207:H207"/>
    <mergeCell ref="A93:H93"/>
    <mergeCell ref="A91:E91"/>
    <mergeCell ref="F91:H91"/>
    <mergeCell ref="A92:E92"/>
    <mergeCell ref="F92:H92"/>
    <mergeCell ref="A163:H163"/>
    <mergeCell ref="A100:B100"/>
    <mergeCell ref="A175:B175"/>
    <mergeCell ref="A95:B95"/>
    <mergeCell ref="A203:H203"/>
    <mergeCell ref="A98:H98"/>
    <mergeCell ref="A206:H206"/>
    <mergeCell ref="A204:H204"/>
    <mergeCell ref="A200:H200"/>
    <mergeCell ref="A201:H201"/>
    <mergeCell ref="E99:F99"/>
    <mergeCell ref="B199:H199"/>
    <mergeCell ref="G124:H124"/>
    <mergeCell ref="G122:H122"/>
    <mergeCell ref="B197:H197"/>
    <mergeCell ref="B193:H193"/>
    <mergeCell ref="A187:B187"/>
    <mergeCell ref="G187:H187"/>
    <mergeCell ref="G186:H186"/>
    <mergeCell ref="A184:H184"/>
    <mergeCell ref="A185:B185"/>
    <mergeCell ref="A186:B186"/>
    <mergeCell ref="A189:B189"/>
    <mergeCell ref="G189:H189"/>
    <mergeCell ref="A188:B188"/>
    <mergeCell ref="A102:H102"/>
    <mergeCell ref="G166:H166"/>
    <mergeCell ref="G188:H188"/>
    <mergeCell ref="B191:H191"/>
    <mergeCell ref="B192:H192"/>
    <mergeCell ref="A179:B179"/>
    <mergeCell ref="F87:H87"/>
    <mergeCell ref="C94:D94"/>
    <mergeCell ref="G180:H180"/>
    <mergeCell ref="F90:H90"/>
    <mergeCell ref="F88:H88"/>
    <mergeCell ref="A174:B174"/>
    <mergeCell ref="A103:H103"/>
    <mergeCell ref="G94:H94"/>
    <mergeCell ref="A89:E89"/>
    <mergeCell ref="C95:D95"/>
    <mergeCell ref="E95:F95"/>
    <mergeCell ref="G165:H165"/>
    <mergeCell ref="B104:B105"/>
    <mergeCell ref="A104:A105"/>
    <mergeCell ref="C145:C146"/>
    <mergeCell ref="A154:H154"/>
    <mergeCell ref="A176:B176"/>
    <mergeCell ref="A173:B173"/>
    <mergeCell ref="F89:H89"/>
    <mergeCell ref="E94:F94"/>
    <mergeCell ref="A94:B94"/>
    <mergeCell ref="A96:B96"/>
    <mergeCell ref="C99:D99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A61:C61"/>
    <mergeCell ref="D61:H61"/>
    <mergeCell ref="A64:C64"/>
    <mergeCell ref="D64:H64"/>
    <mergeCell ref="A62:C62"/>
    <mergeCell ref="D62:H62"/>
    <mergeCell ref="A63:C63"/>
    <mergeCell ref="D63:H63"/>
    <mergeCell ref="A101:B101"/>
    <mergeCell ref="C101:D101"/>
    <mergeCell ref="E101:F101"/>
    <mergeCell ref="G101:H101"/>
    <mergeCell ref="E41:H41"/>
    <mergeCell ref="A41:D41"/>
    <mergeCell ref="A205:H205"/>
    <mergeCell ref="A202:H202"/>
    <mergeCell ref="G182:H182"/>
    <mergeCell ref="A164:B164"/>
    <mergeCell ref="A99:B99"/>
    <mergeCell ref="D145:D146"/>
    <mergeCell ref="E145:E146"/>
    <mergeCell ref="G145:H146"/>
    <mergeCell ref="A74:B74"/>
    <mergeCell ref="F80:H80"/>
    <mergeCell ref="G95:H95"/>
    <mergeCell ref="A48:B48"/>
    <mergeCell ref="C48:E48"/>
    <mergeCell ref="G48:H48"/>
    <mergeCell ref="G50:H50"/>
    <mergeCell ref="D54:H54"/>
    <mergeCell ref="C50:E50"/>
    <mergeCell ref="A57:C57"/>
    <mergeCell ref="L126:M126"/>
    <mergeCell ref="A127:B127"/>
    <mergeCell ref="G127:H127"/>
    <mergeCell ref="L127:M127"/>
    <mergeCell ref="A128:B128"/>
    <mergeCell ref="G128:H128"/>
    <mergeCell ref="L128:M128"/>
    <mergeCell ref="A129:B129"/>
    <mergeCell ref="G129:H129"/>
    <mergeCell ref="L129:M129"/>
    <mergeCell ref="L137:M137"/>
    <mergeCell ref="A138:B138"/>
    <mergeCell ref="G138:H138"/>
    <mergeCell ref="L138:M138"/>
    <mergeCell ref="L130:M130"/>
    <mergeCell ref="A131:B131"/>
    <mergeCell ref="G131:H131"/>
    <mergeCell ref="L131:M131"/>
    <mergeCell ref="A132:B132"/>
    <mergeCell ref="G132:H132"/>
    <mergeCell ref="L132:M132"/>
    <mergeCell ref="A133:B133"/>
    <mergeCell ref="G133:H133"/>
    <mergeCell ref="L133:M133"/>
    <mergeCell ref="G137:H137"/>
    <mergeCell ref="L159:M159"/>
    <mergeCell ref="L108:M108"/>
    <mergeCell ref="L109:M109"/>
    <mergeCell ref="L110:M110"/>
    <mergeCell ref="L111:M111"/>
    <mergeCell ref="L112:M112"/>
    <mergeCell ref="L113:M113"/>
    <mergeCell ref="L114:M114"/>
    <mergeCell ref="A142:B142"/>
    <mergeCell ref="G142:H142"/>
    <mergeCell ref="L142:M142"/>
    <mergeCell ref="A143:B143"/>
    <mergeCell ref="G143:H143"/>
    <mergeCell ref="L143:M143"/>
    <mergeCell ref="A139:B139"/>
    <mergeCell ref="G139:H139"/>
    <mergeCell ref="L139:M139"/>
    <mergeCell ref="A140:B140"/>
    <mergeCell ref="G140:H140"/>
    <mergeCell ref="L140:M140"/>
    <mergeCell ref="L135:M135"/>
    <mergeCell ref="A152:H152"/>
    <mergeCell ref="A112:B112"/>
    <mergeCell ref="G112:H112"/>
    <mergeCell ref="A106:H106"/>
    <mergeCell ref="A107:H107"/>
    <mergeCell ref="A108:B108"/>
    <mergeCell ref="G108:H108"/>
    <mergeCell ref="A109:B109"/>
    <mergeCell ref="G109:H109"/>
    <mergeCell ref="A110:B110"/>
    <mergeCell ref="G110:H110"/>
    <mergeCell ref="A111:B111"/>
    <mergeCell ref="G111:H111"/>
    <mergeCell ref="A113:B113"/>
    <mergeCell ref="G113:H113"/>
    <mergeCell ref="A114:B114"/>
    <mergeCell ref="G114:H114"/>
    <mergeCell ref="A115:H115"/>
    <mergeCell ref="A116:B116"/>
    <mergeCell ref="G116:H116"/>
    <mergeCell ref="A151:B151"/>
    <mergeCell ref="G151:H151"/>
    <mergeCell ref="A120:H120"/>
    <mergeCell ref="A141:B141"/>
    <mergeCell ref="A125:B125"/>
    <mergeCell ref="I10:L10"/>
    <mergeCell ref="L151:M151"/>
    <mergeCell ref="A147:H147"/>
    <mergeCell ref="A148:H148"/>
    <mergeCell ref="A149:B149"/>
    <mergeCell ref="G149:H149"/>
    <mergeCell ref="L149:M149"/>
    <mergeCell ref="L116:M116"/>
    <mergeCell ref="A117:B117"/>
    <mergeCell ref="G117:H117"/>
    <mergeCell ref="L117:M117"/>
    <mergeCell ref="A118:B118"/>
    <mergeCell ref="G118:H118"/>
    <mergeCell ref="L118:M118"/>
    <mergeCell ref="A150:B150"/>
    <mergeCell ref="G150:H150"/>
    <mergeCell ref="L150:M150"/>
    <mergeCell ref="A119:H119"/>
    <mergeCell ref="G141:H141"/>
    <mergeCell ref="L141:M141"/>
    <mergeCell ref="A136:B136"/>
    <mergeCell ref="G136:H136"/>
    <mergeCell ref="L136:M136"/>
    <mergeCell ref="A137:B137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11" max="16383" man="1"/>
    <brk id="255" max="16383" man="1"/>
    <brk id="29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4" t="s">
        <v>111</v>
      </c>
      <c r="C3" s="174"/>
      <c r="D3" s="174"/>
      <c r="E3" s="174"/>
      <c r="F3" s="174"/>
      <c r="G3" s="174"/>
      <c r="H3" s="174"/>
    </row>
    <row r="4" spans="1:9" x14ac:dyDescent="0.3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topLeftCell="A7" zoomScale="70" zoomScaleNormal="70" workbookViewId="0">
      <selection activeCell="J17" sqref="J17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2025-08-18T11:04:18Z</cp:lastPrinted>
  <dcterms:created xsi:type="dcterms:W3CDTF">2019-07-16T09:29:46Z</dcterms:created>
  <dcterms:modified xsi:type="dcterms:W3CDTF">2025-08-18T11:05:52Z</dcterms:modified>
</cp:coreProperties>
</file>