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8D68D133-CCB4-4543-8EF3-210BE831169A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Report!$A$1:$H$394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7" i="1" l="1"/>
  <c r="D204" i="1"/>
  <c r="D185" i="1"/>
  <c r="D182" i="1"/>
  <c r="D172" i="1"/>
  <c r="D169" i="1"/>
  <c r="D161" i="1"/>
  <c r="D158" i="1"/>
  <c r="D148" i="1"/>
  <c r="D145" i="1"/>
  <c r="D135" i="1"/>
  <c r="D132" i="1"/>
  <c r="J127" i="1"/>
  <c r="I104" i="1"/>
  <c r="D208" i="1" l="1"/>
  <c r="F208" i="1" s="1"/>
  <c r="F207" i="1"/>
  <c r="D206" i="1"/>
  <c r="D205" i="1"/>
  <c r="F204" i="1"/>
  <c r="D203" i="1"/>
  <c r="D201" i="1"/>
  <c r="F201" i="1" s="1"/>
  <c r="D200" i="1"/>
  <c r="F200" i="1" s="1"/>
  <c r="D199" i="1"/>
  <c r="F199" i="1" s="1"/>
  <c r="D198" i="1"/>
  <c r="F198" i="1" s="1"/>
  <c r="D197" i="1"/>
  <c r="F197" i="1" s="1"/>
  <c r="D196" i="1"/>
  <c r="F196" i="1" s="1"/>
  <c r="I196" i="1" s="1"/>
  <c r="D195" i="1"/>
  <c r="F195" i="1" s="1"/>
  <c r="I195" i="1" s="1"/>
  <c r="D194" i="1"/>
  <c r="F194" i="1" s="1"/>
  <c r="D192" i="1"/>
  <c r="F192" i="1" s="1"/>
  <c r="D191" i="1"/>
  <c r="F191" i="1" s="1"/>
  <c r="D190" i="1"/>
  <c r="F190" i="1" s="1"/>
  <c r="D189" i="1"/>
  <c r="F189" i="1" s="1"/>
  <c r="D188" i="1"/>
  <c r="D187" i="1"/>
  <c r="D186" i="1"/>
  <c r="F186" i="1" s="1"/>
  <c r="F185" i="1"/>
  <c r="D184" i="1"/>
  <c r="F184" i="1" s="1"/>
  <c r="D183" i="1"/>
  <c r="F183" i="1" s="1"/>
  <c r="F182" i="1"/>
  <c r="D181" i="1"/>
  <c r="D179" i="1"/>
  <c r="D178" i="1"/>
  <c r="F178" i="1" s="1"/>
  <c r="D177" i="1"/>
  <c r="F177" i="1" s="1"/>
  <c r="D176" i="1"/>
  <c r="D175" i="1"/>
  <c r="F175" i="1" s="1"/>
  <c r="D174" i="1"/>
  <c r="F174" i="1" s="1"/>
  <c r="D173" i="1"/>
  <c r="F173" i="1" s="1"/>
  <c r="D171" i="1"/>
  <c r="F171" i="1" s="1"/>
  <c r="D170" i="1"/>
  <c r="F170" i="1" s="1"/>
  <c r="F169" i="1"/>
  <c r="D168" i="1"/>
  <c r="F168" i="1" s="1"/>
  <c r="I168" i="1" s="1"/>
  <c r="D166" i="1"/>
  <c r="F166" i="1" s="1"/>
  <c r="D165" i="1"/>
  <c r="F165" i="1" s="1"/>
  <c r="D164" i="1"/>
  <c r="F164" i="1" s="1"/>
  <c r="D163" i="1"/>
  <c r="F163" i="1" s="1"/>
  <c r="D162" i="1"/>
  <c r="F162" i="1" s="1"/>
  <c r="D160" i="1"/>
  <c r="F160" i="1" s="1"/>
  <c r="D159" i="1"/>
  <c r="F159" i="1" s="1"/>
  <c r="I159" i="1" s="1"/>
  <c r="D157" i="1"/>
  <c r="D155" i="1"/>
  <c r="F155" i="1" s="1"/>
  <c r="D154" i="1"/>
  <c r="F154" i="1" s="1"/>
  <c r="D153" i="1"/>
  <c r="F153" i="1" s="1"/>
  <c r="D152" i="1"/>
  <c r="F152" i="1" s="1"/>
  <c r="D151" i="1"/>
  <c r="D150" i="1"/>
  <c r="D149" i="1"/>
  <c r="F148" i="1"/>
  <c r="D147" i="1"/>
  <c r="D146" i="1"/>
  <c r="F146" i="1" s="1"/>
  <c r="D144" i="1"/>
  <c r="F144" i="1" s="1"/>
  <c r="D142" i="1"/>
  <c r="D141" i="1"/>
  <c r="F141" i="1" s="1"/>
  <c r="D140" i="1"/>
  <c r="F140" i="1" s="1"/>
  <c r="D139" i="1"/>
  <c r="F139" i="1" s="1"/>
  <c r="D138" i="1"/>
  <c r="F138" i="1" s="1"/>
  <c r="D137" i="1"/>
  <c r="F137" i="1" s="1"/>
  <c r="D136" i="1"/>
  <c r="F136" i="1" s="1"/>
  <c r="F135" i="1"/>
  <c r="I135" i="1" s="1"/>
  <c r="D134" i="1"/>
  <c r="F134" i="1" s="1"/>
  <c r="I134" i="1" s="1"/>
  <c r="D133" i="1"/>
  <c r="D131" i="1"/>
  <c r="E123" i="1"/>
  <c r="D123" i="1"/>
  <c r="F123" i="1" s="1"/>
  <c r="E122" i="1"/>
  <c r="D122" i="1"/>
  <c r="E121" i="1"/>
  <c r="F121" i="1" s="1"/>
  <c r="D121" i="1"/>
  <c r="E120" i="1"/>
  <c r="D120" i="1"/>
  <c r="E119" i="1"/>
  <c r="D119" i="1"/>
  <c r="E118" i="1"/>
  <c r="D118" i="1"/>
  <c r="E117" i="1"/>
  <c r="D117" i="1"/>
  <c r="E116" i="1"/>
  <c r="D116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J103" i="1"/>
  <c r="F206" i="1"/>
  <c r="F205" i="1"/>
  <c r="G203" i="1"/>
  <c r="G204" i="1" s="1"/>
  <c r="G205" i="1" s="1"/>
  <c r="G206" i="1" s="1"/>
  <c r="G207" i="1" s="1"/>
  <c r="G208" i="1" s="1"/>
  <c r="F203" i="1"/>
  <c r="A203" i="1"/>
  <c r="A204" i="1" s="1"/>
  <c r="A205" i="1" s="1"/>
  <c r="A206" i="1" s="1"/>
  <c r="A207" i="1" s="1"/>
  <c r="A208" i="1" s="1"/>
  <c r="G194" i="1"/>
  <c r="G195" i="1" s="1"/>
  <c r="G196" i="1" s="1"/>
  <c r="G197" i="1" s="1"/>
  <c r="G198" i="1" s="1"/>
  <c r="G199" i="1" s="1"/>
  <c r="G200" i="1" s="1"/>
  <c r="G201" i="1" s="1"/>
  <c r="A194" i="1"/>
  <c r="A195" i="1" s="1"/>
  <c r="A196" i="1" s="1"/>
  <c r="A197" i="1" s="1"/>
  <c r="A198" i="1" s="1"/>
  <c r="A199" i="1" s="1"/>
  <c r="A200" i="1" s="1"/>
  <c r="A201" i="1" s="1"/>
  <c r="F188" i="1"/>
  <c r="F187" i="1"/>
  <c r="G181" i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F181" i="1"/>
  <c r="A181" i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F179" i="1"/>
  <c r="F176" i="1"/>
  <c r="F172" i="1"/>
  <c r="G168" i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A168" i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F161" i="1"/>
  <c r="F157" i="1"/>
  <c r="F158" i="1"/>
  <c r="I158" i="1" s="1"/>
  <c r="G157" i="1"/>
  <c r="G158" i="1" s="1"/>
  <c r="G159" i="1" s="1"/>
  <c r="G160" i="1" s="1"/>
  <c r="G161" i="1" s="1"/>
  <c r="G162" i="1" s="1"/>
  <c r="G163" i="1" s="1"/>
  <c r="G164" i="1" s="1"/>
  <c r="G165" i="1" s="1"/>
  <c r="G166" i="1" s="1"/>
  <c r="A157" i="1"/>
  <c r="A158" i="1" s="1"/>
  <c r="A159" i="1" s="1"/>
  <c r="A160" i="1" s="1"/>
  <c r="A161" i="1" s="1"/>
  <c r="A162" i="1" s="1"/>
  <c r="A163" i="1" s="1"/>
  <c r="A164" i="1" s="1"/>
  <c r="A165" i="1" s="1"/>
  <c r="A166" i="1" s="1"/>
  <c r="I145" i="1"/>
  <c r="I146" i="1"/>
  <c r="I147" i="1"/>
  <c r="I148" i="1"/>
  <c r="I149" i="1"/>
  <c r="I150" i="1"/>
  <c r="I151" i="1"/>
  <c r="I152" i="1"/>
  <c r="I153" i="1"/>
  <c r="I154" i="1"/>
  <c r="I155" i="1"/>
  <c r="I144" i="1"/>
  <c r="N145" i="1"/>
  <c r="N146" i="1"/>
  <c r="N147" i="1"/>
  <c r="N148" i="1"/>
  <c r="N149" i="1"/>
  <c r="N150" i="1"/>
  <c r="N151" i="1"/>
  <c r="N152" i="1"/>
  <c r="N153" i="1"/>
  <c r="N154" i="1"/>
  <c r="N155" i="1"/>
  <c r="N144" i="1"/>
  <c r="F151" i="1"/>
  <c r="F150" i="1"/>
  <c r="J150" i="1" s="1"/>
  <c r="F149" i="1"/>
  <c r="F147" i="1"/>
  <c r="J145" i="1"/>
  <c r="F145" i="1"/>
  <c r="J144" i="1"/>
  <c r="G144" i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F142" i="1"/>
  <c r="F132" i="1"/>
  <c r="I132" i="1" s="1"/>
  <c r="F133" i="1"/>
  <c r="I133" i="1" s="1"/>
  <c r="F131" i="1"/>
  <c r="J132" i="1"/>
  <c r="J131" i="1"/>
  <c r="G131" i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K106" i="1"/>
  <c r="K104" i="1"/>
  <c r="J106" i="1"/>
  <c r="J105" i="1"/>
  <c r="J104" i="1"/>
  <c r="A131" i="1"/>
  <c r="I131" i="1" l="1"/>
  <c r="G98" i="1"/>
  <c r="E95" i="1"/>
  <c r="C95" i="1"/>
  <c r="E98" i="1"/>
  <c r="C98" i="1"/>
  <c r="F117" i="1"/>
  <c r="F110" i="1"/>
  <c r="F119" i="1"/>
  <c r="F115" i="1"/>
  <c r="F109" i="1"/>
  <c r="F118" i="1"/>
  <c r="F108" i="1"/>
  <c r="F113" i="1"/>
  <c r="F120" i="1"/>
  <c r="F116" i="1"/>
  <c r="F114" i="1"/>
  <c r="F122" i="1"/>
  <c r="F112" i="1"/>
  <c r="F111" i="1"/>
  <c r="C14" i="1"/>
  <c r="A132" i="1"/>
  <c r="E29" i="1" l="1"/>
  <c r="A133" i="1"/>
  <c r="F211" i="1" l="1"/>
  <c r="F212" i="1"/>
  <c r="F213" i="1"/>
  <c r="F210" i="1"/>
  <c r="A211" i="1"/>
  <c r="A212" i="1" s="1"/>
  <c r="A213" i="1" s="1"/>
  <c r="G210" i="1"/>
  <c r="G211" i="1" s="1"/>
  <c r="G212" i="1" s="1"/>
  <c r="G213" i="1" s="1"/>
  <c r="A134" i="1"/>
  <c r="F92" i="1" l="1"/>
  <c r="A135" i="1"/>
  <c r="F105" i="1" l="1"/>
  <c r="F106" i="1"/>
  <c r="F107" i="1"/>
  <c r="F104" i="1"/>
  <c r="A136" i="1"/>
  <c r="G95" i="1" l="1"/>
  <c r="B240" i="1"/>
  <c r="A137" i="1"/>
  <c r="A233" i="1"/>
  <c r="A221" i="1"/>
  <c r="A227" i="1"/>
  <c r="F237" i="1" l="1"/>
  <c r="F236" i="1"/>
  <c r="F235" i="1"/>
  <c r="F234" i="1"/>
  <c r="F233" i="1"/>
  <c r="F231" i="1"/>
  <c r="F230" i="1"/>
  <c r="F229" i="1"/>
  <c r="F228" i="1"/>
  <c r="F227" i="1"/>
  <c r="F225" i="1"/>
  <c r="F224" i="1"/>
  <c r="F223" i="1"/>
  <c r="F222" i="1"/>
  <c r="F221" i="1"/>
  <c r="F219" i="1"/>
  <c r="F218" i="1"/>
  <c r="F216" i="1"/>
  <c r="F215" i="1"/>
  <c r="F217" i="1"/>
  <c r="A222" i="1"/>
  <c r="A138" i="1"/>
  <c r="A228" i="1"/>
  <c r="A234" i="1"/>
  <c r="B241" i="1" l="1"/>
  <c r="A223" i="1"/>
  <c r="A235" i="1"/>
  <c r="A229" i="1"/>
  <c r="A139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63" i="1"/>
  <c r="G233" i="1"/>
  <c r="G234" i="1" s="1"/>
  <c r="G235" i="1" s="1"/>
  <c r="G236" i="1" s="1"/>
  <c r="G237" i="1" s="1"/>
  <c r="G227" i="1"/>
  <c r="G228" i="1" s="1"/>
  <c r="G229" i="1" s="1"/>
  <c r="G230" i="1" s="1"/>
  <c r="G231" i="1" s="1"/>
  <c r="G221" i="1"/>
  <c r="G222" i="1" s="1"/>
  <c r="G223" i="1" s="1"/>
  <c r="G224" i="1" s="1"/>
  <c r="G225" i="1" s="1"/>
  <c r="G215" i="1"/>
  <c r="G216" i="1" s="1"/>
  <c r="G217" i="1" s="1"/>
  <c r="G218" i="1" s="1"/>
  <c r="G219" i="1" s="1"/>
  <c r="A215" i="1"/>
  <c r="A216" i="1" s="1"/>
  <c r="A217" i="1" s="1"/>
  <c r="A218" i="1" s="1"/>
  <c r="A219" i="1" s="1"/>
  <c r="A105" i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G104" i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J76" i="1"/>
  <c r="J75" i="1"/>
  <c r="J74" i="1"/>
  <c r="J73" i="1"/>
  <c r="C65" i="1"/>
  <c r="D54" i="1"/>
  <c r="G49" i="1"/>
  <c r="G50" i="1" s="1"/>
  <c r="C49" i="1"/>
  <c r="E42" i="1"/>
  <c r="E43" i="1" s="1"/>
  <c r="E26" i="1"/>
  <c r="E24" i="1"/>
  <c r="E7" i="1"/>
  <c r="E3" i="1"/>
  <c r="H66" i="1"/>
  <c r="A236" i="1"/>
  <c r="A230" i="1"/>
  <c r="A140" i="1"/>
  <c r="A224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8" i="1" s="1"/>
  <c r="C70" i="1" s="1"/>
  <c r="A141" i="1"/>
  <c r="A231" i="1"/>
  <c r="A225" i="1"/>
  <c r="A237" i="1"/>
  <c r="D71" i="1" l="1"/>
  <c r="J67" i="1"/>
  <c r="E69" i="1"/>
  <c r="D70" i="1"/>
  <c r="G69" i="1"/>
  <c r="D63" i="1" s="1"/>
  <c r="D64" i="1" s="1"/>
  <c r="D69" i="1"/>
  <c r="A142" i="1"/>
  <c r="I66" i="1" l="1"/>
  <c r="J66" i="1"/>
  <c r="F64" i="1"/>
  <c r="I67" i="1" l="1"/>
  <c r="I65" i="1" s="1"/>
  <c r="C67" i="1" s="1"/>
</calcChain>
</file>

<file path=xl/sharedStrings.xml><?xml version="1.0" encoding="utf-8"?>
<sst xmlns="http://schemas.openxmlformats.org/spreadsheetml/2006/main" count="327" uniqueCount="247">
  <si>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</si>
  <si>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</si>
  <si>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</si>
  <si>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</si>
  <si>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</si>
  <si>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</si>
  <si>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</si>
  <si>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</si>
  <si>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</si>
  <si>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</si>
  <si>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</si>
  <si>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</si>
  <si>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</si>
  <si>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</si>
  <si>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</si>
  <si>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</si>
  <si>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</si>
  <si>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</si>
  <si>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</si>
  <si>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</si>
  <si>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</si>
  <si>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</si>
  <si>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</si>
  <si>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</si>
  <si>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</si>
  <si>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</si>
  <si>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</si>
  <si>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</si>
  <si>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</si>
  <si>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</si>
  <si>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</si>
  <si>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</si>
  <si>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</si>
  <si>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</si>
  <si>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</si>
  <si>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</si>
  <si>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</si>
  <si>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</si>
  <si>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</si>
  <si>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</si>
  <si>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</si>
  <si>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</si>
  <si>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</si>
  <si>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</si>
  <si>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</si>
  <si>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</si>
  <si>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</si>
  <si>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</si>
  <si>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</si>
  <si>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</si>
  <si>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</si>
  <si>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</si>
  <si>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</si>
  <si>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</si>
  <si>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</si>
  <si>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</si>
  <si>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</si>
  <si>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</si>
  <si>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</si>
  <si>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</si>
  <si>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</si>
  <si>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</si>
  <si>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</si>
  <si>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</si>
  <si>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</si>
  <si>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</si>
  <si>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</si>
  <si>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</si>
  <si>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</si>
  <si>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</si>
  <si>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</si>
  <si>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</si>
  <si>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</si>
  <si>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</si>
  <si>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</si>
  <si>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</si>
  <si>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</si>
  <si>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</si>
  <si>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</si>
  <si>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</si>
  <si>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</si>
  <si>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</si>
  <si>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</si>
  <si>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</si>
  <si>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</si>
  <si>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</si>
  <si>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</si>
  <si>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</si>
  <si>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</si>
  <si>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</si>
  <si>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</si>
  <si>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</si>
  <si>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</si>
  <si>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</si>
  <si>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</si>
  <si>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</si>
  <si>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</si>
  <si>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</si>
  <si>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</si>
  <si>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</si>
  <si>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</si>
  <si>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</si>
  <si>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</si>
  <si>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</si>
  <si>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</si>
  <si>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</si>
  <si>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</si>
  <si>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</si>
  <si>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</si>
  <si>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</si>
  <si>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</si>
  <si>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</si>
  <si>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</si>
  <si>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</si>
  <si>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</si>
  <si>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</si>
  <si>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</si>
  <si>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</si>
  <si>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</si>
  <si>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</si>
  <si>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</si>
  <si>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</si>
  <si>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</si>
  <si>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</si>
  <si>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</si>
  <si>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</si>
  <si>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</si>
  <si>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</si>
  <si>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</si>
  <si>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</si>
  <si>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</si>
  <si>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</si>
  <si>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</si>
  <si>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</si>
  <si>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</si>
  <si>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</si>
  <si>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</si>
  <si>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</si>
  <si>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</si>
  <si>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</si>
  <si>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</si>
  <si>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</si>
  <si>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</si>
  <si>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</si>
  <si>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</si>
  <si>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</si>
  <si>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</si>
  <si>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</si>
  <si>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</si>
  <si>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</si>
  <si>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</si>
  <si>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</si>
  <si>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</si>
  <si>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</si>
  <si>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</si>
  <si>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</si>
  <si>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</si>
  <si>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</si>
  <si>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</si>
  <si>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</si>
  <si>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</si>
  <si>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</si>
  <si>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</si>
  <si>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</si>
  <si>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</si>
  <si>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</si>
  <si>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</si>
  <si>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</si>
  <si>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</si>
  <si>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</si>
  <si>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</si>
  <si>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</si>
  <si>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</si>
  <si>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</si>
  <si>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</si>
  <si>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</si>
  <si>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https://goo.gl/maps/YzhmrrYN1QtB8mFA8</t>
  </si>
  <si>
    <t>Axis Sanpada</t>
  </si>
  <si>
    <t>Zillion Tower</t>
  </si>
  <si>
    <t>1 Building</t>
  </si>
  <si>
    <t>Approved Plans, CC, Sale Plans, Cost Sheet</t>
  </si>
  <si>
    <t>P52000019555</t>
  </si>
  <si>
    <t>Plot No</t>
  </si>
  <si>
    <t>Internal Road</t>
  </si>
  <si>
    <t>Raigad</t>
  </si>
  <si>
    <t>Uran</t>
  </si>
  <si>
    <t>CIDCO/BP-16119/TPO(NM &amp; K)/2018/3888</t>
  </si>
  <si>
    <t xml:space="preserve">Commencement-CC No
Valid Up to: </t>
  </si>
  <si>
    <t>Gr + 1st to 14th Floor</t>
  </si>
  <si>
    <t>Dronagiri New</t>
  </si>
  <si>
    <t>Open Plot</t>
  </si>
  <si>
    <t>Ground Floor For Commercial</t>
  </si>
  <si>
    <t>Shop</t>
  </si>
  <si>
    <t>1st &amp; 2nd Podium Floor For Parking</t>
  </si>
  <si>
    <t>3rd Podium Floor For Amenities</t>
  </si>
  <si>
    <t>4th, 6th &amp; 10th Floor For Residential</t>
  </si>
  <si>
    <t>\</t>
  </si>
  <si>
    <t>5th, 7th &amp; 9th Floor For Residential</t>
  </si>
  <si>
    <t>501,..,901</t>
  </si>
  <si>
    <t>502,..,902</t>
  </si>
  <si>
    <t>503,..,903</t>
  </si>
  <si>
    <t>504,..,904</t>
  </si>
  <si>
    <t>505,..,905</t>
  </si>
  <si>
    <t>506,..,906</t>
  </si>
  <si>
    <t>507,..,907</t>
  </si>
  <si>
    <t>508,..,908</t>
  </si>
  <si>
    <t>509,..,909</t>
  </si>
  <si>
    <t>510,..,910</t>
  </si>
  <si>
    <t>511,..,911</t>
  </si>
  <si>
    <t>512,..,912</t>
  </si>
  <si>
    <t>8th Floor (Part Refuge Area)</t>
  </si>
  <si>
    <t>11th Floor</t>
  </si>
  <si>
    <t>12th Floor</t>
  </si>
  <si>
    <t>13th Floor (Part Terrace Area)</t>
  </si>
  <si>
    <t>14th Floor (Part Terrace Area)</t>
  </si>
  <si>
    <t>We considered Gross carpet area = Net carpet + Enclose balcony + Chajja Area.</t>
  </si>
  <si>
    <t>Shops</t>
  </si>
  <si>
    <t>Flats</t>
  </si>
  <si>
    <t>Flats - 120, Shops - 20</t>
  </si>
  <si>
    <t>cost sheet</t>
  </si>
  <si>
    <t>Chanje</t>
  </si>
  <si>
    <t>Gymnasium, Recreational Area With Garden, Part lawn, Seating alcove, Indoor Games, Kids play Area, Jogging Track</t>
  </si>
  <si>
    <t>ANA Realty</t>
  </si>
  <si>
    <t>33, Sector No.56</t>
  </si>
  <si>
    <t>Shree Heights</t>
  </si>
  <si>
    <t>5 KM from Dronagiri Railway Station</t>
  </si>
  <si>
    <t>City and Industrial Development Corporation (CIDCO)</t>
  </si>
  <si>
    <t>Club House Charges</t>
  </si>
  <si>
    <t>3 - 2yr</t>
  </si>
  <si>
    <t>Layout Plan :</t>
  </si>
  <si>
    <t>Ground Floor For Commercial &amp; Parking</t>
  </si>
  <si>
    <t>2BHK</t>
  </si>
  <si>
    <t>RATE SHEET</t>
  </si>
  <si>
    <t>flat</t>
  </si>
  <si>
    <t>market</t>
  </si>
  <si>
    <t>Maintenance Charges (For 2 Years)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</si>
  <si>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</si>
  <si>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>5000 to 5700</t>
  </si>
  <si>
    <t xml:space="preserve">smith </t>
  </si>
  <si>
    <t>Recommended Rates/Other Charges of the Property have been revised on 06/04/2024.</t>
  </si>
  <si>
    <t>As building have received First CC on 31/01/2019 still building is under construction.</t>
  </si>
  <si>
    <t>Mr. Satish Pandey : 9137117005</t>
  </si>
  <si>
    <t>As per RERA, completion period of project Zillion Tower is expired on 01/02/2025 but still project is under construction.</t>
  </si>
  <si>
    <t>As per RERA - 31/03/2026</t>
  </si>
  <si>
    <t>Nitesh Patil</t>
  </si>
  <si>
    <t>Kunal Kadam</t>
  </si>
  <si>
    <t>Construction work same as last visit dtd 10/05/2025, But work is in process (Slow speed).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</si>
</sst>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46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17" xfId="0" applyFont="1" applyBorder="1"/>
    <xf numFmtId="0" fontId="25" fillId="0" borderId="3" xfId="0" applyFont="1" applyBorder="1"/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4" fillId="2" borderId="9" xfId="0" applyFont="1" applyFill="1" applyBorder="1"/>
    <xf numFmtId="0" fontId="25" fillId="0" borderId="5" xfId="0" applyFont="1" applyBorder="1"/>
    <xf numFmtId="0" fontId="7" fillId="0" borderId="0" xfId="1" applyFont="1" applyAlignment="1">
      <alignment horizontal="center" vertical="center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1" fontId="27" fillId="0" borderId="4" xfId="0" applyNumberFormat="1" applyFont="1" applyBorder="1" applyAlignment="1" applyProtection="1">
      <alignment vertical="top" wrapText="1"/>
      <protection locked="0"/>
    </xf>
    <xf numFmtId="1" fontId="27" fillId="0" borderId="15" xfId="0" applyNumberFormat="1" applyFont="1" applyBorder="1" applyAlignment="1" applyProtection="1">
      <alignment vertical="top" wrapText="1"/>
      <protection locked="0"/>
    </xf>
    <xf numFmtId="1" fontId="27" fillId="0" borderId="5" xfId="0" applyNumberFormat="1" applyFont="1" applyBorder="1" applyAlignment="1" applyProtection="1">
      <alignment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593909</xdr:colOff>
      <xdr:row>308</xdr:row>
      <xdr:rowOff>201704</xdr:rowOff>
    </xdr:from>
    <xdr:to>
      <xdr:col>7</xdr:col>
      <xdr:colOff>347721</xdr:colOff>
      <xdr:row>335</xdr:row>
      <xdr:rowOff>155646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909" y="59111028"/>
          <a:ext cx="5883430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3</xdr:col>
      <xdr:colOff>683559</xdr:colOff>
      <xdr:row>311</xdr:row>
      <xdr:rowOff>134471</xdr:rowOff>
    </xdr:from>
    <xdr:ext cx="611258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283324" y="59648912"/>
          <a:ext cx="611258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NORTH</a:t>
          </a:r>
        </a:p>
      </xdr:txBody>
    </xdr:sp>
    <xdr:clientData/>
  </xdr:oneCellAnchor>
  <xdr:twoCellAnchor>
    <xdr:from>
      <xdr:col>5</xdr:col>
      <xdr:colOff>752475</xdr:colOff>
      <xdr:row>330</xdr:row>
      <xdr:rowOff>142875</xdr:rowOff>
    </xdr:from>
    <xdr:to>
      <xdr:col>5</xdr:col>
      <xdr:colOff>752475</xdr:colOff>
      <xdr:row>334</xdr:row>
      <xdr:rowOff>114300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 flipV="1">
          <a:off x="5191125" y="61493400"/>
          <a:ext cx="0" cy="77152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619125</xdr:colOff>
      <xdr:row>329</xdr:row>
      <xdr:rowOff>28575</xdr:rowOff>
    </xdr:from>
    <xdr:ext cx="286040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57775" y="61179075"/>
          <a:ext cx="28604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200" b="1"/>
            <a:t>N</a:t>
          </a:r>
        </a:p>
      </xdr:txBody>
    </xdr:sp>
    <xdr:clientData/>
  </xdr:oneCellAnchor>
  <xdr:twoCellAnchor editAs="oneCell">
    <xdr:from>
      <xdr:col>0</xdr:col>
      <xdr:colOff>781051</xdr:colOff>
      <xdr:row>372</xdr:row>
      <xdr:rowOff>19050</xdr:rowOff>
    </xdr:from>
    <xdr:to>
      <xdr:col>7</xdr:col>
      <xdr:colOff>22566</xdr:colOff>
      <xdr:row>391</xdr:row>
      <xdr:rowOff>9376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051" y="69770625"/>
          <a:ext cx="5356565" cy="3790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809624</xdr:colOff>
      <xdr:row>352</xdr:row>
      <xdr:rowOff>9525</xdr:rowOff>
    </xdr:from>
    <xdr:to>
      <xdr:col>6</xdr:col>
      <xdr:colOff>777963</xdr:colOff>
      <xdr:row>371</xdr:row>
      <xdr:rowOff>714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4" y="65760600"/>
          <a:ext cx="5292814" cy="3790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990600</xdr:colOff>
      <xdr:row>263</xdr:row>
      <xdr:rowOff>19050</xdr:rowOff>
    </xdr:from>
    <xdr:to>
      <xdr:col>18</xdr:col>
      <xdr:colOff>70485</xdr:colOff>
      <xdr:row>297</xdr:row>
      <xdr:rowOff>114300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39CEE55-81EB-4D80-9974-A00E9FA39EFE}"/>
            </a:ext>
          </a:extLst>
        </xdr:cNvPr>
        <xdr:cNvGrpSpPr/>
      </xdr:nvGrpSpPr>
      <xdr:grpSpPr>
        <a:xfrm>
          <a:off x="8206740" y="48367950"/>
          <a:ext cx="7019925" cy="6823710"/>
          <a:chOff x="-122658" y="590550"/>
          <a:chExt cx="7103554" cy="6980850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9791CC36-91F2-4929-B4B8-5E8E3A3B60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95362" y="590550"/>
            <a:ext cx="2426625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420E6F8F-6CC9-4AF0-88F0-BB0D9C6559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86162" y="590550"/>
            <a:ext cx="2426625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E153D019-939C-453A-8F22-33A45715CC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66453" y="4019550"/>
            <a:ext cx="239666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4A8164CD-DE8D-4CF9-A795-C076C90C0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1856" y="4019550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9945E559-3ABB-43F6-A869-27564F7E32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-122658" y="5951400"/>
            <a:ext cx="2157000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86ACC449-00D8-4326-9E7C-7851A97449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89592" y="4019550"/>
            <a:ext cx="239666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6B8D8760-70DD-4E55-B5E5-2168E9507C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32592" y="5951400"/>
            <a:ext cx="2157000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37C3C02-613F-4D33-BC96-3261745AB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21931" y="5951400"/>
            <a:ext cx="1213313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21BF7D50-AC1C-41B8-91E5-B231FA5B54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67583" y="5951400"/>
            <a:ext cx="1213313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563880</xdr:colOff>
      <xdr:row>264</xdr:row>
      <xdr:rowOff>30480</xdr:rowOff>
    </xdr:from>
    <xdr:to>
      <xdr:col>7</xdr:col>
      <xdr:colOff>598012</xdr:colOff>
      <xdr:row>300</xdr:row>
      <xdr:rowOff>166059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4014770-73CC-06FA-0DCB-B1E7AAA3280B}"/>
            </a:ext>
          </a:extLst>
        </xdr:cNvPr>
        <xdr:cNvGrpSpPr/>
      </xdr:nvGrpSpPr>
      <xdr:grpSpPr>
        <a:xfrm>
          <a:off x="563880" y="48577500"/>
          <a:ext cx="5939632" cy="7260279"/>
          <a:chOff x="356352" y="425107"/>
          <a:chExt cx="5939632" cy="726027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9B4EA2D8-CE79-4D19-E94C-A4B50E96F77D}"/>
              </a:ext>
            </a:extLst>
          </xdr:cNvPr>
          <xdr:cNvGrpSpPr/>
        </xdr:nvGrpSpPr>
        <xdr:grpSpPr>
          <a:xfrm>
            <a:off x="356352" y="425107"/>
            <a:ext cx="5939632" cy="5220000"/>
            <a:chOff x="356352" y="425107"/>
            <a:chExt cx="5939632" cy="52200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598E680E-CB28-B658-EE08-BE5E9EF49AE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56352" y="425107"/>
              <a:ext cx="3910921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1893A735-5DB9-9A5E-9115-56023967954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407953" y="425107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39AAD5EA-7F08-8772-1026-74DD07D46C7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407952" y="3125107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90179A0-35D7-410B-3467-FC7BC6888FEE}"/>
              </a:ext>
            </a:extLst>
          </xdr:cNvPr>
          <xdr:cNvGrpSpPr/>
        </xdr:nvGrpSpPr>
        <xdr:grpSpPr>
          <a:xfrm>
            <a:off x="1907235" y="5885386"/>
            <a:ext cx="2837867" cy="1800000"/>
            <a:chOff x="2918679" y="5885386"/>
            <a:chExt cx="2837867" cy="1800000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14AB58EE-1CF7-8CBD-D4CD-49B6062E71A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918679" y="5885386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496D2739-3E80-8863-90FE-01F398183BA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407952" y="5885386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162549</xdr:rowOff>
    </xdr:from>
    <xdr:to>
      <xdr:col>3</xdr:col>
      <xdr:colOff>217561</xdr:colOff>
      <xdr:row>41</xdr:row>
      <xdr:rowOff>26049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5507755"/>
          <a:ext cx="416203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468733</xdr:colOff>
      <xdr:row>28</xdr:row>
      <xdr:rowOff>162549</xdr:rowOff>
    </xdr:from>
    <xdr:to>
      <xdr:col>7</xdr:col>
      <xdr:colOff>843175</xdr:colOff>
      <xdr:row>41</xdr:row>
      <xdr:rowOff>26049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5909" y="5507755"/>
          <a:ext cx="416203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518262</xdr:colOff>
      <xdr:row>15</xdr:row>
      <xdr:rowOff>0</xdr:rowOff>
    </xdr:from>
    <xdr:to>
      <xdr:col>7</xdr:col>
      <xdr:colOff>892704</xdr:colOff>
      <xdr:row>27</xdr:row>
      <xdr:rowOff>54000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5438" y="2868706"/>
          <a:ext cx="416203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YzhmrrYN1QtB8mFA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351"/>
  <sheetViews>
    <sheetView tabSelected="1" view="pageBreakPreview" zoomScaleNormal="100" zoomScaleSheetLayoutView="100" workbookViewId="0">
      <selection activeCell="E10" sqref="E10:H10"/>
    </sheetView>
  </sheetViews>
  <sheetFormatPr defaultColWidth="9.109375" defaultRowHeight="15.6" x14ac:dyDescent="0.3"/>
  <cols>
    <col min="1" max="1" width="11.44140625" style="37" customWidth="1"/>
    <col min="2" max="2" width="12" style="37" customWidth="1"/>
    <col min="3" max="3" width="12.88671875" style="37" customWidth="1"/>
    <col min="4" max="4" width="14.109375" style="37" customWidth="1"/>
    <col min="5" max="7" width="11.88671875" style="37" customWidth="1"/>
    <col min="8" max="8" width="19.109375" style="37" customWidth="1"/>
    <col min="9" max="9" width="17.44140625" style="18" customWidth="1"/>
    <col min="10" max="10" width="11.44140625" style="18" customWidth="1"/>
    <col min="11" max="11" width="11.88671875" style="18" bestFit="1" customWidth="1"/>
    <col min="12" max="12" width="10.5546875" style="18" customWidth="1"/>
    <col min="13" max="13" width="11.88671875" style="18" customWidth="1"/>
    <col min="14" max="14" width="12.5546875" style="18" customWidth="1"/>
    <col min="15" max="15" width="9.88671875" style="18" customWidth="1"/>
    <col min="16" max="16" width="11.88671875" style="18" customWidth="1"/>
    <col min="17" max="247" width="9.109375" style="18"/>
    <col min="248" max="248" width="8.88671875" style="18" customWidth="1"/>
    <col min="249" max="249" width="9.88671875" style="18" customWidth="1"/>
    <col min="250" max="250" width="14.44140625" style="18" customWidth="1"/>
    <col min="251" max="251" width="7.109375" style="18" customWidth="1"/>
    <col min="252" max="252" width="5.5546875" style="18" customWidth="1"/>
    <col min="253" max="253" width="9" style="18" customWidth="1"/>
    <col min="254" max="255" width="9.88671875" style="18" customWidth="1"/>
    <col min="256" max="256" width="11.109375" style="18" customWidth="1"/>
    <col min="257" max="257" width="2.88671875" style="18" customWidth="1"/>
    <col min="258" max="258" width="3.5546875" style="18" customWidth="1"/>
    <col min="259" max="503" width="9.109375" style="18"/>
    <col min="504" max="504" width="8.88671875" style="18" customWidth="1"/>
    <col min="505" max="505" width="9.88671875" style="18" customWidth="1"/>
    <col min="506" max="506" width="14.44140625" style="18" customWidth="1"/>
    <col min="507" max="507" width="7.109375" style="18" customWidth="1"/>
    <col min="508" max="508" width="5.5546875" style="18" customWidth="1"/>
    <col min="509" max="509" width="9" style="18" customWidth="1"/>
    <col min="510" max="511" width="9.88671875" style="18" customWidth="1"/>
    <col min="512" max="512" width="11.109375" style="18" customWidth="1"/>
    <col min="513" max="513" width="2.88671875" style="18" customWidth="1"/>
    <col min="514" max="514" width="3.5546875" style="18" customWidth="1"/>
    <col min="515" max="759" width="9.109375" style="18"/>
    <col min="760" max="760" width="8.88671875" style="18" customWidth="1"/>
    <col min="761" max="761" width="9.88671875" style="18" customWidth="1"/>
    <col min="762" max="762" width="14.44140625" style="18" customWidth="1"/>
    <col min="763" max="763" width="7.109375" style="18" customWidth="1"/>
    <col min="764" max="764" width="5.5546875" style="18" customWidth="1"/>
    <col min="765" max="765" width="9" style="18" customWidth="1"/>
    <col min="766" max="767" width="9.88671875" style="18" customWidth="1"/>
    <col min="768" max="768" width="11.109375" style="18" customWidth="1"/>
    <col min="769" max="769" width="2.88671875" style="18" customWidth="1"/>
    <col min="770" max="770" width="3.5546875" style="18" customWidth="1"/>
    <col min="771" max="1015" width="9.109375" style="18"/>
    <col min="1016" max="1016" width="8.88671875" style="18" customWidth="1"/>
    <col min="1017" max="1017" width="9.88671875" style="18" customWidth="1"/>
    <col min="1018" max="1018" width="14.44140625" style="18" customWidth="1"/>
    <col min="1019" max="1019" width="7.109375" style="18" customWidth="1"/>
    <col min="1020" max="1020" width="5.5546875" style="18" customWidth="1"/>
    <col min="1021" max="1021" width="9" style="18" customWidth="1"/>
    <col min="1022" max="1023" width="9.88671875" style="18" customWidth="1"/>
    <col min="1024" max="1024" width="11.109375" style="18" customWidth="1"/>
    <col min="1025" max="1025" width="2.88671875" style="18" customWidth="1"/>
    <col min="1026" max="1026" width="3.5546875" style="18" customWidth="1"/>
    <col min="1027" max="1271" width="9.109375" style="18"/>
    <col min="1272" max="1272" width="8.88671875" style="18" customWidth="1"/>
    <col min="1273" max="1273" width="9.88671875" style="18" customWidth="1"/>
    <col min="1274" max="1274" width="14.44140625" style="18" customWidth="1"/>
    <col min="1275" max="1275" width="7.109375" style="18" customWidth="1"/>
    <col min="1276" max="1276" width="5.5546875" style="18" customWidth="1"/>
    <col min="1277" max="1277" width="9" style="18" customWidth="1"/>
    <col min="1278" max="1279" width="9.88671875" style="18" customWidth="1"/>
    <col min="1280" max="1280" width="11.109375" style="18" customWidth="1"/>
    <col min="1281" max="1281" width="2.88671875" style="18" customWidth="1"/>
    <col min="1282" max="1282" width="3.5546875" style="18" customWidth="1"/>
    <col min="1283" max="1527" width="9.109375" style="18"/>
    <col min="1528" max="1528" width="8.88671875" style="18" customWidth="1"/>
    <col min="1529" max="1529" width="9.88671875" style="18" customWidth="1"/>
    <col min="1530" max="1530" width="14.44140625" style="18" customWidth="1"/>
    <col min="1531" max="1531" width="7.109375" style="18" customWidth="1"/>
    <col min="1532" max="1532" width="5.5546875" style="18" customWidth="1"/>
    <col min="1533" max="1533" width="9" style="18" customWidth="1"/>
    <col min="1534" max="1535" width="9.88671875" style="18" customWidth="1"/>
    <col min="1536" max="1536" width="11.109375" style="18" customWidth="1"/>
    <col min="1537" max="1537" width="2.88671875" style="18" customWidth="1"/>
    <col min="1538" max="1538" width="3.5546875" style="18" customWidth="1"/>
    <col min="1539" max="1783" width="9.109375" style="18"/>
    <col min="1784" max="1784" width="8.88671875" style="18" customWidth="1"/>
    <col min="1785" max="1785" width="9.88671875" style="18" customWidth="1"/>
    <col min="1786" max="1786" width="14.44140625" style="18" customWidth="1"/>
    <col min="1787" max="1787" width="7.109375" style="18" customWidth="1"/>
    <col min="1788" max="1788" width="5.5546875" style="18" customWidth="1"/>
    <col min="1789" max="1789" width="9" style="18" customWidth="1"/>
    <col min="1790" max="1791" width="9.88671875" style="18" customWidth="1"/>
    <col min="1792" max="1792" width="11.109375" style="18" customWidth="1"/>
    <col min="1793" max="1793" width="2.88671875" style="18" customWidth="1"/>
    <col min="1794" max="1794" width="3.5546875" style="18" customWidth="1"/>
    <col min="1795" max="2039" width="9.109375" style="18"/>
    <col min="2040" max="2040" width="8.88671875" style="18" customWidth="1"/>
    <col min="2041" max="2041" width="9.88671875" style="18" customWidth="1"/>
    <col min="2042" max="2042" width="14.44140625" style="18" customWidth="1"/>
    <col min="2043" max="2043" width="7.109375" style="18" customWidth="1"/>
    <col min="2044" max="2044" width="5.5546875" style="18" customWidth="1"/>
    <col min="2045" max="2045" width="9" style="18" customWidth="1"/>
    <col min="2046" max="2047" width="9.88671875" style="18" customWidth="1"/>
    <col min="2048" max="2048" width="11.109375" style="18" customWidth="1"/>
    <col min="2049" max="2049" width="2.88671875" style="18" customWidth="1"/>
    <col min="2050" max="2050" width="3.5546875" style="18" customWidth="1"/>
    <col min="2051" max="2295" width="9.109375" style="18"/>
    <col min="2296" max="2296" width="8.88671875" style="18" customWidth="1"/>
    <col min="2297" max="2297" width="9.88671875" style="18" customWidth="1"/>
    <col min="2298" max="2298" width="14.44140625" style="18" customWidth="1"/>
    <col min="2299" max="2299" width="7.109375" style="18" customWidth="1"/>
    <col min="2300" max="2300" width="5.5546875" style="18" customWidth="1"/>
    <col min="2301" max="2301" width="9" style="18" customWidth="1"/>
    <col min="2302" max="2303" width="9.88671875" style="18" customWidth="1"/>
    <col min="2304" max="2304" width="11.109375" style="18" customWidth="1"/>
    <col min="2305" max="2305" width="2.88671875" style="18" customWidth="1"/>
    <col min="2306" max="2306" width="3.5546875" style="18" customWidth="1"/>
    <col min="2307" max="2551" width="9.109375" style="18"/>
    <col min="2552" max="2552" width="8.88671875" style="18" customWidth="1"/>
    <col min="2553" max="2553" width="9.88671875" style="18" customWidth="1"/>
    <col min="2554" max="2554" width="14.44140625" style="18" customWidth="1"/>
    <col min="2555" max="2555" width="7.109375" style="18" customWidth="1"/>
    <col min="2556" max="2556" width="5.5546875" style="18" customWidth="1"/>
    <col min="2557" max="2557" width="9" style="18" customWidth="1"/>
    <col min="2558" max="2559" width="9.88671875" style="18" customWidth="1"/>
    <col min="2560" max="2560" width="11.109375" style="18" customWidth="1"/>
    <col min="2561" max="2561" width="2.88671875" style="18" customWidth="1"/>
    <col min="2562" max="2562" width="3.5546875" style="18" customWidth="1"/>
    <col min="2563" max="2807" width="9.109375" style="18"/>
    <col min="2808" max="2808" width="8.88671875" style="18" customWidth="1"/>
    <col min="2809" max="2809" width="9.88671875" style="18" customWidth="1"/>
    <col min="2810" max="2810" width="14.44140625" style="18" customWidth="1"/>
    <col min="2811" max="2811" width="7.109375" style="18" customWidth="1"/>
    <col min="2812" max="2812" width="5.5546875" style="18" customWidth="1"/>
    <col min="2813" max="2813" width="9" style="18" customWidth="1"/>
    <col min="2814" max="2815" width="9.88671875" style="18" customWidth="1"/>
    <col min="2816" max="2816" width="11.109375" style="18" customWidth="1"/>
    <col min="2817" max="2817" width="2.88671875" style="18" customWidth="1"/>
    <col min="2818" max="2818" width="3.5546875" style="18" customWidth="1"/>
    <col min="2819" max="3063" width="9.109375" style="18"/>
    <col min="3064" max="3064" width="8.88671875" style="18" customWidth="1"/>
    <col min="3065" max="3065" width="9.88671875" style="18" customWidth="1"/>
    <col min="3066" max="3066" width="14.44140625" style="18" customWidth="1"/>
    <col min="3067" max="3067" width="7.109375" style="18" customWidth="1"/>
    <col min="3068" max="3068" width="5.5546875" style="18" customWidth="1"/>
    <col min="3069" max="3069" width="9" style="18" customWidth="1"/>
    <col min="3070" max="3071" width="9.88671875" style="18" customWidth="1"/>
    <col min="3072" max="3072" width="11.109375" style="18" customWidth="1"/>
    <col min="3073" max="3073" width="2.88671875" style="18" customWidth="1"/>
    <col min="3074" max="3074" width="3.5546875" style="18" customWidth="1"/>
    <col min="3075" max="3319" width="9.109375" style="18"/>
    <col min="3320" max="3320" width="8.88671875" style="18" customWidth="1"/>
    <col min="3321" max="3321" width="9.88671875" style="18" customWidth="1"/>
    <col min="3322" max="3322" width="14.44140625" style="18" customWidth="1"/>
    <col min="3323" max="3323" width="7.109375" style="18" customWidth="1"/>
    <col min="3324" max="3324" width="5.5546875" style="18" customWidth="1"/>
    <col min="3325" max="3325" width="9" style="18" customWidth="1"/>
    <col min="3326" max="3327" width="9.88671875" style="18" customWidth="1"/>
    <col min="3328" max="3328" width="11.109375" style="18" customWidth="1"/>
    <col min="3329" max="3329" width="2.88671875" style="18" customWidth="1"/>
    <col min="3330" max="3330" width="3.5546875" style="18" customWidth="1"/>
    <col min="3331" max="3575" width="9.109375" style="18"/>
    <col min="3576" max="3576" width="8.88671875" style="18" customWidth="1"/>
    <col min="3577" max="3577" width="9.88671875" style="18" customWidth="1"/>
    <col min="3578" max="3578" width="14.44140625" style="18" customWidth="1"/>
    <col min="3579" max="3579" width="7.109375" style="18" customWidth="1"/>
    <col min="3580" max="3580" width="5.5546875" style="18" customWidth="1"/>
    <col min="3581" max="3581" width="9" style="18" customWidth="1"/>
    <col min="3582" max="3583" width="9.88671875" style="18" customWidth="1"/>
    <col min="3584" max="3584" width="11.109375" style="18" customWidth="1"/>
    <col min="3585" max="3585" width="2.88671875" style="18" customWidth="1"/>
    <col min="3586" max="3586" width="3.5546875" style="18" customWidth="1"/>
    <col min="3587" max="3831" width="9.109375" style="18"/>
    <col min="3832" max="3832" width="8.88671875" style="18" customWidth="1"/>
    <col min="3833" max="3833" width="9.88671875" style="18" customWidth="1"/>
    <col min="3834" max="3834" width="14.44140625" style="18" customWidth="1"/>
    <col min="3835" max="3835" width="7.109375" style="18" customWidth="1"/>
    <col min="3836" max="3836" width="5.5546875" style="18" customWidth="1"/>
    <col min="3837" max="3837" width="9" style="18" customWidth="1"/>
    <col min="3838" max="3839" width="9.88671875" style="18" customWidth="1"/>
    <col min="3840" max="3840" width="11.109375" style="18" customWidth="1"/>
    <col min="3841" max="3841" width="2.88671875" style="18" customWidth="1"/>
    <col min="3842" max="3842" width="3.5546875" style="18" customWidth="1"/>
    <col min="3843" max="4087" width="9.109375" style="18"/>
    <col min="4088" max="4088" width="8.88671875" style="18" customWidth="1"/>
    <col min="4089" max="4089" width="9.88671875" style="18" customWidth="1"/>
    <col min="4090" max="4090" width="14.44140625" style="18" customWidth="1"/>
    <col min="4091" max="4091" width="7.109375" style="18" customWidth="1"/>
    <col min="4092" max="4092" width="5.5546875" style="18" customWidth="1"/>
    <col min="4093" max="4093" width="9" style="18" customWidth="1"/>
    <col min="4094" max="4095" width="9.88671875" style="18" customWidth="1"/>
    <col min="4096" max="4096" width="11.109375" style="18" customWidth="1"/>
    <col min="4097" max="4097" width="2.88671875" style="18" customWidth="1"/>
    <col min="4098" max="4098" width="3.5546875" style="18" customWidth="1"/>
    <col min="4099" max="4343" width="9.109375" style="18"/>
    <col min="4344" max="4344" width="8.88671875" style="18" customWidth="1"/>
    <col min="4345" max="4345" width="9.88671875" style="18" customWidth="1"/>
    <col min="4346" max="4346" width="14.44140625" style="18" customWidth="1"/>
    <col min="4347" max="4347" width="7.109375" style="18" customWidth="1"/>
    <col min="4348" max="4348" width="5.5546875" style="18" customWidth="1"/>
    <col min="4349" max="4349" width="9" style="18" customWidth="1"/>
    <col min="4350" max="4351" width="9.88671875" style="18" customWidth="1"/>
    <col min="4352" max="4352" width="11.109375" style="18" customWidth="1"/>
    <col min="4353" max="4353" width="2.88671875" style="18" customWidth="1"/>
    <col min="4354" max="4354" width="3.5546875" style="18" customWidth="1"/>
    <col min="4355" max="4599" width="9.109375" style="18"/>
    <col min="4600" max="4600" width="8.88671875" style="18" customWidth="1"/>
    <col min="4601" max="4601" width="9.88671875" style="18" customWidth="1"/>
    <col min="4602" max="4602" width="14.44140625" style="18" customWidth="1"/>
    <col min="4603" max="4603" width="7.109375" style="18" customWidth="1"/>
    <col min="4604" max="4604" width="5.5546875" style="18" customWidth="1"/>
    <col min="4605" max="4605" width="9" style="18" customWidth="1"/>
    <col min="4606" max="4607" width="9.88671875" style="18" customWidth="1"/>
    <col min="4608" max="4608" width="11.109375" style="18" customWidth="1"/>
    <col min="4609" max="4609" width="2.88671875" style="18" customWidth="1"/>
    <col min="4610" max="4610" width="3.5546875" style="18" customWidth="1"/>
    <col min="4611" max="4855" width="9.109375" style="18"/>
    <col min="4856" max="4856" width="8.88671875" style="18" customWidth="1"/>
    <col min="4857" max="4857" width="9.88671875" style="18" customWidth="1"/>
    <col min="4858" max="4858" width="14.44140625" style="18" customWidth="1"/>
    <col min="4859" max="4859" width="7.109375" style="18" customWidth="1"/>
    <col min="4860" max="4860" width="5.5546875" style="18" customWidth="1"/>
    <col min="4861" max="4861" width="9" style="18" customWidth="1"/>
    <col min="4862" max="4863" width="9.88671875" style="18" customWidth="1"/>
    <col min="4864" max="4864" width="11.109375" style="18" customWidth="1"/>
    <col min="4865" max="4865" width="2.88671875" style="18" customWidth="1"/>
    <col min="4866" max="4866" width="3.5546875" style="18" customWidth="1"/>
    <col min="4867" max="5111" width="9.109375" style="18"/>
    <col min="5112" max="5112" width="8.88671875" style="18" customWidth="1"/>
    <col min="5113" max="5113" width="9.88671875" style="18" customWidth="1"/>
    <col min="5114" max="5114" width="14.44140625" style="18" customWidth="1"/>
    <col min="5115" max="5115" width="7.109375" style="18" customWidth="1"/>
    <col min="5116" max="5116" width="5.5546875" style="18" customWidth="1"/>
    <col min="5117" max="5117" width="9" style="18" customWidth="1"/>
    <col min="5118" max="5119" width="9.88671875" style="18" customWidth="1"/>
    <col min="5120" max="5120" width="11.109375" style="18" customWidth="1"/>
    <col min="5121" max="5121" width="2.88671875" style="18" customWidth="1"/>
    <col min="5122" max="5122" width="3.5546875" style="18" customWidth="1"/>
    <col min="5123" max="5367" width="9.109375" style="18"/>
    <col min="5368" max="5368" width="8.88671875" style="18" customWidth="1"/>
    <col min="5369" max="5369" width="9.88671875" style="18" customWidth="1"/>
    <col min="5370" max="5370" width="14.44140625" style="18" customWidth="1"/>
    <col min="5371" max="5371" width="7.109375" style="18" customWidth="1"/>
    <col min="5372" max="5372" width="5.5546875" style="18" customWidth="1"/>
    <col min="5373" max="5373" width="9" style="18" customWidth="1"/>
    <col min="5374" max="5375" width="9.88671875" style="18" customWidth="1"/>
    <col min="5376" max="5376" width="11.109375" style="18" customWidth="1"/>
    <col min="5377" max="5377" width="2.88671875" style="18" customWidth="1"/>
    <col min="5378" max="5378" width="3.5546875" style="18" customWidth="1"/>
    <col min="5379" max="5623" width="9.109375" style="18"/>
    <col min="5624" max="5624" width="8.88671875" style="18" customWidth="1"/>
    <col min="5625" max="5625" width="9.88671875" style="18" customWidth="1"/>
    <col min="5626" max="5626" width="14.44140625" style="18" customWidth="1"/>
    <col min="5627" max="5627" width="7.109375" style="18" customWidth="1"/>
    <col min="5628" max="5628" width="5.5546875" style="18" customWidth="1"/>
    <col min="5629" max="5629" width="9" style="18" customWidth="1"/>
    <col min="5630" max="5631" width="9.88671875" style="18" customWidth="1"/>
    <col min="5632" max="5632" width="11.109375" style="18" customWidth="1"/>
    <col min="5633" max="5633" width="2.88671875" style="18" customWidth="1"/>
    <col min="5634" max="5634" width="3.5546875" style="18" customWidth="1"/>
    <col min="5635" max="5879" width="9.109375" style="18"/>
    <col min="5880" max="5880" width="8.88671875" style="18" customWidth="1"/>
    <col min="5881" max="5881" width="9.88671875" style="18" customWidth="1"/>
    <col min="5882" max="5882" width="14.44140625" style="18" customWidth="1"/>
    <col min="5883" max="5883" width="7.109375" style="18" customWidth="1"/>
    <col min="5884" max="5884" width="5.5546875" style="18" customWidth="1"/>
    <col min="5885" max="5885" width="9" style="18" customWidth="1"/>
    <col min="5886" max="5887" width="9.88671875" style="18" customWidth="1"/>
    <col min="5888" max="5888" width="11.109375" style="18" customWidth="1"/>
    <col min="5889" max="5889" width="2.88671875" style="18" customWidth="1"/>
    <col min="5890" max="5890" width="3.5546875" style="18" customWidth="1"/>
    <col min="5891" max="6135" width="9.109375" style="18"/>
    <col min="6136" max="6136" width="8.88671875" style="18" customWidth="1"/>
    <col min="6137" max="6137" width="9.88671875" style="18" customWidth="1"/>
    <col min="6138" max="6138" width="14.44140625" style="18" customWidth="1"/>
    <col min="6139" max="6139" width="7.109375" style="18" customWidth="1"/>
    <col min="6140" max="6140" width="5.5546875" style="18" customWidth="1"/>
    <col min="6141" max="6141" width="9" style="18" customWidth="1"/>
    <col min="6142" max="6143" width="9.88671875" style="18" customWidth="1"/>
    <col min="6144" max="6144" width="11.109375" style="18" customWidth="1"/>
    <col min="6145" max="6145" width="2.88671875" style="18" customWidth="1"/>
    <col min="6146" max="6146" width="3.5546875" style="18" customWidth="1"/>
    <col min="6147" max="6391" width="9.109375" style="18"/>
    <col min="6392" max="6392" width="8.88671875" style="18" customWidth="1"/>
    <col min="6393" max="6393" width="9.88671875" style="18" customWidth="1"/>
    <col min="6394" max="6394" width="14.44140625" style="18" customWidth="1"/>
    <col min="6395" max="6395" width="7.109375" style="18" customWidth="1"/>
    <col min="6396" max="6396" width="5.5546875" style="18" customWidth="1"/>
    <col min="6397" max="6397" width="9" style="18" customWidth="1"/>
    <col min="6398" max="6399" width="9.88671875" style="18" customWidth="1"/>
    <col min="6400" max="6400" width="11.109375" style="18" customWidth="1"/>
    <col min="6401" max="6401" width="2.88671875" style="18" customWidth="1"/>
    <col min="6402" max="6402" width="3.5546875" style="18" customWidth="1"/>
    <col min="6403" max="6647" width="9.109375" style="18"/>
    <col min="6648" max="6648" width="8.88671875" style="18" customWidth="1"/>
    <col min="6649" max="6649" width="9.88671875" style="18" customWidth="1"/>
    <col min="6650" max="6650" width="14.44140625" style="18" customWidth="1"/>
    <col min="6651" max="6651" width="7.109375" style="18" customWidth="1"/>
    <col min="6652" max="6652" width="5.5546875" style="18" customWidth="1"/>
    <col min="6653" max="6653" width="9" style="18" customWidth="1"/>
    <col min="6654" max="6655" width="9.88671875" style="18" customWidth="1"/>
    <col min="6656" max="6656" width="11.109375" style="18" customWidth="1"/>
    <col min="6657" max="6657" width="2.88671875" style="18" customWidth="1"/>
    <col min="6658" max="6658" width="3.5546875" style="18" customWidth="1"/>
    <col min="6659" max="6903" width="9.109375" style="18"/>
    <col min="6904" max="6904" width="8.88671875" style="18" customWidth="1"/>
    <col min="6905" max="6905" width="9.88671875" style="18" customWidth="1"/>
    <col min="6906" max="6906" width="14.44140625" style="18" customWidth="1"/>
    <col min="6907" max="6907" width="7.109375" style="18" customWidth="1"/>
    <col min="6908" max="6908" width="5.5546875" style="18" customWidth="1"/>
    <col min="6909" max="6909" width="9" style="18" customWidth="1"/>
    <col min="6910" max="6911" width="9.88671875" style="18" customWidth="1"/>
    <col min="6912" max="6912" width="11.109375" style="18" customWidth="1"/>
    <col min="6913" max="6913" width="2.88671875" style="18" customWidth="1"/>
    <col min="6914" max="6914" width="3.5546875" style="18" customWidth="1"/>
    <col min="6915" max="7159" width="9.109375" style="18"/>
    <col min="7160" max="7160" width="8.88671875" style="18" customWidth="1"/>
    <col min="7161" max="7161" width="9.88671875" style="18" customWidth="1"/>
    <col min="7162" max="7162" width="14.44140625" style="18" customWidth="1"/>
    <col min="7163" max="7163" width="7.109375" style="18" customWidth="1"/>
    <col min="7164" max="7164" width="5.5546875" style="18" customWidth="1"/>
    <col min="7165" max="7165" width="9" style="18" customWidth="1"/>
    <col min="7166" max="7167" width="9.88671875" style="18" customWidth="1"/>
    <col min="7168" max="7168" width="11.109375" style="18" customWidth="1"/>
    <col min="7169" max="7169" width="2.88671875" style="18" customWidth="1"/>
    <col min="7170" max="7170" width="3.5546875" style="18" customWidth="1"/>
    <col min="7171" max="7415" width="9.109375" style="18"/>
    <col min="7416" max="7416" width="8.88671875" style="18" customWidth="1"/>
    <col min="7417" max="7417" width="9.88671875" style="18" customWidth="1"/>
    <col min="7418" max="7418" width="14.44140625" style="18" customWidth="1"/>
    <col min="7419" max="7419" width="7.109375" style="18" customWidth="1"/>
    <col min="7420" max="7420" width="5.5546875" style="18" customWidth="1"/>
    <col min="7421" max="7421" width="9" style="18" customWidth="1"/>
    <col min="7422" max="7423" width="9.88671875" style="18" customWidth="1"/>
    <col min="7424" max="7424" width="11.109375" style="18" customWidth="1"/>
    <col min="7425" max="7425" width="2.88671875" style="18" customWidth="1"/>
    <col min="7426" max="7426" width="3.5546875" style="18" customWidth="1"/>
    <col min="7427" max="7671" width="9.109375" style="18"/>
    <col min="7672" max="7672" width="8.88671875" style="18" customWidth="1"/>
    <col min="7673" max="7673" width="9.88671875" style="18" customWidth="1"/>
    <col min="7674" max="7674" width="14.44140625" style="18" customWidth="1"/>
    <col min="7675" max="7675" width="7.109375" style="18" customWidth="1"/>
    <col min="7676" max="7676" width="5.5546875" style="18" customWidth="1"/>
    <col min="7677" max="7677" width="9" style="18" customWidth="1"/>
    <col min="7678" max="7679" width="9.88671875" style="18" customWidth="1"/>
    <col min="7680" max="7680" width="11.109375" style="18" customWidth="1"/>
    <col min="7681" max="7681" width="2.88671875" style="18" customWidth="1"/>
    <col min="7682" max="7682" width="3.5546875" style="18" customWidth="1"/>
    <col min="7683" max="7927" width="9.109375" style="18"/>
    <col min="7928" max="7928" width="8.88671875" style="18" customWidth="1"/>
    <col min="7929" max="7929" width="9.88671875" style="18" customWidth="1"/>
    <col min="7930" max="7930" width="14.44140625" style="18" customWidth="1"/>
    <col min="7931" max="7931" width="7.109375" style="18" customWidth="1"/>
    <col min="7932" max="7932" width="5.5546875" style="18" customWidth="1"/>
    <col min="7933" max="7933" width="9" style="18" customWidth="1"/>
    <col min="7934" max="7935" width="9.88671875" style="18" customWidth="1"/>
    <col min="7936" max="7936" width="11.109375" style="18" customWidth="1"/>
    <col min="7937" max="7937" width="2.88671875" style="18" customWidth="1"/>
    <col min="7938" max="7938" width="3.5546875" style="18" customWidth="1"/>
    <col min="7939" max="8183" width="9.109375" style="18"/>
    <col min="8184" max="8184" width="8.88671875" style="18" customWidth="1"/>
    <col min="8185" max="8185" width="9.88671875" style="18" customWidth="1"/>
    <col min="8186" max="8186" width="14.44140625" style="18" customWidth="1"/>
    <col min="8187" max="8187" width="7.109375" style="18" customWidth="1"/>
    <col min="8188" max="8188" width="5.5546875" style="18" customWidth="1"/>
    <col min="8189" max="8189" width="9" style="18" customWidth="1"/>
    <col min="8190" max="8191" width="9.88671875" style="18" customWidth="1"/>
    <col min="8192" max="8192" width="11.109375" style="18" customWidth="1"/>
    <col min="8193" max="8193" width="2.88671875" style="18" customWidth="1"/>
    <col min="8194" max="8194" width="3.5546875" style="18" customWidth="1"/>
    <col min="8195" max="8439" width="9.109375" style="18"/>
    <col min="8440" max="8440" width="8.88671875" style="18" customWidth="1"/>
    <col min="8441" max="8441" width="9.88671875" style="18" customWidth="1"/>
    <col min="8442" max="8442" width="14.44140625" style="18" customWidth="1"/>
    <col min="8443" max="8443" width="7.109375" style="18" customWidth="1"/>
    <col min="8444" max="8444" width="5.5546875" style="18" customWidth="1"/>
    <col min="8445" max="8445" width="9" style="18" customWidth="1"/>
    <col min="8446" max="8447" width="9.88671875" style="18" customWidth="1"/>
    <col min="8448" max="8448" width="11.109375" style="18" customWidth="1"/>
    <col min="8449" max="8449" width="2.88671875" style="18" customWidth="1"/>
    <col min="8450" max="8450" width="3.5546875" style="18" customWidth="1"/>
    <col min="8451" max="8695" width="9.109375" style="18"/>
    <col min="8696" max="8696" width="8.88671875" style="18" customWidth="1"/>
    <col min="8697" max="8697" width="9.88671875" style="18" customWidth="1"/>
    <col min="8698" max="8698" width="14.44140625" style="18" customWidth="1"/>
    <col min="8699" max="8699" width="7.109375" style="18" customWidth="1"/>
    <col min="8700" max="8700" width="5.5546875" style="18" customWidth="1"/>
    <col min="8701" max="8701" width="9" style="18" customWidth="1"/>
    <col min="8702" max="8703" width="9.88671875" style="18" customWidth="1"/>
    <col min="8704" max="8704" width="11.109375" style="18" customWidth="1"/>
    <col min="8705" max="8705" width="2.88671875" style="18" customWidth="1"/>
    <col min="8706" max="8706" width="3.5546875" style="18" customWidth="1"/>
    <col min="8707" max="8951" width="9.109375" style="18"/>
    <col min="8952" max="8952" width="8.88671875" style="18" customWidth="1"/>
    <col min="8953" max="8953" width="9.88671875" style="18" customWidth="1"/>
    <col min="8954" max="8954" width="14.44140625" style="18" customWidth="1"/>
    <col min="8955" max="8955" width="7.109375" style="18" customWidth="1"/>
    <col min="8956" max="8956" width="5.5546875" style="18" customWidth="1"/>
    <col min="8957" max="8957" width="9" style="18" customWidth="1"/>
    <col min="8958" max="8959" width="9.88671875" style="18" customWidth="1"/>
    <col min="8960" max="8960" width="11.109375" style="18" customWidth="1"/>
    <col min="8961" max="8961" width="2.88671875" style="18" customWidth="1"/>
    <col min="8962" max="8962" width="3.5546875" style="18" customWidth="1"/>
    <col min="8963" max="9207" width="9.109375" style="18"/>
    <col min="9208" max="9208" width="8.88671875" style="18" customWidth="1"/>
    <col min="9209" max="9209" width="9.88671875" style="18" customWidth="1"/>
    <col min="9210" max="9210" width="14.44140625" style="18" customWidth="1"/>
    <col min="9211" max="9211" width="7.109375" style="18" customWidth="1"/>
    <col min="9212" max="9212" width="5.5546875" style="18" customWidth="1"/>
    <col min="9213" max="9213" width="9" style="18" customWidth="1"/>
    <col min="9214" max="9215" width="9.88671875" style="18" customWidth="1"/>
    <col min="9216" max="9216" width="11.109375" style="18" customWidth="1"/>
    <col min="9217" max="9217" width="2.88671875" style="18" customWidth="1"/>
    <col min="9218" max="9218" width="3.5546875" style="18" customWidth="1"/>
    <col min="9219" max="9463" width="9.109375" style="18"/>
    <col min="9464" max="9464" width="8.88671875" style="18" customWidth="1"/>
    <col min="9465" max="9465" width="9.88671875" style="18" customWidth="1"/>
    <col min="9466" max="9466" width="14.44140625" style="18" customWidth="1"/>
    <col min="9467" max="9467" width="7.109375" style="18" customWidth="1"/>
    <col min="9468" max="9468" width="5.5546875" style="18" customWidth="1"/>
    <col min="9469" max="9469" width="9" style="18" customWidth="1"/>
    <col min="9470" max="9471" width="9.88671875" style="18" customWidth="1"/>
    <col min="9472" max="9472" width="11.109375" style="18" customWidth="1"/>
    <col min="9473" max="9473" width="2.88671875" style="18" customWidth="1"/>
    <col min="9474" max="9474" width="3.5546875" style="18" customWidth="1"/>
    <col min="9475" max="9719" width="9.109375" style="18"/>
    <col min="9720" max="9720" width="8.88671875" style="18" customWidth="1"/>
    <col min="9721" max="9721" width="9.88671875" style="18" customWidth="1"/>
    <col min="9722" max="9722" width="14.44140625" style="18" customWidth="1"/>
    <col min="9723" max="9723" width="7.109375" style="18" customWidth="1"/>
    <col min="9724" max="9724" width="5.5546875" style="18" customWidth="1"/>
    <col min="9725" max="9725" width="9" style="18" customWidth="1"/>
    <col min="9726" max="9727" width="9.88671875" style="18" customWidth="1"/>
    <col min="9728" max="9728" width="11.109375" style="18" customWidth="1"/>
    <col min="9729" max="9729" width="2.88671875" style="18" customWidth="1"/>
    <col min="9730" max="9730" width="3.5546875" style="18" customWidth="1"/>
    <col min="9731" max="9975" width="9.109375" style="18"/>
    <col min="9976" max="9976" width="8.88671875" style="18" customWidth="1"/>
    <col min="9977" max="9977" width="9.88671875" style="18" customWidth="1"/>
    <col min="9978" max="9978" width="14.44140625" style="18" customWidth="1"/>
    <col min="9979" max="9979" width="7.109375" style="18" customWidth="1"/>
    <col min="9980" max="9980" width="5.5546875" style="18" customWidth="1"/>
    <col min="9981" max="9981" width="9" style="18" customWidth="1"/>
    <col min="9982" max="9983" width="9.88671875" style="18" customWidth="1"/>
    <col min="9984" max="9984" width="11.109375" style="18" customWidth="1"/>
    <col min="9985" max="9985" width="2.88671875" style="18" customWidth="1"/>
    <col min="9986" max="9986" width="3.5546875" style="18" customWidth="1"/>
    <col min="9987" max="10231" width="9.109375" style="18"/>
    <col min="10232" max="10232" width="8.88671875" style="18" customWidth="1"/>
    <col min="10233" max="10233" width="9.88671875" style="18" customWidth="1"/>
    <col min="10234" max="10234" width="14.44140625" style="18" customWidth="1"/>
    <col min="10235" max="10235" width="7.109375" style="18" customWidth="1"/>
    <col min="10236" max="10236" width="5.5546875" style="18" customWidth="1"/>
    <col min="10237" max="10237" width="9" style="18" customWidth="1"/>
    <col min="10238" max="10239" width="9.88671875" style="18" customWidth="1"/>
    <col min="10240" max="10240" width="11.109375" style="18" customWidth="1"/>
    <col min="10241" max="10241" width="2.88671875" style="18" customWidth="1"/>
    <col min="10242" max="10242" width="3.5546875" style="18" customWidth="1"/>
    <col min="10243" max="10487" width="9.109375" style="18"/>
    <col min="10488" max="10488" width="8.88671875" style="18" customWidth="1"/>
    <col min="10489" max="10489" width="9.88671875" style="18" customWidth="1"/>
    <col min="10490" max="10490" width="14.44140625" style="18" customWidth="1"/>
    <col min="10491" max="10491" width="7.109375" style="18" customWidth="1"/>
    <col min="10492" max="10492" width="5.5546875" style="18" customWidth="1"/>
    <col min="10493" max="10493" width="9" style="18" customWidth="1"/>
    <col min="10494" max="10495" width="9.88671875" style="18" customWidth="1"/>
    <col min="10496" max="10496" width="11.109375" style="18" customWidth="1"/>
    <col min="10497" max="10497" width="2.88671875" style="18" customWidth="1"/>
    <col min="10498" max="10498" width="3.5546875" style="18" customWidth="1"/>
    <col min="10499" max="10743" width="9.109375" style="18"/>
    <col min="10744" max="10744" width="8.88671875" style="18" customWidth="1"/>
    <col min="10745" max="10745" width="9.88671875" style="18" customWidth="1"/>
    <col min="10746" max="10746" width="14.44140625" style="18" customWidth="1"/>
    <col min="10747" max="10747" width="7.109375" style="18" customWidth="1"/>
    <col min="10748" max="10748" width="5.5546875" style="18" customWidth="1"/>
    <col min="10749" max="10749" width="9" style="18" customWidth="1"/>
    <col min="10750" max="10751" width="9.88671875" style="18" customWidth="1"/>
    <col min="10752" max="10752" width="11.109375" style="18" customWidth="1"/>
    <col min="10753" max="10753" width="2.88671875" style="18" customWidth="1"/>
    <col min="10754" max="10754" width="3.5546875" style="18" customWidth="1"/>
    <col min="10755" max="10999" width="9.109375" style="18"/>
    <col min="11000" max="11000" width="8.88671875" style="18" customWidth="1"/>
    <col min="11001" max="11001" width="9.88671875" style="18" customWidth="1"/>
    <col min="11002" max="11002" width="14.44140625" style="18" customWidth="1"/>
    <col min="11003" max="11003" width="7.109375" style="18" customWidth="1"/>
    <col min="11004" max="11004" width="5.5546875" style="18" customWidth="1"/>
    <col min="11005" max="11005" width="9" style="18" customWidth="1"/>
    <col min="11006" max="11007" width="9.88671875" style="18" customWidth="1"/>
    <col min="11008" max="11008" width="11.109375" style="18" customWidth="1"/>
    <col min="11009" max="11009" width="2.88671875" style="18" customWidth="1"/>
    <col min="11010" max="11010" width="3.5546875" style="18" customWidth="1"/>
    <col min="11011" max="11255" width="9.109375" style="18"/>
    <col min="11256" max="11256" width="8.88671875" style="18" customWidth="1"/>
    <col min="11257" max="11257" width="9.88671875" style="18" customWidth="1"/>
    <col min="11258" max="11258" width="14.44140625" style="18" customWidth="1"/>
    <col min="11259" max="11259" width="7.109375" style="18" customWidth="1"/>
    <col min="11260" max="11260" width="5.5546875" style="18" customWidth="1"/>
    <col min="11261" max="11261" width="9" style="18" customWidth="1"/>
    <col min="11262" max="11263" width="9.88671875" style="18" customWidth="1"/>
    <col min="11264" max="11264" width="11.109375" style="18" customWidth="1"/>
    <col min="11265" max="11265" width="2.88671875" style="18" customWidth="1"/>
    <col min="11266" max="11266" width="3.5546875" style="18" customWidth="1"/>
    <col min="11267" max="11511" width="9.109375" style="18"/>
    <col min="11512" max="11512" width="8.88671875" style="18" customWidth="1"/>
    <col min="11513" max="11513" width="9.88671875" style="18" customWidth="1"/>
    <col min="11514" max="11514" width="14.44140625" style="18" customWidth="1"/>
    <col min="11515" max="11515" width="7.109375" style="18" customWidth="1"/>
    <col min="11516" max="11516" width="5.5546875" style="18" customWidth="1"/>
    <col min="11517" max="11517" width="9" style="18" customWidth="1"/>
    <col min="11518" max="11519" width="9.88671875" style="18" customWidth="1"/>
    <col min="11520" max="11520" width="11.109375" style="18" customWidth="1"/>
    <col min="11521" max="11521" width="2.88671875" style="18" customWidth="1"/>
    <col min="11522" max="11522" width="3.5546875" style="18" customWidth="1"/>
    <col min="11523" max="11767" width="9.109375" style="18"/>
    <col min="11768" max="11768" width="8.88671875" style="18" customWidth="1"/>
    <col min="11769" max="11769" width="9.88671875" style="18" customWidth="1"/>
    <col min="11770" max="11770" width="14.44140625" style="18" customWidth="1"/>
    <col min="11771" max="11771" width="7.109375" style="18" customWidth="1"/>
    <col min="11772" max="11772" width="5.5546875" style="18" customWidth="1"/>
    <col min="11773" max="11773" width="9" style="18" customWidth="1"/>
    <col min="11774" max="11775" width="9.88671875" style="18" customWidth="1"/>
    <col min="11776" max="11776" width="11.109375" style="18" customWidth="1"/>
    <col min="11777" max="11777" width="2.88671875" style="18" customWidth="1"/>
    <col min="11778" max="11778" width="3.5546875" style="18" customWidth="1"/>
    <col min="11779" max="12023" width="9.109375" style="18"/>
    <col min="12024" max="12024" width="8.88671875" style="18" customWidth="1"/>
    <col min="12025" max="12025" width="9.88671875" style="18" customWidth="1"/>
    <col min="12026" max="12026" width="14.44140625" style="18" customWidth="1"/>
    <col min="12027" max="12027" width="7.109375" style="18" customWidth="1"/>
    <col min="12028" max="12028" width="5.5546875" style="18" customWidth="1"/>
    <col min="12029" max="12029" width="9" style="18" customWidth="1"/>
    <col min="12030" max="12031" width="9.88671875" style="18" customWidth="1"/>
    <col min="12032" max="12032" width="11.109375" style="18" customWidth="1"/>
    <col min="12033" max="12033" width="2.88671875" style="18" customWidth="1"/>
    <col min="12034" max="12034" width="3.5546875" style="18" customWidth="1"/>
    <col min="12035" max="12279" width="9.109375" style="18"/>
    <col min="12280" max="12280" width="8.88671875" style="18" customWidth="1"/>
    <col min="12281" max="12281" width="9.88671875" style="18" customWidth="1"/>
    <col min="12282" max="12282" width="14.44140625" style="18" customWidth="1"/>
    <col min="12283" max="12283" width="7.109375" style="18" customWidth="1"/>
    <col min="12284" max="12284" width="5.5546875" style="18" customWidth="1"/>
    <col min="12285" max="12285" width="9" style="18" customWidth="1"/>
    <col min="12286" max="12287" width="9.88671875" style="18" customWidth="1"/>
    <col min="12288" max="12288" width="11.109375" style="18" customWidth="1"/>
    <col min="12289" max="12289" width="2.88671875" style="18" customWidth="1"/>
    <col min="12290" max="12290" width="3.5546875" style="18" customWidth="1"/>
    <col min="12291" max="12535" width="9.109375" style="18"/>
    <col min="12536" max="12536" width="8.88671875" style="18" customWidth="1"/>
    <col min="12537" max="12537" width="9.88671875" style="18" customWidth="1"/>
    <col min="12538" max="12538" width="14.44140625" style="18" customWidth="1"/>
    <col min="12539" max="12539" width="7.109375" style="18" customWidth="1"/>
    <col min="12540" max="12540" width="5.5546875" style="18" customWidth="1"/>
    <col min="12541" max="12541" width="9" style="18" customWidth="1"/>
    <col min="12542" max="12543" width="9.88671875" style="18" customWidth="1"/>
    <col min="12544" max="12544" width="11.109375" style="18" customWidth="1"/>
    <col min="12545" max="12545" width="2.88671875" style="18" customWidth="1"/>
    <col min="12546" max="12546" width="3.5546875" style="18" customWidth="1"/>
    <col min="12547" max="12791" width="9.109375" style="18"/>
    <col min="12792" max="12792" width="8.88671875" style="18" customWidth="1"/>
    <col min="12793" max="12793" width="9.88671875" style="18" customWidth="1"/>
    <col min="12794" max="12794" width="14.44140625" style="18" customWidth="1"/>
    <col min="12795" max="12795" width="7.109375" style="18" customWidth="1"/>
    <col min="12796" max="12796" width="5.5546875" style="18" customWidth="1"/>
    <col min="12797" max="12797" width="9" style="18" customWidth="1"/>
    <col min="12798" max="12799" width="9.88671875" style="18" customWidth="1"/>
    <col min="12800" max="12800" width="11.109375" style="18" customWidth="1"/>
    <col min="12801" max="12801" width="2.88671875" style="18" customWidth="1"/>
    <col min="12802" max="12802" width="3.5546875" style="18" customWidth="1"/>
    <col min="12803" max="13047" width="9.109375" style="18"/>
    <col min="13048" max="13048" width="8.88671875" style="18" customWidth="1"/>
    <col min="13049" max="13049" width="9.88671875" style="18" customWidth="1"/>
    <col min="13050" max="13050" width="14.44140625" style="18" customWidth="1"/>
    <col min="13051" max="13051" width="7.109375" style="18" customWidth="1"/>
    <col min="13052" max="13052" width="5.5546875" style="18" customWidth="1"/>
    <col min="13053" max="13053" width="9" style="18" customWidth="1"/>
    <col min="13054" max="13055" width="9.88671875" style="18" customWidth="1"/>
    <col min="13056" max="13056" width="11.109375" style="18" customWidth="1"/>
    <col min="13057" max="13057" width="2.88671875" style="18" customWidth="1"/>
    <col min="13058" max="13058" width="3.5546875" style="18" customWidth="1"/>
    <col min="13059" max="13303" width="9.109375" style="18"/>
    <col min="13304" max="13304" width="8.88671875" style="18" customWidth="1"/>
    <col min="13305" max="13305" width="9.88671875" style="18" customWidth="1"/>
    <col min="13306" max="13306" width="14.44140625" style="18" customWidth="1"/>
    <col min="13307" max="13307" width="7.109375" style="18" customWidth="1"/>
    <col min="13308" max="13308" width="5.5546875" style="18" customWidth="1"/>
    <col min="13309" max="13309" width="9" style="18" customWidth="1"/>
    <col min="13310" max="13311" width="9.88671875" style="18" customWidth="1"/>
    <col min="13312" max="13312" width="11.109375" style="18" customWidth="1"/>
    <col min="13313" max="13313" width="2.88671875" style="18" customWidth="1"/>
    <col min="13314" max="13314" width="3.5546875" style="18" customWidth="1"/>
    <col min="13315" max="13559" width="9.109375" style="18"/>
    <col min="13560" max="13560" width="8.88671875" style="18" customWidth="1"/>
    <col min="13561" max="13561" width="9.88671875" style="18" customWidth="1"/>
    <col min="13562" max="13562" width="14.44140625" style="18" customWidth="1"/>
    <col min="13563" max="13563" width="7.109375" style="18" customWidth="1"/>
    <col min="13564" max="13564" width="5.5546875" style="18" customWidth="1"/>
    <col min="13565" max="13565" width="9" style="18" customWidth="1"/>
    <col min="13566" max="13567" width="9.88671875" style="18" customWidth="1"/>
    <col min="13568" max="13568" width="11.109375" style="18" customWidth="1"/>
    <col min="13569" max="13569" width="2.88671875" style="18" customWidth="1"/>
    <col min="13570" max="13570" width="3.5546875" style="18" customWidth="1"/>
    <col min="13571" max="13815" width="9.109375" style="18"/>
    <col min="13816" max="13816" width="8.88671875" style="18" customWidth="1"/>
    <col min="13817" max="13817" width="9.88671875" style="18" customWidth="1"/>
    <col min="13818" max="13818" width="14.44140625" style="18" customWidth="1"/>
    <col min="13819" max="13819" width="7.109375" style="18" customWidth="1"/>
    <col min="13820" max="13820" width="5.5546875" style="18" customWidth="1"/>
    <col min="13821" max="13821" width="9" style="18" customWidth="1"/>
    <col min="13822" max="13823" width="9.88671875" style="18" customWidth="1"/>
    <col min="13824" max="13824" width="11.109375" style="18" customWidth="1"/>
    <col min="13825" max="13825" width="2.88671875" style="18" customWidth="1"/>
    <col min="13826" max="13826" width="3.5546875" style="18" customWidth="1"/>
    <col min="13827" max="14071" width="9.109375" style="18"/>
    <col min="14072" max="14072" width="8.88671875" style="18" customWidth="1"/>
    <col min="14073" max="14073" width="9.88671875" style="18" customWidth="1"/>
    <col min="14074" max="14074" width="14.44140625" style="18" customWidth="1"/>
    <col min="14075" max="14075" width="7.109375" style="18" customWidth="1"/>
    <col min="14076" max="14076" width="5.5546875" style="18" customWidth="1"/>
    <col min="14077" max="14077" width="9" style="18" customWidth="1"/>
    <col min="14078" max="14079" width="9.88671875" style="18" customWidth="1"/>
    <col min="14080" max="14080" width="11.109375" style="18" customWidth="1"/>
    <col min="14081" max="14081" width="2.88671875" style="18" customWidth="1"/>
    <col min="14082" max="14082" width="3.5546875" style="18" customWidth="1"/>
    <col min="14083" max="14327" width="9.109375" style="18"/>
    <col min="14328" max="14328" width="8.88671875" style="18" customWidth="1"/>
    <col min="14329" max="14329" width="9.88671875" style="18" customWidth="1"/>
    <col min="14330" max="14330" width="14.44140625" style="18" customWidth="1"/>
    <col min="14331" max="14331" width="7.109375" style="18" customWidth="1"/>
    <col min="14332" max="14332" width="5.5546875" style="18" customWidth="1"/>
    <col min="14333" max="14333" width="9" style="18" customWidth="1"/>
    <col min="14334" max="14335" width="9.88671875" style="18" customWidth="1"/>
    <col min="14336" max="14336" width="11.109375" style="18" customWidth="1"/>
    <col min="14337" max="14337" width="2.88671875" style="18" customWidth="1"/>
    <col min="14338" max="14338" width="3.5546875" style="18" customWidth="1"/>
    <col min="14339" max="14583" width="9.109375" style="18"/>
    <col min="14584" max="14584" width="8.88671875" style="18" customWidth="1"/>
    <col min="14585" max="14585" width="9.88671875" style="18" customWidth="1"/>
    <col min="14586" max="14586" width="14.44140625" style="18" customWidth="1"/>
    <col min="14587" max="14587" width="7.109375" style="18" customWidth="1"/>
    <col min="14588" max="14588" width="5.5546875" style="18" customWidth="1"/>
    <col min="14589" max="14589" width="9" style="18" customWidth="1"/>
    <col min="14590" max="14591" width="9.88671875" style="18" customWidth="1"/>
    <col min="14592" max="14592" width="11.109375" style="18" customWidth="1"/>
    <col min="14593" max="14593" width="2.88671875" style="18" customWidth="1"/>
    <col min="14594" max="14594" width="3.5546875" style="18" customWidth="1"/>
    <col min="14595" max="14839" width="9.109375" style="18"/>
    <col min="14840" max="14840" width="8.88671875" style="18" customWidth="1"/>
    <col min="14841" max="14841" width="9.88671875" style="18" customWidth="1"/>
    <col min="14842" max="14842" width="14.44140625" style="18" customWidth="1"/>
    <col min="14843" max="14843" width="7.109375" style="18" customWidth="1"/>
    <col min="14844" max="14844" width="5.5546875" style="18" customWidth="1"/>
    <col min="14845" max="14845" width="9" style="18" customWidth="1"/>
    <col min="14846" max="14847" width="9.88671875" style="18" customWidth="1"/>
    <col min="14848" max="14848" width="11.109375" style="18" customWidth="1"/>
    <col min="14849" max="14849" width="2.88671875" style="18" customWidth="1"/>
    <col min="14850" max="14850" width="3.5546875" style="18" customWidth="1"/>
    <col min="14851" max="15095" width="9.109375" style="18"/>
    <col min="15096" max="15096" width="8.88671875" style="18" customWidth="1"/>
    <col min="15097" max="15097" width="9.88671875" style="18" customWidth="1"/>
    <col min="15098" max="15098" width="14.44140625" style="18" customWidth="1"/>
    <col min="15099" max="15099" width="7.109375" style="18" customWidth="1"/>
    <col min="15100" max="15100" width="5.5546875" style="18" customWidth="1"/>
    <col min="15101" max="15101" width="9" style="18" customWidth="1"/>
    <col min="15102" max="15103" width="9.88671875" style="18" customWidth="1"/>
    <col min="15104" max="15104" width="11.109375" style="18" customWidth="1"/>
    <col min="15105" max="15105" width="2.88671875" style="18" customWidth="1"/>
    <col min="15106" max="15106" width="3.5546875" style="18" customWidth="1"/>
    <col min="15107" max="15351" width="9.109375" style="18"/>
    <col min="15352" max="15352" width="8.88671875" style="18" customWidth="1"/>
    <col min="15353" max="15353" width="9.88671875" style="18" customWidth="1"/>
    <col min="15354" max="15354" width="14.44140625" style="18" customWidth="1"/>
    <col min="15355" max="15355" width="7.109375" style="18" customWidth="1"/>
    <col min="15356" max="15356" width="5.5546875" style="18" customWidth="1"/>
    <col min="15357" max="15357" width="9" style="18" customWidth="1"/>
    <col min="15358" max="15359" width="9.88671875" style="18" customWidth="1"/>
    <col min="15360" max="15360" width="11.109375" style="18" customWidth="1"/>
    <col min="15361" max="15361" width="2.88671875" style="18" customWidth="1"/>
    <col min="15362" max="15362" width="3.5546875" style="18" customWidth="1"/>
    <col min="15363" max="15607" width="9.109375" style="18"/>
    <col min="15608" max="15608" width="8.88671875" style="18" customWidth="1"/>
    <col min="15609" max="15609" width="9.88671875" style="18" customWidth="1"/>
    <col min="15610" max="15610" width="14.44140625" style="18" customWidth="1"/>
    <col min="15611" max="15611" width="7.109375" style="18" customWidth="1"/>
    <col min="15612" max="15612" width="5.5546875" style="18" customWidth="1"/>
    <col min="15613" max="15613" width="9" style="18" customWidth="1"/>
    <col min="15614" max="15615" width="9.88671875" style="18" customWidth="1"/>
    <col min="15616" max="15616" width="11.109375" style="18" customWidth="1"/>
    <col min="15617" max="15617" width="2.88671875" style="18" customWidth="1"/>
    <col min="15618" max="15618" width="3.5546875" style="18" customWidth="1"/>
    <col min="15619" max="15863" width="9.109375" style="18"/>
    <col min="15864" max="15864" width="8.88671875" style="18" customWidth="1"/>
    <col min="15865" max="15865" width="9.88671875" style="18" customWidth="1"/>
    <col min="15866" max="15866" width="14.44140625" style="18" customWidth="1"/>
    <col min="15867" max="15867" width="7.109375" style="18" customWidth="1"/>
    <col min="15868" max="15868" width="5.5546875" style="18" customWidth="1"/>
    <col min="15869" max="15869" width="9" style="18" customWidth="1"/>
    <col min="15870" max="15871" width="9.88671875" style="18" customWidth="1"/>
    <col min="15872" max="15872" width="11.109375" style="18" customWidth="1"/>
    <col min="15873" max="15873" width="2.88671875" style="18" customWidth="1"/>
    <col min="15874" max="15874" width="3.5546875" style="18" customWidth="1"/>
    <col min="15875" max="16119" width="9.109375" style="18"/>
    <col min="16120" max="16120" width="8.88671875" style="18" customWidth="1"/>
    <col min="16121" max="16121" width="9.88671875" style="18" customWidth="1"/>
    <col min="16122" max="16122" width="14.44140625" style="18" customWidth="1"/>
    <col min="16123" max="16123" width="7.109375" style="18" customWidth="1"/>
    <col min="16124" max="16124" width="5.5546875" style="18" customWidth="1"/>
    <col min="16125" max="16125" width="9" style="18" customWidth="1"/>
    <col min="16126" max="16127" width="9.88671875" style="18" customWidth="1"/>
    <col min="16128" max="16128" width="11.109375" style="18" customWidth="1"/>
    <col min="16129" max="16129" width="2.88671875" style="18" customWidth="1"/>
    <col min="16130" max="16130" width="3.5546875" style="18" customWidth="1"/>
    <col min="16131" max="16384" width="9.109375" style="18"/>
  </cols>
  <sheetData>
    <row r="1" spans="1:8" ht="46.5" customHeight="1" x14ac:dyDescent="0.3">
      <c r="A1" s="118" t="s">
        <v>236</v>
      </c>
      <c r="B1" s="118"/>
      <c r="C1" s="118"/>
      <c r="D1" s="118"/>
      <c r="E1" s="118"/>
      <c r="F1" s="118"/>
      <c r="G1" s="118"/>
      <c r="H1" s="118"/>
    </row>
    <row r="2" spans="1:8" ht="16.5" customHeight="1" x14ac:dyDescent="0.3">
      <c r="A2" s="99" t="s">
        <v>0</v>
      </c>
      <c r="B2" s="99"/>
      <c r="C2" s="99"/>
      <c r="D2" s="99"/>
      <c r="E2" s="99"/>
      <c r="F2" s="99"/>
      <c r="G2" s="99"/>
      <c r="H2" s="99"/>
    </row>
    <row r="3" spans="1:8" x14ac:dyDescent="0.3">
      <c r="A3" s="91" t="s">
        <v>1</v>
      </c>
      <c r="B3" s="91"/>
      <c r="C3" s="91"/>
      <c r="D3" s="91"/>
      <c r="E3" s="91" t="str">
        <f ca="1">TEXT(TODAY(),"DD/MM/YYYY")</f>
        <v>18/08/2025</v>
      </c>
      <c r="F3" s="91"/>
      <c r="G3" s="91"/>
      <c r="H3" s="91"/>
    </row>
    <row r="4" spans="1:8" ht="15" customHeight="1" x14ac:dyDescent="0.3">
      <c r="A4" s="91" t="s">
        <v>2</v>
      </c>
      <c r="B4" s="91"/>
      <c r="C4" s="91"/>
      <c r="D4" s="91"/>
      <c r="E4" s="91" t="s">
        <v>177</v>
      </c>
      <c r="F4" s="91"/>
      <c r="G4" s="91"/>
      <c r="H4" s="91"/>
    </row>
    <row r="5" spans="1:8" x14ac:dyDescent="0.3">
      <c r="A5" s="91" t="s">
        <v>3</v>
      </c>
      <c r="B5" s="91"/>
      <c r="C5" s="91"/>
      <c r="D5" s="91"/>
      <c r="E5" s="117">
        <v>45883</v>
      </c>
      <c r="F5" s="91"/>
      <c r="G5" s="91"/>
      <c r="H5" s="91"/>
    </row>
    <row r="6" spans="1:8" ht="16.5" customHeight="1" x14ac:dyDescent="0.3">
      <c r="A6" s="91" t="s">
        <v>4</v>
      </c>
      <c r="B6" s="91"/>
      <c r="C6" s="91"/>
      <c r="D6" s="91"/>
      <c r="E6" s="91" t="s">
        <v>222</v>
      </c>
      <c r="F6" s="91"/>
      <c r="G6" s="91"/>
      <c r="H6" s="91"/>
    </row>
    <row r="7" spans="1:8" ht="15" customHeight="1" x14ac:dyDescent="0.3">
      <c r="A7" s="91" t="s">
        <v>5</v>
      </c>
      <c r="B7" s="91"/>
      <c r="C7" s="91"/>
      <c r="D7" s="91"/>
      <c r="E7" s="91" t="str">
        <f>E6</f>
        <v>ANA Realty</v>
      </c>
      <c r="F7" s="91"/>
      <c r="G7" s="91"/>
      <c r="H7" s="91"/>
    </row>
    <row r="8" spans="1:8" x14ac:dyDescent="0.3">
      <c r="A8" s="91" t="s">
        <v>6</v>
      </c>
      <c r="B8" s="91"/>
      <c r="C8" s="91"/>
      <c r="D8" s="91"/>
      <c r="E8" s="92" t="s">
        <v>178</v>
      </c>
      <c r="F8" s="92"/>
      <c r="G8" s="92"/>
      <c r="H8" s="92"/>
    </row>
    <row r="9" spans="1:8" x14ac:dyDescent="0.3">
      <c r="A9" s="91" t="s">
        <v>174</v>
      </c>
      <c r="B9" s="91"/>
      <c r="C9" s="91"/>
      <c r="D9" s="91"/>
      <c r="E9" s="91">
        <v>9833463001</v>
      </c>
      <c r="F9" s="91"/>
      <c r="G9" s="91"/>
      <c r="H9" s="91"/>
    </row>
    <row r="10" spans="1:8" x14ac:dyDescent="0.3">
      <c r="A10" s="91" t="s">
        <v>175</v>
      </c>
      <c r="B10" s="91"/>
      <c r="C10" s="91"/>
      <c r="D10" s="91"/>
      <c r="E10" s="91" t="s">
        <v>241</v>
      </c>
      <c r="F10" s="91"/>
      <c r="G10" s="91"/>
      <c r="H10" s="91"/>
    </row>
    <row r="11" spans="1:8" x14ac:dyDescent="0.3">
      <c r="A11" s="91" t="s">
        <v>7</v>
      </c>
      <c r="B11" s="91"/>
      <c r="C11" s="91"/>
      <c r="D11" s="91"/>
      <c r="E11" s="91" t="s">
        <v>179</v>
      </c>
      <c r="F11" s="91"/>
      <c r="G11" s="91"/>
      <c r="H11" s="91"/>
    </row>
    <row r="12" spans="1:8" ht="17.25" customHeight="1" x14ac:dyDescent="0.3">
      <c r="A12" s="68" t="s">
        <v>8</v>
      </c>
      <c r="B12" s="68"/>
      <c r="C12" s="68"/>
      <c r="D12" s="68"/>
      <c r="E12" s="103" t="s">
        <v>180</v>
      </c>
      <c r="F12" s="103"/>
      <c r="G12" s="103"/>
      <c r="H12" s="103"/>
    </row>
    <row r="13" spans="1:8" x14ac:dyDescent="0.3">
      <c r="A13" s="68" t="s">
        <v>9</v>
      </c>
      <c r="B13" s="68"/>
      <c r="C13" s="68"/>
      <c r="D13" s="68"/>
      <c r="E13" s="103" t="s">
        <v>181</v>
      </c>
      <c r="F13" s="91"/>
      <c r="G13" s="91"/>
      <c r="H13" s="91"/>
    </row>
    <row r="14" spans="1:8" ht="33" customHeight="1" x14ac:dyDescent="0.3">
      <c r="A14" s="94" t="s">
        <v>10</v>
      </c>
      <c r="B14" s="94"/>
      <c r="C14" s="94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Zillion Tower, Plot No.33, Sector No.56, near Shree Heights, Internal Road, , Chanje, Dronagiri New, Uran, Raigad - 400702.</v>
      </c>
      <c r="D14" s="94"/>
      <c r="E14" s="94"/>
      <c r="F14" s="94"/>
      <c r="G14" s="94"/>
      <c r="H14" s="94"/>
    </row>
    <row r="15" spans="1:8" x14ac:dyDescent="0.3">
      <c r="A15" s="103" t="s">
        <v>182</v>
      </c>
      <c r="B15" s="103"/>
      <c r="C15" s="103" t="s">
        <v>223</v>
      </c>
      <c r="D15" s="103"/>
      <c r="E15" s="103"/>
      <c r="F15" s="103"/>
      <c r="G15" s="103"/>
      <c r="H15" s="103"/>
    </row>
    <row r="16" spans="1:8" ht="15.75" hidden="1" customHeight="1" x14ac:dyDescent="0.3">
      <c r="A16" s="103" t="s">
        <v>173</v>
      </c>
      <c r="B16" s="103"/>
      <c r="C16" s="103"/>
      <c r="D16" s="103"/>
      <c r="E16" s="103"/>
      <c r="F16" s="103"/>
      <c r="G16" s="103"/>
      <c r="H16" s="103"/>
    </row>
    <row r="17" spans="1:8" ht="15.75" customHeight="1" x14ac:dyDescent="0.3">
      <c r="A17" s="94" t="s">
        <v>11</v>
      </c>
      <c r="B17" s="94"/>
      <c r="C17" s="91" t="s">
        <v>183</v>
      </c>
      <c r="D17" s="91"/>
      <c r="E17" s="94" t="s">
        <v>77</v>
      </c>
      <c r="F17" s="94"/>
      <c r="G17" s="103" t="s">
        <v>220</v>
      </c>
      <c r="H17" s="103"/>
    </row>
    <row r="18" spans="1:8" x14ac:dyDescent="0.3">
      <c r="A18" s="68" t="s">
        <v>13</v>
      </c>
      <c r="B18" s="68"/>
      <c r="C18" s="103" t="s">
        <v>189</v>
      </c>
      <c r="D18" s="103"/>
      <c r="E18" s="94" t="s">
        <v>12</v>
      </c>
      <c r="F18" s="94"/>
      <c r="G18" s="116" t="s">
        <v>184</v>
      </c>
      <c r="H18" s="116"/>
    </row>
    <row r="19" spans="1:8" x14ac:dyDescent="0.3">
      <c r="A19" s="68" t="s">
        <v>78</v>
      </c>
      <c r="B19" s="68"/>
      <c r="C19" s="103" t="s">
        <v>185</v>
      </c>
      <c r="D19" s="103"/>
      <c r="E19" s="94" t="s">
        <v>14</v>
      </c>
      <c r="F19" s="94"/>
      <c r="G19" s="103">
        <v>400702</v>
      </c>
      <c r="H19" s="103"/>
    </row>
    <row r="20" spans="1:8" ht="32.25" customHeight="1" x14ac:dyDescent="0.3">
      <c r="A20" s="68" t="s">
        <v>129</v>
      </c>
      <c r="B20" s="68"/>
      <c r="C20" s="103" t="s">
        <v>224</v>
      </c>
      <c r="D20" s="103"/>
      <c r="E20" s="94" t="s">
        <v>15</v>
      </c>
      <c r="F20" s="94"/>
      <c r="G20" s="103" t="s">
        <v>225</v>
      </c>
      <c r="H20" s="103"/>
    </row>
    <row r="21" spans="1:8" ht="15" customHeight="1" x14ac:dyDescent="0.3">
      <c r="A21" s="94" t="s">
        <v>81</v>
      </c>
      <c r="B21" s="94"/>
      <c r="C21" s="94"/>
      <c r="D21" s="94"/>
      <c r="E21" s="91" t="s">
        <v>16</v>
      </c>
      <c r="F21" s="91"/>
      <c r="G21" s="91"/>
      <c r="H21" s="91"/>
    </row>
    <row r="22" spans="1:8" ht="18.75" customHeight="1" x14ac:dyDescent="0.3">
      <c r="A22" s="94"/>
      <c r="B22" s="94"/>
      <c r="C22" s="94"/>
      <c r="D22" s="94"/>
      <c r="E22" s="91"/>
      <c r="F22" s="91"/>
      <c r="G22" s="91"/>
      <c r="H22" s="91"/>
    </row>
    <row r="23" spans="1:8" ht="15" customHeight="1" x14ac:dyDescent="0.3">
      <c r="A23" s="94" t="s">
        <v>17</v>
      </c>
      <c r="B23" s="94"/>
      <c r="C23" s="94"/>
      <c r="D23" s="94"/>
      <c r="E23" s="103" t="s">
        <v>18</v>
      </c>
      <c r="F23" s="103"/>
      <c r="G23" s="103"/>
      <c r="H23" s="103"/>
    </row>
    <row r="24" spans="1:8" ht="15" customHeight="1" x14ac:dyDescent="0.3">
      <c r="A24" s="68" t="s">
        <v>19</v>
      </c>
      <c r="B24" s="68"/>
      <c r="C24" s="68"/>
      <c r="D24" s="68"/>
      <c r="E24" s="103" t="str">
        <f>IF(AND(G18="Mumbai"),"Upper Class","Middle Class")</f>
        <v>Middle Class</v>
      </c>
      <c r="F24" s="103"/>
      <c r="G24" s="103"/>
      <c r="H24" s="103"/>
    </row>
    <row r="25" spans="1:8" x14ac:dyDescent="0.3">
      <c r="A25" s="68" t="s">
        <v>20</v>
      </c>
      <c r="B25" s="68"/>
      <c r="C25" s="68"/>
      <c r="D25" s="68"/>
      <c r="E25" s="103" t="s">
        <v>21</v>
      </c>
      <c r="F25" s="103"/>
      <c r="G25" s="103"/>
      <c r="H25" s="103"/>
    </row>
    <row r="26" spans="1:8" ht="15.75" customHeight="1" x14ac:dyDescent="0.3">
      <c r="A26" s="68" t="s">
        <v>22</v>
      </c>
      <c r="B26" s="68"/>
      <c r="C26" s="68"/>
      <c r="D26" s="68"/>
      <c r="E26" s="103" t="str">
        <f>IF(AND(G18="Mumbai"),"Developed","Developing")</f>
        <v>Developing</v>
      </c>
      <c r="F26" s="103"/>
      <c r="G26" s="103"/>
      <c r="H26" s="103"/>
    </row>
    <row r="27" spans="1:8" x14ac:dyDescent="0.3">
      <c r="A27" s="68" t="s">
        <v>23</v>
      </c>
      <c r="B27" s="68"/>
      <c r="C27" s="68"/>
      <c r="D27" s="68"/>
      <c r="E27" s="103" t="s">
        <v>24</v>
      </c>
      <c r="F27" s="103"/>
      <c r="G27" s="103"/>
      <c r="H27" s="103"/>
    </row>
    <row r="28" spans="1:8" ht="15.75" customHeight="1" x14ac:dyDescent="0.3">
      <c r="A28" s="68" t="s">
        <v>86</v>
      </c>
      <c r="B28" s="68"/>
      <c r="C28" s="68"/>
      <c r="D28" s="68"/>
      <c r="E28" s="103" t="s">
        <v>87</v>
      </c>
      <c r="F28" s="103"/>
      <c r="G28" s="103"/>
      <c r="H28" s="103"/>
    </row>
    <row r="29" spans="1:8" ht="15" customHeight="1" x14ac:dyDescent="0.3">
      <c r="A29" s="68" t="s">
        <v>35</v>
      </c>
      <c r="B29" s="68"/>
      <c r="C29" s="68"/>
      <c r="D29" s="68"/>
      <c r="E29" s="103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03"/>
      <c r="G29" s="103"/>
      <c r="H29" s="103"/>
    </row>
    <row r="30" spans="1:8" ht="15.75" customHeight="1" x14ac:dyDescent="0.3">
      <c r="A30" s="68" t="s">
        <v>98</v>
      </c>
      <c r="B30" s="68"/>
      <c r="C30" s="68"/>
      <c r="D30" s="68"/>
      <c r="E30" s="103" t="s">
        <v>36</v>
      </c>
      <c r="F30" s="103"/>
      <c r="G30" s="103"/>
      <c r="H30" s="103"/>
    </row>
    <row r="31" spans="1:8" s="19" customFormat="1" x14ac:dyDescent="0.3">
      <c r="A31" s="115" t="s">
        <v>99</v>
      </c>
      <c r="B31" s="115"/>
      <c r="C31" s="84" t="s">
        <v>29</v>
      </c>
      <c r="D31" s="84"/>
      <c r="E31" s="84"/>
      <c r="F31" s="84" t="s">
        <v>31</v>
      </c>
      <c r="G31" s="84"/>
      <c r="H31" s="84"/>
    </row>
    <row r="32" spans="1:8" s="19" customFormat="1" x14ac:dyDescent="0.3">
      <c r="A32" s="96" t="s">
        <v>25</v>
      </c>
      <c r="B32" s="96" t="s">
        <v>30</v>
      </c>
      <c r="C32" s="97" t="s">
        <v>30</v>
      </c>
      <c r="D32" s="97"/>
      <c r="E32" s="97"/>
      <c r="F32" s="97" t="s">
        <v>190</v>
      </c>
      <c r="G32" s="97"/>
      <c r="H32" s="97"/>
    </row>
    <row r="33" spans="1:8" x14ac:dyDescent="0.3">
      <c r="A33" s="96" t="s">
        <v>26</v>
      </c>
      <c r="B33" s="96" t="s">
        <v>30</v>
      </c>
      <c r="C33" s="97" t="s">
        <v>30</v>
      </c>
      <c r="D33" s="97"/>
      <c r="E33" s="97"/>
      <c r="F33" s="97" t="s">
        <v>183</v>
      </c>
      <c r="G33" s="97"/>
      <c r="H33" s="97"/>
    </row>
    <row r="34" spans="1:8" s="19" customFormat="1" x14ac:dyDescent="0.3">
      <c r="A34" s="96" t="s">
        <v>28</v>
      </c>
      <c r="B34" s="96" t="s">
        <v>30</v>
      </c>
      <c r="C34" s="97" t="s">
        <v>30</v>
      </c>
      <c r="D34" s="97"/>
      <c r="E34" s="97"/>
      <c r="F34" s="97" t="s">
        <v>190</v>
      </c>
      <c r="G34" s="97"/>
      <c r="H34" s="97"/>
    </row>
    <row r="35" spans="1:8" x14ac:dyDescent="0.3">
      <c r="A35" s="96" t="s">
        <v>27</v>
      </c>
      <c r="B35" s="96" t="s">
        <v>30</v>
      </c>
      <c r="C35" s="97" t="s">
        <v>30</v>
      </c>
      <c r="D35" s="97"/>
      <c r="E35" s="97"/>
      <c r="F35" s="97" t="s">
        <v>183</v>
      </c>
      <c r="G35" s="97"/>
      <c r="H35" s="97"/>
    </row>
    <row r="36" spans="1:8" x14ac:dyDescent="0.3">
      <c r="A36" s="68" t="s">
        <v>32</v>
      </c>
      <c r="B36" s="68"/>
      <c r="C36" s="68"/>
      <c r="D36" s="68"/>
      <c r="E36" s="68"/>
      <c r="F36" s="68"/>
      <c r="G36" s="68"/>
      <c r="H36" s="68"/>
    </row>
    <row r="37" spans="1:8" ht="15.75" customHeight="1" x14ac:dyDescent="0.3">
      <c r="A37" s="99" t="s">
        <v>33</v>
      </c>
      <c r="B37" s="99"/>
      <c r="C37" s="100">
        <v>18.864332999999998</v>
      </c>
      <c r="D37" s="100"/>
      <c r="E37" s="99" t="s">
        <v>34</v>
      </c>
      <c r="F37" s="99"/>
      <c r="G37" s="101">
        <v>72.957474000000005</v>
      </c>
      <c r="H37" s="101"/>
    </row>
    <row r="38" spans="1:8" x14ac:dyDescent="0.3">
      <c r="A38" s="99" t="s">
        <v>172</v>
      </c>
      <c r="B38" s="99"/>
      <c r="C38" s="102" t="s">
        <v>176</v>
      </c>
      <c r="D38" s="103"/>
      <c r="E38" s="103"/>
      <c r="F38" s="103"/>
      <c r="G38" s="103"/>
      <c r="H38" s="103"/>
    </row>
    <row r="39" spans="1:8" x14ac:dyDescent="0.3">
      <c r="A39" s="85" t="s">
        <v>37</v>
      </c>
      <c r="B39" s="85"/>
      <c r="C39" s="85"/>
      <c r="D39" s="85"/>
      <c r="E39" s="85"/>
      <c r="F39" s="85"/>
      <c r="G39" s="85"/>
      <c r="H39" s="85"/>
    </row>
    <row r="40" spans="1:8" x14ac:dyDescent="0.3">
      <c r="A40" s="68" t="s">
        <v>38</v>
      </c>
      <c r="B40" s="68"/>
      <c r="C40" s="68"/>
      <c r="D40" s="68"/>
      <c r="E40" s="98">
        <v>2899.87</v>
      </c>
      <c r="F40" s="98"/>
      <c r="G40" s="98"/>
      <c r="H40" s="98"/>
    </row>
    <row r="41" spans="1:8" x14ac:dyDescent="0.3">
      <c r="A41" s="68" t="s">
        <v>39</v>
      </c>
      <c r="B41" s="68"/>
      <c r="C41" s="68"/>
      <c r="D41" s="68"/>
      <c r="E41" s="89">
        <v>1.5</v>
      </c>
      <c r="F41" s="89"/>
      <c r="G41" s="89"/>
      <c r="H41" s="89"/>
    </row>
    <row r="42" spans="1:8" x14ac:dyDescent="0.3">
      <c r="A42" s="68" t="s">
        <v>40</v>
      </c>
      <c r="B42" s="68"/>
      <c r="C42" s="68"/>
      <c r="D42" s="68"/>
      <c r="E42" s="89">
        <f>E44/E40-E41</f>
        <v>-1.3914416853166856E-3</v>
      </c>
      <c r="F42" s="89"/>
      <c r="G42" s="89"/>
      <c r="H42" s="89"/>
    </row>
    <row r="43" spans="1:8" x14ac:dyDescent="0.3">
      <c r="A43" s="68" t="s">
        <v>41</v>
      </c>
      <c r="B43" s="68"/>
      <c r="C43" s="68"/>
      <c r="D43" s="68"/>
      <c r="E43" s="89">
        <f>E41+E42</f>
        <v>1.4986085583146833</v>
      </c>
      <c r="F43" s="89"/>
      <c r="G43" s="89"/>
      <c r="H43" s="89"/>
    </row>
    <row r="44" spans="1:8" x14ac:dyDescent="0.3">
      <c r="A44" s="68" t="s">
        <v>97</v>
      </c>
      <c r="B44" s="68"/>
      <c r="C44" s="68"/>
      <c r="D44" s="68"/>
      <c r="E44" s="90">
        <v>4345.7700000000004</v>
      </c>
      <c r="F44" s="90"/>
      <c r="G44" s="90"/>
      <c r="H44" s="90"/>
    </row>
    <row r="45" spans="1:8" x14ac:dyDescent="0.3">
      <c r="A45" s="91" t="s">
        <v>42</v>
      </c>
      <c r="B45" s="91"/>
      <c r="C45" s="91"/>
      <c r="D45" s="91"/>
      <c r="E45" s="91" t="s">
        <v>179</v>
      </c>
      <c r="F45" s="91"/>
      <c r="G45" s="91"/>
      <c r="H45" s="91"/>
    </row>
    <row r="46" spans="1:8" x14ac:dyDescent="0.3">
      <c r="A46" s="85" t="s">
        <v>43</v>
      </c>
      <c r="B46" s="85"/>
      <c r="C46" s="85"/>
      <c r="D46" s="85"/>
      <c r="E46" s="85"/>
      <c r="F46" s="85"/>
      <c r="G46" s="85"/>
      <c r="H46" s="85"/>
    </row>
    <row r="47" spans="1:8" ht="33.75" customHeight="1" x14ac:dyDescent="0.3">
      <c r="A47" s="62" t="s">
        <v>160</v>
      </c>
      <c r="B47" s="63"/>
      <c r="C47" s="64" t="s">
        <v>226</v>
      </c>
      <c r="D47" s="65"/>
      <c r="E47" s="65"/>
      <c r="F47" s="65"/>
      <c r="G47" s="65"/>
      <c r="H47" s="66"/>
    </row>
    <row r="48" spans="1:8" ht="31.5" customHeight="1" x14ac:dyDescent="0.3">
      <c r="A48" s="62" t="s">
        <v>44</v>
      </c>
      <c r="B48" s="63"/>
      <c r="C48" s="62" t="s">
        <v>186</v>
      </c>
      <c r="D48" s="136"/>
      <c r="E48" s="63"/>
      <c r="F48" s="16" t="s">
        <v>45</v>
      </c>
      <c r="G48" s="109">
        <v>43496</v>
      </c>
      <c r="H48" s="63"/>
    </row>
    <row r="49" spans="1:14" ht="31.5" customHeight="1" x14ac:dyDescent="0.3">
      <c r="A49" s="62" t="s">
        <v>46</v>
      </c>
      <c r="B49" s="63"/>
      <c r="C49" s="62" t="str">
        <f>C48</f>
        <v>CIDCO/BP-16119/TPO(NM &amp; K)/2018/3888</v>
      </c>
      <c r="D49" s="136"/>
      <c r="E49" s="63"/>
      <c r="F49" s="16" t="s">
        <v>45</v>
      </c>
      <c r="G49" s="109">
        <f>G48</f>
        <v>43496</v>
      </c>
      <c r="H49" s="110"/>
    </row>
    <row r="50" spans="1:14" s="20" customFormat="1" ht="31.5" customHeight="1" x14ac:dyDescent="0.3">
      <c r="A50" s="111" t="s">
        <v>187</v>
      </c>
      <c r="B50" s="112"/>
      <c r="C50" s="62" t="s">
        <v>186</v>
      </c>
      <c r="D50" s="136"/>
      <c r="E50" s="63"/>
      <c r="F50" s="16" t="s">
        <v>45</v>
      </c>
      <c r="G50" s="109">
        <f>G49</f>
        <v>43496</v>
      </c>
      <c r="H50" s="110"/>
    </row>
    <row r="51" spans="1:14" s="20" customFormat="1" x14ac:dyDescent="0.3">
      <c r="A51" s="113"/>
      <c r="B51" s="114"/>
      <c r="C51" s="62" t="s">
        <v>188</v>
      </c>
      <c r="D51" s="136"/>
      <c r="E51" s="136"/>
      <c r="F51" s="136"/>
      <c r="G51" s="136"/>
      <c r="H51" s="63"/>
    </row>
    <row r="52" spans="1:14" x14ac:dyDescent="0.3">
      <c r="A52" s="131" t="s">
        <v>47</v>
      </c>
      <c r="B52" s="132"/>
      <c r="C52" s="131" t="s">
        <v>109</v>
      </c>
      <c r="D52" s="133"/>
      <c r="E52" s="132"/>
      <c r="F52" s="41" t="s">
        <v>45</v>
      </c>
      <c r="G52" s="134" t="s">
        <v>30</v>
      </c>
      <c r="H52" s="135"/>
    </row>
    <row r="53" spans="1:14" x14ac:dyDescent="0.3">
      <c r="A53" s="123" t="s">
        <v>49</v>
      </c>
      <c r="B53" s="123"/>
      <c r="C53" s="123"/>
      <c r="D53" s="123"/>
      <c r="E53" s="123"/>
      <c r="F53" s="123"/>
      <c r="G53" s="123"/>
      <c r="H53" s="123"/>
    </row>
    <row r="54" spans="1:14" x14ac:dyDescent="0.3">
      <c r="A54" s="94" t="s">
        <v>96</v>
      </c>
      <c r="B54" s="94"/>
      <c r="C54" s="94"/>
      <c r="D54" s="68">
        <f>E44</f>
        <v>4345.7700000000004</v>
      </c>
      <c r="E54" s="68"/>
      <c r="F54" s="68"/>
      <c r="G54" s="68"/>
      <c r="H54" s="68"/>
    </row>
    <row r="55" spans="1:14" x14ac:dyDescent="0.3">
      <c r="A55" s="103" t="s">
        <v>50</v>
      </c>
      <c r="B55" s="91"/>
      <c r="C55" s="91"/>
      <c r="D55" s="91" t="s">
        <v>218</v>
      </c>
      <c r="E55" s="91"/>
      <c r="F55" s="91"/>
      <c r="G55" s="91"/>
      <c r="H55" s="91"/>
      <c r="I55" s="21"/>
    </row>
    <row r="56" spans="1:14" x14ac:dyDescent="0.3">
      <c r="A56" s="106" t="s">
        <v>51</v>
      </c>
      <c r="B56" s="107"/>
      <c r="C56" s="108"/>
      <c r="D56" s="104" t="s">
        <v>188</v>
      </c>
      <c r="E56" s="105"/>
      <c r="F56" s="105"/>
      <c r="G56" s="105"/>
      <c r="H56" s="105"/>
    </row>
    <row r="57" spans="1:14" ht="15.75" customHeight="1" x14ac:dyDescent="0.3">
      <c r="A57" s="106" t="s">
        <v>94</v>
      </c>
      <c r="B57" s="107"/>
      <c r="C57" s="107"/>
      <c r="D57" s="139" t="s">
        <v>188</v>
      </c>
      <c r="E57" s="140"/>
      <c r="F57" s="140"/>
      <c r="G57" s="140"/>
      <c r="H57" s="141"/>
    </row>
    <row r="58" spans="1:14" ht="15.75" customHeight="1" x14ac:dyDescent="0.3">
      <c r="A58" s="68" t="s">
        <v>48</v>
      </c>
      <c r="B58" s="68"/>
      <c r="C58" s="68"/>
      <c r="D58" s="86" t="s">
        <v>243</v>
      </c>
      <c r="E58" s="86"/>
      <c r="F58" s="86"/>
      <c r="G58" s="86"/>
      <c r="H58" s="86"/>
      <c r="J58" s="22"/>
      <c r="K58" s="21"/>
      <c r="N58" s="21"/>
    </row>
    <row r="59" spans="1:14" ht="15.75" customHeight="1" x14ac:dyDescent="0.3">
      <c r="A59" s="68" t="s">
        <v>92</v>
      </c>
      <c r="B59" s="68"/>
      <c r="C59" s="68"/>
      <c r="D59" s="88" t="str">
        <f>(IF(G52="NA","60 Years After Completion",IF(G52&lt;&gt;"NA",""&amp;60-ROUNDDOWN((E3-G52)/360,0)&amp;" Years"," ")))</f>
        <v>60 Years After Completion</v>
      </c>
      <c r="E59" s="88"/>
      <c r="F59" s="88"/>
      <c r="G59" s="88"/>
      <c r="H59" s="88"/>
      <c r="N59" s="21"/>
    </row>
    <row r="60" spans="1:14" ht="15.75" customHeight="1" x14ac:dyDescent="0.3">
      <c r="A60" s="68" t="s">
        <v>93</v>
      </c>
      <c r="B60" s="68"/>
      <c r="C60" s="68"/>
      <c r="D60" s="94" t="s">
        <v>24</v>
      </c>
      <c r="E60" s="94"/>
      <c r="F60" s="94"/>
      <c r="G60" s="94"/>
      <c r="H60" s="94"/>
      <c r="J60" s="23"/>
      <c r="K60" s="23"/>
    </row>
    <row r="61" spans="1:14" ht="31.5" customHeight="1" x14ac:dyDescent="0.3">
      <c r="A61" s="68" t="s">
        <v>79</v>
      </c>
      <c r="B61" s="68"/>
      <c r="C61" s="68"/>
      <c r="D61" s="103" t="s">
        <v>221</v>
      </c>
      <c r="E61" s="94"/>
      <c r="F61" s="94"/>
      <c r="G61" s="94"/>
      <c r="H61" s="94"/>
    </row>
    <row r="62" spans="1:14" x14ac:dyDescent="0.3">
      <c r="A62" s="94" t="s">
        <v>157</v>
      </c>
      <c r="B62" s="94"/>
      <c r="C62" s="94"/>
      <c r="D62" s="94" t="s">
        <v>30</v>
      </c>
      <c r="E62" s="94"/>
      <c r="F62" s="94"/>
      <c r="G62" s="94"/>
      <c r="H62" s="94"/>
      <c r="I62" s="24"/>
      <c r="J62" s="24"/>
      <c r="K62" s="24"/>
      <c r="L62" s="24"/>
      <c r="M62" s="24"/>
      <c r="N62" s="24"/>
    </row>
    <row r="63" spans="1:14" ht="15.75" customHeight="1" x14ac:dyDescent="0.3">
      <c r="A63" s="68" t="s">
        <v>91</v>
      </c>
      <c r="B63" s="68"/>
      <c r="C63" s="68"/>
      <c r="D63" s="103" t="str">
        <f ca="1">(IF(G69&gt;95%,"Nothing",IF(G69&gt;0%,"Cement, Aggregate, Steel, etc",IF(G69=0%,"Work not yet Started"))))</f>
        <v>Cement, Aggregate, Steel, etc</v>
      </c>
      <c r="E63" s="103"/>
      <c r="F63" s="103"/>
      <c r="G63" s="103"/>
      <c r="H63" s="103"/>
      <c r="J63" s="23"/>
    </row>
    <row r="64" spans="1:14" ht="33.75" customHeight="1" thickBot="1" x14ac:dyDescent="0.35">
      <c r="A64" s="94" t="s">
        <v>122</v>
      </c>
      <c r="B64" s="94"/>
      <c r="C64" s="94"/>
      <c r="D64" s="103" t="str">
        <f ca="1">(IF(D63="Nothing","Yes",IF(D63="Cement, Aggregate, Steel, etc","Under Construction",IF(D63="Work not yet Started","Work not yet Started"))))</f>
        <v>Under Construction</v>
      </c>
      <c r="E64" s="103"/>
      <c r="F64" s="103" t="str">
        <f ca="1">(IF(D63="Nothing","Yes",IF(D63="Cement, Aggregate, Steel, etc","Under Construction",IF(D63="Work not yet Started","Work not yet Started"))))</f>
        <v>Under Construction</v>
      </c>
      <c r="G64" s="103"/>
      <c r="H64" s="103"/>
    </row>
    <row r="65" spans="1:11" ht="15.75" customHeight="1" x14ac:dyDescent="0.3">
      <c r="A65" s="93" t="s">
        <v>147</v>
      </c>
      <c r="B65" s="93"/>
      <c r="C65" s="93" t="str">
        <f>D57</f>
        <v>Gr + 1st to 14th Floor</v>
      </c>
      <c r="D65" s="93"/>
      <c r="E65" s="93"/>
      <c r="F65" s="93"/>
      <c r="G65" s="93"/>
      <c r="H65" s="93"/>
      <c r="I65" s="49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 Completed, External Plaster upto 10 Floor Completed</v>
      </c>
      <c r="J65" s="43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External Plaster upto 10 Floor</v>
      </c>
    </row>
    <row r="66" spans="1:11" x14ac:dyDescent="0.3">
      <c r="A66" s="48" t="s">
        <v>149</v>
      </c>
      <c r="B66" s="48">
        <v>0</v>
      </c>
      <c r="C66" s="48" t="s">
        <v>76</v>
      </c>
      <c r="D66" s="48">
        <v>1</v>
      </c>
      <c r="E66" s="48" t="s">
        <v>75</v>
      </c>
      <c r="F66" s="48">
        <v>0</v>
      </c>
      <c r="G66" s="48" t="s">
        <v>85</v>
      </c>
      <c r="H66" s="48">
        <f ca="1">--TRIM(RIGHT(SUBSTITUTE(LEFT(C65,_xlfn.AGGREGATE(16,6,FIND({0,1,2,3,4,5,6,7,8,9},C65,ROW(INDIRECT("1:"&amp;LEN(C65)))),1))," ",REPT(" ",LEN(C65))),LEN(C65)))</f>
        <v>14</v>
      </c>
      <c r="I66" s="50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</v>
      </c>
      <c r="J66" s="44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1" ht="36" customHeight="1" x14ac:dyDescent="0.3">
      <c r="A67" s="92" t="s">
        <v>95</v>
      </c>
      <c r="B67" s="92"/>
      <c r="C67" s="95" t="str">
        <f ca="1">I65</f>
        <v>Excavation, Plinth, RCC Slab, Brickwork, Internal Plaster Completed, External Plaster upto 10 Floor Completed</v>
      </c>
      <c r="D67" s="95"/>
      <c r="E67" s="95"/>
      <c r="F67" s="95"/>
      <c r="G67" s="95"/>
      <c r="H67" s="95"/>
      <c r="I67" s="50" t="str">
        <f ca="1">IF(I66&lt;&gt;""," Completed","")</f>
        <v xml:space="preserve"> Completed</v>
      </c>
      <c r="J67" s="44" t="str">
        <f ca="1">IF(J65&lt;&gt;"","Completed","")</f>
        <v>Completed</v>
      </c>
    </row>
    <row r="68" spans="1:11" ht="15.75" customHeight="1" x14ac:dyDescent="0.3">
      <c r="A68" s="77" t="s">
        <v>52</v>
      </c>
      <c r="B68" s="77"/>
      <c r="C68" s="47" t="s">
        <v>146</v>
      </c>
      <c r="D68" s="47" t="s">
        <v>88</v>
      </c>
      <c r="E68" s="77" t="s">
        <v>90</v>
      </c>
      <c r="F68" s="77"/>
      <c r="G68" s="77" t="s">
        <v>89</v>
      </c>
      <c r="H68" s="77"/>
      <c r="I68" s="14" t="s">
        <v>148</v>
      </c>
      <c r="J68" s="25">
        <f ca="1">H66*25%</f>
        <v>3.5</v>
      </c>
    </row>
    <row r="69" spans="1:11" x14ac:dyDescent="0.3">
      <c r="A69" s="77" t="s">
        <v>135</v>
      </c>
      <c r="B69" s="77"/>
      <c r="C69" s="47">
        <f ca="1">J70</f>
        <v>14</v>
      </c>
      <c r="D69" s="17">
        <f ca="1">((100/H66)*C69)/100</f>
        <v>1</v>
      </c>
      <c r="E69" s="87">
        <f ca="1">(((C70/H66*10)+(40/(D66+F66+H66)*C71)+(7.5/(H66)*C72)+(7.5/(H66)*C73)+(10/H66*C74)+(10/H66*C75)+(5/H66*C76)+(5/H66*C77)+(5/H66*C78))/100)</f>
        <v>0.72142857142857142</v>
      </c>
      <c r="F69" s="87"/>
      <c r="G69" s="87">
        <f ca="1">((((C69/H66)*20)+((C70/H66)*25)+(30/(H66+F66+D66)*C71)+(5/H66*C72)+(5/H66*C73)+(5/H66*C74)+(5/H66*C75)+(0/H66*C76)+(0/H66*C77)+(5/H66*C78))/100)</f>
        <v>0.88571428571428568</v>
      </c>
      <c r="H69" s="87"/>
      <c r="I69" s="14" t="s">
        <v>104</v>
      </c>
      <c r="J69" s="26">
        <f ca="1">H66*50%</f>
        <v>7</v>
      </c>
    </row>
    <row r="70" spans="1:11" x14ac:dyDescent="0.3">
      <c r="A70" s="77" t="s">
        <v>53</v>
      </c>
      <c r="B70" s="77"/>
      <c r="C70" s="47">
        <f ca="1">J78</f>
        <v>14</v>
      </c>
      <c r="D70" s="17">
        <f ca="1">((100/H66)*C70)/100</f>
        <v>1</v>
      </c>
      <c r="E70" s="87"/>
      <c r="F70" s="87"/>
      <c r="G70" s="87"/>
      <c r="H70" s="87"/>
      <c r="I70" s="14" t="s">
        <v>105</v>
      </c>
      <c r="J70" s="26">
        <f ca="1">H66</f>
        <v>14</v>
      </c>
    </row>
    <row r="71" spans="1:11" ht="15.75" customHeight="1" x14ac:dyDescent="0.3">
      <c r="A71" s="77" t="s">
        <v>136</v>
      </c>
      <c r="B71" s="77"/>
      <c r="C71" s="47">
        <v>15</v>
      </c>
      <c r="D71" s="17">
        <f ca="1">((100/(D66+F66+H66))*C71)/100</f>
        <v>1</v>
      </c>
      <c r="E71" s="87"/>
      <c r="F71" s="87"/>
      <c r="G71" s="87"/>
      <c r="H71" s="87"/>
      <c r="I71" s="14" t="s">
        <v>106</v>
      </c>
      <c r="J71" s="27">
        <f ca="1">(IF(B66&gt;1,(H66/(B66+2)),H66/4))</f>
        <v>3.5</v>
      </c>
    </row>
    <row r="72" spans="1:11" ht="15.75" customHeight="1" x14ac:dyDescent="0.3">
      <c r="A72" s="77" t="s">
        <v>143</v>
      </c>
      <c r="B72" s="77" t="s">
        <v>137</v>
      </c>
      <c r="C72" s="47">
        <v>14</v>
      </c>
      <c r="D72" s="17">
        <f ca="1">((100/H66)*C72)/100</f>
        <v>1</v>
      </c>
      <c r="E72" s="87"/>
      <c r="F72" s="87"/>
      <c r="G72" s="87"/>
      <c r="H72" s="87"/>
      <c r="I72" s="14" t="s">
        <v>107</v>
      </c>
      <c r="J72" s="27">
        <f ca="1">(IF(B66&gt;1,(H66/(B66+2)+J71),H66/4+J71))</f>
        <v>7</v>
      </c>
    </row>
    <row r="73" spans="1:11" ht="15.75" customHeight="1" x14ac:dyDescent="0.3">
      <c r="A73" s="77" t="s">
        <v>144</v>
      </c>
      <c r="B73" s="77" t="s">
        <v>137</v>
      </c>
      <c r="C73" s="47">
        <v>14</v>
      </c>
      <c r="D73" s="17">
        <f ca="1">((100/H66)*C73)/100</f>
        <v>1</v>
      </c>
      <c r="E73" s="87"/>
      <c r="F73" s="87"/>
      <c r="G73" s="87"/>
      <c r="H73" s="87"/>
      <c r="I73" s="14" t="s">
        <v>155</v>
      </c>
      <c r="J73" s="27">
        <f>(IF(B66&gt;1,(H66/(B66+2)+J72),0))</f>
        <v>0</v>
      </c>
    </row>
    <row r="74" spans="1:11" ht="15" customHeight="1" x14ac:dyDescent="0.3">
      <c r="A74" s="77" t="s">
        <v>142</v>
      </c>
      <c r="B74" s="77" t="s">
        <v>139</v>
      </c>
      <c r="C74" s="47">
        <v>10</v>
      </c>
      <c r="D74" s="17">
        <f ca="1">((100/(H66))*C74)/100</f>
        <v>0.7142857142857143</v>
      </c>
      <c r="E74" s="87"/>
      <c r="F74" s="87"/>
      <c r="G74" s="87"/>
      <c r="H74" s="87"/>
      <c r="I74" s="14" t="s">
        <v>150</v>
      </c>
      <c r="J74" s="27">
        <f>(IF(B66&gt;2,(H66/(B66+2)+J73),0))</f>
        <v>0</v>
      </c>
    </row>
    <row r="75" spans="1:11" ht="15.75" customHeight="1" x14ac:dyDescent="0.3">
      <c r="A75" s="77" t="s">
        <v>138</v>
      </c>
      <c r="B75" s="77" t="s">
        <v>138</v>
      </c>
      <c r="C75" s="47">
        <v>0</v>
      </c>
      <c r="D75" s="17">
        <f ca="1">((100/H66)*C75)/100</f>
        <v>0</v>
      </c>
      <c r="E75" s="87"/>
      <c r="F75" s="87"/>
      <c r="G75" s="87"/>
      <c r="H75" s="87"/>
      <c r="I75" s="14" t="s">
        <v>151</v>
      </c>
      <c r="J75" s="28">
        <f>(IF(B66&gt;3,(H66/(B66+2)+J74),0))</f>
        <v>0</v>
      </c>
    </row>
    <row r="76" spans="1:11" ht="15.75" customHeight="1" x14ac:dyDescent="0.3">
      <c r="A76" s="77" t="s">
        <v>145</v>
      </c>
      <c r="B76" s="77"/>
      <c r="C76" s="47">
        <v>0</v>
      </c>
      <c r="D76" s="17">
        <f ca="1">((100/H66)*C76)/100</f>
        <v>0</v>
      </c>
      <c r="E76" s="87"/>
      <c r="F76" s="87"/>
      <c r="G76" s="87"/>
      <c r="H76" s="87"/>
      <c r="I76" s="14" t="s">
        <v>152</v>
      </c>
      <c r="J76" s="27">
        <f>(IF(B66&gt;4,(H66/(B66+2)+J75),0))</f>
        <v>0</v>
      </c>
    </row>
    <row r="77" spans="1:11" ht="15.75" customHeight="1" x14ac:dyDescent="0.3">
      <c r="A77" s="77" t="s">
        <v>140</v>
      </c>
      <c r="B77" s="77" t="s">
        <v>140</v>
      </c>
      <c r="C77" s="47">
        <v>0</v>
      </c>
      <c r="D77" s="17">
        <f ca="1">((100/(H66))*C77)/100</f>
        <v>0</v>
      </c>
      <c r="E77" s="87"/>
      <c r="F77" s="87"/>
      <c r="G77" s="87"/>
      <c r="H77" s="87"/>
      <c r="I77" s="14" t="s">
        <v>156</v>
      </c>
      <c r="J77" s="27">
        <f ca="1">(IF(B66=1,(H66/(B66+3)+J72),IF(B66=0,(H66/4+J72),IF(B66&gt;1,0))))</f>
        <v>10.5</v>
      </c>
    </row>
    <row r="78" spans="1:11" ht="16.2" thickBot="1" x14ac:dyDescent="0.35">
      <c r="A78" s="77" t="s">
        <v>141</v>
      </c>
      <c r="B78" s="77"/>
      <c r="C78" s="47">
        <v>0</v>
      </c>
      <c r="D78" s="17">
        <f ca="1">((100/(H66))*C78)/100</f>
        <v>0</v>
      </c>
      <c r="E78" s="87"/>
      <c r="F78" s="87"/>
      <c r="G78" s="87"/>
      <c r="H78" s="87"/>
      <c r="I78" s="15" t="s">
        <v>108</v>
      </c>
      <c r="J78" s="29">
        <f ca="1">(IF(B66&gt;1.5,(H66/(B66+2)+J72+MAX(0,J73-J72)+MAX(0,J74-J73)+MAX(0,J75-J74)+MAX(0,J76-J75)+MAX(0,J77-J76)),IF(B66=1,(H66/(B66+3)+J77),IF(B66=0,H66/4+J77))))</f>
        <v>14</v>
      </c>
    </row>
    <row r="79" spans="1:11" x14ac:dyDescent="0.3">
      <c r="A79" s="85" t="s">
        <v>165</v>
      </c>
      <c r="B79" s="85"/>
      <c r="C79" s="85"/>
      <c r="D79" s="85"/>
      <c r="E79" s="85"/>
      <c r="F79" s="84" t="s">
        <v>170</v>
      </c>
      <c r="G79" s="84"/>
      <c r="H79" s="84"/>
    </row>
    <row r="80" spans="1:11" x14ac:dyDescent="0.3">
      <c r="A80" s="68" t="s">
        <v>168</v>
      </c>
      <c r="B80" s="68"/>
      <c r="C80" s="68"/>
      <c r="D80" s="68"/>
      <c r="E80" s="68"/>
      <c r="F80" s="138">
        <v>5700</v>
      </c>
      <c r="G80" s="138"/>
      <c r="H80" s="138"/>
      <c r="I80" s="18" t="s">
        <v>237</v>
      </c>
      <c r="J80" s="18" t="s">
        <v>238</v>
      </c>
      <c r="K80" s="22">
        <v>45388</v>
      </c>
    </row>
    <row r="81" spans="1:11" x14ac:dyDescent="0.3">
      <c r="A81" s="68" t="s">
        <v>167</v>
      </c>
      <c r="B81" s="68"/>
      <c r="C81" s="68"/>
      <c r="D81" s="68"/>
      <c r="E81" s="68"/>
      <c r="F81" s="67">
        <v>7000</v>
      </c>
      <c r="G81" s="67"/>
      <c r="H81" s="67"/>
    </row>
    <row r="82" spans="1:11" hidden="1" x14ac:dyDescent="0.3">
      <c r="A82" s="68" t="s">
        <v>169</v>
      </c>
      <c r="B82" s="68"/>
      <c r="C82" s="68"/>
      <c r="D82" s="68"/>
      <c r="E82" s="68"/>
      <c r="F82" s="67"/>
      <c r="G82" s="67"/>
      <c r="H82" s="67"/>
    </row>
    <row r="83" spans="1:11" s="30" customFormat="1" hidden="1" x14ac:dyDescent="0.25">
      <c r="A83" s="69" t="s">
        <v>166</v>
      </c>
      <c r="B83" s="69"/>
      <c r="C83" s="69"/>
      <c r="D83" s="69"/>
      <c r="E83" s="69"/>
      <c r="F83" s="67"/>
      <c r="G83" s="67"/>
      <c r="H83" s="67"/>
    </row>
    <row r="84" spans="1:11" s="30" customFormat="1" x14ac:dyDescent="0.25">
      <c r="A84" s="68" t="s">
        <v>100</v>
      </c>
      <c r="B84" s="68"/>
      <c r="C84" s="68"/>
      <c r="D84" s="68"/>
      <c r="E84" s="68"/>
      <c r="F84" s="67">
        <v>180000</v>
      </c>
      <c r="G84" s="67"/>
      <c r="H84" s="67"/>
    </row>
    <row r="85" spans="1:11" s="30" customFormat="1" x14ac:dyDescent="0.25">
      <c r="A85" s="68" t="s">
        <v>227</v>
      </c>
      <c r="B85" s="68"/>
      <c r="C85" s="68"/>
      <c r="D85" s="68"/>
      <c r="E85" s="68"/>
      <c r="F85" s="67">
        <v>75000</v>
      </c>
      <c r="G85" s="67"/>
      <c r="H85" s="67"/>
    </row>
    <row r="86" spans="1:11" s="30" customFormat="1" hidden="1" x14ac:dyDescent="0.25">
      <c r="A86" s="68" t="s">
        <v>171</v>
      </c>
      <c r="B86" s="68"/>
      <c r="C86" s="68"/>
      <c r="D86" s="68"/>
      <c r="E86" s="68"/>
      <c r="F86" s="67">
        <v>11000</v>
      </c>
      <c r="G86" s="67"/>
      <c r="H86" s="67"/>
    </row>
    <row r="87" spans="1:11" s="30" customFormat="1" hidden="1" x14ac:dyDescent="0.25">
      <c r="A87" s="68" t="s">
        <v>101</v>
      </c>
      <c r="B87" s="68"/>
      <c r="C87" s="68"/>
      <c r="D87" s="68"/>
      <c r="E87" s="68"/>
      <c r="F87" s="67"/>
      <c r="G87" s="67"/>
      <c r="H87" s="67"/>
    </row>
    <row r="88" spans="1:11" s="30" customFormat="1" hidden="1" x14ac:dyDescent="0.25">
      <c r="A88" s="68" t="s">
        <v>102</v>
      </c>
      <c r="B88" s="68"/>
      <c r="C88" s="68"/>
      <c r="D88" s="68"/>
      <c r="E88" s="68"/>
      <c r="F88" s="67"/>
      <c r="G88" s="67"/>
      <c r="H88" s="67"/>
    </row>
    <row r="89" spans="1:11" s="30" customFormat="1" x14ac:dyDescent="0.25">
      <c r="A89" s="68" t="s">
        <v>103</v>
      </c>
      <c r="B89" s="68"/>
      <c r="C89" s="68"/>
      <c r="D89" s="68"/>
      <c r="E89" s="68"/>
      <c r="F89" s="67">
        <v>75000</v>
      </c>
      <c r="G89" s="67"/>
      <c r="H89" s="67"/>
    </row>
    <row r="90" spans="1:11" s="30" customFormat="1" x14ac:dyDescent="0.25">
      <c r="A90" s="68" t="s">
        <v>235</v>
      </c>
      <c r="B90" s="68"/>
      <c r="C90" s="68"/>
      <c r="D90" s="68"/>
      <c r="E90" s="68"/>
      <c r="F90" s="67">
        <v>50000</v>
      </c>
      <c r="G90" s="67"/>
      <c r="H90" s="67"/>
      <c r="I90" s="30" t="s">
        <v>228</v>
      </c>
    </row>
    <row r="91" spans="1:11" x14ac:dyDescent="0.3">
      <c r="A91" s="68" t="s">
        <v>54</v>
      </c>
      <c r="B91" s="68"/>
      <c r="C91" s="68"/>
      <c r="D91" s="68"/>
      <c r="E91" s="68"/>
      <c r="F91" s="67">
        <v>200000</v>
      </c>
      <c r="G91" s="67"/>
      <c r="H91" s="67"/>
    </row>
    <row r="92" spans="1:11" s="31" customFormat="1" x14ac:dyDescent="0.3">
      <c r="A92" s="85" t="s">
        <v>55</v>
      </c>
      <c r="B92" s="85"/>
      <c r="C92" s="85"/>
      <c r="D92" s="85"/>
      <c r="E92" s="85"/>
      <c r="F92" s="67">
        <f>F80*0.8</f>
        <v>4560</v>
      </c>
      <c r="G92" s="67"/>
      <c r="H92" s="67"/>
    </row>
    <row r="93" spans="1:11" s="32" customFormat="1" ht="15.75" customHeight="1" x14ac:dyDescent="0.3">
      <c r="A93" s="121" t="s">
        <v>80</v>
      </c>
      <c r="B93" s="121"/>
      <c r="C93" s="121"/>
      <c r="D93" s="121"/>
      <c r="E93" s="121"/>
      <c r="F93" s="121"/>
      <c r="G93" s="121"/>
      <c r="H93" s="121"/>
    </row>
    <row r="94" spans="1:11" s="32" customFormat="1" ht="15.75" customHeight="1" x14ac:dyDescent="0.3">
      <c r="A94" s="71" t="s">
        <v>56</v>
      </c>
      <c r="B94" s="71"/>
      <c r="C94" s="70" t="s">
        <v>83</v>
      </c>
      <c r="D94" s="70"/>
      <c r="E94" s="124" t="s">
        <v>57</v>
      </c>
      <c r="F94" s="124"/>
      <c r="G94" s="71" t="s">
        <v>58</v>
      </c>
      <c r="H94" s="71"/>
      <c r="J94" s="32" t="s">
        <v>232</v>
      </c>
    </row>
    <row r="95" spans="1:11" s="32" customFormat="1" x14ac:dyDescent="0.3">
      <c r="A95" s="122" t="s">
        <v>216</v>
      </c>
      <c r="B95" s="122"/>
      <c r="C95" s="129">
        <f>COUNT(D104:D123)</f>
        <v>20</v>
      </c>
      <c r="D95" s="78"/>
      <c r="E95" s="79">
        <f>SUM(D104:D123)</f>
        <v>6251.4082799999969</v>
      </c>
      <c r="F95" s="130"/>
      <c r="G95" s="79">
        <f>SUM(F104:F123)</f>
        <v>12846.750578999996</v>
      </c>
      <c r="H95" s="130"/>
      <c r="J95" s="32" t="s">
        <v>219</v>
      </c>
      <c r="K95" s="32" t="s">
        <v>234</v>
      </c>
    </row>
    <row r="96" spans="1:11" s="32" customFormat="1" x14ac:dyDescent="0.3">
      <c r="A96" s="121" t="s">
        <v>74</v>
      </c>
      <c r="B96" s="121"/>
      <c r="C96" s="121"/>
      <c r="D96" s="121"/>
      <c r="E96" s="121"/>
      <c r="F96" s="121"/>
      <c r="G96" s="121"/>
      <c r="H96" s="121"/>
      <c r="I96" s="32" t="s">
        <v>233</v>
      </c>
      <c r="J96" s="32">
        <v>4500</v>
      </c>
      <c r="K96" s="32">
        <v>5000</v>
      </c>
    </row>
    <row r="97" spans="1:14" s="32" customFormat="1" ht="15.75" customHeight="1" x14ac:dyDescent="0.3">
      <c r="A97" s="71" t="s">
        <v>56</v>
      </c>
      <c r="B97" s="71"/>
      <c r="C97" s="70" t="s">
        <v>83</v>
      </c>
      <c r="D97" s="70"/>
      <c r="E97" s="124" t="s">
        <v>57</v>
      </c>
      <c r="F97" s="124"/>
      <c r="G97" s="71" t="s">
        <v>58</v>
      </c>
      <c r="H97" s="71"/>
    </row>
    <row r="98" spans="1:14" s="32" customFormat="1" x14ac:dyDescent="0.3">
      <c r="A98" s="122" t="s">
        <v>217</v>
      </c>
      <c r="B98" s="122"/>
      <c r="C98" s="78">
        <f>COUNT(D131:D142)*3+COUNT(D144:D155)*3+COUNT(D157:D166)+COUNT(D168:D179)+COUNT(D181:D192)+COUNT(D194:D201)+COUNT(D203:D208)</f>
        <v>120</v>
      </c>
      <c r="D98" s="78"/>
      <c r="E98" s="79">
        <f>SUM(D131:D142)*3+SUM(D144:D155)*3+SUM(D157:D166)+SUM(D168:D179)+SUM(D181:D192)+SUM(D194:D201)+SUM(D203:D208)</f>
        <v>49701.20921999999</v>
      </c>
      <c r="F98" s="79"/>
      <c r="G98" s="79">
        <f>SUM(F131:F142)*3+SUM(F144:F155)*3+SUM(F157:F166)+SUM(F168:F179)+SUM(F181:F192)+SUM(F194:F201)+SUM(F203:F208)</f>
        <v>74551.813830000014</v>
      </c>
      <c r="H98" s="79"/>
    </row>
    <row r="99" spans="1:14" s="31" customFormat="1" x14ac:dyDescent="0.3">
      <c r="A99" s="99" t="s">
        <v>59</v>
      </c>
      <c r="B99" s="99"/>
      <c r="C99" s="99"/>
      <c r="D99" s="99"/>
      <c r="E99" s="99"/>
      <c r="F99" s="99"/>
      <c r="G99" s="99"/>
      <c r="H99" s="99"/>
    </row>
    <row r="100" spans="1:14" x14ac:dyDescent="0.3">
      <c r="A100" s="99" t="s">
        <v>60</v>
      </c>
      <c r="B100" s="99"/>
      <c r="C100" s="99"/>
      <c r="D100" s="99"/>
      <c r="E100" s="99"/>
      <c r="F100" s="99"/>
      <c r="G100" s="99"/>
      <c r="H100" s="99"/>
    </row>
    <row r="101" spans="1:14" ht="47.25" customHeight="1" x14ac:dyDescent="0.3">
      <c r="A101" s="59" t="s">
        <v>126</v>
      </c>
      <c r="B101" s="59" t="s">
        <v>125</v>
      </c>
      <c r="C101" s="59" t="s">
        <v>61</v>
      </c>
      <c r="D101" s="59" t="s">
        <v>62</v>
      </c>
      <c r="E101" s="80" t="s">
        <v>164</v>
      </c>
      <c r="F101" s="40" t="s">
        <v>158</v>
      </c>
      <c r="G101" s="75" t="s">
        <v>64</v>
      </c>
      <c r="H101" s="82"/>
    </row>
    <row r="102" spans="1:14" s="34" customFormat="1" x14ac:dyDescent="0.3">
      <c r="A102" s="60"/>
      <c r="B102" s="60"/>
      <c r="C102" s="60"/>
      <c r="D102" s="60"/>
      <c r="E102" s="81"/>
      <c r="F102" s="13">
        <v>0.55000000000000004</v>
      </c>
      <c r="G102" s="76"/>
      <c r="H102" s="83"/>
    </row>
    <row r="103" spans="1:14" s="34" customFormat="1" x14ac:dyDescent="0.3">
      <c r="A103" s="72" t="s">
        <v>191</v>
      </c>
      <c r="B103" s="73"/>
      <c r="C103" s="73"/>
      <c r="D103" s="73"/>
      <c r="E103" s="73"/>
      <c r="F103" s="73"/>
      <c r="G103" s="73"/>
      <c r="H103" s="74"/>
      <c r="J103" s="46">
        <f>10.764</f>
        <v>10.763999999999999</v>
      </c>
    </row>
    <row r="104" spans="1:14" s="34" customFormat="1" x14ac:dyDescent="0.3">
      <c r="A104" s="57">
        <v>1</v>
      </c>
      <c r="B104" s="58"/>
      <c r="C104" s="39" t="s">
        <v>192</v>
      </c>
      <c r="D104" s="46">
        <f t="shared" ref="D104:D111" si="0">(27.36)*(10.764)</f>
        <v>294.50304</v>
      </c>
      <c r="E104" s="46">
        <f t="shared" ref="E104:E111" si="1">(3*3)*(10.764)</f>
        <v>96.875999999999991</v>
      </c>
      <c r="F104" s="39">
        <f>(D104+E104)*(($F$102)+1)</f>
        <v>606.63751200000002</v>
      </c>
      <c r="G104" s="57" t="str">
        <f>A103</f>
        <v>Ground Floor For Commercial</v>
      </c>
      <c r="H104" s="58"/>
      <c r="I104" s="33">
        <f>(9.12*2+7.82*1+1.2*0.9)</f>
        <v>27.14</v>
      </c>
      <c r="J104" s="34">
        <f>1.4/2</f>
        <v>0.7</v>
      </c>
      <c r="K104" s="34">
        <f>7.82+2*9.12+0.9*1.2</f>
        <v>27.14</v>
      </c>
      <c r="L104" s="51"/>
      <c r="M104" s="51"/>
      <c r="N104" s="33"/>
    </row>
    <row r="105" spans="1:14" s="34" customFormat="1" x14ac:dyDescent="0.3">
      <c r="A105" s="57">
        <f t="shared" ref="A105:A123" si="2">A104+1</f>
        <v>2</v>
      </c>
      <c r="B105" s="58"/>
      <c r="C105" s="39" t="s">
        <v>192</v>
      </c>
      <c r="D105" s="46">
        <f t="shared" si="0"/>
        <v>294.50304</v>
      </c>
      <c r="E105" s="46">
        <f t="shared" si="1"/>
        <v>96.875999999999991</v>
      </c>
      <c r="F105" s="39">
        <f t="shared" ref="F105:F107" si="3">(D105+E105)*(($F$102)+1)</f>
        <v>606.63751200000002</v>
      </c>
      <c r="G105" s="57" t="str">
        <f t="shared" ref="G105:G123" si="4">G104</f>
        <v>Ground Floor For Commercial</v>
      </c>
      <c r="H105" s="58"/>
      <c r="I105" s="33"/>
      <c r="J105" s="34">
        <f>2/1.4</f>
        <v>1.4285714285714286</v>
      </c>
      <c r="L105" s="51"/>
      <c r="M105" s="51"/>
      <c r="N105" s="33"/>
    </row>
    <row r="106" spans="1:14" s="34" customFormat="1" x14ac:dyDescent="0.3">
      <c r="A106" s="57">
        <f t="shared" si="2"/>
        <v>3</v>
      </c>
      <c r="B106" s="58"/>
      <c r="C106" s="39" t="s">
        <v>192</v>
      </c>
      <c r="D106" s="46">
        <f t="shared" si="0"/>
        <v>294.50304</v>
      </c>
      <c r="E106" s="46">
        <f t="shared" si="1"/>
        <v>96.875999999999991</v>
      </c>
      <c r="F106" s="39">
        <f t="shared" si="3"/>
        <v>606.63751200000002</v>
      </c>
      <c r="G106" s="57" t="str">
        <f t="shared" si="4"/>
        <v>Ground Floor For Commercial</v>
      </c>
      <c r="H106" s="58"/>
      <c r="I106" s="33"/>
      <c r="J106" s="34">
        <f>6.2*1.43</f>
        <v>8.8659999999999997</v>
      </c>
      <c r="K106" s="34">
        <f>2.1*1.5</f>
        <v>3.1500000000000004</v>
      </c>
      <c r="L106" s="51"/>
      <c r="M106" s="51"/>
      <c r="N106" s="33"/>
    </row>
    <row r="107" spans="1:14" s="34" customFormat="1" x14ac:dyDescent="0.3">
      <c r="A107" s="57">
        <f t="shared" si="2"/>
        <v>4</v>
      </c>
      <c r="B107" s="58"/>
      <c r="C107" s="39" t="s">
        <v>192</v>
      </c>
      <c r="D107" s="46">
        <f t="shared" si="0"/>
        <v>294.50304</v>
      </c>
      <c r="E107" s="46">
        <f t="shared" si="1"/>
        <v>96.875999999999991</v>
      </c>
      <c r="F107" s="39">
        <f t="shared" si="3"/>
        <v>606.63751200000002</v>
      </c>
      <c r="G107" s="57" t="str">
        <f t="shared" si="4"/>
        <v>Ground Floor For Commercial</v>
      </c>
      <c r="H107" s="58"/>
      <c r="I107" s="33"/>
      <c r="L107" s="51"/>
      <c r="M107" s="51"/>
      <c r="N107" s="33"/>
    </row>
    <row r="108" spans="1:14" s="34" customFormat="1" x14ac:dyDescent="0.3">
      <c r="A108" s="57">
        <f t="shared" si="2"/>
        <v>5</v>
      </c>
      <c r="B108" s="58"/>
      <c r="C108" s="39" t="s">
        <v>192</v>
      </c>
      <c r="D108" s="46">
        <f t="shared" si="0"/>
        <v>294.50304</v>
      </c>
      <c r="E108" s="46">
        <f t="shared" si="1"/>
        <v>96.875999999999991</v>
      </c>
      <c r="F108" s="39">
        <f t="shared" ref="F108:F113" si="5">(D108+E108)*(($F$102)+1)</f>
        <v>606.63751200000002</v>
      </c>
      <c r="G108" s="57" t="str">
        <f t="shared" si="4"/>
        <v>Ground Floor For Commercial</v>
      </c>
      <c r="H108" s="58"/>
      <c r="I108" s="33"/>
      <c r="L108" s="51"/>
      <c r="M108" s="51"/>
      <c r="N108" s="33"/>
    </row>
    <row r="109" spans="1:14" s="34" customFormat="1" x14ac:dyDescent="0.3">
      <c r="A109" s="57">
        <f t="shared" si="2"/>
        <v>6</v>
      </c>
      <c r="B109" s="58"/>
      <c r="C109" s="39" t="s">
        <v>192</v>
      </c>
      <c r="D109" s="46">
        <f t="shared" si="0"/>
        <v>294.50304</v>
      </c>
      <c r="E109" s="46">
        <f t="shared" si="1"/>
        <v>96.875999999999991</v>
      </c>
      <c r="F109" s="39">
        <f t="shared" si="5"/>
        <v>606.63751200000002</v>
      </c>
      <c r="G109" s="57" t="str">
        <f t="shared" si="4"/>
        <v>Ground Floor For Commercial</v>
      </c>
      <c r="H109" s="58"/>
      <c r="I109" s="33"/>
      <c r="L109" s="51"/>
      <c r="M109" s="51"/>
      <c r="N109" s="33"/>
    </row>
    <row r="110" spans="1:14" s="34" customFormat="1" x14ac:dyDescent="0.3">
      <c r="A110" s="55">
        <f t="shared" si="2"/>
        <v>7</v>
      </c>
      <c r="B110" s="55"/>
      <c r="C110" s="39" t="s">
        <v>192</v>
      </c>
      <c r="D110" s="46">
        <f t="shared" si="0"/>
        <v>294.50304</v>
      </c>
      <c r="E110" s="46">
        <f t="shared" si="1"/>
        <v>96.875999999999991</v>
      </c>
      <c r="F110" s="39">
        <f t="shared" si="5"/>
        <v>606.63751200000002</v>
      </c>
      <c r="G110" s="55" t="str">
        <f t="shared" si="4"/>
        <v>Ground Floor For Commercial</v>
      </c>
      <c r="H110" s="55"/>
      <c r="I110" s="33"/>
      <c r="L110" s="51"/>
      <c r="M110" s="51"/>
      <c r="N110" s="33"/>
    </row>
    <row r="111" spans="1:14" s="34" customFormat="1" x14ac:dyDescent="0.3">
      <c r="A111" s="55">
        <f t="shared" si="2"/>
        <v>8</v>
      </c>
      <c r="B111" s="55"/>
      <c r="C111" s="39" t="s">
        <v>192</v>
      </c>
      <c r="D111" s="46">
        <f t="shared" si="0"/>
        <v>294.50304</v>
      </c>
      <c r="E111" s="46">
        <f t="shared" si="1"/>
        <v>96.875999999999991</v>
      </c>
      <c r="F111" s="39">
        <f t="shared" si="5"/>
        <v>606.63751200000002</v>
      </c>
      <c r="G111" s="55" t="str">
        <f t="shared" si="4"/>
        <v>Ground Floor For Commercial</v>
      </c>
      <c r="H111" s="55"/>
      <c r="I111" s="33"/>
      <c r="L111" s="51"/>
      <c r="M111" s="51"/>
      <c r="N111" s="33"/>
    </row>
    <row r="112" spans="1:14" s="34" customFormat="1" x14ac:dyDescent="0.3">
      <c r="A112" s="55">
        <f t="shared" si="2"/>
        <v>9</v>
      </c>
      <c r="B112" s="55"/>
      <c r="C112" s="39" t="s">
        <v>192</v>
      </c>
      <c r="D112" s="46">
        <f>(61.79)*(10.764)</f>
        <v>665.10755999999992</v>
      </c>
      <c r="E112" s="46">
        <f>(7.61*2.5)*(10.764)</f>
        <v>204.7851</v>
      </c>
      <c r="F112" s="39">
        <f t="shared" si="5"/>
        <v>1348.333623</v>
      </c>
      <c r="G112" s="55" t="str">
        <f t="shared" si="4"/>
        <v>Ground Floor For Commercial</v>
      </c>
      <c r="H112" s="55"/>
      <c r="I112" s="33"/>
      <c r="L112" s="51"/>
      <c r="M112" s="51"/>
      <c r="N112" s="33"/>
    </row>
    <row r="113" spans="1:14" s="34" customFormat="1" x14ac:dyDescent="0.3">
      <c r="A113" s="55">
        <f t="shared" si="2"/>
        <v>10</v>
      </c>
      <c r="B113" s="55"/>
      <c r="C113" s="39" t="s">
        <v>192</v>
      </c>
      <c r="D113" s="46">
        <f>(26.5)*(10.764)</f>
        <v>285.24599999999998</v>
      </c>
      <c r="E113" s="46">
        <f>(3*2.5+1.4*0.5)*(10.764)</f>
        <v>88.264799999999994</v>
      </c>
      <c r="F113" s="39">
        <f t="shared" si="5"/>
        <v>578.94173999999998</v>
      </c>
      <c r="G113" s="55" t="str">
        <f t="shared" si="4"/>
        <v>Ground Floor For Commercial</v>
      </c>
      <c r="H113" s="55"/>
      <c r="I113" s="33"/>
      <c r="L113" s="51"/>
      <c r="M113" s="51"/>
      <c r="N113" s="33"/>
    </row>
    <row r="114" spans="1:14" s="34" customFormat="1" x14ac:dyDescent="0.3">
      <c r="A114" s="55">
        <f t="shared" si="2"/>
        <v>11</v>
      </c>
      <c r="B114" s="55"/>
      <c r="C114" s="39" t="s">
        <v>192</v>
      </c>
      <c r="D114" s="46">
        <f t="shared" ref="D114:D123" si="6">(27.36)*(10.764)</f>
        <v>294.50304</v>
      </c>
      <c r="E114" s="46">
        <f t="shared" ref="E114:E123" si="7">(3*3)*(10.764)</f>
        <v>96.875999999999991</v>
      </c>
      <c r="F114" s="39">
        <f t="shared" ref="F114:F122" si="8">(D114+E114)*(($F$102)+1)</f>
        <v>606.63751200000002</v>
      </c>
      <c r="G114" s="55" t="str">
        <f t="shared" si="4"/>
        <v>Ground Floor For Commercial</v>
      </c>
      <c r="H114" s="55"/>
      <c r="I114" s="33"/>
      <c r="L114" s="51"/>
      <c r="M114" s="51"/>
      <c r="N114" s="33"/>
    </row>
    <row r="115" spans="1:14" s="34" customFormat="1" x14ac:dyDescent="0.3">
      <c r="A115" s="55">
        <f t="shared" si="2"/>
        <v>12</v>
      </c>
      <c r="B115" s="55"/>
      <c r="C115" s="39" t="s">
        <v>192</v>
      </c>
      <c r="D115" s="46">
        <f t="shared" si="6"/>
        <v>294.50304</v>
      </c>
      <c r="E115" s="46">
        <f t="shared" si="7"/>
        <v>96.875999999999991</v>
      </c>
      <c r="F115" s="39">
        <f t="shared" si="8"/>
        <v>606.63751200000002</v>
      </c>
      <c r="G115" s="55" t="str">
        <f t="shared" si="4"/>
        <v>Ground Floor For Commercial</v>
      </c>
      <c r="H115" s="55"/>
      <c r="I115" s="33"/>
      <c r="L115" s="51"/>
      <c r="M115" s="51"/>
      <c r="N115" s="33"/>
    </row>
    <row r="116" spans="1:14" s="34" customFormat="1" x14ac:dyDescent="0.3">
      <c r="A116" s="57">
        <f t="shared" si="2"/>
        <v>13</v>
      </c>
      <c r="B116" s="58"/>
      <c r="C116" s="39" t="s">
        <v>192</v>
      </c>
      <c r="D116" s="46">
        <f t="shared" si="6"/>
        <v>294.50304</v>
      </c>
      <c r="E116" s="46">
        <f t="shared" si="7"/>
        <v>96.875999999999991</v>
      </c>
      <c r="F116" s="39">
        <f t="shared" si="8"/>
        <v>606.63751200000002</v>
      </c>
      <c r="G116" s="57" t="str">
        <f t="shared" si="4"/>
        <v>Ground Floor For Commercial</v>
      </c>
      <c r="H116" s="58"/>
      <c r="I116" s="33"/>
      <c r="L116" s="51"/>
      <c r="M116" s="51"/>
      <c r="N116" s="33"/>
    </row>
    <row r="117" spans="1:14" s="34" customFormat="1" x14ac:dyDescent="0.3">
      <c r="A117" s="57">
        <f t="shared" si="2"/>
        <v>14</v>
      </c>
      <c r="B117" s="58"/>
      <c r="C117" s="39" t="s">
        <v>192</v>
      </c>
      <c r="D117" s="46">
        <f t="shared" si="6"/>
        <v>294.50304</v>
      </c>
      <c r="E117" s="46">
        <f t="shared" si="7"/>
        <v>96.875999999999991</v>
      </c>
      <c r="F117" s="39">
        <f t="shared" si="8"/>
        <v>606.63751200000002</v>
      </c>
      <c r="G117" s="57" t="str">
        <f t="shared" si="4"/>
        <v>Ground Floor For Commercial</v>
      </c>
      <c r="H117" s="58"/>
      <c r="I117" s="33"/>
      <c r="L117" s="51"/>
      <c r="M117" s="51"/>
      <c r="N117" s="33"/>
    </row>
    <row r="118" spans="1:14" s="34" customFormat="1" x14ac:dyDescent="0.3">
      <c r="A118" s="57">
        <f t="shared" si="2"/>
        <v>15</v>
      </c>
      <c r="B118" s="58"/>
      <c r="C118" s="39" t="s">
        <v>192</v>
      </c>
      <c r="D118" s="46">
        <f t="shared" si="6"/>
        <v>294.50304</v>
      </c>
      <c r="E118" s="46">
        <f t="shared" si="7"/>
        <v>96.875999999999991</v>
      </c>
      <c r="F118" s="39">
        <f t="shared" si="8"/>
        <v>606.63751200000002</v>
      </c>
      <c r="G118" s="57" t="str">
        <f t="shared" si="4"/>
        <v>Ground Floor For Commercial</v>
      </c>
      <c r="H118" s="58"/>
      <c r="I118" s="33"/>
      <c r="L118" s="51"/>
      <c r="M118" s="51"/>
      <c r="N118" s="33"/>
    </row>
    <row r="119" spans="1:14" s="34" customFormat="1" x14ac:dyDescent="0.3">
      <c r="A119" s="57">
        <f t="shared" si="2"/>
        <v>16</v>
      </c>
      <c r="B119" s="58"/>
      <c r="C119" s="39" t="s">
        <v>192</v>
      </c>
      <c r="D119" s="46">
        <f t="shared" si="6"/>
        <v>294.50304</v>
      </c>
      <c r="E119" s="46">
        <f t="shared" si="7"/>
        <v>96.875999999999991</v>
      </c>
      <c r="F119" s="39">
        <f t="shared" si="8"/>
        <v>606.63751200000002</v>
      </c>
      <c r="G119" s="57" t="str">
        <f t="shared" si="4"/>
        <v>Ground Floor For Commercial</v>
      </c>
      <c r="H119" s="58"/>
      <c r="I119" s="33"/>
      <c r="L119" s="51"/>
      <c r="M119" s="51"/>
      <c r="N119" s="33"/>
    </row>
    <row r="120" spans="1:14" s="34" customFormat="1" x14ac:dyDescent="0.3">
      <c r="A120" s="57">
        <f t="shared" si="2"/>
        <v>17</v>
      </c>
      <c r="B120" s="58"/>
      <c r="C120" s="39" t="s">
        <v>192</v>
      </c>
      <c r="D120" s="46">
        <f t="shared" si="6"/>
        <v>294.50304</v>
      </c>
      <c r="E120" s="46">
        <f t="shared" si="7"/>
        <v>96.875999999999991</v>
      </c>
      <c r="F120" s="39">
        <f t="shared" si="8"/>
        <v>606.63751200000002</v>
      </c>
      <c r="G120" s="57" t="str">
        <f t="shared" si="4"/>
        <v>Ground Floor For Commercial</v>
      </c>
      <c r="H120" s="58"/>
      <c r="I120" s="33"/>
      <c r="L120" s="51"/>
      <c r="M120" s="51"/>
      <c r="N120" s="33"/>
    </row>
    <row r="121" spans="1:14" s="34" customFormat="1" x14ac:dyDescent="0.3">
      <c r="A121" s="57">
        <f t="shared" si="2"/>
        <v>18</v>
      </c>
      <c r="B121" s="58"/>
      <c r="C121" s="39" t="s">
        <v>192</v>
      </c>
      <c r="D121" s="46">
        <f t="shared" si="6"/>
        <v>294.50304</v>
      </c>
      <c r="E121" s="46">
        <f t="shared" si="7"/>
        <v>96.875999999999991</v>
      </c>
      <c r="F121" s="39">
        <f t="shared" si="8"/>
        <v>606.63751200000002</v>
      </c>
      <c r="G121" s="57" t="str">
        <f t="shared" si="4"/>
        <v>Ground Floor For Commercial</v>
      </c>
      <c r="H121" s="58"/>
      <c r="I121" s="33"/>
      <c r="L121" s="51"/>
      <c r="M121" s="51"/>
      <c r="N121" s="33"/>
    </row>
    <row r="122" spans="1:14" s="34" customFormat="1" x14ac:dyDescent="0.3">
      <c r="A122" s="57">
        <f t="shared" si="2"/>
        <v>19</v>
      </c>
      <c r="B122" s="58"/>
      <c r="C122" s="39" t="s">
        <v>192</v>
      </c>
      <c r="D122" s="46">
        <f t="shared" si="6"/>
        <v>294.50304</v>
      </c>
      <c r="E122" s="46">
        <f t="shared" si="7"/>
        <v>96.875999999999991</v>
      </c>
      <c r="F122" s="39">
        <f t="shared" si="8"/>
        <v>606.63751200000002</v>
      </c>
      <c r="G122" s="57" t="str">
        <f t="shared" si="4"/>
        <v>Ground Floor For Commercial</v>
      </c>
      <c r="H122" s="58"/>
      <c r="I122" s="33"/>
      <c r="L122" s="51"/>
      <c r="M122" s="51"/>
      <c r="N122" s="33"/>
    </row>
    <row r="123" spans="1:14" s="34" customFormat="1" x14ac:dyDescent="0.3">
      <c r="A123" s="57">
        <f t="shared" si="2"/>
        <v>20</v>
      </c>
      <c r="B123" s="58"/>
      <c r="C123" s="39" t="s">
        <v>192</v>
      </c>
      <c r="D123" s="46">
        <f t="shared" si="6"/>
        <v>294.50304</v>
      </c>
      <c r="E123" s="46">
        <f t="shared" si="7"/>
        <v>96.875999999999991</v>
      </c>
      <c r="F123" s="39">
        <f t="shared" ref="F123" si="9">(D123+E123)*(($F$102)+1)</f>
        <v>606.63751200000002</v>
      </c>
      <c r="G123" s="57" t="str">
        <f t="shared" si="4"/>
        <v>Ground Floor For Commercial</v>
      </c>
      <c r="H123" s="58"/>
      <c r="I123" s="33"/>
      <c r="L123" s="51"/>
      <c r="M123" s="51"/>
      <c r="N123" s="33"/>
    </row>
    <row r="124" spans="1:14" s="34" customFormat="1" x14ac:dyDescent="0.3">
      <c r="A124" s="57"/>
      <c r="B124" s="61"/>
      <c r="C124" s="61"/>
      <c r="D124" s="61"/>
      <c r="E124" s="61"/>
      <c r="F124" s="61"/>
      <c r="G124" s="61"/>
      <c r="H124" s="58"/>
      <c r="I124" s="33"/>
      <c r="N124" s="33"/>
    </row>
    <row r="125" spans="1:14" ht="47.25" customHeight="1" x14ac:dyDescent="0.3">
      <c r="A125" s="75" t="s">
        <v>127</v>
      </c>
      <c r="B125" s="75" t="s">
        <v>128</v>
      </c>
      <c r="C125" s="59" t="s">
        <v>61</v>
      </c>
      <c r="D125" s="59" t="s">
        <v>62</v>
      </c>
      <c r="E125" s="80" t="s">
        <v>63</v>
      </c>
      <c r="F125" s="40" t="s">
        <v>158</v>
      </c>
      <c r="G125" s="75" t="s">
        <v>64</v>
      </c>
      <c r="H125" s="82"/>
      <c r="I125" s="33"/>
    </row>
    <row r="126" spans="1:14" s="34" customFormat="1" x14ac:dyDescent="0.3">
      <c r="A126" s="76"/>
      <c r="B126" s="76"/>
      <c r="C126" s="60"/>
      <c r="D126" s="60"/>
      <c r="E126" s="81"/>
      <c r="F126" s="13">
        <v>0.5</v>
      </c>
      <c r="G126" s="76"/>
      <c r="H126" s="83"/>
      <c r="I126" s="33"/>
    </row>
    <row r="127" spans="1:14" s="34" customFormat="1" x14ac:dyDescent="0.3">
      <c r="A127" s="72" t="s">
        <v>230</v>
      </c>
      <c r="B127" s="73"/>
      <c r="C127" s="73"/>
      <c r="D127" s="73"/>
      <c r="E127" s="73"/>
      <c r="F127" s="73"/>
      <c r="G127" s="73"/>
      <c r="H127" s="74"/>
      <c r="J127" s="46">
        <f>10.764</f>
        <v>10.763999999999999</v>
      </c>
    </row>
    <row r="128" spans="1:14" s="34" customFormat="1" x14ac:dyDescent="0.3">
      <c r="A128" s="72" t="s">
        <v>193</v>
      </c>
      <c r="B128" s="73"/>
      <c r="C128" s="73"/>
      <c r="D128" s="73"/>
      <c r="E128" s="73"/>
      <c r="F128" s="73"/>
      <c r="G128" s="73"/>
      <c r="H128" s="74"/>
      <c r="J128" s="33"/>
    </row>
    <row r="129" spans="1:15" s="34" customFormat="1" x14ac:dyDescent="0.3">
      <c r="A129" s="72" t="s">
        <v>194</v>
      </c>
      <c r="B129" s="73"/>
      <c r="C129" s="73"/>
      <c r="D129" s="73"/>
      <c r="E129" s="73"/>
      <c r="F129" s="73"/>
      <c r="G129" s="73"/>
      <c r="H129" s="74"/>
      <c r="J129" s="33"/>
    </row>
    <row r="130" spans="1:15" s="34" customFormat="1" ht="15.75" customHeight="1" x14ac:dyDescent="0.3">
      <c r="A130" s="72" t="s">
        <v>195</v>
      </c>
      <c r="B130" s="73"/>
      <c r="C130" s="73"/>
      <c r="D130" s="73"/>
      <c r="E130" s="73"/>
      <c r="F130" s="73"/>
      <c r="G130" s="73"/>
      <c r="H130" s="74"/>
      <c r="I130" s="33"/>
    </row>
    <row r="131" spans="1:15" s="34" customFormat="1" x14ac:dyDescent="0.3">
      <c r="A131" s="57" t="str">
        <f ca="1">(SUMPRODUCT(MID(0&amp;(LEFT(A130,SUM(LEN(A130)-LEN(SUBSTITUTE(A130,{"0","1","2"},""))))), LARGE(INDEX(ISNUMBER(--MID((LEFT(A130,SUM(LEN(A130)-LEN(SUBSTITUTE(A130,{"0","1","2"},""))))), ROW(INDIRECT("1:"&amp;LEN((LEFT(A130,SUM(LEN(A130)-LEN(SUBSTITUTE(A130,{"0","1","2"},"")))))))), 1)) * ROW(INDIRECT("1:"&amp;LEN((LEFT(A130,SUM(LEN(A130)-LEN(SUBSTITUTE(A130,{"0","1","2"},"")))))))), 0), ROW(INDIRECT("1:"&amp;LEN((LEFT(A130,SUM(LEN(A130)-LEN(SUBSTITUTE(A130,{"0","1","2"},"")))))))))+1, 1) * 10^ROW(INDIRECT("1:"&amp;LEN((LEFT(A130,SUM(LEN(A130)-LEN(SUBSTITUTE(A130,{"0","1","2"},""))))))))/10))*100+1&amp;""&amp;" ,.., "&amp;""&amp;(SUMPRODUCT(MID(0&amp;(--TRIM(RIGHT(SUBSTITUTE(LEFT(A130,_xlfn.AGGREGATE(16,6,FIND({0,1,2,3,4,5,6,7,8,9},A130,ROW(INDIRECT("1:"&amp;LEN(A130)))),1))," ",REPT(" ",LEN(A130))),LEN(A130)))), LARGE(INDEX(ISNUMBER(--MID((--TRIM(RIGHT(SUBSTITUTE(LEFT(A130,_xlfn.AGGREGATE(16,6,FIND({0,1,2,3,4,5,6,7,8,9},A130,ROW(INDIRECT("1:"&amp;LEN(A130)))),1))," ",REPT(" ",LEN(A130))),LEN(A130)))), ROW(INDIRECT("1:"&amp;LEN((--TRIM(RIGHT(SUBSTITUTE(LEFT(A130,_xlfn.AGGREGATE(16,6,FIND({0,1,2,3,4,5,6,7,8,9},A130,ROW(INDIRECT("1:"&amp;LEN(A130)))),1))," ",REPT(" ",LEN(A130))),LEN(A130))))))), 1)) * ROW(INDIRECT("1:"&amp;LEN((--TRIM(RIGHT(SUBSTITUTE(LEFT(A130,_xlfn.AGGREGATE(16,6,FIND({0,1,2,3,4,5,6,7,8,9},A130,ROW(INDIRECT("1:"&amp;LEN(A130)))),1))," ",REPT(" ",LEN(A130))),LEN(A130))))))), 0), ROW(INDIRECT("1:"&amp;LEN((--TRIM(RIGHT(SUBSTITUTE(LEFT(A130,_xlfn.AGGREGATE(16,6,FIND({0,1,2,3,4,5,6,7,8,9},A130,ROW(INDIRECT("1:"&amp;LEN(A130)))),1))," ",REPT(" ",LEN(A130))),LEN(A130))))))))+1, 1) * 10^ROW(INDIRECT("1:"&amp;LEN((--TRIM(RIGHT(SUBSTITUTE(LEFT(A130,_xlfn.AGGREGATE(16,6,FIND({0,1,2,3,4,5,6,7,8,9},A130,ROW(INDIRECT("1:"&amp;LEN(A130)))),1))," ",REPT(" ",LEN(A130))),LEN(A130)))))))/10))*100+1</f>
        <v>401 ,.., 1001</v>
      </c>
      <c r="B131" s="58"/>
      <c r="C131" s="45">
        <v>1</v>
      </c>
      <c r="D131" s="46">
        <f>(29.11+0.75*(2.7+2.05+3))*(10.764)</f>
        <v>375.90578999999997</v>
      </c>
      <c r="E131" s="39">
        <v>0</v>
      </c>
      <c r="F131" s="39">
        <f t="shared" ref="F131:F142" si="10">D131*(($F$126)+1)+(IF(E131&lt;101,E131,IF(E131&lt;201,E131/2,IF(E131&lt;=301,E131/3,E131/4))))</f>
        <v>563.85868499999992</v>
      </c>
      <c r="G131" s="57" t="str">
        <f>A130</f>
        <v>4th, 6th &amp; 10th Floor For Residential</v>
      </c>
      <c r="H131" s="58"/>
      <c r="I131" s="33">
        <f>4700*F131</f>
        <v>2650135.8194999998</v>
      </c>
      <c r="J131" s="34">
        <f>4.25*2.7+1.95*2.05+2.95*3+1.2*1.2+1.2*0.9+2.05*0.9</f>
        <v>28.6875</v>
      </c>
    </row>
    <row r="132" spans="1:15" s="34" customFormat="1" x14ac:dyDescent="0.3">
      <c r="A132" s="57" t="str">
        <f ca="1">(SUMPRODUCT(MID(0&amp;(LEFT(A131,SUM(LEN(A131)-LEN(SUBSTITUTE(A131,{"0","1","2"},""))))), LARGE(INDEX(ISNUMBER(--MID((LEFT(A131,SUM(LEN(A131)-LEN(SUBSTITUTE(A131,{"0","1","2"},""))))), ROW(INDIRECT("1:"&amp;LEN((LEFT(A131,SUM(LEN(A131)-LEN(SUBSTITUTE(A131,{"0","1","2"},"")))))))), 1)) * ROW(INDIRECT("1:"&amp;LEN((LEFT(A131,SUM(LEN(A131)-LEN(SUBSTITUTE(A131,{"0","1","2"},"")))))))), 0), ROW(INDIRECT("1:"&amp;LEN((LEFT(A131,SUM(LEN(A131)-LEN(SUBSTITUTE(A131,{"0","1","2"},"")))))))))+1, 1) * 10^ROW(INDIRECT("1:"&amp;LEN((LEFT(A131,SUM(LEN(A131)-LEN(SUBSTITUTE(A131,{"0","1","2"},""))))))))/10))*1+1&amp;""&amp;" ,.., "&amp;""&amp;(SUMPRODUCT(MID(0&amp;(--TRIM(RIGHT(SUBSTITUTE(LEFT(A131,_xlfn.AGGREGATE(16,6,FIND({0,1,2,3,4,5,6,7,8,9},A131,ROW(INDIRECT("1:"&amp;LEN(A131)))),1))," ",REPT(" ",LEN(A131))),LEN(A131)))), LARGE(INDEX(ISNUMBER(--MID((--TRIM(RIGHT(SUBSTITUTE(LEFT(A131,_xlfn.AGGREGATE(16,6,FIND({0,1,2,3,4,5,6,7,8,9},A131,ROW(INDIRECT("1:"&amp;LEN(A131)))),1))," ",REPT(" ",LEN(A131))),LEN(A131)))), ROW(INDIRECT("1:"&amp;LEN((--TRIM(RIGHT(SUBSTITUTE(LEFT(A131,_xlfn.AGGREGATE(16,6,FIND({0,1,2,3,4,5,6,7,8,9},A131,ROW(INDIRECT("1:"&amp;LEN(A131)))),1))," ",REPT(" ",LEN(A131))),LEN(A131))))))), 1)) * ROW(INDIRECT("1:"&amp;LEN((--TRIM(RIGHT(SUBSTITUTE(LEFT(A131,_xlfn.AGGREGATE(16,6,FIND({0,1,2,3,4,5,6,7,8,9},A131,ROW(INDIRECT("1:"&amp;LEN(A131)))),1))," ",REPT(" ",LEN(A131))),LEN(A131))))))), 0), ROW(INDIRECT("1:"&amp;LEN((--TRIM(RIGHT(SUBSTITUTE(LEFT(A131,_xlfn.AGGREGATE(16,6,FIND({0,1,2,3,4,5,6,7,8,9},A131,ROW(INDIRECT("1:"&amp;LEN(A131)))),1))," ",REPT(" ",LEN(A131))),LEN(A131))))))))+1, 1) * 10^ROW(INDIRECT("1:"&amp;LEN((--TRIM(RIGHT(SUBSTITUTE(LEFT(A131,_xlfn.AGGREGATE(16,6,FIND({0,1,2,3,4,5,6,7,8,9},A131,ROW(INDIRECT("1:"&amp;LEN(A131)))),1))," ",REPT(" ",LEN(A131))),LEN(A131)))))))/10))*1+1</f>
        <v>402 ,.., 1002</v>
      </c>
      <c r="B132" s="58"/>
      <c r="C132" s="45" t="s">
        <v>231</v>
      </c>
      <c r="D132" s="46">
        <f>(46.41+0.75*(3+2.7+3.4+1))*(10.764)</f>
        <v>581.09453999999994</v>
      </c>
      <c r="E132" s="39">
        <v>0</v>
      </c>
      <c r="F132" s="39">
        <f t="shared" si="10"/>
        <v>871.64180999999985</v>
      </c>
      <c r="G132" s="57" t="str">
        <f t="shared" ref="G132:G142" si="11">G131</f>
        <v>4th, 6th &amp; 10th Floor For Residential</v>
      </c>
      <c r="H132" s="58"/>
      <c r="I132" s="33">
        <f t="shared" ref="I132:I134" si="12">4700*F132</f>
        <v>4096716.5069999993</v>
      </c>
      <c r="J132" s="34">
        <f>3*4.55+2.4*2.4+1.8*1.2+1.8*1.2+3.4*3+2.7*3+4.3*0.9</f>
        <v>45.899999999999991</v>
      </c>
    </row>
    <row r="133" spans="1:15" s="34" customFormat="1" ht="15.75" customHeight="1" x14ac:dyDescent="0.3">
      <c r="A133" s="57" t="str">
        <f ca="1">(SUMPRODUCT(MID(0&amp;(LEFT(A132,SUM(LEN(A132)-LEN(SUBSTITUTE(A132,{"0","1","2"},""))))), LARGE(INDEX(ISNUMBER(--MID((LEFT(A132,SUM(LEN(A132)-LEN(SUBSTITUTE(A132,{"0","1","2"},""))))), ROW(INDIRECT("1:"&amp;LEN((LEFT(A132,SUM(LEN(A132)-LEN(SUBSTITUTE(A132,{"0","1","2"},"")))))))), 1)) * ROW(INDIRECT("1:"&amp;LEN((LEFT(A132,SUM(LEN(A132)-LEN(SUBSTITUTE(A132,{"0","1","2"},"")))))))), 0), ROW(INDIRECT("1:"&amp;LEN((LEFT(A132,SUM(LEN(A132)-LEN(SUBSTITUTE(A132,{"0","1","2"},"")))))))))+1, 1) * 10^ROW(INDIRECT("1:"&amp;LEN((LEFT(A132,SUM(LEN(A132)-LEN(SUBSTITUTE(A132,{"0","1","2"},""))))))))/10))*1+1&amp;""&amp;" ,.., "&amp;""&amp;(SUMPRODUCT(MID(0&amp;(--TRIM(RIGHT(SUBSTITUTE(LEFT(A132,_xlfn.AGGREGATE(16,6,FIND({0,1,2,3,4,5,6,7,8,9},A132,ROW(INDIRECT("1:"&amp;LEN(A132)))),1))," ",REPT(" ",LEN(A132))),LEN(A132)))), LARGE(INDEX(ISNUMBER(--MID((--TRIM(RIGHT(SUBSTITUTE(LEFT(A132,_xlfn.AGGREGATE(16,6,FIND({0,1,2,3,4,5,6,7,8,9},A132,ROW(INDIRECT("1:"&amp;LEN(A132)))),1))," ",REPT(" ",LEN(A132))),LEN(A132)))), ROW(INDIRECT("1:"&amp;LEN((--TRIM(RIGHT(SUBSTITUTE(LEFT(A132,_xlfn.AGGREGATE(16,6,FIND({0,1,2,3,4,5,6,7,8,9},A132,ROW(INDIRECT("1:"&amp;LEN(A132)))),1))," ",REPT(" ",LEN(A132))),LEN(A132))))))), 1)) * ROW(INDIRECT("1:"&amp;LEN((--TRIM(RIGHT(SUBSTITUTE(LEFT(A132,_xlfn.AGGREGATE(16,6,FIND({0,1,2,3,4,5,6,7,8,9},A132,ROW(INDIRECT("1:"&amp;LEN(A132)))),1))," ",REPT(" ",LEN(A132))),LEN(A132))))))), 0), ROW(INDIRECT("1:"&amp;LEN((--TRIM(RIGHT(SUBSTITUTE(LEFT(A132,_xlfn.AGGREGATE(16,6,FIND({0,1,2,3,4,5,6,7,8,9},A132,ROW(INDIRECT("1:"&amp;LEN(A132)))),1))," ",REPT(" ",LEN(A132))),LEN(A132))))))))+1, 1) * 10^ROW(INDIRECT("1:"&amp;LEN((--TRIM(RIGHT(SUBSTITUTE(LEFT(A132,_xlfn.AGGREGATE(16,6,FIND({0,1,2,3,4,5,6,7,8,9},A132,ROW(INDIRECT("1:"&amp;LEN(A132)))),1))," ",REPT(" ",LEN(A132))),LEN(A132)))))))/10))*1+1</f>
        <v>403 ,.., 1003</v>
      </c>
      <c r="B133" s="58"/>
      <c r="C133" s="45">
        <v>1</v>
      </c>
      <c r="D133" s="46">
        <f>(29.26+0.75*(2.7+2.05+3))*(10.764)</f>
        <v>377.52039000000002</v>
      </c>
      <c r="E133" s="39">
        <v>0</v>
      </c>
      <c r="F133" s="39">
        <f t="shared" si="10"/>
        <v>566.28058499999997</v>
      </c>
      <c r="G133" s="57" t="str">
        <f t="shared" si="11"/>
        <v>4th, 6th &amp; 10th Floor For Residential</v>
      </c>
      <c r="H133" s="58"/>
      <c r="I133" s="33">
        <f t="shared" si="12"/>
        <v>2661518.7494999999</v>
      </c>
    </row>
    <row r="134" spans="1:15" s="34" customFormat="1" ht="15.75" customHeight="1" x14ac:dyDescent="0.3">
      <c r="A134" s="57" t="str">
        <f ca="1">(SUMPRODUCT(MID(0&amp;(LEFT(A133,SUM(LEN(A133)-LEN(SUBSTITUTE(A133,{"0","1","2"},""))))), LARGE(INDEX(ISNUMBER(--MID((LEFT(A133,SUM(LEN(A133)-LEN(SUBSTITUTE(A133,{"0","1","2"},""))))), ROW(INDIRECT("1:"&amp;LEN((LEFT(A133,SUM(LEN(A133)-LEN(SUBSTITUTE(A133,{"0","1","2"},"")))))))), 1)) * ROW(INDIRECT("1:"&amp;LEN((LEFT(A133,SUM(LEN(A133)-LEN(SUBSTITUTE(A133,{"0","1","2"},"")))))))), 0), ROW(INDIRECT("1:"&amp;LEN((LEFT(A133,SUM(LEN(A133)-LEN(SUBSTITUTE(A133,{"0","1","2"},"")))))))))+1, 1) * 10^ROW(INDIRECT("1:"&amp;LEN((LEFT(A133,SUM(LEN(A133)-LEN(SUBSTITUTE(A133,{"0","1","2"},""))))))))/10))*1+1&amp;""&amp;" ,.., "&amp;""&amp;(SUMPRODUCT(MID(0&amp;(--TRIM(RIGHT(SUBSTITUTE(LEFT(A133,_xlfn.AGGREGATE(16,6,FIND({0,1,2,3,4,5,6,7,8,9},A133,ROW(INDIRECT("1:"&amp;LEN(A133)))),1))," ",REPT(" ",LEN(A133))),LEN(A133)))), LARGE(INDEX(ISNUMBER(--MID((--TRIM(RIGHT(SUBSTITUTE(LEFT(A133,_xlfn.AGGREGATE(16,6,FIND({0,1,2,3,4,5,6,7,8,9},A133,ROW(INDIRECT("1:"&amp;LEN(A133)))),1))," ",REPT(" ",LEN(A133))),LEN(A133)))), ROW(INDIRECT("1:"&amp;LEN((--TRIM(RIGHT(SUBSTITUTE(LEFT(A133,_xlfn.AGGREGATE(16,6,FIND({0,1,2,3,4,5,6,7,8,9},A133,ROW(INDIRECT("1:"&amp;LEN(A133)))),1))," ",REPT(" ",LEN(A133))),LEN(A133))))))), 1)) * ROW(INDIRECT("1:"&amp;LEN((--TRIM(RIGHT(SUBSTITUTE(LEFT(A133,_xlfn.AGGREGATE(16,6,FIND({0,1,2,3,4,5,6,7,8,9},A133,ROW(INDIRECT("1:"&amp;LEN(A133)))),1))," ",REPT(" ",LEN(A133))),LEN(A133))))))), 0), ROW(INDIRECT("1:"&amp;LEN((--TRIM(RIGHT(SUBSTITUTE(LEFT(A133,_xlfn.AGGREGATE(16,6,FIND({0,1,2,3,4,5,6,7,8,9},A133,ROW(INDIRECT("1:"&amp;LEN(A133)))),1))," ",REPT(" ",LEN(A133))),LEN(A133))))))))+1, 1) * 10^ROW(INDIRECT("1:"&amp;LEN((--TRIM(RIGHT(SUBSTITUTE(LEFT(A133,_xlfn.AGGREGATE(16,6,FIND({0,1,2,3,4,5,6,7,8,9},A133,ROW(INDIRECT("1:"&amp;LEN(A133)))),1))," ",REPT(" ",LEN(A133))),LEN(A133)))))))/10))*1+1</f>
        <v>404 ,.., 1004</v>
      </c>
      <c r="B134" s="58"/>
      <c r="C134" s="45">
        <v>1</v>
      </c>
      <c r="D134" s="46">
        <f>(29.11+0.75*(2.7+2.05+3))*(10.764)</f>
        <v>375.90578999999997</v>
      </c>
      <c r="E134" s="39">
        <v>0</v>
      </c>
      <c r="F134" s="39">
        <f t="shared" si="10"/>
        <v>563.85868499999992</v>
      </c>
      <c r="G134" s="57" t="str">
        <f t="shared" si="11"/>
        <v>4th, 6th &amp; 10th Floor For Residential</v>
      </c>
      <c r="H134" s="58"/>
      <c r="I134" s="33">
        <f t="shared" si="12"/>
        <v>2650135.8194999998</v>
      </c>
    </row>
    <row r="135" spans="1:15" s="34" customFormat="1" ht="15.75" customHeight="1" x14ac:dyDescent="0.3">
      <c r="A135" s="57" t="str">
        <f ca="1">(SUMPRODUCT(MID(0&amp;(LEFT(A134,SUM(LEN(A134)-LEN(SUBSTITUTE(A134,{"0","1","2"},""))))), LARGE(INDEX(ISNUMBER(--MID((LEFT(A134,SUM(LEN(A134)-LEN(SUBSTITUTE(A134,{"0","1","2"},""))))), ROW(INDIRECT("1:"&amp;LEN((LEFT(A134,SUM(LEN(A134)-LEN(SUBSTITUTE(A134,{"0","1","2"},"")))))))), 1)) * ROW(INDIRECT("1:"&amp;LEN((LEFT(A134,SUM(LEN(A134)-LEN(SUBSTITUTE(A134,{"0","1","2"},"")))))))), 0), ROW(INDIRECT("1:"&amp;LEN((LEFT(A134,SUM(LEN(A134)-LEN(SUBSTITUTE(A134,{"0","1","2"},"")))))))))+1, 1) * 10^ROW(INDIRECT("1:"&amp;LEN((LEFT(A134,SUM(LEN(A134)-LEN(SUBSTITUTE(A134,{"0","1","2"},""))))))))/10))*1+1&amp;""&amp;" ,.., "&amp;""&amp;(SUMPRODUCT(MID(0&amp;(--TRIM(RIGHT(SUBSTITUTE(LEFT(A134,_xlfn.AGGREGATE(16,6,FIND({0,1,2,3,4,5,6,7,8,9},A134,ROW(INDIRECT("1:"&amp;LEN(A134)))),1))," ",REPT(" ",LEN(A134))),LEN(A134)))), LARGE(INDEX(ISNUMBER(--MID((--TRIM(RIGHT(SUBSTITUTE(LEFT(A134,_xlfn.AGGREGATE(16,6,FIND({0,1,2,3,4,5,6,7,8,9},A134,ROW(INDIRECT("1:"&amp;LEN(A134)))),1))," ",REPT(" ",LEN(A134))),LEN(A134)))), ROW(INDIRECT("1:"&amp;LEN((--TRIM(RIGHT(SUBSTITUTE(LEFT(A134,_xlfn.AGGREGATE(16,6,FIND({0,1,2,3,4,5,6,7,8,9},A134,ROW(INDIRECT("1:"&amp;LEN(A134)))),1))," ",REPT(" ",LEN(A134))),LEN(A134))))))), 1)) * ROW(INDIRECT("1:"&amp;LEN((--TRIM(RIGHT(SUBSTITUTE(LEFT(A134,_xlfn.AGGREGATE(16,6,FIND({0,1,2,3,4,5,6,7,8,9},A134,ROW(INDIRECT("1:"&amp;LEN(A134)))),1))," ",REPT(" ",LEN(A134))),LEN(A134))))))), 0), ROW(INDIRECT("1:"&amp;LEN((--TRIM(RIGHT(SUBSTITUTE(LEFT(A134,_xlfn.AGGREGATE(16,6,FIND({0,1,2,3,4,5,6,7,8,9},A134,ROW(INDIRECT("1:"&amp;LEN(A134)))),1))," ",REPT(" ",LEN(A134))),LEN(A134))))))))+1, 1) * 10^ROW(INDIRECT("1:"&amp;LEN((--TRIM(RIGHT(SUBSTITUTE(LEFT(A134,_xlfn.AGGREGATE(16,6,FIND({0,1,2,3,4,5,6,7,8,9},A134,ROW(INDIRECT("1:"&amp;LEN(A134)))),1))," ",REPT(" ",LEN(A134))),LEN(A134)))))))/10))*1+1</f>
        <v>405 ,.., 1005</v>
      </c>
      <c r="B135" s="58"/>
      <c r="C135" s="45" t="s">
        <v>231</v>
      </c>
      <c r="D135" s="46">
        <f>(46.41+0.75*(3+2.7+3.4+1))*(10.764)</f>
        <v>581.09453999999994</v>
      </c>
      <c r="E135" s="39">
        <v>0</v>
      </c>
      <c r="F135" s="39">
        <f t="shared" si="10"/>
        <v>871.64180999999985</v>
      </c>
      <c r="G135" s="57" t="str">
        <f t="shared" si="11"/>
        <v>4th, 6th &amp; 10th Floor For Residential</v>
      </c>
      <c r="H135" s="58"/>
      <c r="I135" s="33">
        <f>5000000/F135</f>
        <v>5736.3012451181075</v>
      </c>
    </row>
    <row r="136" spans="1:15" s="34" customFormat="1" x14ac:dyDescent="0.3">
      <c r="A136" s="57" t="str">
        <f ca="1">(SUMPRODUCT(MID(0&amp;(LEFT(A135,SUM(LEN(A135)-LEN(SUBSTITUTE(A135,{"0","1","2"},""))))), LARGE(INDEX(ISNUMBER(--MID((LEFT(A135,SUM(LEN(A135)-LEN(SUBSTITUTE(A135,{"0","1","2"},""))))), ROW(INDIRECT("1:"&amp;LEN((LEFT(A135,SUM(LEN(A135)-LEN(SUBSTITUTE(A135,{"0","1","2"},"")))))))), 1)) * ROW(INDIRECT("1:"&amp;LEN((LEFT(A135,SUM(LEN(A135)-LEN(SUBSTITUTE(A135,{"0","1","2"},"")))))))), 0), ROW(INDIRECT("1:"&amp;LEN((LEFT(A135,SUM(LEN(A135)-LEN(SUBSTITUTE(A135,{"0","1","2"},"")))))))))+1, 1) * 10^ROW(INDIRECT("1:"&amp;LEN((LEFT(A135,SUM(LEN(A135)-LEN(SUBSTITUTE(A135,{"0","1","2"},""))))))))/10))*1+1&amp;""&amp;" ,.., "&amp;""&amp;(SUMPRODUCT(MID(0&amp;(--TRIM(RIGHT(SUBSTITUTE(LEFT(A135,_xlfn.AGGREGATE(16,6,FIND({0,1,2,3,4,5,6,7,8,9},A135,ROW(INDIRECT("1:"&amp;LEN(A135)))),1))," ",REPT(" ",LEN(A135))),LEN(A135)))), LARGE(INDEX(ISNUMBER(--MID((--TRIM(RIGHT(SUBSTITUTE(LEFT(A135,_xlfn.AGGREGATE(16,6,FIND({0,1,2,3,4,5,6,7,8,9},A135,ROW(INDIRECT("1:"&amp;LEN(A135)))),1))," ",REPT(" ",LEN(A135))),LEN(A135)))), ROW(INDIRECT("1:"&amp;LEN((--TRIM(RIGHT(SUBSTITUTE(LEFT(A135,_xlfn.AGGREGATE(16,6,FIND({0,1,2,3,4,5,6,7,8,9},A135,ROW(INDIRECT("1:"&amp;LEN(A135)))),1))," ",REPT(" ",LEN(A135))),LEN(A135))))))), 1)) * ROW(INDIRECT("1:"&amp;LEN((--TRIM(RIGHT(SUBSTITUTE(LEFT(A135,_xlfn.AGGREGATE(16,6,FIND({0,1,2,3,4,5,6,7,8,9},A135,ROW(INDIRECT("1:"&amp;LEN(A135)))),1))," ",REPT(" ",LEN(A135))),LEN(A135))))))), 0), ROW(INDIRECT("1:"&amp;LEN((--TRIM(RIGHT(SUBSTITUTE(LEFT(A135,_xlfn.AGGREGATE(16,6,FIND({0,1,2,3,4,5,6,7,8,9},A135,ROW(INDIRECT("1:"&amp;LEN(A135)))),1))," ",REPT(" ",LEN(A135))),LEN(A135))))))))+1, 1) * 10^ROW(INDIRECT("1:"&amp;LEN((--TRIM(RIGHT(SUBSTITUTE(LEFT(A135,_xlfn.AGGREGATE(16,6,FIND({0,1,2,3,4,5,6,7,8,9},A135,ROW(INDIRECT("1:"&amp;LEN(A135)))),1))," ",REPT(" ",LEN(A135))),LEN(A135)))))))/10))*1+1</f>
        <v>406 ,.., 1006</v>
      </c>
      <c r="B136" s="58"/>
      <c r="C136" s="45">
        <v>1</v>
      </c>
      <c r="D136" s="46">
        <f>(29.11+0.75*(2.7+2.05+3))*(10.764)</f>
        <v>375.90578999999997</v>
      </c>
      <c r="E136" s="39">
        <v>0</v>
      </c>
      <c r="F136" s="39">
        <f t="shared" si="10"/>
        <v>563.85868499999992</v>
      </c>
      <c r="G136" s="57" t="str">
        <f t="shared" si="11"/>
        <v>4th, 6th &amp; 10th Floor For Residential</v>
      </c>
      <c r="H136" s="58"/>
      <c r="I136" s="33"/>
    </row>
    <row r="137" spans="1:15" s="34" customFormat="1" ht="15.75" customHeight="1" x14ac:dyDescent="0.3">
      <c r="A137" s="57" t="str">
        <f ca="1">(SUMPRODUCT(MID(0&amp;(LEFT(A136,SUM(LEN(A136)-LEN(SUBSTITUTE(A136,{"0","1","2"},""))))), LARGE(INDEX(ISNUMBER(--MID((LEFT(A136,SUM(LEN(A136)-LEN(SUBSTITUTE(A136,{"0","1","2"},""))))), ROW(INDIRECT("1:"&amp;LEN((LEFT(A136,SUM(LEN(A136)-LEN(SUBSTITUTE(A136,{"0","1","2"},"")))))))), 1)) * ROW(INDIRECT("1:"&amp;LEN((LEFT(A136,SUM(LEN(A136)-LEN(SUBSTITUTE(A136,{"0","1","2"},"")))))))), 0), ROW(INDIRECT("1:"&amp;LEN((LEFT(A136,SUM(LEN(A136)-LEN(SUBSTITUTE(A136,{"0","1","2"},"")))))))))+1, 1) * 10^ROW(INDIRECT("1:"&amp;LEN((LEFT(A136,SUM(LEN(A136)-LEN(SUBSTITUTE(A136,{"0","1","2"},""))))))))/10))*1+1&amp;""&amp;" ,.., "&amp;""&amp;(SUMPRODUCT(MID(0&amp;(--TRIM(RIGHT(SUBSTITUTE(LEFT(A136,_xlfn.AGGREGATE(16,6,FIND({0,1,2,3,4,5,6,7,8,9},A136,ROW(INDIRECT("1:"&amp;LEN(A136)))),1))," ",REPT(" ",LEN(A136))),LEN(A136)))), LARGE(INDEX(ISNUMBER(--MID((--TRIM(RIGHT(SUBSTITUTE(LEFT(A136,_xlfn.AGGREGATE(16,6,FIND({0,1,2,3,4,5,6,7,8,9},A136,ROW(INDIRECT("1:"&amp;LEN(A136)))),1))," ",REPT(" ",LEN(A136))),LEN(A136)))), ROW(INDIRECT("1:"&amp;LEN((--TRIM(RIGHT(SUBSTITUTE(LEFT(A136,_xlfn.AGGREGATE(16,6,FIND({0,1,2,3,4,5,6,7,8,9},A136,ROW(INDIRECT("1:"&amp;LEN(A136)))),1))," ",REPT(" ",LEN(A136))),LEN(A136))))))), 1)) * ROW(INDIRECT("1:"&amp;LEN((--TRIM(RIGHT(SUBSTITUTE(LEFT(A136,_xlfn.AGGREGATE(16,6,FIND({0,1,2,3,4,5,6,7,8,9},A136,ROW(INDIRECT("1:"&amp;LEN(A136)))),1))," ",REPT(" ",LEN(A136))),LEN(A136))))))), 0), ROW(INDIRECT("1:"&amp;LEN((--TRIM(RIGHT(SUBSTITUTE(LEFT(A136,_xlfn.AGGREGATE(16,6,FIND({0,1,2,3,4,5,6,7,8,9},A136,ROW(INDIRECT("1:"&amp;LEN(A136)))),1))," ",REPT(" ",LEN(A136))),LEN(A136))))))))+1, 1) * 10^ROW(INDIRECT("1:"&amp;LEN((--TRIM(RIGHT(SUBSTITUTE(LEFT(A136,_xlfn.AGGREGATE(16,6,FIND({0,1,2,3,4,5,6,7,8,9},A136,ROW(INDIRECT("1:"&amp;LEN(A136)))),1))," ",REPT(" ",LEN(A136))),LEN(A136)))))))/10))*1+1</f>
        <v>407 ,.., 1007</v>
      </c>
      <c r="B137" s="58"/>
      <c r="C137" s="45">
        <v>1</v>
      </c>
      <c r="D137" s="46">
        <f>(29.11+0.75*(2.7+2.05+3))*(10.764)</f>
        <v>375.90578999999997</v>
      </c>
      <c r="E137" s="39">
        <v>0</v>
      </c>
      <c r="F137" s="39">
        <f t="shared" si="10"/>
        <v>563.85868499999992</v>
      </c>
      <c r="G137" s="57" t="str">
        <f t="shared" si="11"/>
        <v>4th, 6th &amp; 10th Floor For Residential</v>
      </c>
      <c r="H137" s="58"/>
      <c r="I137" s="33"/>
    </row>
    <row r="138" spans="1:15" s="34" customFormat="1" ht="15.75" customHeight="1" x14ac:dyDescent="0.3">
      <c r="A138" s="57" t="str">
        <f ca="1">(SUMPRODUCT(MID(0&amp;(LEFT(A137,SUM(LEN(A137)-LEN(SUBSTITUTE(A137,{"0","1","2"},""))))), LARGE(INDEX(ISNUMBER(--MID((LEFT(A137,SUM(LEN(A137)-LEN(SUBSTITUTE(A137,{"0","1","2"},""))))), ROW(INDIRECT("1:"&amp;LEN((LEFT(A137,SUM(LEN(A137)-LEN(SUBSTITUTE(A137,{"0","1","2"},"")))))))), 1)) * ROW(INDIRECT("1:"&amp;LEN((LEFT(A137,SUM(LEN(A137)-LEN(SUBSTITUTE(A137,{"0","1","2"},"")))))))), 0), ROW(INDIRECT("1:"&amp;LEN((LEFT(A137,SUM(LEN(A137)-LEN(SUBSTITUTE(A137,{"0","1","2"},"")))))))))+1, 1) * 10^ROW(INDIRECT("1:"&amp;LEN((LEFT(A137,SUM(LEN(A137)-LEN(SUBSTITUTE(A137,{"0","1","2"},""))))))))/10))*1+1&amp;""&amp;" ,.., "&amp;""&amp;(SUMPRODUCT(MID(0&amp;(--TRIM(RIGHT(SUBSTITUTE(LEFT(A137,_xlfn.AGGREGATE(16,6,FIND({0,1,2,3,4,5,6,7,8,9},A137,ROW(INDIRECT("1:"&amp;LEN(A137)))),1))," ",REPT(" ",LEN(A137))),LEN(A137)))), LARGE(INDEX(ISNUMBER(--MID((--TRIM(RIGHT(SUBSTITUTE(LEFT(A137,_xlfn.AGGREGATE(16,6,FIND({0,1,2,3,4,5,6,7,8,9},A137,ROW(INDIRECT("1:"&amp;LEN(A137)))),1))," ",REPT(" ",LEN(A137))),LEN(A137)))), ROW(INDIRECT("1:"&amp;LEN((--TRIM(RIGHT(SUBSTITUTE(LEFT(A137,_xlfn.AGGREGATE(16,6,FIND({0,1,2,3,4,5,6,7,8,9},A137,ROW(INDIRECT("1:"&amp;LEN(A137)))),1))," ",REPT(" ",LEN(A137))),LEN(A137))))))), 1)) * ROW(INDIRECT("1:"&amp;LEN((--TRIM(RIGHT(SUBSTITUTE(LEFT(A137,_xlfn.AGGREGATE(16,6,FIND({0,1,2,3,4,5,6,7,8,9},A137,ROW(INDIRECT("1:"&amp;LEN(A137)))),1))," ",REPT(" ",LEN(A137))),LEN(A137))))))), 0), ROW(INDIRECT("1:"&amp;LEN((--TRIM(RIGHT(SUBSTITUTE(LEFT(A137,_xlfn.AGGREGATE(16,6,FIND({0,1,2,3,4,5,6,7,8,9},A137,ROW(INDIRECT("1:"&amp;LEN(A137)))),1))," ",REPT(" ",LEN(A137))),LEN(A137))))))))+1, 1) * 10^ROW(INDIRECT("1:"&amp;LEN((--TRIM(RIGHT(SUBSTITUTE(LEFT(A137,_xlfn.AGGREGATE(16,6,FIND({0,1,2,3,4,5,6,7,8,9},A137,ROW(INDIRECT("1:"&amp;LEN(A137)))),1))," ",REPT(" ",LEN(A137))),LEN(A137)))))))/10))*1+1</f>
        <v>408 ,.., 1008</v>
      </c>
      <c r="B138" s="58"/>
      <c r="C138" s="45">
        <v>1</v>
      </c>
      <c r="D138" s="46">
        <f>(29.53+0.75*(2.7+2.05+3))*(10.764)</f>
        <v>380.42667</v>
      </c>
      <c r="E138" s="39">
        <v>0</v>
      </c>
      <c r="F138" s="39">
        <f t="shared" si="10"/>
        <v>570.64000499999997</v>
      </c>
      <c r="G138" s="57" t="str">
        <f t="shared" si="11"/>
        <v>4th, 6th &amp; 10th Floor For Residential</v>
      </c>
      <c r="H138" s="58"/>
      <c r="I138" s="33"/>
    </row>
    <row r="139" spans="1:15" s="34" customFormat="1" ht="15.75" customHeight="1" x14ac:dyDescent="0.3">
      <c r="A139" s="57" t="str">
        <f ca="1">(SUMPRODUCT(MID(0&amp;(LEFT(A138,SUM(LEN(A138)-LEN(SUBSTITUTE(A138,{"0","1","2"},""))))), LARGE(INDEX(ISNUMBER(--MID((LEFT(A138,SUM(LEN(A138)-LEN(SUBSTITUTE(A138,{"0","1","2"},""))))), ROW(INDIRECT("1:"&amp;LEN((LEFT(A138,SUM(LEN(A138)-LEN(SUBSTITUTE(A138,{"0","1","2"},"")))))))), 1)) * ROW(INDIRECT("1:"&amp;LEN((LEFT(A138,SUM(LEN(A138)-LEN(SUBSTITUTE(A138,{"0","1","2"},"")))))))), 0), ROW(INDIRECT("1:"&amp;LEN((LEFT(A138,SUM(LEN(A138)-LEN(SUBSTITUTE(A138,{"0","1","2"},"")))))))))+1, 1) * 10^ROW(INDIRECT("1:"&amp;LEN((LEFT(A138,SUM(LEN(A138)-LEN(SUBSTITUTE(A138,{"0","1","2"},""))))))))/10))*1+1&amp;""&amp;" ,.., "&amp;""&amp;(SUMPRODUCT(MID(0&amp;(--TRIM(RIGHT(SUBSTITUTE(LEFT(A138,_xlfn.AGGREGATE(16,6,FIND({0,1,2,3,4,5,6,7,8,9},A138,ROW(INDIRECT("1:"&amp;LEN(A138)))),1))," ",REPT(" ",LEN(A138))),LEN(A138)))), LARGE(INDEX(ISNUMBER(--MID((--TRIM(RIGHT(SUBSTITUTE(LEFT(A138,_xlfn.AGGREGATE(16,6,FIND({0,1,2,3,4,5,6,7,8,9},A138,ROW(INDIRECT("1:"&amp;LEN(A138)))),1))," ",REPT(" ",LEN(A138))),LEN(A138)))), ROW(INDIRECT("1:"&amp;LEN((--TRIM(RIGHT(SUBSTITUTE(LEFT(A138,_xlfn.AGGREGATE(16,6,FIND({0,1,2,3,4,5,6,7,8,9},A138,ROW(INDIRECT("1:"&amp;LEN(A138)))),1))," ",REPT(" ",LEN(A138))),LEN(A138))))))), 1)) * ROW(INDIRECT("1:"&amp;LEN((--TRIM(RIGHT(SUBSTITUTE(LEFT(A138,_xlfn.AGGREGATE(16,6,FIND({0,1,2,3,4,5,6,7,8,9},A138,ROW(INDIRECT("1:"&amp;LEN(A138)))),1))," ",REPT(" ",LEN(A138))),LEN(A138))))))), 0), ROW(INDIRECT("1:"&amp;LEN((--TRIM(RIGHT(SUBSTITUTE(LEFT(A138,_xlfn.AGGREGATE(16,6,FIND({0,1,2,3,4,5,6,7,8,9},A138,ROW(INDIRECT("1:"&amp;LEN(A138)))),1))," ",REPT(" ",LEN(A138))),LEN(A138))))))))+1, 1) * 10^ROW(INDIRECT("1:"&amp;LEN((--TRIM(RIGHT(SUBSTITUTE(LEFT(A138,_xlfn.AGGREGATE(16,6,FIND({0,1,2,3,4,5,6,7,8,9},A138,ROW(INDIRECT("1:"&amp;LEN(A138)))),1))," ",REPT(" ",LEN(A138))),LEN(A138)))))))/10))*1+1</f>
        <v>409 ,.., 1009</v>
      </c>
      <c r="B139" s="58"/>
      <c r="C139" s="45">
        <v>1</v>
      </c>
      <c r="D139" s="46">
        <f>(29.11+0.75*(2.7+2.05+3))*(10.764)</f>
        <v>375.90578999999997</v>
      </c>
      <c r="E139" s="39">
        <v>0</v>
      </c>
      <c r="F139" s="39">
        <f t="shared" si="10"/>
        <v>563.85868499999992</v>
      </c>
      <c r="G139" s="57" t="str">
        <f t="shared" si="11"/>
        <v>4th, 6th &amp; 10th Floor For Residential</v>
      </c>
      <c r="H139" s="58"/>
      <c r="I139" s="33"/>
    </row>
    <row r="140" spans="1:15" s="34" customFormat="1" ht="15.75" customHeight="1" x14ac:dyDescent="0.3">
      <c r="A140" s="57" t="str">
        <f ca="1">(SUMPRODUCT(MID(0&amp;(LEFT(A139,SUM(LEN(A139)-LEN(SUBSTITUTE(A139,{"0","1","2"},""))))), LARGE(INDEX(ISNUMBER(--MID((LEFT(A139,SUM(LEN(A139)-LEN(SUBSTITUTE(A139,{"0","1","2"},""))))), ROW(INDIRECT("1:"&amp;LEN((LEFT(A139,SUM(LEN(A139)-LEN(SUBSTITUTE(A139,{"0","1","2"},"")))))))), 1)) * ROW(INDIRECT("1:"&amp;LEN((LEFT(A139,SUM(LEN(A139)-LEN(SUBSTITUTE(A139,{"0","1","2"},"")))))))), 0), ROW(INDIRECT("1:"&amp;LEN((LEFT(A139,SUM(LEN(A139)-LEN(SUBSTITUTE(A139,{"0","1","2"},"")))))))))+1, 1) * 10^ROW(INDIRECT("1:"&amp;LEN((LEFT(A139,SUM(LEN(A139)-LEN(SUBSTITUTE(A139,{"0","1","2"},""))))))))/10))*1+1&amp;""&amp;" ,.., "&amp;""&amp;(SUMPRODUCT(MID(0&amp;(--TRIM(RIGHT(SUBSTITUTE(LEFT(A139,_xlfn.AGGREGATE(16,6,FIND({0,1,2,3,4,5,6,7,8,9},A139,ROW(INDIRECT("1:"&amp;LEN(A139)))),1))," ",REPT(" ",LEN(A139))),LEN(A139)))), LARGE(INDEX(ISNUMBER(--MID((--TRIM(RIGHT(SUBSTITUTE(LEFT(A139,_xlfn.AGGREGATE(16,6,FIND({0,1,2,3,4,5,6,7,8,9},A139,ROW(INDIRECT("1:"&amp;LEN(A139)))),1))," ",REPT(" ",LEN(A139))),LEN(A139)))), ROW(INDIRECT("1:"&amp;LEN((--TRIM(RIGHT(SUBSTITUTE(LEFT(A139,_xlfn.AGGREGATE(16,6,FIND({0,1,2,3,4,5,6,7,8,9},A139,ROW(INDIRECT("1:"&amp;LEN(A139)))),1))," ",REPT(" ",LEN(A139))),LEN(A139))))))), 1)) * ROW(INDIRECT("1:"&amp;LEN((--TRIM(RIGHT(SUBSTITUTE(LEFT(A139,_xlfn.AGGREGATE(16,6,FIND({0,1,2,3,4,5,6,7,8,9},A139,ROW(INDIRECT("1:"&amp;LEN(A139)))),1))," ",REPT(" ",LEN(A139))),LEN(A139))))))), 0), ROW(INDIRECT("1:"&amp;LEN((--TRIM(RIGHT(SUBSTITUTE(LEFT(A139,_xlfn.AGGREGATE(16,6,FIND({0,1,2,3,4,5,6,7,8,9},A139,ROW(INDIRECT("1:"&amp;LEN(A139)))),1))," ",REPT(" ",LEN(A139))),LEN(A139))))))))+1, 1) * 10^ROW(INDIRECT("1:"&amp;LEN((--TRIM(RIGHT(SUBSTITUTE(LEFT(A139,_xlfn.AGGREGATE(16,6,FIND({0,1,2,3,4,5,6,7,8,9},A139,ROW(INDIRECT("1:"&amp;LEN(A139)))),1))," ",REPT(" ",LEN(A139))),LEN(A139)))))))/10))*1+1</f>
        <v>410 ,.., 1010</v>
      </c>
      <c r="B140" s="58"/>
      <c r="C140" s="45">
        <v>1</v>
      </c>
      <c r="D140" s="46">
        <f>(29.11+0.75*(2.7+2.05+3))*(10.764)</f>
        <v>375.90578999999997</v>
      </c>
      <c r="E140" s="39">
        <v>0</v>
      </c>
      <c r="F140" s="39">
        <f t="shared" si="10"/>
        <v>563.85868499999992</v>
      </c>
      <c r="G140" s="57" t="str">
        <f t="shared" si="11"/>
        <v>4th, 6th &amp; 10th Floor For Residential</v>
      </c>
      <c r="H140" s="58"/>
      <c r="I140" s="33"/>
      <c r="J140" s="34" t="s">
        <v>196</v>
      </c>
    </row>
    <row r="141" spans="1:15" s="34" customFormat="1" ht="15.75" customHeight="1" x14ac:dyDescent="0.3">
      <c r="A141" s="57" t="str">
        <f ca="1">(SUMPRODUCT(MID(0&amp;(LEFT(A140,SUM(LEN(A140)-LEN(SUBSTITUTE(A140,{"0","1","2"},""))))), LARGE(INDEX(ISNUMBER(--MID((LEFT(A140,SUM(LEN(A140)-LEN(SUBSTITUTE(A140,{"0","1","2"},""))))), ROW(INDIRECT("1:"&amp;LEN((LEFT(A140,SUM(LEN(A140)-LEN(SUBSTITUTE(A140,{"0","1","2"},"")))))))), 1)) * ROW(INDIRECT("1:"&amp;LEN((LEFT(A140,SUM(LEN(A140)-LEN(SUBSTITUTE(A140,{"0","1","2"},"")))))))), 0), ROW(INDIRECT("1:"&amp;LEN((LEFT(A140,SUM(LEN(A140)-LEN(SUBSTITUTE(A140,{"0","1","2"},"")))))))))+1, 1) * 10^ROW(INDIRECT("1:"&amp;LEN((LEFT(A140,SUM(LEN(A140)-LEN(SUBSTITUTE(A140,{"0","1","2"},""))))))))/10))*1+1&amp;""&amp;" ,.., "&amp;""&amp;(SUMPRODUCT(MID(0&amp;(--TRIM(RIGHT(SUBSTITUTE(LEFT(A140,_xlfn.AGGREGATE(16,6,FIND({0,1,2,3,4,5,6,7,8,9},A140,ROW(INDIRECT("1:"&amp;LEN(A140)))),1))," ",REPT(" ",LEN(A140))),LEN(A140)))), LARGE(INDEX(ISNUMBER(--MID((--TRIM(RIGHT(SUBSTITUTE(LEFT(A140,_xlfn.AGGREGATE(16,6,FIND({0,1,2,3,4,5,6,7,8,9},A140,ROW(INDIRECT("1:"&amp;LEN(A140)))),1))," ",REPT(" ",LEN(A140))),LEN(A140)))), ROW(INDIRECT("1:"&amp;LEN((--TRIM(RIGHT(SUBSTITUTE(LEFT(A140,_xlfn.AGGREGATE(16,6,FIND({0,1,2,3,4,5,6,7,8,9},A140,ROW(INDIRECT("1:"&amp;LEN(A140)))),1))," ",REPT(" ",LEN(A140))),LEN(A140))))))), 1)) * ROW(INDIRECT("1:"&amp;LEN((--TRIM(RIGHT(SUBSTITUTE(LEFT(A140,_xlfn.AGGREGATE(16,6,FIND({0,1,2,3,4,5,6,7,8,9},A140,ROW(INDIRECT("1:"&amp;LEN(A140)))),1))," ",REPT(" ",LEN(A140))),LEN(A140))))))), 0), ROW(INDIRECT("1:"&amp;LEN((--TRIM(RIGHT(SUBSTITUTE(LEFT(A140,_xlfn.AGGREGATE(16,6,FIND({0,1,2,3,4,5,6,7,8,9},A140,ROW(INDIRECT("1:"&amp;LEN(A140)))),1))," ",REPT(" ",LEN(A140))),LEN(A140))))))))+1, 1) * 10^ROW(INDIRECT("1:"&amp;LEN((--TRIM(RIGHT(SUBSTITUTE(LEFT(A140,_xlfn.AGGREGATE(16,6,FIND({0,1,2,3,4,5,6,7,8,9},A140,ROW(INDIRECT("1:"&amp;LEN(A140)))),1))," ",REPT(" ",LEN(A140))),LEN(A140)))))))/10))*1+1</f>
        <v>411 ,.., 1011</v>
      </c>
      <c r="B141" s="58"/>
      <c r="C141" s="45">
        <v>1</v>
      </c>
      <c r="D141" s="46">
        <f>(29.53+0.75*(2.7+2.05+3))*(10.764)</f>
        <v>380.42667</v>
      </c>
      <c r="E141" s="39">
        <v>0</v>
      </c>
      <c r="F141" s="39">
        <f t="shared" si="10"/>
        <v>570.64000499999997</v>
      </c>
      <c r="G141" s="57" t="str">
        <f t="shared" si="11"/>
        <v>4th, 6th &amp; 10th Floor For Residential</v>
      </c>
      <c r="H141" s="58"/>
      <c r="I141" s="33"/>
    </row>
    <row r="142" spans="1:15" s="34" customFormat="1" ht="15.75" customHeight="1" x14ac:dyDescent="0.3">
      <c r="A142" s="57" t="str">
        <f ca="1">(SUMPRODUCT(MID(0&amp;(LEFT(A141,SUM(LEN(A141)-LEN(SUBSTITUTE(A141,{"0","1","2"},""))))), LARGE(INDEX(ISNUMBER(--MID((LEFT(A141,SUM(LEN(A141)-LEN(SUBSTITUTE(A141,{"0","1","2"},""))))), ROW(INDIRECT("1:"&amp;LEN((LEFT(A141,SUM(LEN(A141)-LEN(SUBSTITUTE(A141,{"0","1","2"},"")))))))), 1)) * ROW(INDIRECT("1:"&amp;LEN((LEFT(A141,SUM(LEN(A141)-LEN(SUBSTITUTE(A141,{"0","1","2"},"")))))))), 0), ROW(INDIRECT("1:"&amp;LEN((LEFT(A141,SUM(LEN(A141)-LEN(SUBSTITUTE(A141,{"0","1","2"},"")))))))))+1, 1) * 10^ROW(INDIRECT("1:"&amp;LEN((LEFT(A141,SUM(LEN(A141)-LEN(SUBSTITUTE(A141,{"0","1","2"},""))))))))/10))*1+1&amp;""&amp;" ,.., "&amp;""&amp;(SUMPRODUCT(MID(0&amp;(--TRIM(RIGHT(SUBSTITUTE(LEFT(A141,_xlfn.AGGREGATE(16,6,FIND({0,1,2,3,4,5,6,7,8,9},A141,ROW(INDIRECT("1:"&amp;LEN(A141)))),1))," ",REPT(" ",LEN(A141))),LEN(A141)))), LARGE(INDEX(ISNUMBER(--MID((--TRIM(RIGHT(SUBSTITUTE(LEFT(A141,_xlfn.AGGREGATE(16,6,FIND({0,1,2,3,4,5,6,7,8,9},A141,ROW(INDIRECT("1:"&amp;LEN(A141)))),1))," ",REPT(" ",LEN(A141))),LEN(A141)))), ROW(INDIRECT("1:"&amp;LEN((--TRIM(RIGHT(SUBSTITUTE(LEFT(A141,_xlfn.AGGREGATE(16,6,FIND({0,1,2,3,4,5,6,7,8,9},A141,ROW(INDIRECT("1:"&amp;LEN(A141)))),1))," ",REPT(" ",LEN(A141))),LEN(A141))))))), 1)) * ROW(INDIRECT("1:"&amp;LEN((--TRIM(RIGHT(SUBSTITUTE(LEFT(A141,_xlfn.AGGREGATE(16,6,FIND({0,1,2,3,4,5,6,7,8,9},A141,ROW(INDIRECT("1:"&amp;LEN(A141)))),1))," ",REPT(" ",LEN(A141))),LEN(A141))))))), 0), ROW(INDIRECT("1:"&amp;LEN((--TRIM(RIGHT(SUBSTITUTE(LEFT(A141,_xlfn.AGGREGATE(16,6,FIND({0,1,2,3,4,5,6,7,8,9},A141,ROW(INDIRECT("1:"&amp;LEN(A141)))),1))," ",REPT(" ",LEN(A141))),LEN(A141))))))))+1, 1) * 10^ROW(INDIRECT("1:"&amp;LEN((--TRIM(RIGHT(SUBSTITUTE(LEFT(A141,_xlfn.AGGREGATE(16,6,FIND({0,1,2,3,4,5,6,7,8,9},A141,ROW(INDIRECT("1:"&amp;LEN(A141)))),1))," ",REPT(" ",LEN(A141))),LEN(A141)))))))/10))*1+1</f>
        <v>412 ,.., 1012</v>
      </c>
      <c r="B142" s="58"/>
      <c r="C142" s="45">
        <v>1</v>
      </c>
      <c r="D142" s="46">
        <f>(29.11+0.75*(2.7+2.05+3))*(10.764)</f>
        <v>375.90578999999997</v>
      </c>
      <c r="E142" s="39">
        <v>0</v>
      </c>
      <c r="F142" s="39">
        <f t="shared" si="10"/>
        <v>563.85868499999992</v>
      </c>
      <c r="G142" s="57" t="str">
        <f t="shared" si="11"/>
        <v>4th, 6th &amp; 10th Floor For Residential</v>
      </c>
      <c r="H142" s="58"/>
      <c r="I142" s="33"/>
    </row>
    <row r="143" spans="1:15" s="34" customFormat="1" ht="15.75" customHeight="1" x14ac:dyDescent="0.3">
      <c r="A143" s="72" t="s">
        <v>197</v>
      </c>
      <c r="B143" s="73"/>
      <c r="C143" s="73"/>
      <c r="D143" s="73"/>
      <c r="E143" s="73"/>
      <c r="F143" s="73"/>
      <c r="G143" s="73"/>
      <c r="H143" s="74"/>
      <c r="I143" s="33"/>
    </row>
    <row r="144" spans="1:15" s="34" customFormat="1" x14ac:dyDescent="0.3">
      <c r="A144" s="57" t="s">
        <v>198</v>
      </c>
      <c r="B144" s="58"/>
      <c r="C144" s="45">
        <v>1</v>
      </c>
      <c r="D144" s="46">
        <f>(29.11+0.75*(2.7+2.05+3))*(10.764)</f>
        <v>375.90578999999997</v>
      </c>
      <c r="E144" s="39">
        <v>0</v>
      </c>
      <c r="F144" s="39">
        <f t="shared" ref="F144:F155" si="13">D144*(($F$126)+1)+(IF(E144&lt;101,E144,IF(E144&lt;201,E144/2,IF(E144&lt;=301,E144/3,E144/4))))</f>
        <v>563.85868499999992</v>
      </c>
      <c r="G144" s="57" t="str">
        <f>A143</f>
        <v>5th, 7th &amp; 9th Floor For Residential</v>
      </c>
      <c r="H144" s="58"/>
      <c r="I144" s="33" t="str">
        <f>K144&amp;""&amp;",..,"&amp;""&amp;L144</f>
        <v>501,..,901</v>
      </c>
      <c r="J144" s="34">
        <f>4.25*2.7+1.95*2.05+2.95*3+1.2*1.2+1.2*0.9+2.05*0.9</f>
        <v>28.6875</v>
      </c>
      <c r="K144" s="34">
        <v>501</v>
      </c>
      <c r="L144" s="34">
        <v>901</v>
      </c>
      <c r="N144" s="51" t="str">
        <f>K144&amp;""&amp;",..,"&amp;""&amp;L144</f>
        <v>501,..,901</v>
      </c>
      <c r="O144" s="51"/>
    </row>
    <row r="145" spans="1:15" s="34" customFormat="1" x14ac:dyDescent="0.3">
      <c r="A145" s="57" t="s">
        <v>199</v>
      </c>
      <c r="B145" s="58"/>
      <c r="C145" s="45" t="s">
        <v>231</v>
      </c>
      <c r="D145" s="46">
        <f>(46.41+0.75*(3+2.7+3.4+1))*(10.764)</f>
        <v>581.09453999999994</v>
      </c>
      <c r="E145" s="39">
        <v>0</v>
      </c>
      <c r="F145" s="39">
        <f t="shared" si="13"/>
        <v>871.64180999999985</v>
      </c>
      <c r="G145" s="57" t="str">
        <f t="shared" ref="G145:G155" si="14">G144</f>
        <v>5th, 7th &amp; 9th Floor For Residential</v>
      </c>
      <c r="H145" s="58"/>
      <c r="I145" s="33" t="str">
        <f t="shared" ref="I145:I155" si="15">K145&amp;""&amp;",..,"&amp;""&amp;L145</f>
        <v>502,..,902</v>
      </c>
      <c r="J145" s="34">
        <f>3*4.55+2.4*2.4+1.8*1.2+1.8*1.2+3.4*3+2.7*3+4.3*0.9</f>
        <v>45.899999999999991</v>
      </c>
      <c r="K145" s="34">
        <v>502</v>
      </c>
      <c r="L145" s="34">
        <v>902</v>
      </c>
      <c r="N145" s="51" t="str">
        <f t="shared" ref="N145:N155" si="16">K145&amp;""&amp;",..,"&amp;""&amp;L145</f>
        <v>502,..,902</v>
      </c>
      <c r="O145" s="51"/>
    </row>
    <row r="146" spans="1:15" s="34" customFormat="1" ht="15.75" customHeight="1" x14ac:dyDescent="0.3">
      <c r="A146" s="57" t="s">
        <v>200</v>
      </c>
      <c r="B146" s="58"/>
      <c r="C146" s="45">
        <v>1</v>
      </c>
      <c r="D146" s="46">
        <f>(29.26+0.75*(2.7+2.05+3))*(10.764)</f>
        <v>377.52039000000002</v>
      </c>
      <c r="E146" s="39">
        <v>0</v>
      </c>
      <c r="F146" s="39">
        <f t="shared" si="13"/>
        <v>566.28058499999997</v>
      </c>
      <c r="G146" s="57" t="str">
        <f t="shared" si="14"/>
        <v>5th, 7th &amp; 9th Floor For Residential</v>
      </c>
      <c r="H146" s="58"/>
      <c r="I146" s="33" t="str">
        <f t="shared" si="15"/>
        <v>503,..,903</v>
      </c>
      <c r="K146" s="34">
        <v>503</v>
      </c>
      <c r="L146" s="34">
        <v>903</v>
      </c>
      <c r="N146" s="51" t="str">
        <f t="shared" si="16"/>
        <v>503,..,903</v>
      </c>
      <c r="O146" s="51"/>
    </row>
    <row r="147" spans="1:15" s="34" customFormat="1" ht="15.75" customHeight="1" x14ac:dyDescent="0.3">
      <c r="A147" s="57" t="s">
        <v>201</v>
      </c>
      <c r="B147" s="58"/>
      <c r="C147" s="45">
        <v>1</v>
      </c>
      <c r="D147" s="46">
        <f>(29.11+0.75*(2.7+2.05+3))*(10.764)</f>
        <v>375.90578999999997</v>
      </c>
      <c r="E147" s="39">
        <v>0</v>
      </c>
      <c r="F147" s="39">
        <f t="shared" si="13"/>
        <v>563.85868499999992</v>
      </c>
      <c r="G147" s="57" t="str">
        <f t="shared" si="14"/>
        <v>5th, 7th &amp; 9th Floor For Residential</v>
      </c>
      <c r="H147" s="58"/>
      <c r="I147" s="33" t="str">
        <f t="shared" si="15"/>
        <v>504,..,904</v>
      </c>
      <c r="K147" s="34">
        <v>504</v>
      </c>
      <c r="L147" s="34">
        <v>904</v>
      </c>
      <c r="N147" s="51" t="str">
        <f t="shared" si="16"/>
        <v>504,..,904</v>
      </c>
      <c r="O147" s="51"/>
    </row>
    <row r="148" spans="1:15" s="34" customFormat="1" ht="15.75" customHeight="1" x14ac:dyDescent="0.3">
      <c r="A148" s="57" t="s">
        <v>202</v>
      </c>
      <c r="B148" s="58"/>
      <c r="C148" s="45" t="s">
        <v>231</v>
      </c>
      <c r="D148" s="46">
        <f>(46.41+0.75*(3+2.7+3.4+1))*(10.764)</f>
        <v>581.09453999999994</v>
      </c>
      <c r="E148" s="39">
        <v>0</v>
      </c>
      <c r="F148" s="39">
        <f t="shared" si="13"/>
        <v>871.64180999999985</v>
      </c>
      <c r="G148" s="57" t="str">
        <f t="shared" si="14"/>
        <v>5th, 7th &amp; 9th Floor For Residential</v>
      </c>
      <c r="H148" s="58"/>
      <c r="I148" s="33" t="str">
        <f t="shared" si="15"/>
        <v>505,..,905</v>
      </c>
      <c r="K148" s="34">
        <v>505</v>
      </c>
      <c r="L148" s="34">
        <v>905</v>
      </c>
      <c r="N148" s="51" t="str">
        <f t="shared" si="16"/>
        <v>505,..,905</v>
      </c>
      <c r="O148" s="51"/>
    </row>
    <row r="149" spans="1:15" s="34" customFormat="1" x14ac:dyDescent="0.3">
      <c r="A149" s="57" t="s">
        <v>203</v>
      </c>
      <c r="B149" s="58"/>
      <c r="C149" s="45">
        <v>1</v>
      </c>
      <c r="D149" s="46">
        <f>(29.11+0.75*(2.7+2.05+3))*(10.764)</f>
        <v>375.90578999999997</v>
      </c>
      <c r="E149" s="39">
        <v>0</v>
      </c>
      <c r="F149" s="39">
        <f t="shared" si="13"/>
        <v>563.85868499999992</v>
      </c>
      <c r="G149" s="57" t="str">
        <f t="shared" si="14"/>
        <v>5th, 7th &amp; 9th Floor For Residential</v>
      </c>
      <c r="H149" s="58"/>
      <c r="I149" s="33" t="str">
        <f t="shared" si="15"/>
        <v>506,..,906</v>
      </c>
      <c r="K149" s="34">
        <v>506</v>
      </c>
      <c r="L149" s="34">
        <v>906</v>
      </c>
      <c r="N149" s="51" t="str">
        <f t="shared" si="16"/>
        <v>506,..,906</v>
      </c>
      <c r="O149" s="51"/>
    </row>
    <row r="150" spans="1:15" s="34" customFormat="1" ht="15.75" customHeight="1" x14ac:dyDescent="0.3">
      <c r="A150" s="57" t="s">
        <v>204</v>
      </c>
      <c r="B150" s="58"/>
      <c r="C150" s="45">
        <v>1</v>
      </c>
      <c r="D150" s="46">
        <f>(29.11+0.75*(2.7+2.05+3))*(10.764)</f>
        <v>375.90578999999997</v>
      </c>
      <c r="E150" s="39">
        <v>0</v>
      </c>
      <c r="F150" s="39">
        <f t="shared" si="13"/>
        <v>563.85868499999992</v>
      </c>
      <c r="G150" s="57" t="str">
        <f t="shared" si="14"/>
        <v>5th, 7th &amp; 9th Floor For Residential</v>
      </c>
      <c r="H150" s="58"/>
      <c r="I150" s="33" t="str">
        <f t="shared" si="15"/>
        <v>507,..,907</v>
      </c>
      <c r="J150" s="34">
        <f>2500000/F150</f>
        <v>4433.7350235192362</v>
      </c>
      <c r="K150" s="34">
        <v>507</v>
      </c>
      <c r="L150" s="34">
        <v>907</v>
      </c>
      <c r="N150" s="51" t="str">
        <f t="shared" si="16"/>
        <v>507,..,907</v>
      </c>
      <c r="O150" s="51"/>
    </row>
    <row r="151" spans="1:15" s="34" customFormat="1" ht="15.75" customHeight="1" x14ac:dyDescent="0.3">
      <c r="A151" s="57" t="s">
        <v>205</v>
      </c>
      <c r="B151" s="58"/>
      <c r="C151" s="45">
        <v>1</v>
      </c>
      <c r="D151" s="46">
        <f>(29.53+0.75*(2.7+2.05+3))*(10.764)</f>
        <v>380.42667</v>
      </c>
      <c r="E151" s="39">
        <v>0</v>
      </c>
      <c r="F151" s="39">
        <f t="shared" si="13"/>
        <v>570.64000499999997</v>
      </c>
      <c r="G151" s="57" t="str">
        <f t="shared" si="14"/>
        <v>5th, 7th &amp; 9th Floor For Residential</v>
      </c>
      <c r="H151" s="58"/>
      <c r="I151" s="33" t="str">
        <f t="shared" si="15"/>
        <v>508,..,908</v>
      </c>
      <c r="K151" s="34">
        <v>508</v>
      </c>
      <c r="L151" s="34">
        <v>908</v>
      </c>
      <c r="N151" s="51" t="str">
        <f t="shared" si="16"/>
        <v>508,..,908</v>
      </c>
      <c r="O151" s="51"/>
    </row>
    <row r="152" spans="1:15" s="34" customFormat="1" ht="15.75" customHeight="1" x14ac:dyDescent="0.3">
      <c r="A152" s="55" t="s">
        <v>206</v>
      </c>
      <c r="B152" s="55"/>
      <c r="C152" s="45">
        <v>1</v>
      </c>
      <c r="D152" s="46">
        <f>(29.11+0.75*(2.7+2.05+3))*(10.764)</f>
        <v>375.90578999999997</v>
      </c>
      <c r="E152" s="39">
        <v>0</v>
      </c>
      <c r="F152" s="39">
        <f t="shared" si="13"/>
        <v>563.85868499999992</v>
      </c>
      <c r="G152" s="55" t="str">
        <f t="shared" si="14"/>
        <v>5th, 7th &amp; 9th Floor For Residential</v>
      </c>
      <c r="H152" s="55"/>
      <c r="I152" s="33" t="str">
        <f t="shared" si="15"/>
        <v>509,..,909</v>
      </c>
      <c r="K152" s="34">
        <v>509</v>
      </c>
      <c r="L152" s="34">
        <v>909</v>
      </c>
      <c r="N152" s="51" t="str">
        <f t="shared" si="16"/>
        <v>509,..,909</v>
      </c>
      <c r="O152" s="51"/>
    </row>
    <row r="153" spans="1:15" s="34" customFormat="1" ht="15.75" customHeight="1" x14ac:dyDescent="0.3">
      <c r="A153" s="55" t="s">
        <v>207</v>
      </c>
      <c r="B153" s="55"/>
      <c r="C153" s="45">
        <v>1</v>
      </c>
      <c r="D153" s="46">
        <f>(29.11+0.75*(2.7+2.05+3))*(10.764)</f>
        <v>375.90578999999997</v>
      </c>
      <c r="E153" s="39">
        <v>0</v>
      </c>
      <c r="F153" s="39">
        <f t="shared" si="13"/>
        <v>563.85868499999992</v>
      </c>
      <c r="G153" s="55" t="str">
        <f t="shared" si="14"/>
        <v>5th, 7th &amp; 9th Floor For Residential</v>
      </c>
      <c r="H153" s="55"/>
      <c r="I153" s="33" t="str">
        <f t="shared" si="15"/>
        <v>510,..,910</v>
      </c>
      <c r="J153" s="34" t="s">
        <v>196</v>
      </c>
      <c r="K153" s="34">
        <v>510</v>
      </c>
      <c r="L153" s="34">
        <v>910</v>
      </c>
      <c r="N153" s="51" t="str">
        <f t="shared" si="16"/>
        <v>510,..,910</v>
      </c>
      <c r="O153" s="51"/>
    </row>
    <row r="154" spans="1:15" s="34" customFormat="1" ht="15.75" customHeight="1" x14ac:dyDescent="0.3">
      <c r="A154" s="55" t="s">
        <v>208</v>
      </c>
      <c r="B154" s="55"/>
      <c r="C154" s="45">
        <v>1</v>
      </c>
      <c r="D154" s="46">
        <f>(29.53+0.75*(2.7+2.05+3))*(10.764)</f>
        <v>380.42667</v>
      </c>
      <c r="E154" s="39">
        <v>0</v>
      </c>
      <c r="F154" s="39">
        <f t="shared" si="13"/>
        <v>570.64000499999997</v>
      </c>
      <c r="G154" s="55" t="str">
        <f t="shared" si="14"/>
        <v>5th, 7th &amp; 9th Floor For Residential</v>
      </c>
      <c r="H154" s="55"/>
      <c r="I154" s="33" t="str">
        <f t="shared" si="15"/>
        <v>511,..,911</v>
      </c>
      <c r="K154" s="34">
        <v>511</v>
      </c>
      <c r="L154" s="34">
        <v>911</v>
      </c>
      <c r="N154" s="51" t="str">
        <f t="shared" si="16"/>
        <v>511,..,911</v>
      </c>
      <c r="O154" s="51"/>
    </row>
    <row r="155" spans="1:15" s="34" customFormat="1" ht="15.75" customHeight="1" x14ac:dyDescent="0.3">
      <c r="A155" s="55" t="s">
        <v>209</v>
      </c>
      <c r="B155" s="55"/>
      <c r="C155" s="45">
        <v>1</v>
      </c>
      <c r="D155" s="46">
        <f>(29.11+0.75*(2.7+2.05+3))*(10.764)</f>
        <v>375.90578999999997</v>
      </c>
      <c r="E155" s="39">
        <v>0</v>
      </c>
      <c r="F155" s="39">
        <f t="shared" si="13"/>
        <v>563.85868499999992</v>
      </c>
      <c r="G155" s="55" t="str">
        <f t="shared" si="14"/>
        <v>5th, 7th &amp; 9th Floor For Residential</v>
      </c>
      <c r="H155" s="55"/>
      <c r="I155" s="33" t="str">
        <f t="shared" si="15"/>
        <v>512,..,912</v>
      </c>
      <c r="K155" s="34">
        <v>512</v>
      </c>
      <c r="L155" s="34">
        <v>912</v>
      </c>
      <c r="N155" s="51" t="str">
        <f t="shared" si="16"/>
        <v>512,..,912</v>
      </c>
      <c r="O155" s="51"/>
    </row>
    <row r="156" spans="1:15" s="34" customFormat="1" x14ac:dyDescent="0.3">
      <c r="A156" s="56" t="s">
        <v>210</v>
      </c>
      <c r="B156" s="56"/>
      <c r="C156" s="56"/>
      <c r="D156" s="56"/>
      <c r="E156" s="56"/>
      <c r="F156" s="56"/>
      <c r="G156" s="56"/>
      <c r="H156" s="56"/>
      <c r="I156" s="33"/>
      <c r="L156" s="51"/>
      <c r="M156" s="51"/>
    </row>
    <row r="157" spans="1:15" s="34" customFormat="1" x14ac:dyDescent="0.3">
      <c r="A157" s="55">
        <f>LEFT(A156,SUM(LEN(A156)-LEN(SUBSTITUTE(A156,{"0","1","2","3","4","5","6","7","8","9"},""))))*100+1</f>
        <v>801</v>
      </c>
      <c r="B157" s="55"/>
      <c r="C157" s="45">
        <v>1</v>
      </c>
      <c r="D157" s="46">
        <f>(29.11+0.75*(2.7+2.05+3))*(10.764)</f>
        <v>375.90578999999997</v>
      </c>
      <c r="E157" s="39">
        <v>0</v>
      </c>
      <c r="F157" s="39">
        <f t="shared" ref="F157:F158" si="17">D157*(($F$126)+1)+(IF(E157&lt;101,E157,IF(E157&lt;201,E157/2,IF(E157&lt;=301,E157/3,E157/4))))</f>
        <v>563.85868499999992</v>
      </c>
      <c r="G157" s="55" t="str">
        <f>A156</f>
        <v>8th Floor (Part Refuge Area)</v>
      </c>
      <c r="H157" s="55"/>
      <c r="I157" s="33"/>
      <c r="N157" s="33"/>
    </row>
    <row r="158" spans="1:15" s="34" customFormat="1" x14ac:dyDescent="0.3">
      <c r="A158" s="55">
        <f t="shared" ref="A158:A166" si="18">A157+1</f>
        <v>802</v>
      </c>
      <c r="B158" s="55"/>
      <c r="C158" s="45" t="s">
        <v>231</v>
      </c>
      <c r="D158" s="46">
        <f>(46.41+0.75*(3+2.7+3.4+1))*(10.764)</f>
        <v>581.09453999999994</v>
      </c>
      <c r="E158" s="39">
        <v>0</v>
      </c>
      <c r="F158" s="39">
        <f t="shared" si="17"/>
        <v>871.64180999999985</v>
      </c>
      <c r="G158" s="55" t="str">
        <f t="shared" ref="G158:G166" si="19">G157</f>
        <v>8th Floor (Part Refuge Area)</v>
      </c>
      <c r="H158" s="55"/>
      <c r="I158" s="33">
        <f>5500000/F158</f>
        <v>6309.9313696299187</v>
      </c>
      <c r="N158" s="33"/>
    </row>
    <row r="159" spans="1:15" s="34" customFormat="1" x14ac:dyDescent="0.3">
      <c r="A159" s="55">
        <f t="shared" si="18"/>
        <v>803</v>
      </c>
      <c r="B159" s="55"/>
      <c r="C159" s="45">
        <v>1</v>
      </c>
      <c r="D159" s="46">
        <f>(29.26+0.75*(2.7+2.05+3))*(10.764)</f>
        <v>377.52039000000002</v>
      </c>
      <c r="E159" s="39">
        <v>0</v>
      </c>
      <c r="F159" s="39">
        <f>D159*(($F$126)+1)+(IF(E159&lt;101,E159,IF(E159&lt;201,E159/2,IF(E159&lt;=301,E159/3,E159/4))))</f>
        <v>566.28058499999997</v>
      </c>
      <c r="G159" s="55" t="str">
        <f t="shared" si="19"/>
        <v>8th Floor (Part Refuge Area)</v>
      </c>
      <c r="H159" s="55"/>
      <c r="I159" s="33">
        <f>3658000/F159</f>
        <v>6459.6952410084841</v>
      </c>
      <c r="N159" s="33"/>
    </row>
    <row r="160" spans="1:15" s="34" customFormat="1" x14ac:dyDescent="0.3">
      <c r="A160" s="55">
        <f t="shared" si="18"/>
        <v>804</v>
      </c>
      <c r="B160" s="55"/>
      <c r="C160" s="45">
        <v>1</v>
      </c>
      <c r="D160" s="46">
        <f>(29.11+0.75*(2.7+2.05+3))*(10.764)</f>
        <v>375.90578999999997</v>
      </c>
      <c r="E160" s="39">
        <v>0</v>
      </c>
      <c r="F160" s="39">
        <f>D160*(($F$126)+1)+(IF(E160&lt;101,E160,IF(E160&lt;201,E160/2,IF(E160&lt;=301,E160/3,E160/4))))</f>
        <v>563.85868499999992</v>
      </c>
      <c r="G160" s="55" t="str">
        <f t="shared" si="19"/>
        <v>8th Floor (Part Refuge Area)</v>
      </c>
      <c r="H160" s="55"/>
      <c r="I160" s="33"/>
      <c r="N160" s="33"/>
    </row>
    <row r="161" spans="1:14" s="34" customFormat="1" x14ac:dyDescent="0.3">
      <c r="A161" s="55">
        <f t="shared" si="18"/>
        <v>805</v>
      </c>
      <c r="B161" s="55"/>
      <c r="C161" s="45" t="s">
        <v>231</v>
      </c>
      <c r="D161" s="46">
        <f>(46.41+0.75*(3+2.7+3.4+1))*(10.764)</f>
        <v>581.09453999999994</v>
      </c>
      <c r="E161" s="39">
        <v>0</v>
      </c>
      <c r="F161" s="39">
        <f>D161*(($F$126)+1)+(IF(E161&lt;101,E161,IF(E161&lt;201,E161/2,IF(E161&lt;=301,E161/3,E161/4))))</f>
        <v>871.64180999999985</v>
      </c>
      <c r="G161" s="55" t="str">
        <f t="shared" si="19"/>
        <v>8th Floor (Part Refuge Area)</v>
      </c>
      <c r="H161" s="55"/>
      <c r="I161" s="33"/>
      <c r="N161" s="33"/>
    </row>
    <row r="162" spans="1:14" s="34" customFormat="1" x14ac:dyDescent="0.3">
      <c r="A162" s="55">
        <f t="shared" si="18"/>
        <v>806</v>
      </c>
      <c r="B162" s="55"/>
      <c r="C162" s="45">
        <v>1</v>
      </c>
      <c r="D162" s="46">
        <f>(29.1+0.75*(2.7+2.05+3))*(10.764)</f>
        <v>375.79814999999996</v>
      </c>
      <c r="E162" s="39">
        <v>0</v>
      </c>
      <c r="F162" s="39">
        <f t="shared" ref="F162" si="20">D162*(($F$126)+1)+(IF(E162&lt;101,E162,IF(E162&lt;201,E162/2,IF(E162&lt;=301,E162/3,E162/4))))</f>
        <v>563.69722499999989</v>
      </c>
      <c r="G162" s="55" t="str">
        <f t="shared" si="19"/>
        <v>8th Floor (Part Refuge Area)</v>
      </c>
      <c r="H162" s="55"/>
      <c r="I162" s="33"/>
      <c r="N162" s="33"/>
    </row>
    <row r="163" spans="1:14" s="34" customFormat="1" x14ac:dyDescent="0.3">
      <c r="A163" s="55">
        <f t="shared" si="18"/>
        <v>807</v>
      </c>
      <c r="B163" s="55"/>
      <c r="C163" s="45">
        <v>1</v>
      </c>
      <c r="D163" s="46">
        <f>(29.11+0.75*(2.7+2.05+3))*(10.764)</f>
        <v>375.90578999999997</v>
      </c>
      <c r="E163" s="39">
        <v>0</v>
      </c>
      <c r="F163" s="39">
        <f>D163*(($F$126)+1)+(IF(E163&lt;101,E163,IF(E163&lt;201,E163/2,IF(E163&lt;=301,E163/3,E163/4))))</f>
        <v>563.85868499999992</v>
      </c>
      <c r="G163" s="55" t="str">
        <f t="shared" si="19"/>
        <v>8th Floor (Part Refuge Area)</v>
      </c>
      <c r="H163" s="55"/>
      <c r="I163" s="33"/>
      <c r="N163" s="33"/>
    </row>
    <row r="164" spans="1:14" s="34" customFormat="1" x14ac:dyDescent="0.3">
      <c r="A164" s="55">
        <f t="shared" si="18"/>
        <v>808</v>
      </c>
      <c r="B164" s="55"/>
      <c r="C164" s="45">
        <v>1</v>
      </c>
      <c r="D164" s="46">
        <f>(29.11+0.75*(2.7+2.05+3))*(10.764)</f>
        <v>375.90578999999997</v>
      </c>
      <c r="E164" s="39">
        <v>0</v>
      </c>
      <c r="F164" s="39">
        <f>D164*(($F$126)+1)+(IF(E164&lt;101,E164,IF(E164&lt;201,E164/2,IF(E164&lt;=301,E164/3,E164/4))))</f>
        <v>563.85868499999992</v>
      </c>
      <c r="G164" s="55" t="str">
        <f t="shared" si="19"/>
        <v>8th Floor (Part Refuge Area)</v>
      </c>
      <c r="H164" s="55"/>
      <c r="I164" s="33"/>
      <c r="N164" s="33"/>
    </row>
    <row r="165" spans="1:14" s="34" customFormat="1" x14ac:dyDescent="0.3">
      <c r="A165" s="55">
        <f t="shared" si="18"/>
        <v>809</v>
      </c>
      <c r="B165" s="55"/>
      <c r="C165" s="45">
        <v>1</v>
      </c>
      <c r="D165" s="46">
        <f>(29.53+0.75*(2.7+2.05+3))*(10.764)</f>
        <v>380.42667</v>
      </c>
      <c r="E165" s="39">
        <v>0</v>
      </c>
      <c r="F165" s="39">
        <f>D165*(($F$126)+1)+(IF(E165&lt;101,E165,IF(E165&lt;201,E165/2,IF(E165&lt;=301,E165/3,E165/4))))</f>
        <v>570.64000499999997</v>
      </c>
      <c r="G165" s="55" t="str">
        <f t="shared" si="19"/>
        <v>8th Floor (Part Refuge Area)</v>
      </c>
      <c r="H165" s="55"/>
      <c r="I165" s="33"/>
      <c r="N165" s="33"/>
    </row>
    <row r="166" spans="1:14" s="34" customFormat="1" x14ac:dyDescent="0.3">
      <c r="A166" s="55">
        <f t="shared" si="18"/>
        <v>810</v>
      </c>
      <c r="B166" s="55"/>
      <c r="C166" s="45">
        <v>1</v>
      </c>
      <c r="D166" s="46">
        <f>(29.11+0.75*(2.7+2.05+3))*(10.764)</f>
        <v>375.90578999999997</v>
      </c>
      <c r="E166" s="39">
        <v>0</v>
      </c>
      <c r="F166" s="39">
        <f>D166*(($F$126)+1)+(IF(E166&lt;101,E166,IF(E166&lt;201,E166/2,IF(E166&lt;=301,E166/3,E166/4))))</f>
        <v>563.85868499999992</v>
      </c>
      <c r="G166" s="55" t="str">
        <f t="shared" si="19"/>
        <v>8th Floor (Part Refuge Area)</v>
      </c>
      <c r="H166" s="55"/>
      <c r="I166" s="33"/>
      <c r="N166" s="33"/>
    </row>
    <row r="167" spans="1:14" s="34" customFormat="1" x14ac:dyDescent="0.3">
      <c r="A167" s="56" t="s">
        <v>211</v>
      </c>
      <c r="B167" s="56"/>
      <c r="C167" s="56"/>
      <c r="D167" s="56"/>
      <c r="E167" s="56"/>
      <c r="F167" s="56"/>
      <c r="G167" s="56"/>
      <c r="H167" s="56"/>
      <c r="I167" s="33"/>
      <c r="L167" s="51"/>
      <c r="M167" s="51"/>
    </row>
    <row r="168" spans="1:14" s="34" customFormat="1" x14ac:dyDescent="0.3">
      <c r="A168" s="55">
        <f>LEFT(A167,SUM(LEN(A167)-LEN(SUBSTITUTE(A167,{"0","1","2","3","4","5","6","7","8","9"},""))))*100+1</f>
        <v>1101</v>
      </c>
      <c r="B168" s="55"/>
      <c r="C168" s="45">
        <v>1</v>
      </c>
      <c r="D168" s="46">
        <f>(29.11+0.75*(2.7+2.05+3))*(10.764)</f>
        <v>375.90578999999997</v>
      </c>
      <c r="E168" s="39">
        <v>0</v>
      </c>
      <c r="F168" s="39">
        <f t="shared" ref="F168:F169" si="21">D168*(($F$126)+1)+(IF(E168&lt;101,E168,IF(E168&lt;201,E168/2,IF(E168&lt;=301,E168/3,E168/4))))</f>
        <v>563.85868499999992</v>
      </c>
      <c r="G168" s="55" t="str">
        <f>A167</f>
        <v>11th Floor</v>
      </c>
      <c r="H168" s="55"/>
      <c r="I168" s="33">
        <f>4000000/F168</f>
        <v>7093.9760376307768</v>
      </c>
      <c r="N168" s="33"/>
    </row>
    <row r="169" spans="1:14" s="34" customFormat="1" x14ac:dyDescent="0.3">
      <c r="A169" s="55">
        <f t="shared" ref="A169:A179" si="22">A168+1</f>
        <v>1102</v>
      </c>
      <c r="B169" s="55"/>
      <c r="C169" s="45" t="s">
        <v>231</v>
      </c>
      <c r="D169" s="46">
        <f>(46.41+0.75*(3+2.7+3.4+1))*(10.764)</f>
        <v>581.09453999999994</v>
      </c>
      <c r="E169" s="39">
        <v>0</v>
      </c>
      <c r="F169" s="39">
        <f t="shared" si="21"/>
        <v>871.64180999999985</v>
      </c>
      <c r="G169" s="55" t="str">
        <f t="shared" ref="G169:G179" si="23">G168</f>
        <v>11th Floor</v>
      </c>
      <c r="H169" s="55"/>
      <c r="I169" s="33"/>
      <c r="N169" s="33"/>
    </row>
    <row r="170" spans="1:14" s="34" customFormat="1" x14ac:dyDescent="0.3">
      <c r="A170" s="55">
        <f t="shared" si="22"/>
        <v>1103</v>
      </c>
      <c r="B170" s="55"/>
      <c r="C170" s="45">
        <v>1</v>
      </c>
      <c r="D170" s="46">
        <f>(29.26+0.75*(2.7+2.05+3))*(10.764)</f>
        <v>377.52039000000002</v>
      </c>
      <c r="E170" s="39">
        <v>0</v>
      </c>
      <c r="F170" s="39">
        <f>D170*(($F$126)+1)+(IF(E170&lt;101,E170,IF(E170&lt;201,E170/2,IF(E170&lt;=301,E170/3,E170/4))))</f>
        <v>566.28058499999997</v>
      </c>
      <c r="G170" s="55" t="str">
        <f t="shared" si="23"/>
        <v>11th Floor</v>
      </c>
      <c r="H170" s="55"/>
      <c r="I170" s="33"/>
      <c r="N170" s="33"/>
    </row>
    <row r="171" spans="1:14" s="34" customFormat="1" x14ac:dyDescent="0.3">
      <c r="A171" s="55">
        <f t="shared" si="22"/>
        <v>1104</v>
      </c>
      <c r="B171" s="55"/>
      <c r="C171" s="45">
        <v>1</v>
      </c>
      <c r="D171" s="46">
        <f>(29.11+0.75*(2.7+2.05+3))*(10.764)</f>
        <v>375.90578999999997</v>
      </c>
      <c r="E171" s="39">
        <v>0</v>
      </c>
      <c r="F171" s="39">
        <f>D171*(($F$126)+1)+(IF(E171&lt;101,E171,IF(E171&lt;201,E171/2,IF(E171&lt;=301,E171/3,E171/4))))</f>
        <v>563.85868499999992</v>
      </c>
      <c r="G171" s="55" t="str">
        <f t="shared" si="23"/>
        <v>11th Floor</v>
      </c>
      <c r="H171" s="55"/>
      <c r="I171" s="33"/>
      <c r="N171" s="33"/>
    </row>
    <row r="172" spans="1:14" s="34" customFormat="1" x14ac:dyDescent="0.3">
      <c r="A172" s="55">
        <f t="shared" si="22"/>
        <v>1105</v>
      </c>
      <c r="B172" s="55"/>
      <c r="C172" s="45" t="s">
        <v>231</v>
      </c>
      <c r="D172" s="46">
        <f>(46.41+0.75*(3+2.7+3.4+1))*(10.764)</f>
        <v>581.09453999999994</v>
      </c>
      <c r="E172" s="39">
        <v>0</v>
      </c>
      <c r="F172" s="39">
        <f>D172*(($F$126)+1)+(IF(E172&lt;101,E172,IF(E172&lt;201,E172/2,IF(E172&lt;=301,E172/3,E172/4))))</f>
        <v>871.64180999999985</v>
      </c>
      <c r="G172" s="55" t="str">
        <f t="shared" si="23"/>
        <v>11th Floor</v>
      </c>
      <c r="H172" s="55"/>
      <c r="I172" s="33"/>
      <c r="N172" s="33"/>
    </row>
    <row r="173" spans="1:14" s="34" customFormat="1" x14ac:dyDescent="0.3">
      <c r="A173" s="55">
        <f t="shared" si="22"/>
        <v>1106</v>
      </c>
      <c r="B173" s="55"/>
      <c r="C173" s="45">
        <v>1</v>
      </c>
      <c r="D173" s="46">
        <f>(29.11+0.75*(2.7+2.05+3))*(10.764)</f>
        <v>375.90578999999997</v>
      </c>
      <c r="E173" s="39">
        <v>0</v>
      </c>
      <c r="F173" s="39">
        <f t="shared" ref="F173" si="24">D173*(($F$126)+1)+(IF(E173&lt;101,E173,IF(E173&lt;201,E173/2,IF(E173&lt;=301,E173/3,E173/4))))</f>
        <v>563.85868499999992</v>
      </c>
      <c r="G173" s="55" t="str">
        <f t="shared" si="23"/>
        <v>11th Floor</v>
      </c>
      <c r="H173" s="55"/>
      <c r="I173" s="33"/>
      <c r="N173" s="33"/>
    </row>
    <row r="174" spans="1:14" s="34" customFormat="1" x14ac:dyDescent="0.3">
      <c r="A174" s="55">
        <f t="shared" si="22"/>
        <v>1107</v>
      </c>
      <c r="B174" s="55"/>
      <c r="C174" s="45">
        <v>1</v>
      </c>
      <c r="D174" s="46">
        <f>(29.11+0.75*(2.7+2.05+3))*(10.764)</f>
        <v>375.90578999999997</v>
      </c>
      <c r="E174" s="39">
        <v>0</v>
      </c>
      <c r="F174" s="39">
        <f t="shared" ref="F174:F179" si="25">D174*(($F$126)+1)+(IF(E174&lt;101,E174,IF(E174&lt;201,E174/2,IF(E174&lt;=301,E174/3,E174/4))))</f>
        <v>563.85868499999992</v>
      </c>
      <c r="G174" s="55" t="str">
        <f t="shared" si="23"/>
        <v>11th Floor</v>
      </c>
      <c r="H174" s="55"/>
      <c r="I174" s="33"/>
      <c r="N174" s="33"/>
    </row>
    <row r="175" spans="1:14" s="34" customFormat="1" x14ac:dyDescent="0.3">
      <c r="A175" s="55">
        <f t="shared" si="22"/>
        <v>1108</v>
      </c>
      <c r="B175" s="55"/>
      <c r="C175" s="45">
        <v>1</v>
      </c>
      <c r="D175" s="46">
        <f>(29.53+0.75*(2.7+2.05+3))*(10.764)</f>
        <v>380.42667</v>
      </c>
      <c r="E175" s="39">
        <v>0</v>
      </c>
      <c r="F175" s="39">
        <f t="shared" si="25"/>
        <v>570.64000499999997</v>
      </c>
      <c r="G175" s="55" t="str">
        <f t="shared" si="23"/>
        <v>11th Floor</v>
      </c>
      <c r="H175" s="55"/>
      <c r="I175" s="33"/>
      <c r="N175" s="33"/>
    </row>
    <row r="176" spans="1:14" s="34" customFormat="1" x14ac:dyDescent="0.3">
      <c r="A176" s="55">
        <f t="shared" si="22"/>
        <v>1109</v>
      </c>
      <c r="B176" s="55"/>
      <c r="C176" s="45">
        <v>1</v>
      </c>
      <c r="D176" s="46">
        <f>(29.11+0.75*(2.7+2.05+3))*(10.764)</f>
        <v>375.90578999999997</v>
      </c>
      <c r="E176" s="39">
        <v>0</v>
      </c>
      <c r="F176" s="39">
        <f t="shared" si="25"/>
        <v>563.85868499999992</v>
      </c>
      <c r="G176" s="55" t="str">
        <f t="shared" si="23"/>
        <v>11th Floor</v>
      </c>
      <c r="H176" s="55"/>
      <c r="I176" s="33"/>
      <c r="N176" s="33"/>
    </row>
    <row r="177" spans="1:14" s="34" customFormat="1" x14ac:dyDescent="0.3">
      <c r="A177" s="55">
        <f t="shared" si="22"/>
        <v>1110</v>
      </c>
      <c r="B177" s="55"/>
      <c r="C177" s="45">
        <v>1</v>
      </c>
      <c r="D177" s="46">
        <f>(29.11+0.75*(2.7+2.05+3))*(10.764)</f>
        <v>375.90578999999997</v>
      </c>
      <c r="E177" s="39">
        <v>0</v>
      </c>
      <c r="F177" s="39">
        <f t="shared" si="25"/>
        <v>563.85868499999992</v>
      </c>
      <c r="G177" s="55" t="str">
        <f t="shared" si="23"/>
        <v>11th Floor</v>
      </c>
      <c r="H177" s="55"/>
      <c r="I177" s="33"/>
      <c r="N177" s="33"/>
    </row>
    <row r="178" spans="1:14" s="34" customFormat="1" x14ac:dyDescent="0.3">
      <c r="A178" s="55">
        <f t="shared" si="22"/>
        <v>1111</v>
      </c>
      <c r="B178" s="55"/>
      <c r="C178" s="45">
        <v>1</v>
      </c>
      <c r="D178" s="46">
        <f>(29.53+0.75*(2.7+2.05+3))*(10.764)</f>
        <v>380.42667</v>
      </c>
      <c r="E178" s="39">
        <v>0</v>
      </c>
      <c r="F178" s="39">
        <f t="shared" si="25"/>
        <v>570.64000499999997</v>
      </c>
      <c r="G178" s="55" t="str">
        <f t="shared" si="23"/>
        <v>11th Floor</v>
      </c>
      <c r="H178" s="55"/>
      <c r="I178" s="33"/>
      <c r="N178" s="33"/>
    </row>
    <row r="179" spans="1:14" s="34" customFormat="1" x14ac:dyDescent="0.3">
      <c r="A179" s="55">
        <f t="shared" si="22"/>
        <v>1112</v>
      </c>
      <c r="B179" s="55"/>
      <c r="C179" s="45">
        <v>1</v>
      </c>
      <c r="D179" s="46">
        <f>(29.11+0.75*(2.7+2.05+3))*(10.764)</f>
        <v>375.90578999999997</v>
      </c>
      <c r="E179" s="39">
        <v>0</v>
      </c>
      <c r="F179" s="39">
        <f t="shared" si="25"/>
        <v>563.85868499999992</v>
      </c>
      <c r="G179" s="55" t="str">
        <f t="shared" si="23"/>
        <v>11th Floor</v>
      </c>
      <c r="H179" s="55"/>
      <c r="I179" s="33"/>
      <c r="N179" s="33"/>
    </row>
    <row r="180" spans="1:14" s="34" customFormat="1" x14ac:dyDescent="0.3">
      <c r="A180" s="56" t="s">
        <v>212</v>
      </c>
      <c r="B180" s="56"/>
      <c r="C180" s="56"/>
      <c r="D180" s="56"/>
      <c r="E180" s="56"/>
      <c r="F180" s="56"/>
      <c r="G180" s="56"/>
      <c r="H180" s="56"/>
      <c r="I180" s="33"/>
      <c r="L180" s="51"/>
      <c r="M180" s="51"/>
    </row>
    <row r="181" spans="1:14" s="34" customFormat="1" x14ac:dyDescent="0.3">
      <c r="A181" s="55">
        <f>LEFT(A180,SUM(LEN(A180)-LEN(SUBSTITUTE(A180,{"0","1","2","3","4","5","6","7","8","9"},""))))*100+1</f>
        <v>1201</v>
      </c>
      <c r="B181" s="55"/>
      <c r="C181" s="45">
        <v>1</v>
      </c>
      <c r="D181" s="46">
        <f>(29.11+0.75*(2.7+2.05+3))*(10.764)</f>
        <v>375.90578999999997</v>
      </c>
      <c r="E181" s="39">
        <v>0</v>
      </c>
      <c r="F181" s="39">
        <f t="shared" ref="F181:F182" si="26">D181*(($F$126)+1)+(IF(E181&lt;101,E181,IF(E181&lt;201,E181/2,IF(E181&lt;=301,E181/3,E181/4))))</f>
        <v>563.85868499999992</v>
      </c>
      <c r="G181" s="55" t="str">
        <f>A180</f>
        <v>12th Floor</v>
      </c>
      <c r="H181" s="55"/>
      <c r="I181" s="33"/>
      <c r="N181" s="33"/>
    </row>
    <row r="182" spans="1:14" s="34" customFormat="1" x14ac:dyDescent="0.3">
      <c r="A182" s="55">
        <f t="shared" ref="A182:A192" si="27">A181+1</f>
        <v>1202</v>
      </c>
      <c r="B182" s="55"/>
      <c r="C182" s="45" t="s">
        <v>231</v>
      </c>
      <c r="D182" s="46">
        <f>(46.41+0.75*(3+2.7+3.4+1))*(10.764)</f>
        <v>581.09453999999994</v>
      </c>
      <c r="E182" s="39">
        <v>0</v>
      </c>
      <c r="F182" s="39">
        <f t="shared" si="26"/>
        <v>871.64180999999985</v>
      </c>
      <c r="G182" s="55" t="str">
        <f t="shared" ref="G182:G192" si="28">G181</f>
        <v>12th Floor</v>
      </c>
      <c r="H182" s="55"/>
      <c r="I182" s="33"/>
      <c r="N182" s="33"/>
    </row>
    <row r="183" spans="1:14" s="34" customFormat="1" x14ac:dyDescent="0.3">
      <c r="A183" s="55">
        <f t="shared" si="27"/>
        <v>1203</v>
      </c>
      <c r="B183" s="55"/>
      <c r="C183" s="45">
        <v>1</v>
      </c>
      <c r="D183" s="46">
        <f>(29.26+0.75*(2.7+2.05+3))*(10.764)</f>
        <v>377.52039000000002</v>
      </c>
      <c r="E183" s="39">
        <v>0</v>
      </c>
      <c r="F183" s="39">
        <f>D183*(($F$126)+1)+(IF(E183&lt;101,E183,IF(E183&lt;201,E183/2,IF(E183&lt;=301,E183/3,E183/4))))</f>
        <v>566.28058499999997</v>
      </c>
      <c r="G183" s="55" t="str">
        <f t="shared" si="28"/>
        <v>12th Floor</v>
      </c>
      <c r="H183" s="55"/>
      <c r="I183" s="33"/>
      <c r="N183" s="33"/>
    </row>
    <row r="184" spans="1:14" s="34" customFormat="1" x14ac:dyDescent="0.3">
      <c r="A184" s="55">
        <f t="shared" si="27"/>
        <v>1204</v>
      </c>
      <c r="B184" s="55"/>
      <c r="C184" s="45">
        <v>1</v>
      </c>
      <c r="D184" s="46">
        <f>(29.11+0.75*(2.7+2.05+3))*(10.764)</f>
        <v>375.90578999999997</v>
      </c>
      <c r="E184" s="39">
        <v>0</v>
      </c>
      <c r="F184" s="39">
        <f>D184*(($F$126)+1)+(IF(E184&lt;101,E184,IF(E184&lt;201,E184/2,IF(E184&lt;=301,E184/3,E184/4))))</f>
        <v>563.85868499999992</v>
      </c>
      <c r="G184" s="55" t="str">
        <f t="shared" si="28"/>
        <v>12th Floor</v>
      </c>
      <c r="H184" s="55"/>
      <c r="I184" s="33"/>
      <c r="N184" s="33"/>
    </row>
    <row r="185" spans="1:14" s="34" customFormat="1" x14ac:dyDescent="0.3">
      <c r="A185" s="55">
        <f t="shared" si="27"/>
        <v>1205</v>
      </c>
      <c r="B185" s="55"/>
      <c r="C185" s="45" t="s">
        <v>231</v>
      </c>
      <c r="D185" s="46">
        <f>(46.41+0.75*(3+2.7+3.4+1))*(10.764)</f>
        <v>581.09453999999994</v>
      </c>
      <c r="E185" s="39">
        <v>0</v>
      </c>
      <c r="F185" s="39">
        <f>D185*(($F$126)+1)+(IF(E185&lt;101,E185,IF(E185&lt;201,E185/2,IF(E185&lt;=301,E185/3,E185/4))))</f>
        <v>871.64180999999985</v>
      </c>
      <c r="G185" s="55" t="str">
        <f t="shared" si="28"/>
        <v>12th Floor</v>
      </c>
      <c r="H185" s="55"/>
      <c r="I185" s="33"/>
      <c r="N185" s="33"/>
    </row>
    <row r="186" spans="1:14" s="34" customFormat="1" x14ac:dyDescent="0.3">
      <c r="A186" s="55">
        <f t="shared" si="27"/>
        <v>1206</v>
      </c>
      <c r="B186" s="55"/>
      <c r="C186" s="45">
        <v>1</v>
      </c>
      <c r="D186" s="46">
        <f>(29.11+0.75*(2.7+2.05+3))*(10.764)</f>
        <v>375.90578999999997</v>
      </c>
      <c r="E186" s="39">
        <v>0</v>
      </c>
      <c r="F186" s="39">
        <f t="shared" ref="F186" si="29">D186*(($F$126)+1)+(IF(E186&lt;101,E186,IF(E186&lt;201,E186/2,IF(E186&lt;=301,E186/3,E186/4))))</f>
        <v>563.85868499999992</v>
      </c>
      <c r="G186" s="55" t="str">
        <f t="shared" si="28"/>
        <v>12th Floor</v>
      </c>
      <c r="H186" s="55"/>
      <c r="I186" s="33"/>
      <c r="N186" s="33"/>
    </row>
    <row r="187" spans="1:14" s="34" customFormat="1" x14ac:dyDescent="0.3">
      <c r="A187" s="55">
        <f t="shared" si="27"/>
        <v>1207</v>
      </c>
      <c r="B187" s="55"/>
      <c r="C187" s="45">
        <v>1</v>
      </c>
      <c r="D187" s="46">
        <f>(29.11+0.75*(2.7+2.05+3))*(10.764)</f>
        <v>375.90578999999997</v>
      </c>
      <c r="E187" s="39">
        <v>0</v>
      </c>
      <c r="F187" s="39">
        <f t="shared" ref="F187:F192" si="30">D187*(($F$126)+1)+(IF(E187&lt;101,E187,IF(E187&lt;201,E187/2,IF(E187&lt;=301,E187/3,E187/4))))</f>
        <v>563.85868499999992</v>
      </c>
      <c r="G187" s="55" t="str">
        <f t="shared" si="28"/>
        <v>12th Floor</v>
      </c>
      <c r="H187" s="55"/>
      <c r="I187" s="33"/>
      <c r="N187" s="33"/>
    </row>
    <row r="188" spans="1:14" s="34" customFormat="1" x14ac:dyDescent="0.3">
      <c r="A188" s="55">
        <f t="shared" si="27"/>
        <v>1208</v>
      </c>
      <c r="B188" s="55"/>
      <c r="C188" s="45">
        <v>1</v>
      </c>
      <c r="D188" s="46">
        <f>(29.53+0.75*(2.7+2.05+3))*(10.764)</f>
        <v>380.42667</v>
      </c>
      <c r="E188" s="39">
        <v>0</v>
      </c>
      <c r="F188" s="39">
        <f t="shared" si="30"/>
        <v>570.64000499999997</v>
      </c>
      <c r="G188" s="55" t="str">
        <f t="shared" si="28"/>
        <v>12th Floor</v>
      </c>
      <c r="H188" s="55"/>
      <c r="I188" s="33"/>
      <c r="N188" s="33"/>
    </row>
    <row r="189" spans="1:14" s="34" customFormat="1" x14ac:dyDescent="0.3">
      <c r="A189" s="55">
        <f t="shared" si="27"/>
        <v>1209</v>
      </c>
      <c r="B189" s="55"/>
      <c r="C189" s="45">
        <v>1</v>
      </c>
      <c r="D189" s="46">
        <f>(29.11+0.75*(2.7+2.05+3))*(10.764)</f>
        <v>375.90578999999997</v>
      </c>
      <c r="E189" s="39">
        <v>0</v>
      </c>
      <c r="F189" s="39">
        <f t="shared" si="30"/>
        <v>563.85868499999992</v>
      </c>
      <c r="G189" s="55" t="str">
        <f t="shared" si="28"/>
        <v>12th Floor</v>
      </c>
      <c r="H189" s="55"/>
      <c r="I189" s="33"/>
      <c r="N189" s="33"/>
    </row>
    <row r="190" spans="1:14" s="34" customFormat="1" x14ac:dyDescent="0.3">
      <c r="A190" s="55">
        <f t="shared" si="27"/>
        <v>1210</v>
      </c>
      <c r="B190" s="55"/>
      <c r="C190" s="45">
        <v>1</v>
      </c>
      <c r="D190" s="46">
        <f>(29.11+0.75*(2.7+2.05+3))*(10.764)</f>
        <v>375.90578999999997</v>
      </c>
      <c r="E190" s="39">
        <v>0</v>
      </c>
      <c r="F190" s="39">
        <f t="shared" si="30"/>
        <v>563.85868499999992</v>
      </c>
      <c r="G190" s="55" t="str">
        <f t="shared" si="28"/>
        <v>12th Floor</v>
      </c>
      <c r="H190" s="55"/>
      <c r="I190" s="33"/>
      <c r="N190" s="33"/>
    </row>
    <row r="191" spans="1:14" s="34" customFormat="1" x14ac:dyDescent="0.3">
      <c r="A191" s="55">
        <f t="shared" si="27"/>
        <v>1211</v>
      </c>
      <c r="B191" s="55"/>
      <c r="C191" s="45">
        <v>1</v>
      </c>
      <c r="D191" s="46">
        <f>(29.53+0.75*(2.7+2.05+3))*(10.764)</f>
        <v>380.42667</v>
      </c>
      <c r="E191" s="39">
        <v>0</v>
      </c>
      <c r="F191" s="39">
        <f t="shared" si="30"/>
        <v>570.64000499999997</v>
      </c>
      <c r="G191" s="55" t="str">
        <f t="shared" si="28"/>
        <v>12th Floor</v>
      </c>
      <c r="H191" s="55"/>
      <c r="I191" s="33"/>
      <c r="N191" s="33"/>
    </row>
    <row r="192" spans="1:14" s="34" customFormat="1" x14ac:dyDescent="0.3">
      <c r="A192" s="55">
        <f t="shared" si="27"/>
        <v>1212</v>
      </c>
      <c r="B192" s="55"/>
      <c r="C192" s="45">
        <v>1</v>
      </c>
      <c r="D192" s="46">
        <f>(29.11+0.75*(2.7+2.05+3))*(10.764)</f>
        <v>375.90578999999997</v>
      </c>
      <c r="E192" s="39">
        <v>0</v>
      </c>
      <c r="F192" s="39">
        <f t="shared" si="30"/>
        <v>563.85868499999992</v>
      </c>
      <c r="G192" s="55" t="str">
        <f t="shared" si="28"/>
        <v>12th Floor</v>
      </c>
      <c r="H192" s="55"/>
      <c r="I192" s="33"/>
      <c r="N192" s="33"/>
    </row>
    <row r="193" spans="1:14" s="34" customFormat="1" x14ac:dyDescent="0.3">
      <c r="A193" s="56" t="s">
        <v>213</v>
      </c>
      <c r="B193" s="56"/>
      <c r="C193" s="56"/>
      <c r="D193" s="56"/>
      <c r="E193" s="56"/>
      <c r="F193" s="56"/>
      <c r="G193" s="56"/>
      <c r="H193" s="56"/>
      <c r="I193" s="33"/>
      <c r="L193" s="51"/>
      <c r="M193" s="51"/>
    </row>
    <row r="194" spans="1:14" s="34" customFormat="1" x14ac:dyDescent="0.3">
      <c r="A194" s="55">
        <f>LEFT(A193,SUM(LEN(A193)-LEN(SUBSTITUTE(A193,{"0","1","2","3","4","5","6","7","8","9"},""))))*100+1</f>
        <v>1301</v>
      </c>
      <c r="B194" s="55"/>
      <c r="C194" s="45">
        <v>1</v>
      </c>
      <c r="D194" s="46">
        <f>(29.11+0.75*(2.7+2.05+3))*(10.764)</f>
        <v>375.90578999999997</v>
      </c>
      <c r="E194" s="39">
        <v>0</v>
      </c>
      <c r="F194" s="39">
        <f t="shared" ref="F194:F195" si="31">D194*(($F$126)+1)+(IF(E194&lt;101,E194,IF(E194&lt;201,E194/2,IF(E194&lt;=301,E194/3,E194/4))))</f>
        <v>563.85868499999992</v>
      </c>
      <c r="G194" s="55" t="str">
        <f>A193</f>
        <v>13th Floor (Part Terrace Area)</v>
      </c>
      <c r="H194" s="55"/>
      <c r="I194" s="33"/>
      <c r="N194" s="33"/>
    </row>
    <row r="195" spans="1:14" s="34" customFormat="1" x14ac:dyDescent="0.3">
      <c r="A195" s="55">
        <f t="shared" ref="A195:A201" si="32">A194+1</f>
        <v>1302</v>
      </c>
      <c r="B195" s="55"/>
      <c r="C195" s="45" t="s">
        <v>231</v>
      </c>
      <c r="D195" s="46">
        <f>(46.41+0.75*(3+2.7+3.4))*(10.764)</f>
        <v>573.02153999999996</v>
      </c>
      <c r="E195" s="39">
        <v>0</v>
      </c>
      <c r="F195" s="39">
        <f t="shared" si="31"/>
        <v>859.53230999999994</v>
      </c>
      <c r="G195" s="55" t="str">
        <f t="shared" ref="G195:G201" si="33">G194</f>
        <v>13th Floor (Part Terrace Area)</v>
      </c>
      <c r="H195" s="55"/>
      <c r="I195" s="33">
        <f>4200000/F195</f>
        <v>4886.3782677349272</v>
      </c>
      <c r="N195" s="33"/>
    </row>
    <row r="196" spans="1:14" s="34" customFormat="1" x14ac:dyDescent="0.3">
      <c r="A196" s="55">
        <f t="shared" si="32"/>
        <v>1303</v>
      </c>
      <c r="B196" s="55"/>
      <c r="C196" s="45">
        <v>1</v>
      </c>
      <c r="D196" s="46">
        <f>(29.26+0.75*(2.7+2.05+3))*(10.764)</f>
        <v>377.52039000000002</v>
      </c>
      <c r="E196" s="39">
        <v>0</v>
      </c>
      <c r="F196" s="39">
        <f>D196*(($F$126)+1)+(IF(E196&lt;101,E196,IF(E196&lt;201,E196/2,IF(E196&lt;=301,E196/3,E196/4))))</f>
        <v>566.28058499999997</v>
      </c>
      <c r="G196" s="55" t="str">
        <f t="shared" si="33"/>
        <v>13th Floor (Part Terrace Area)</v>
      </c>
      <c r="H196" s="55"/>
      <c r="I196" s="33">
        <f>2793000/F196</f>
        <v>4932.183927866784</v>
      </c>
      <c r="N196" s="33"/>
    </row>
    <row r="197" spans="1:14" s="34" customFormat="1" x14ac:dyDescent="0.3">
      <c r="A197" s="55">
        <f t="shared" si="32"/>
        <v>1304</v>
      </c>
      <c r="B197" s="55"/>
      <c r="C197" s="45">
        <v>1</v>
      </c>
      <c r="D197" s="46">
        <f>(29.11+0.75*(2.7+2.05+3))*(10.764)</f>
        <v>375.90578999999997</v>
      </c>
      <c r="E197" s="39">
        <v>0</v>
      </c>
      <c r="F197" s="39">
        <f>D197*(($F$126)+1)+(IF(E197&lt;101,E197,IF(E197&lt;201,E197/2,IF(E197&lt;=301,E197/3,E197/4))))</f>
        <v>563.85868499999992</v>
      </c>
      <c r="G197" s="55" t="str">
        <f t="shared" si="33"/>
        <v>13th Floor (Part Terrace Area)</v>
      </c>
      <c r="H197" s="55"/>
      <c r="I197" s="33"/>
      <c r="N197" s="33"/>
    </row>
    <row r="198" spans="1:14" s="34" customFormat="1" x14ac:dyDescent="0.3">
      <c r="A198" s="55">
        <f t="shared" si="32"/>
        <v>1305</v>
      </c>
      <c r="B198" s="55"/>
      <c r="C198" s="45" t="s">
        <v>231</v>
      </c>
      <c r="D198" s="46">
        <f>(46.41+0.75*(3+2.7+3.4))*(10.764)</f>
        <v>573.02153999999996</v>
      </c>
      <c r="E198" s="39">
        <v>0</v>
      </c>
      <c r="F198" s="39">
        <f>D198*(($F$126)+1)+(IF(E198&lt;101,E198,IF(E198&lt;201,E198/2,IF(E198&lt;=301,E198/3,E198/4))))</f>
        <v>859.53230999999994</v>
      </c>
      <c r="G198" s="55" t="str">
        <f t="shared" si="33"/>
        <v>13th Floor (Part Terrace Area)</v>
      </c>
      <c r="H198" s="55"/>
      <c r="I198" s="33"/>
      <c r="N198" s="33"/>
    </row>
    <row r="199" spans="1:14" s="34" customFormat="1" x14ac:dyDescent="0.3">
      <c r="A199" s="55">
        <f t="shared" si="32"/>
        <v>1306</v>
      </c>
      <c r="B199" s="55"/>
      <c r="C199" s="45">
        <v>1</v>
      </c>
      <c r="D199" s="46">
        <f>(29.11+0.75*(2.7+2.05+3))*(10.764)</f>
        <v>375.90578999999997</v>
      </c>
      <c r="E199" s="39">
        <v>0</v>
      </c>
      <c r="F199" s="39">
        <f t="shared" ref="F199" si="34">D199*(($F$126)+1)+(IF(E199&lt;101,E199,IF(E199&lt;201,E199/2,IF(E199&lt;=301,E199/3,E199/4))))</f>
        <v>563.85868499999992</v>
      </c>
      <c r="G199" s="55" t="str">
        <f t="shared" si="33"/>
        <v>13th Floor (Part Terrace Area)</v>
      </c>
      <c r="H199" s="55"/>
      <c r="I199" s="33"/>
      <c r="N199" s="33"/>
    </row>
    <row r="200" spans="1:14" s="34" customFormat="1" x14ac:dyDescent="0.3">
      <c r="A200" s="55">
        <f t="shared" si="32"/>
        <v>1307</v>
      </c>
      <c r="B200" s="55"/>
      <c r="C200" s="45">
        <v>1</v>
      </c>
      <c r="D200" s="46">
        <f>(29.11+0.75*(2.7+2.05+3))*(10.764)</f>
        <v>375.90578999999997</v>
      </c>
      <c r="E200" s="39">
        <v>0</v>
      </c>
      <c r="F200" s="39">
        <f>D200*(($F$126)+1)+(IF(E200&lt;101,E200,IF(E200&lt;201,E200/2,IF(E200&lt;=301,E200/3,E200/4))))</f>
        <v>563.85868499999992</v>
      </c>
      <c r="G200" s="55" t="str">
        <f t="shared" si="33"/>
        <v>13th Floor (Part Terrace Area)</v>
      </c>
      <c r="H200" s="55"/>
      <c r="I200" s="33"/>
      <c r="N200" s="33"/>
    </row>
    <row r="201" spans="1:14" s="34" customFormat="1" x14ac:dyDescent="0.3">
      <c r="A201" s="55">
        <f t="shared" si="32"/>
        <v>1308</v>
      </c>
      <c r="B201" s="55"/>
      <c r="C201" s="45">
        <v>1</v>
      </c>
      <c r="D201" s="46">
        <f>(29.11+0.75*(2.7+2.05+3))*(10.764)</f>
        <v>375.90578999999997</v>
      </c>
      <c r="E201" s="39">
        <v>0</v>
      </c>
      <c r="F201" s="39">
        <f>D201*(($F$126)+1)+(IF(E201&lt;101,E201,IF(E201&lt;201,E201/2,IF(E201&lt;=301,E201/3,E201/4))))</f>
        <v>563.85868499999992</v>
      </c>
      <c r="G201" s="55" t="str">
        <f t="shared" si="33"/>
        <v>13th Floor (Part Terrace Area)</v>
      </c>
      <c r="H201" s="55"/>
      <c r="I201" s="33"/>
      <c r="N201" s="33"/>
    </row>
    <row r="202" spans="1:14" s="34" customFormat="1" x14ac:dyDescent="0.3">
      <c r="A202" s="56" t="s">
        <v>214</v>
      </c>
      <c r="B202" s="56"/>
      <c r="C202" s="56"/>
      <c r="D202" s="56"/>
      <c r="E202" s="56"/>
      <c r="F202" s="56"/>
      <c r="G202" s="56"/>
      <c r="H202" s="56"/>
      <c r="I202" s="33"/>
      <c r="L202" s="51"/>
      <c r="M202" s="51"/>
    </row>
    <row r="203" spans="1:14" s="34" customFormat="1" x14ac:dyDescent="0.3">
      <c r="A203" s="55">
        <f>LEFT(A202,SUM(LEN(A202)-LEN(SUBSTITUTE(A202,{"0","1","2","3","4","5","6","7","8","9"},""))))*100+1</f>
        <v>1401</v>
      </c>
      <c r="B203" s="55"/>
      <c r="C203" s="45">
        <v>1</v>
      </c>
      <c r="D203" s="46">
        <f>(29.11+0.75*(2.7+2.05+3))*(10.764)</f>
        <v>375.90578999999997</v>
      </c>
      <c r="E203" s="39">
        <v>0</v>
      </c>
      <c r="F203" s="39">
        <f t="shared" ref="F203:F204" si="35">D203*(($F$126)+1)+(IF(E203&lt;101,E203,IF(E203&lt;201,E203/2,IF(E203&lt;=301,E203/3,E203/4))))</f>
        <v>563.85868499999992</v>
      </c>
      <c r="G203" s="55" t="str">
        <f>A202</f>
        <v>14th Floor (Part Terrace Area)</v>
      </c>
      <c r="H203" s="55"/>
      <c r="I203" s="33"/>
      <c r="N203" s="33"/>
    </row>
    <row r="204" spans="1:14" s="34" customFormat="1" x14ac:dyDescent="0.3">
      <c r="A204" s="55">
        <f>A203+1</f>
        <v>1402</v>
      </c>
      <c r="B204" s="55"/>
      <c r="C204" s="45" t="s">
        <v>231</v>
      </c>
      <c r="D204" s="46">
        <f>(46.41+0.75*(3+2.7+3.4+1))*(10.764)</f>
        <v>581.09453999999994</v>
      </c>
      <c r="E204" s="39">
        <v>0</v>
      </c>
      <c r="F204" s="39">
        <f t="shared" si="35"/>
        <v>871.64180999999985</v>
      </c>
      <c r="G204" s="55" t="str">
        <f>G203</f>
        <v>14th Floor (Part Terrace Area)</v>
      </c>
      <c r="H204" s="55"/>
      <c r="I204" s="33"/>
      <c r="N204" s="33"/>
    </row>
    <row r="205" spans="1:14" s="34" customFormat="1" x14ac:dyDescent="0.3">
      <c r="A205" s="55">
        <f>A204+1</f>
        <v>1403</v>
      </c>
      <c r="B205" s="55"/>
      <c r="C205" s="45">
        <v>1</v>
      </c>
      <c r="D205" s="46">
        <f>(29.26+0.75*(2.7+2.05+3))*(10.764)</f>
        <v>377.52039000000002</v>
      </c>
      <c r="E205" s="39">
        <v>0</v>
      </c>
      <c r="F205" s="39">
        <f>D205*(($F$126)+1)+(IF(E205&lt;101,E205,IF(E205&lt;201,E205/2,IF(E205&lt;=301,E205/3,E205/4))))</f>
        <v>566.28058499999997</v>
      </c>
      <c r="G205" s="55" t="str">
        <f>G204</f>
        <v>14th Floor (Part Terrace Area)</v>
      </c>
      <c r="H205" s="55"/>
      <c r="I205" s="33"/>
      <c r="N205" s="33"/>
    </row>
    <row r="206" spans="1:14" s="34" customFormat="1" x14ac:dyDescent="0.3">
      <c r="A206" s="55">
        <f>A205+1</f>
        <v>1404</v>
      </c>
      <c r="B206" s="55"/>
      <c r="C206" s="45">
        <v>1</v>
      </c>
      <c r="D206" s="46">
        <f>(29.11+0.75*(2.7+2.05+3))*(10.764)</f>
        <v>375.90578999999997</v>
      </c>
      <c r="E206" s="39">
        <v>0</v>
      </c>
      <c r="F206" s="39">
        <f>D206*(($F$126)+1)+(IF(E206&lt;101,E206,IF(E206&lt;201,E206/2,IF(E206&lt;=301,E206/3,E206/4))))</f>
        <v>563.85868499999992</v>
      </c>
      <c r="G206" s="55" t="str">
        <f>G205</f>
        <v>14th Floor (Part Terrace Area)</v>
      </c>
      <c r="H206" s="55"/>
      <c r="I206" s="33"/>
      <c r="N206" s="33"/>
    </row>
    <row r="207" spans="1:14" s="34" customFormat="1" x14ac:dyDescent="0.3">
      <c r="A207" s="55">
        <f>A206+1</f>
        <v>1405</v>
      </c>
      <c r="B207" s="55"/>
      <c r="C207" s="45" t="s">
        <v>231</v>
      </c>
      <c r="D207" s="46">
        <f>(46.41+0.75*(3+2.7+3.4+1))*(10.764)</f>
        <v>581.09453999999994</v>
      </c>
      <c r="E207" s="39">
        <v>0</v>
      </c>
      <c r="F207" s="39">
        <f>D207*(($F$126)+1)+(IF(E207&lt;101,E207,IF(E207&lt;201,E207/2,IF(E207&lt;=301,E207/3,E207/4))))</f>
        <v>871.64180999999985</v>
      </c>
      <c r="G207" s="55" t="str">
        <f>G206</f>
        <v>14th Floor (Part Terrace Area)</v>
      </c>
      <c r="H207" s="55"/>
      <c r="I207" s="33"/>
      <c r="N207" s="33"/>
    </row>
    <row r="208" spans="1:14" s="34" customFormat="1" x14ac:dyDescent="0.3">
      <c r="A208" s="55">
        <f>A207+1</f>
        <v>1406</v>
      </c>
      <c r="B208" s="55"/>
      <c r="C208" s="45">
        <v>1</v>
      </c>
      <c r="D208" s="46">
        <f>(29.11+0.75*(2.7+2.05+3))*(10.764)</f>
        <v>375.90578999999997</v>
      </c>
      <c r="E208" s="39">
        <v>0</v>
      </c>
      <c r="F208" s="39">
        <f t="shared" ref="F208" si="36">D208*(($F$126)+1)+(IF(E208&lt;101,E208,IF(E208&lt;201,E208/2,IF(E208&lt;=301,E208/3,E208/4))))</f>
        <v>563.85868499999992</v>
      </c>
      <c r="G208" s="55" t="str">
        <f>G207</f>
        <v>14th Floor (Part Terrace Area)</v>
      </c>
      <c r="H208" s="55"/>
      <c r="I208" s="33"/>
      <c r="N208" s="33"/>
    </row>
    <row r="209" spans="1:14" s="34" customFormat="1" hidden="1" x14ac:dyDescent="0.3">
      <c r="A209" s="72" t="s">
        <v>123</v>
      </c>
      <c r="B209" s="73"/>
      <c r="C209" s="73"/>
      <c r="D209" s="73"/>
      <c r="E209" s="73"/>
      <c r="F209" s="73"/>
      <c r="G209" s="73"/>
      <c r="H209" s="74"/>
      <c r="I209" s="33"/>
      <c r="J209" s="33"/>
    </row>
    <row r="210" spans="1:14" s="34" customFormat="1" hidden="1" x14ac:dyDescent="0.3">
      <c r="A210" s="57">
        <v>1</v>
      </c>
      <c r="B210" s="58"/>
      <c r="C210" s="45"/>
      <c r="D210" s="39"/>
      <c r="E210" s="39">
        <v>0</v>
      </c>
      <c r="F210" s="39">
        <f>D210*(($F$126)+1)+(IF(E210&lt;101,E210,IF(E210&lt;201,E210/2,IF(E210&lt;=301,E210/3,E210/4))))</f>
        <v>0</v>
      </c>
      <c r="G210" s="57" t="str">
        <f>A209</f>
        <v>Ground Floor</v>
      </c>
      <c r="H210" s="58"/>
      <c r="I210" s="33"/>
      <c r="L210" s="51"/>
      <c r="M210" s="51"/>
      <c r="N210" s="33"/>
    </row>
    <row r="211" spans="1:14" s="34" customFormat="1" hidden="1" x14ac:dyDescent="0.3">
      <c r="A211" s="57">
        <f t="shared" ref="A211:A213" si="37">A210+1</f>
        <v>2</v>
      </c>
      <c r="B211" s="58"/>
      <c r="C211" s="45"/>
      <c r="D211" s="39"/>
      <c r="E211" s="39">
        <v>0</v>
      </c>
      <c r="F211" s="39">
        <f>D211*(($F$126)+1)+(IF(E211&lt;101,E211,IF(E211&lt;201,E211/2,IF(E211&lt;=301,E211/3,E211/4))))</f>
        <v>0</v>
      </c>
      <c r="G211" s="57" t="str">
        <f t="shared" ref="G211:G213" si="38">G210</f>
        <v>Ground Floor</v>
      </c>
      <c r="H211" s="58"/>
      <c r="I211" s="33"/>
      <c r="L211" s="51"/>
      <c r="M211" s="51"/>
      <c r="N211" s="33"/>
    </row>
    <row r="212" spans="1:14" s="34" customFormat="1" hidden="1" x14ac:dyDescent="0.3">
      <c r="A212" s="57">
        <f t="shared" si="37"/>
        <v>3</v>
      </c>
      <c r="B212" s="58"/>
      <c r="C212" s="45"/>
      <c r="D212" s="39"/>
      <c r="E212" s="39">
        <v>0</v>
      </c>
      <c r="F212" s="39">
        <f>D212*(($F$126)+1)+(IF(E212&lt;101,E212,IF(E212&lt;201,E212/2,IF(E212&lt;=301,E212/3,E212/4))))</f>
        <v>0</v>
      </c>
      <c r="G212" s="57" t="str">
        <f t="shared" si="38"/>
        <v>Ground Floor</v>
      </c>
      <c r="H212" s="58"/>
      <c r="I212" s="33"/>
      <c r="L212" s="51"/>
      <c r="M212" s="51"/>
      <c r="N212" s="33"/>
    </row>
    <row r="213" spans="1:14" s="34" customFormat="1" hidden="1" x14ac:dyDescent="0.3">
      <c r="A213" s="57">
        <f t="shared" si="37"/>
        <v>4</v>
      </c>
      <c r="B213" s="58"/>
      <c r="C213" s="45"/>
      <c r="D213" s="39"/>
      <c r="E213" s="39">
        <v>0</v>
      </c>
      <c r="F213" s="39">
        <f>D213*(($F$126)+1)+(IF(E213&lt;101,E213,IF(E213&lt;201,E213/2,IF(E213&lt;=301,E213/3,E213/4))))</f>
        <v>0</v>
      </c>
      <c r="G213" s="57" t="str">
        <f t="shared" si="38"/>
        <v>Ground Floor</v>
      </c>
      <c r="H213" s="58"/>
      <c r="I213" s="33"/>
      <c r="L213" s="51"/>
      <c r="M213" s="51"/>
      <c r="N213" s="33"/>
    </row>
    <row r="214" spans="1:14" s="34" customFormat="1" hidden="1" x14ac:dyDescent="0.3">
      <c r="A214" s="56" t="s">
        <v>124</v>
      </c>
      <c r="B214" s="56"/>
      <c r="C214" s="56"/>
      <c r="D214" s="56"/>
      <c r="E214" s="56"/>
      <c r="F214" s="56"/>
      <c r="G214" s="56"/>
      <c r="H214" s="56"/>
      <c r="I214" s="33"/>
      <c r="L214" s="51"/>
      <c r="M214" s="51"/>
    </row>
    <row r="215" spans="1:14" s="34" customFormat="1" hidden="1" x14ac:dyDescent="0.3">
      <c r="A215" s="55">
        <f>LEFT(A214,SUM(LEN(A214)-LEN(SUBSTITUTE(A214,{"0","1","2","3","4","5","6","7","8","9"},""))))*100+1</f>
        <v>201</v>
      </c>
      <c r="B215" s="55"/>
      <c r="C215" s="45"/>
      <c r="D215" s="39"/>
      <c r="E215" s="39">
        <v>0</v>
      </c>
      <c r="F215" s="39">
        <f t="shared" ref="F215:F216" si="39">D215*(($F$126)+1)+(IF(E215&lt;101,E215,IF(E215&lt;201,E215/2,IF(E215&lt;=301,E215/3,E215/4))))</f>
        <v>0</v>
      </c>
      <c r="G215" s="55" t="str">
        <f>A214</f>
        <v>2nd Floor</v>
      </c>
      <c r="H215" s="55"/>
      <c r="I215" s="33"/>
      <c r="N215" s="33"/>
    </row>
    <row r="216" spans="1:14" s="34" customFormat="1" hidden="1" x14ac:dyDescent="0.3">
      <c r="A216" s="55">
        <f>A215+1</f>
        <v>202</v>
      </c>
      <c r="B216" s="55"/>
      <c r="C216" s="45"/>
      <c r="D216" s="39"/>
      <c r="E216" s="39">
        <v>0</v>
      </c>
      <c r="F216" s="39">
        <f t="shared" si="39"/>
        <v>0</v>
      </c>
      <c r="G216" s="55" t="str">
        <f>G215</f>
        <v>2nd Floor</v>
      </c>
      <c r="H216" s="55"/>
      <c r="I216" s="33"/>
      <c r="N216" s="33"/>
    </row>
    <row r="217" spans="1:14" s="34" customFormat="1" hidden="1" x14ac:dyDescent="0.3">
      <c r="A217" s="55">
        <f>A216+1</f>
        <v>203</v>
      </c>
      <c r="B217" s="55"/>
      <c r="C217" s="45"/>
      <c r="D217" s="39"/>
      <c r="E217" s="39">
        <v>0</v>
      </c>
      <c r="F217" s="39">
        <f>D217*(($F$126)+1)+(IF(E217&lt;101,E217,IF(E217&lt;201,E217/2,IF(E217&lt;=301,E217/3,E217/4))))</f>
        <v>0</v>
      </c>
      <c r="G217" s="55" t="str">
        <f>G216</f>
        <v>2nd Floor</v>
      </c>
      <c r="H217" s="55"/>
      <c r="I217" s="33"/>
      <c r="N217" s="33"/>
    </row>
    <row r="218" spans="1:14" s="34" customFormat="1" hidden="1" x14ac:dyDescent="0.3">
      <c r="A218" s="55">
        <f>A217+1</f>
        <v>204</v>
      </c>
      <c r="B218" s="55"/>
      <c r="C218" s="45"/>
      <c r="D218" s="39"/>
      <c r="E218" s="39">
        <v>0</v>
      </c>
      <c r="F218" s="39">
        <f>D218*(($F$126)+1)+(IF(E218&lt;101,E218,IF(E218&lt;201,E218/2,IF(E218&lt;=301,E218/3,E218/4))))</f>
        <v>0</v>
      </c>
      <c r="G218" s="55" t="str">
        <f>G217</f>
        <v>2nd Floor</v>
      </c>
      <c r="H218" s="55"/>
      <c r="I218" s="33"/>
      <c r="N218" s="33"/>
    </row>
    <row r="219" spans="1:14" s="34" customFormat="1" hidden="1" x14ac:dyDescent="0.3">
      <c r="A219" s="55">
        <f>A218+1</f>
        <v>205</v>
      </c>
      <c r="B219" s="55"/>
      <c r="C219" s="45"/>
      <c r="D219" s="39"/>
      <c r="E219" s="39">
        <v>0</v>
      </c>
      <c r="F219" s="39">
        <f>D219*(($F$126)+1)+(IF(E219&lt;101,E219,IF(E219&lt;201,E219/2,IF(E219&lt;=301,E219/3,E219/4))))</f>
        <v>0</v>
      </c>
      <c r="G219" s="55" t="str">
        <f>G218</f>
        <v>2nd Floor</v>
      </c>
      <c r="H219" s="55"/>
      <c r="I219" s="33"/>
      <c r="N219" s="33"/>
    </row>
    <row r="220" spans="1:14" s="34" customFormat="1" ht="15.75" hidden="1" customHeight="1" x14ac:dyDescent="0.3">
      <c r="A220" s="72" t="s">
        <v>159</v>
      </c>
      <c r="B220" s="73"/>
      <c r="C220" s="73"/>
      <c r="D220" s="73"/>
      <c r="E220" s="73"/>
      <c r="F220" s="73"/>
      <c r="G220" s="73"/>
      <c r="H220" s="74"/>
      <c r="I220" s="33"/>
    </row>
    <row r="221" spans="1:14" s="34" customFormat="1" hidden="1" x14ac:dyDescent="0.3">
      <c r="A221" s="57" t="str">
        <f ca="1">(SUMPRODUCT(MID(0&amp;(LEFT(A220,SUM(LEN(A220)-LEN(SUBSTITUTE(A220,{"0","1","2"},""))))), LARGE(INDEX(ISNUMBER(--MID((LEFT(A220,SUM(LEN(A220)-LEN(SUBSTITUTE(A220,{"0","1","2"},""))))), ROW(INDIRECT("1:"&amp;LEN((LEFT(A220,SUM(LEN(A220)-LEN(SUBSTITUTE(A220,{"0","1","2"},"")))))))), 1)) * ROW(INDIRECT("1:"&amp;LEN((LEFT(A220,SUM(LEN(A220)-LEN(SUBSTITUTE(A220,{"0","1","2"},"")))))))), 0), ROW(INDIRECT("1:"&amp;LEN((LEFT(A220,SUM(LEN(A220)-LEN(SUBSTITUTE(A220,{"0","1","2"},"")))))))))+1, 1) * 10^ROW(INDIRECT("1:"&amp;LEN((LEFT(A220,SUM(LEN(A220)-LEN(SUBSTITUTE(A220,{"0","1","2"},""))))))))/10))*100+1&amp;""&amp;" ,.., "&amp;""&amp;(SUMPRODUCT(MID(0&amp;(--TRIM(RIGHT(SUBSTITUTE(LEFT(A220,_xlfn.AGGREGATE(16,6,FIND({0,1,2,3,4,5,6,7,8,9},A220,ROW(INDIRECT("1:"&amp;LEN(A220)))),1))," ",REPT(" ",LEN(A220))),LEN(A220)))), LARGE(INDEX(ISNUMBER(--MID((--TRIM(RIGHT(SUBSTITUTE(LEFT(A220,_xlfn.AGGREGATE(16,6,FIND({0,1,2,3,4,5,6,7,8,9},A220,ROW(INDIRECT("1:"&amp;LEN(A220)))),1))," ",REPT(" ",LEN(A220))),LEN(A220)))), ROW(INDIRECT("1:"&amp;LEN((--TRIM(RIGHT(SUBSTITUTE(LEFT(A220,_xlfn.AGGREGATE(16,6,FIND({0,1,2,3,4,5,6,7,8,9},A220,ROW(INDIRECT("1:"&amp;LEN(A220)))),1))," ",REPT(" ",LEN(A220))),LEN(A220))))))), 1)) * ROW(INDIRECT("1:"&amp;LEN((--TRIM(RIGHT(SUBSTITUTE(LEFT(A220,_xlfn.AGGREGATE(16,6,FIND({0,1,2,3,4,5,6,7,8,9},A220,ROW(INDIRECT("1:"&amp;LEN(A220)))),1))," ",REPT(" ",LEN(A220))),LEN(A220))))))), 0), ROW(INDIRECT("1:"&amp;LEN((--TRIM(RIGHT(SUBSTITUTE(LEFT(A220,_xlfn.AGGREGATE(16,6,FIND({0,1,2,3,4,5,6,7,8,9},A220,ROW(INDIRECT("1:"&amp;LEN(A220)))),1))," ",REPT(" ",LEN(A220))),LEN(A220))))))))+1, 1) * 10^ROW(INDIRECT("1:"&amp;LEN((--TRIM(RIGHT(SUBSTITUTE(LEFT(A220,_xlfn.AGGREGATE(16,6,FIND({0,1,2,3,4,5,6,7,8,9},A220,ROW(INDIRECT("1:"&amp;LEN(A220)))),1))," ",REPT(" ",LEN(A220))),LEN(A220)))))))/10))*100+1</f>
        <v>301 ,.., 1501</v>
      </c>
      <c r="B221" s="58"/>
      <c r="C221" s="45"/>
      <c r="D221" s="39"/>
      <c r="E221" s="39">
        <v>0</v>
      </c>
      <c r="F221" s="39">
        <f>D221*(($F$126)+1)+(IF(E221&lt;101,E221,IF(E221&lt;201,E221/2,IF(E221&lt;=301,E221/3,E221/4))))</f>
        <v>0</v>
      </c>
      <c r="G221" s="57" t="str">
        <f>A220</f>
        <v>3rd, 5th, 7th, 9th, 11th, 13th, 15th Floor</v>
      </c>
      <c r="H221" s="58"/>
      <c r="I221" s="33"/>
    </row>
    <row r="222" spans="1:14" s="34" customFormat="1" hidden="1" x14ac:dyDescent="0.3">
      <c r="A222" s="57" t="str">
        <f ca="1">(SUMPRODUCT(MID(0&amp;(LEFT(A221,SUM(LEN(A221)-LEN(SUBSTITUTE(A221,{"0","1","2"},""))))), LARGE(INDEX(ISNUMBER(--MID((LEFT(A221,SUM(LEN(A221)-LEN(SUBSTITUTE(A221,{"0","1","2"},""))))), ROW(INDIRECT("1:"&amp;LEN((LEFT(A221,SUM(LEN(A221)-LEN(SUBSTITUTE(A221,{"0","1","2"},"")))))))), 1)) * ROW(INDIRECT("1:"&amp;LEN((LEFT(A221,SUM(LEN(A221)-LEN(SUBSTITUTE(A221,{"0","1","2"},"")))))))), 0), ROW(INDIRECT("1:"&amp;LEN((LEFT(A221,SUM(LEN(A221)-LEN(SUBSTITUTE(A221,{"0","1","2"},"")))))))))+1, 1) * 10^ROW(INDIRECT("1:"&amp;LEN((LEFT(A221,SUM(LEN(A221)-LEN(SUBSTITUTE(A221,{"0","1","2"},""))))))))/10))*1+1&amp;""&amp;" ,.., "&amp;""&amp;(SUMPRODUCT(MID(0&amp;(--TRIM(RIGHT(SUBSTITUTE(LEFT(A221,_xlfn.AGGREGATE(16,6,FIND({0,1,2,3,4,5,6,7,8,9},A221,ROW(INDIRECT("1:"&amp;LEN(A221)))),1))," ",REPT(" ",LEN(A221))),LEN(A221)))), LARGE(INDEX(ISNUMBER(--MID((--TRIM(RIGHT(SUBSTITUTE(LEFT(A221,_xlfn.AGGREGATE(16,6,FIND({0,1,2,3,4,5,6,7,8,9},A221,ROW(INDIRECT("1:"&amp;LEN(A221)))),1))," ",REPT(" ",LEN(A221))),LEN(A221)))), ROW(INDIRECT("1:"&amp;LEN((--TRIM(RIGHT(SUBSTITUTE(LEFT(A221,_xlfn.AGGREGATE(16,6,FIND({0,1,2,3,4,5,6,7,8,9},A221,ROW(INDIRECT("1:"&amp;LEN(A221)))),1))," ",REPT(" ",LEN(A221))),LEN(A221))))))), 1)) * ROW(INDIRECT("1:"&amp;LEN((--TRIM(RIGHT(SUBSTITUTE(LEFT(A221,_xlfn.AGGREGATE(16,6,FIND({0,1,2,3,4,5,6,7,8,9},A221,ROW(INDIRECT("1:"&amp;LEN(A221)))),1))," ",REPT(" ",LEN(A221))),LEN(A221))))))), 0), ROW(INDIRECT("1:"&amp;LEN((--TRIM(RIGHT(SUBSTITUTE(LEFT(A221,_xlfn.AGGREGATE(16,6,FIND({0,1,2,3,4,5,6,7,8,9},A221,ROW(INDIRECT("1:"&amp;LEN(A221)))),1))," ",REPT(" ",LEN(A221))),LEN(A221))))))))+1, 1) * 10^ROW(INDIRECT("1:"&amp;LEN((--TRIM(RIGHT(SUBSTITUTE(LEFT(A221,_xlfn.AGGREGATE(16,6,FIND({0,1,2,3,4,5,6,7,8,9},A221,ROW(INDIRECT("1:"&amp;LEN(A221)))),1))," ",REPT(" ",LEN(A221))),LEN(A221)))))))/10))*1+1</f>
        <v>302 ,.., 1502</v>
      </c>
      <c r="B222" s="58"/>
      <c r="C222" s="45"/>
      <c r="D222" s="39"/>
      <c r="E222" s="39">
        <v>0</v>
      </c>
      <c r="F222" s="39">
        <f>D222*(($F$126)+1)+(IF(E222&lt;101,E222,IF(E222&lt;201,E222/2,IF(E222&lt;=301,E222/3,E222/4))))</f>
        <v>0</v>
      </c>
      <c r="G222" s="57" t="str">
        <f>G221</f>
        <v>3rd, 5th, 7th, 9th, 11th, 13th, 15th Floor</v>
      </c>
      <c r="H222" s="58"/>
      <c r="I222" s="33"/>
    </row>
    <row r="223" spans="1:14" s="34" customFormat="1" ht="15.75" hidden="1" customHeight="1" x14ac:dyDescent="0.3">
      <c r="A223" s="57" t="str">
        <f ca="1">(SUMPRODUCT(MID(0&amp;(LEFT(A222,SUM(LEN(A222)-LEN(SUBSTITUTE(A222,{"0","1","2"},""))))), LARGE(INDEX(ISNUMBER(--MID((LEFT(A222,SUM(LEN(A222)-LEN(SUBSTITUTE(A222,{"0","1","2"},""))))), ROW(INDIRECT("1:"&amp;LEN((LEFT(A222,SUM(LEN(A222)-LEN(SUBSTITUTE(A222,{"0","1","2"},"")))))))), 1)) * ROW(INDIRECT("1:"&amp;LEN((LEFT(A222,SUM(LEN(A222)-LEN(SUBSTITUTE(A222,{"0","1","2"},"")))))))), 0), ROW(INDIRECT("1:"&amp;LEN((LEFT(A222,SUM(LEN(A222)-LEN(SUBSTITUTE(A222,{"0","1","2"},"")))))))))+1, 1) * 10^ROW(INDIRECT("1:"&amp;LEN((LEFT(A222,SUM(LEN(A222)-LEN(SUBSTITUTE(A222,{"0","1","2"},""))))))))/10))*1+1&amp;""&amp;" ,.., "&amp;""&amp;(SUMPRODUCT(MID(0&amp;(--TRIM(RIGHT(SUBSTITUTE(LEFT(A222,_xlfn.AGGREGATE(16,6,FIND({0,1,2,3,4,5,6,7,8,9},A222,ROW(INDIRECT("1:"&amp;LEN(A222)))),1))," ",REPT(" ",LEN(A222))),LEN(A222)))), LARGE(INDEX(ISNUMBER(--MID((--TRIM(RIGHT(SUBSTITUTE(LEFT(A222,_xlfn.AGGREGATE(16,6,FIND({0,1,2,3,4,5,6,7,8,9},A222,ROW(INDIRECT("1:"&amp;LEN(A222)))),1))," ",REPT(" ",LEN(A222))),LEN(A222)))), ROW(INDIRECT("1:"&amp;LEN((--TRIM(RIGHT(SUBSTITUTE(LEFT(A222,_xlfn.AGGREGATE(16,6,FIND({0,1,2,3,4,5,6,7,8,9},A222,ROW(INDIRECT("1:"&amp;LEN(A222)))),1))," ",REPT(" ",LEN(A222))),LEN(A222))))))), 1)) * ROW(INDIRECT("1:"&amp;LEN((--TRIM(RIGHT(SUBSTITUTE(LEFT(A222,_xlfn.AGGREGATE(16,6,FIND({0,1,2,3,4,5,6,7,8,9},A222,ROW(INDIRECT("1:"&amp;LEN(A222)))),1))," ",REPT(" ",LEN(A222))),LEN(A222))))))), 0), ROW(INDIRECT("1:"&amp;LEN((--TRIM(RIGHT(SUBSTITUTE(LEFT(A222,_xlfn.AGGREGATE(16,6,FIND({0,1,2,3,4,5,6,7,8,9},A222,ROW(INDIRECT("1:"&amp;LEN(A222)))),1))," ",REPT(" ",LEN(A222))),LEN(A222))))))))+1, 1) * 10^ROW(INDIRECT("1:"&amp;LEN((--TRIM(RIGHT(SUBSTITUTE(LEFT(A222,_xlfn.AGGREGATE(16,6,FIND({0,1,2,3,4,5,6,7,8,9},A222,ROW(INDIRECT("1:"&amp;LEN(A222)))),1))," ",REPT(" ",LEN(A222))),LEN(A222)))))))/10))*1+1</f>
        <v>303 ,.., 1503</v>
      </c>
      <c r="B223" s="58"/>
      <c r="C223" s="45"/>
      <c r="D223" s="39"/>
      <c r="E223" s="39">
        <v>0</v>
      </c>
      <c r="F223" s="39">
        <f>D223*(($F$126)+1)+(IF(E223&lt;101,E223,IF(E223&lt;201,E223/2,IF(E223&lt;=301,E223/3,E223/4))))</f>
        <v>0</v>
      </c>
      <c r="G223" s="57" t="str">
        <f>G222</f>
        <v>3rd, 5th, 7th, 9th, 11th, 13th, 15th Floor</v>
      </c>
      <c r="H223" s="58"/>
      <c r="I223" s="33"/>
    </row>
    <row r="224" spans="1:14" s="34" customFormat="1" ht="15.75" hidden="1" customHeight="1" x14ac:dyDescent="0.3">
      <c r="A224" s="57" t="str">
        <f ca="1">(SUMPRODUCT(MID(0&amp;(LEFT(A223,SUM(LEN(A223)-LEN(SUBSTITUTE(A223,{"0","1","2"},""))))), LARGE(INDEX(ISNUMBER(--MID((LEFT(A223,SUM(LEN(A223)-LEN(SUBSTITUTE(A223,{"0","1","2"},""))))), ROW(INDIRECT("1:"&amp;LEN((LEFT(A223,SUM(LEN(A223)-LEN(SUBSTITUTE(A223,{"0","1","2"},"")))))))), 1)) * ROW(INDIRECT("1:"&amp;LEN((LEFT(A223,SUM(LEN(A223)-LEN(SUBSTITUTE(A223,{"0","1","2"},"")))))))), 0), ROW(INDIRECT("1:"&amp;LEN((LEFT(A223,SUM(LEN(A223)-LEN(SUBSTITUTE(A223,{"0","1","2"},"")))))))))+1, 1) * 10^ROW(INDIRECT("1:"&amp;LEN((LEFT(A223,SUM(LEN(A223)-LEN(SUBSTITUTE(A223,{"0","1","2"},""))))))))/10))*1+1&amp;""&amp;" ,.., "&amp;""&amp;(SUMPRODUCT(MID(0&amp;(--TRIM(RIGHT(SUBSTITUTE(LEFT(A223,_xlfn.AGGREGATE(16,6,FIND({0,1,2,3,4,5,6,7,8,9},A223,ROW(INDIRECT("1:"&amp;LEN(A223)))),1))," ",REPT(" ",LEN(A223))),LEN(A223)))), LARGE(INDEX(ISNUMBER(--MID((--TRIM(RIGHT(SUBSTITUTE(LEFT(A223,_xlfn.AGGREGATE(16,6,FIND({0,1,2,3,4,5,6,7,8,9},A223,ROW(INDIRECT("1:"&amp;LEN(A223)))),1))," ",REPT(" ",LEN(A223))),LEN(A223)))), ROW(INDIRECT("1:"&amp;LEN((--TRIM(RIGHT(SUBSTITUTE(LEFT(A223,_xlfn.AGGREGATE(16,6,FIND({0,1,2,3,4,5,6,7,8,9},A223,ROW(INDIRECT("1:"&amp;LEN(A223)))),1))," ",REPT(" ",LEN(A223))),LEN(A223))))))), 1)) * ROW(INDIRECT("1:"&amp;LEN((--TRIM(RIGHT(SUBSTITUTE(LEFT(A223,_xlfn.AGGREGATE(16,6,FIND({0,1,2,3,4,5,6,7,8,9},A223,ROW(INDIRECT("1:"&amp;LEN(A223)))),1))," ",REPT(" ",LEN(A223))),LEN(A223))))))), 0), ROW(INDIRECT("1:"&amp;LEN((--TRIM(RIGHT(SUBSTITUTE(LEFT(A223,_xlfn.AGGREGATE(16,6,FIND({0,1,2,3,4,5,6,7,8,9},A223,ROW(INDIRECT("1:"&amp;LEN(A223)))),1))," ",REPT(" ",LEN(A223))),LEN(A223))))))))+1, 1) * 10^ROW(INDIRECT("1:"&amp;LEN((--TRIM(RIGHT(SUBSTITUTE(LEFT(A223,_xlfn.AGGREGATE(16,6,FIND({0,1,2,3,4,5,6,7,8,9},A223,ROW(INDIRECT("1:"&amp;LEN(A223)))),1))," ",REPT(" ",LEN(A223))),LEN(A223)))))))/10))*1+1</f>
        <v>304 ,.., 1504</v>
      </c>
      <c r="B224" s="58"/>
      <c r="C224" s="45"/>
      <c r="D224" s="39"/>
      <c r="E224" s="39">
        <v>0</v>
      </c>
      <c r="F224" s="39">
        <f>D224*(($F$126)+1)+(IF(E224&lt;101,E224,IF(E224&lt;201,E224/2,IF(E224&lt;=301,E224/3,E224/4))))</f>
        <v>0</v>
      </c>
      <c r="G224" s="57" t="str">
        <f>G223</f>
        <v>3rd, 5th, 7th, 9th, 11th, 13th, 15th Floor</v>
      </c>
      <c r="H224" s="58"/>
      <c r="I224" s="33"/>
    </row>
    <row r="225" spans="1:9" s="34" customFormat="1" ht="15.75" hidden="1" customHeight="1" x14ac:dyDescent="0.3">
      <c r="A225" s="57" t="str">
        <f ca="1">(SUMPRODUCT(MID(0&amp;(LEFT(A224,SUM(LEN(A224)-LEN(SUBSTITUTE(A224,{"0","1","2"},""))))), LARGE(INDEX(ISNUMBER(--MID((LEFT(A224,SUM(LEN(A224)-LEN(SUBSTITUTE(A224,{"0","1","2"},""))))), ROW(INDIRECT("1:"&amp;LEN((LEFT(A224,SUM(LEN(A224)-LEN(SUBSTITUTE(A224,{"0","1","2"},"")))))))), 1)) * ROW(INDIRECT("1:"&amp;LEN((LEFT(A224,SUM(LEN(A224)-LEN(SUBSTITUTE(A224,{"0","1","2"},"")))))))), 0), ROW(INDIRECT("1:"&amp;LEN((LEFT(A224,SUM(LEN(A224)-LEN(SUBSTITUTE(A224,{"0","1","2"},"")))))))))+1, 1) * 10^ROW(INDIRECT("1:"&amp;LEN((LEFT(A224,SUM(LEN(A224)-LEN(SUBSTITUTE(A224,{"0","1","2"},""))))))))/10))*1+1&amp;""&amp;" ,.., "&amp;""&amp;(SUMPRODUCT(MID(0&amp;(--TRIM(RIGHT(SUBSTITUTE(LEFT(A224,_xlfn.AGGREGATE(16,6,FIND({0,1,2,3,4,5,6,7,8,9},A224,ROW(INDIRECT("1:"&amp;LEN(A224)))),1))," ",REPT(" ",LEN(A224))),LEN(A224)))), LARGE(INDEX(ISNUMBER(--MID((--TRIM(RIGHT(SUBSTITUTE(LEFT(A224,_xlfn.AGGREGATE(16,6,FIND({0,1,2,3,4,5,6,7,8,9},A224,ROW(INDIRECT("1:"&amp;LEN(A224)))),1))," ",REPT(" ",LEN(A224))),LEN(A224)))), ROW(INDIRECT("1:"&amp;LEN((--TRIM(RIGHT(SUBSTITUTE(LEFT(A224,_xlfn.AGGREGATE(16,6,FIND({0,1,2,3,4,5,6,7,8,9},A224,ROW(INDIRECT("1:"&amp;LEN(A224)))),1))," ",REPT(" ",LEN(A224))),LEN(A224))))))), 1)) * ROW(INDIRECT("1:"&amp;LEN((--TRIM(RIGHT(SUBSTITUTE(LEFT(A224,_xlfn.AGGREGATE(16,6,FIND({0,1,2,3,4,5,6,7,8,9},A224,ROW(INDIRECT("1:"&amp;LEN(A224)))),1))," ",REPT(" ",LEN(A224))),LEN(A224))))))), 0), ROW(INDIRECT("1:"&amp;LEN((--TRIM(RIGHT(SUBSTITUTE(LEFT(A224,_xlfn.AGGREGATE(16,6,FIND({0,1,2,3,4,5,6,7,8,9},A224,ROW(INDIRECT("1:"&amp;LEN(A224)))),1))," ",REPT(" ",LEN(A224))),LEN(A224))))))))+1, 1) * 10^ROW(INDIRECT("1:"&amp;LEN((--TRIM(RIGHT(SUBSTITUTE(LEFT(A224,_xlfn.AGGREGATE(16,6,FIND({0,1,2,3,4,5,6,7,8,9},A224,ROW(INDIRECT("1:"&amp;LEN(A224)))),1))," ",REPT(" ",LEN(A224))),LEN(A224)))))))/10))*1+1</f>
        <v>305 ,.., 1505</v>
      </c>
      <c r="B225" s="58"/>
      <c r="C225" s="45"/>
      <c r="D225" s="39"/>
      <c r="E225" s="39">
        <v>0</v>
      </c>
      <c r="F225" s="39">
        <f>D225*(($F$126)+1)+(IF(E225&lt;101,E225,IF(E225&lt;201,E225/2,IF(E225&lt;=301,E225/3,E225/4))))</f>
        <v>0</v>
      </c>
      <c r="G225" s="57" t="str">
        <f>G224</f>
        <v>3rd, 5th, 7th, 9th, 11th, 13th, 15th Floor</v>
      </c>
      <c r="H225" s="58"/>
      <c r="I225" s="33"/>
    </row>
    <row r="226" spans="1:9" s="34" customFormat="1" hidden="1" x14ac:dyDescent="0.3">
      <c r="A226" s="72" t="s">
        <v>153</v>
      </c>
      <c r="B226" s="73"/>
      <c r="C226" s="73"/>
      <c r="D226" s="73"/>
      <c r="E226" s="73"/>
      <c r="F226" s="73"/>
      <c r="G226" s="73"/>
      <c r="H226" s="74"/>
      <c r="I226" s="33"/>
    </row>
    <row r="227" spans="1:9" s="34" customFormat="1" hidden="1" x14ac:dyDescent="0.3">
      <c r="A227" s="57" t="str">
        <f ca="1">(SUMPRODUCT(MID(0&amp;(LEFT(A226,SUM(LEN(A226)-LEN(SUBSTITUTE(A226,{"0","1","2"},""))))), LARGE(INDEX(ISNUMBER(--MID((LEFT(A226,SUM(LEN(A226)-LEN(SUBSTITUTE(A226,{"0","1","2"},""))))), ROW(INDIRECT("1:"&amp;LEN((LEFT(A226,SUM(LEN(A226)-LEN(SUBSTITUTE(A226,{"0","1","2"},"")))))))), 1)) * ROW(INDIRECT("1:"&amp;LEN((LEFT(A226,SUM(LEN(A226)-LEN(SUBSTITUTE(A226,{"0","1","2"},"")))))))), 0), ROW(INDIRECT("1:"&amp;LEN((LEFT(A226,SUM(LEN(A226)-LEN(SUBSTITUTE(A226,{"0","1","2"},"")))))))))+1, 1) * 10^ROW(INDIRECT("1:"&amp;LEN((LEFT(A226,SUM(LEN(A226)-LEN(SUBSTITUTE(A226,{"0","1","2"},""))))))))/10))*100+1&amp;""&amp;" to "&amp;""&amp;(SUMPRODUCT(MID(0&amp;(--TRIM(RIGHT(SUBSTITUTE(LEFT(A226,_xlfn.AGGREGATE(16,6,FIND({0,1,2,3,4,5,6,7,8,9},A226,ROW(INDIRECT("1:"&amp;LEN(A226)))),1))," ",REPT(" ",LEN(A226))),LEN(A226)))), LARGE(INDEX(ISNUMBER(--MID((--TRIM(RIGHT(SUBSTITUTE(LEFT(A226,_xlfn.AGGREGATE(16,6,FIND({0,1,2,3,4,5,6,7,8,9},A226,ROW(INDIRECT("1:"&amp;LEN(A226)))),1))," ",REPT(" ",LEN(A226))),LEN(A226)))), ROW(INDIRECT("1:"&amp;LEN((--TRIM(RIGHT(SUBSTITUTE(LEFT(A226,_xlfn.AGGREGATE(16,6,FIND({0,1,2,3,4,5,6,7,8,9},A226,ROW(INDIRECT("1:"&amp;LEN(A226)))),1))," ",REPT(" ",LEN(A226))),LEN(A226))))))), 1)) * ROW(INDIRECT("1:"&amp;LEN((--TRIM(RIGHT(SUBSTITUTE(LEFT(A226,_xlfn.AGGREGATE(16,6,FIND({0,1,2,3,4,5,6,7,8,9},A226,ROW(INDIRECT("1:"&amp;LEN(A226)))),1))," ",REPT(" ",LEN(A226))),LEN(A226))))))), 0), ROW(INDIRECT("1:"&amp;LEN((--TRIM(RIGHT(SUBSTITUTE(LEFT(A226,_xlfn.AGGREGATE(16,6,FIND({0,1,2,3,4,5,6,7,8,9},A226,ROW(INDIRECT("1:"&amp;LEN(A226)))),1))," ",REPT(" ",LEN(A226))),LEN(A226))))))))+1, 1) * 10^ROW(INDIRECT("1:"&amp;LEN((--TRIM(RIGHT(SUBSTITUTE(LEFT(A226,_xlfn.AGGREGATE(16,6,FIND({0,1,2,3,4,5,6,7,8,9},A226,ROW(INDIRECT("1:"&amp;LEN(A226)))),1))," ",REPT(" ",LEN(A226))),LEN(A226)))))))/10))*100+1</f>
        <v>201 to 501</v>
      </c>
      <c r="B227" s="58"/>
      <c r="C227" s="45"/>
      <c r="D227" s="39"/>
      <c r="E227" s="39">
        <v>0</v>
      </c>
      <c r="F227" s="39">
        <f>D227*(($F$126)+1)+(IF(E227&lt;101,E227,IF(E227&lt;201,E227/2,IF(E227&lt;=301,E227/3,E227/4))))</f>
        <v>0</v>
      </c>
      <c r="G227" s="57" t="str">
        <f>A226</f>
        <v>2nd to 5th Floor</v>
      </c>
      <c r="H227" s="58"/>
      <c r="I227" s="33"/>
    </row>
    <row r="228" spans="1:9" s="34" customFormat="1" hidden="1" x14ac:dyDescent="0.3">
      <c r="A228" s="57" t="str">
        <f ca="1">(SUMPRODUCT(MID(0&amp;(LEFT(A227,SUM(LEN(A227)-LEN(SUBSTITUTE(A227,{"0","1","2"},""))))), LARGE(INDEX(ISNUMBER(--MID((LEFT(A227,SUM(LEN(A227)-LEN(SUBSTITUTE(A227,{"0","1","2"},""))))), ROW(INDIRECT("1:"&amp;LEN((LEFT(A227,SUM(LEN(A227)-LEN(SUBSTITUTE(A227,{"0","1","2"},"")))))))), 1)) * ROW(INDIRECT("1:"&amp;LEN((LEFT(A227,SUM(LEN(A227)-LEN(SUBSTITUTE(A227,{"0","1","2"},"")))))))), 0), ROW(INDIRECT("1:"&amp;LEN((LEFT(A227,SUM(LEN(A227)-LEN(SUBSTITUTE(A227,{"0","1","2"},"")))))))))+1, 1) * 10^ROW(INDIRECT("1:"&amp;LEN((LEFT(A227,SUM(LEN(A227)-LEN(SUBSTITUTE(A227,{"0","1","2"},""))))))))/10))*1+1&amp;""&amp;" to "&amp;""&amp;(SUMPRODUCT(MID(0&amp;(--TRIM(RIGHT(SUBSTITUTE(LEFT(A227,_xlfn.AGGREGATE(16,6,FIND({0,1,2,3,4,5,6,7,8,9},A227,ROW(INDIRECT("1:"&amp;LEN(A227)))),1))," ",REPT(" ",LEN(A227))),LEN(A227)))), LARGE(INDEX(ISNUMBER(--MID((--TRIM(RIGHT(SUBSTITUTE(LEFT(A227,_xlfn.AGGREGATE(16,6,FIND({0,1,2,3,4,5,6,7,8,9},A227,ROW(INDIRECT("1:"&amp;LEN(A227)))),1))," ",REPT(" ",LEN(A227))),LEN(A227)))), ROW(INDIRECT("1:"&amp;LEN((--TRIM(RIGHT(SUBSTITUTE(LEFT(A227,_xlfn.AGGREGATE(16,6,FIND({0,1,2,3,4,5,6,7,8,9},A227,ROW(INDIRECT("1:"&amp;LEN(A227)))),1))," ",REPT(" ",LEN(A227))),LEN(A227))))))), 1)) * ROW(INDIRECT("1:"&amp;LEN((--TRIM(RIGHT(SUBSTITUTE(LEFT(A227,_xlfn.AGGREGATE(16,6,FIND({0,1,2,3,4,5,6,7,8,9},A227,ROW(INDIRECT("1:"&amp;LEN(A227)))),1))," ",REPT(" ",LEN(A227))),LEN(A227))))))), 0), ROW(INDIRECT("1:"&amp;LEN((--TRIM(RIGHT(SUBSTITUTE(LEFT(A227,_xlfn.AGGREGATE(16,6,FIND({0,1,2,3,4,5,6,7,8,9},A227,ROW(INDIRECT("1:"&amp;LEN(A227)))),1))," ",REPT(" ",LEN(A227))),LEN(A227))))))))+1, 1) * 10^ROW(INDIRECT("1:"&amp;LEN((--TRIM(RIGHT(SUBSTITUTE(LEFT(A227,_xlfn.AGGREGATE(16,6,FIND({0,1,2,3,4,5,6,7,8,9},A227,ROW(INDIRECT("1:"&amp;LEN(A227)))),1))," ",REPT(" ",LEN(A227))),LEN(A227)))))))/10))*1+1</f>
        <v>202 to 502</v>
      </c>
      <c r="B228" s="58"/>
      <c r="C228" s="45"/>
      <c r="D228" s="39"/>
      <c r="E228" s="39">
        <v>0</v>
      </c>
      <c r="F228" s="39">
        <f>D228*(($F$126)+1)+(IF(E228&lt;101,E228,IF(E228&lt;201,E228/2,IF(E228&lt;=301,E228/3,E228/4))))</f>
        <v>0</v>
      </c>
      <c r="G228" s="57" t="str">
        <f>G227</f>
        <v>2nd to 5th Floor</v>
      </c>
      <c r="H228" s="58"/>
      <c r="I228" s="33"/>
    </row>
    <row r="229" spans="1:9" s="34" customFormat="1" hidden="1" x14ac:dyDescent="0.3">
      <c r="A229" s="57" t="str">
        <f ca="1">(SUMPRODUCT(MID(0&amp;(LEFT(A228,SUM(LEN(A228)-LEN(SUBSTITUTE(A228,{"0","1","2"},""))))), LARGE(INDEX(ISNUMBER(--MID((LEFT(A228,SUM(LEN(A228)-LEN(SUBSTITUTE(A228,{"0","1","2"},""))))), ROW(INDIRECT("1:"&amp;LEN((LEFT(A228,SUM(LEN(A228)-LEN(SUBSTITUTE(A228,{"0","1","2"},"")))))))), 1)) * ROW(INDIRECT("1:"&amp;LEN((LEFT(A228,SUM(LEN(A228)-LEN(SUBSTITUTE(A228,{"0","1","2"},"")))))))), 0), ROW(INDIRECT("1:"&amp;LEN((LEFT(A228,SUM(LEN(A228)-LEN(SUBSTITUTE(A228,{"0","1","2"},"")))))))))+1, 1) * 10^ROW(INDIRECT("1:"&amp;LEN((LEFT(A228,SUM(LEN(A228)-LEN(SUBSTITUTE(A228,{"0","1","2"},""))))))))/10))*1+1&amp;""&amp;" to "&amp;""&amp;(SUMPRODUCT(MID(0&amp;(--TRIM(RIGHT(SUBSTITUTE(LEFT(A228,_xlfn.AGGREGATE(16,6,FIND({0,1,2,3,4,5,6,7,8,9},A228,ROW(INDIRECT("1:"&amp;LEN(A228)))),1))," ",REPT(" ",LEN(A228))),LEN(A228)))), LARGE(INDEX(ISNUMBER(--MID((--TRIM(RIGHT(SUBSTITUTE(LEFT(A228,_xlfn.AGGREGATE(16,6,FIND({0,1,2,3,4,5,6,7,8,9},A228,ROW(INDIRECT("1:"&amp;LEN(A228)))),1))," ",REPT(" ",LEN(A228))),LEN(A228)))), ROW(INDIRECT("1:"&amp;LEN((--TRIM(RIGHT(SUBSTITUTE(LEFT(A228,_xlfn.AGGREGATE(16,6,FIND({0,1,2,3,4,5,6,7,8,9},A228,ROW(INDIRECT("1:"&amp;LEN(A228)))),1))," ",REPT(" ",LEN(A228))),LEN(A228))))))), 1)) * ROW(INDIRECT("1:"&amp;LEN((--TRIM(RIGHT(SUBSTITUTE(LEFT(A228,_xlfn.AGGREGATE(16,6,FIND({0,1,2,3,4,5,6,7,8,9},A228,ROW(INDIRECT("1:"&amp;LEN(A228)))),1))," ",REPT(" ",LEN(A228))),LEN(A228))))))), 0), ROW(INDIRECT("1:"&amp;LEN((--TRIM(RIGHT(SUBSTITUTE(LEFT(A228,_xlfn.AGGREGATE(16,6,FIND({0,1,2,3,4,5,6,7,8,9},A228,ROW(INDIRECT("1:"&amp;LEN(A228)))),1))," ",REPT(" ",LEN(A228))),LEN(A228))))))))+1, 1) * 10^ROW(INDIRECT("1:"&amp;LEN((--TRIM(RIGHT(SUBSTITUTE(LEFT(A228,_xlfn.AGGREGATE(16,6,FIND({0,1,2,3,4,5,6,7,8,9},A228,ROW(INDIRECT("1:"&amp;LEN(A228)))),1))," ",REPT(" ",LEN(A228))),LEN(A228)))))))/10))*1+1</f>
        <v>203 to 503</v>
      </c>
      <c r="B229" s="58"/>
      <c r="C229" s="45"/>
      <c r="D229" s="39"/>
      <c r="E229" s="39">
        <v>0</v>
      </c>
      <c r="F229" s="39">
        <f>D229*(($F$126)+1)+(IF(E229&lt;101,E229,IF(E229&lt;201,E229/2,IF(E229&lt;=301,E229/3,E229/4))))</f>
        <v>0</v>
      </c>
      <c r="G229" s="57" t="str">
        <f>G228</f>
        <v>2nd to 5th Floor</v>
      </c>
      <c r="H229" s="58"/>
      <c r="I229" s="33"/>
    </row>
    <row r="230" spans="1:9" s="34" customFormat="1" hidden="1" x14ac:dyDescent="0.3">
      <c r="A230" s="57" t="str">
        <f ca="1">(SUMPRODUCT(MID(0&amp;(LEFT(A229,SUM(LEN(A229)-LEN(SUBSTITUTE(A229,{"0","1","2"},""))))), LARGE(INDEX(ISNUMBER(--MID((LEFT(A229,SUM(LEN(A229)-LEN(SUBSTITUTE(A229,{"0","1","2"},""))))), ROW(INDIRECT("1:"&amp;LEN((LEFT(A229,SUM(LEN(A229)-LEN(SUBSTITUTE(A229,{"0","1","2"},"")))))))), 1)) * ROW(INDIRECT("1:"&amp;LEN((LEFT(A229,SUM(LEN(A229)-LEN(SUBSTITUTE(A229,{"0","1","2"},"")))))))), 0), ROW(INDIRECT("1:"&amp;LEN((LEFT(A229,SUM(LEN(A229)-LEN(SUBSTITUTE(A229,{"0","1","2"},"")))))))))+1, 1) * 10^ROW(INDIRECT("1:"&amp;LEN((LEFT(A229,SUM(LEN(A229)-LEN(SUBSTITUTE(A229,{"0","1","2"},""))))))))/10))*1+1&amp;""&amp;" to "&amp;""&amp;(SUMPRODUCT(MID(0&amp;(--TRIM(RIGHT(SUBSTITUTE(LEFT(A229,_xlfn.AGGREGATE(16,6,FIND({0,1,2,3,4,5,6,7,8,9},A229,ROW(INDIRECT("1:"&amp;LEN(A229)))),1))," ",REPT(" ",LEN(A229))),LEN(A229)))), LARGE(INDEX(ISNUMBER(--MID((--TRIM(RIGHT(SUBSTITUTE(LEFT(A229,_xlfn.AGGREGATE(16,6,FIND({0,1,2,3,4,5,6,7,8,9},A229,ROW(INDIRECT("1:"&amp;LEN(A229)))),1))," ",REPT(" ",LEN(A229))),LEN(A229)))), ROW(INDIRECT("1:"&amp;LEN((--TRIM(RIGHT(SUBSTITUTE(LEFT(A229,_xlfn.AGGREGATE(16,6,FIND({0,1,2,3,4,5,6,7,8,9},A229,ROW(INDIRECT("1:"&amp;LEN(A229)))),1))," ",REPT(" ",LEN(A229))),LEN(A229))))))), 1)) * ROW(INDIRECT("1:"&amp;LEN((--TRIM(RIGHT(SUBSTITUTE(LEFT(A229,_xlfn.AGGREGATE(16,6,FIND({0,1,2,3,4,5,6,7,8,9},A229,ROW(INDIRECT("1:"&amp;LEN(A229)))),1))," ",REPT(" ",LEN(A229))),LEN(A229))))))), 0), ROW(INDIRECT("1:"&amp;LEN((--TRIM(RIGHT(SUBSTITUTE(LEFT(A229,_xlfn.AGGREGATE(16,6,FIND({0,1,2,3,4,5,6,7,8,9},A229,ROW(INDIRECT("1:"&amp;LEN(A229)))),1))," ",REPT(" ",LEN(A229))),LEN(A229))))))))+1, 1) * 10^ROW(INDIRECT("1:"&amp;LEN((--TRIM(RIGHT(SUBSTITUTE(LEFT(A229,_xlfn.AGGREGATE(16,6,FIND({0,1,2,3,4,5,6,7,8,9},A229,ROW(INDIRECT("1:"&amp;LEN(A229)))),1))," ",REPT(" ",LEN(A229))),LEN(A229)))))))/10))*1+1</f>
        <v>204 to 504</v>
      </c>
      <c r="B230" s="58"/>
      <c r="C230" s="45"/>
      <c r="D230" s="39"/>
      <c r="E230" s="39">
        <v>0</v>
      </c>
      <c r="F230" s="39">
        <f>D230*(($F$126)+1)+(IF(E230&lt;101,E230,IF(E230&lt;201,E230/2,IF(E230&lt;=301,E230/3,E230/4))))</f>
        <v>0</v>
      </c>
      <c r="G230" s="57" t="str">
        <f>G229</f>
        <v>2nd to 5th Floor</v>
      </c>
      <c r="H230" s="58"/>
      <c r="I230" s="33"/>
    </row>
    <row r="231" spans="1:9" s="34" customFormat="1" hidden="1" x14ac:dyDescent="0.3">
      <c r="A231" s="57" t="str">
        <f ca="1">(SUMPRODUCT(MID(0&amp;(LEFT(A230,SUM(LEN(A230)-LEN(SUBSTITUTE(A230,{"0","1","2"},""))))), LARGE(INDEX(ISNUMBER(--MID((LEFT(A230,SUM(LEN(A230)-LEN(SUBSTITUTE(A230,{"0","1","2"},""))))), ROW(INDIRECT("1:"&amp;LEN((LEFT(A230,SUM(LEN(A230)-LEN(SUBSTITUTE(A230,{"0","1","2"},"")))))))), 1)) * ROW(INDIRECT("1:"&amp;LEN((LEFT(A230,SUM(LEN(A230)-LEN(SUBSTITUTE(A230,{"0","1","2"},"")))))))), 0), ROW(INDIRECT("1:"&amp;LEN((LEFT(A230,SUM(LEN(A230)-LEN(SUBSTITUTE(A230,{"0","1","2"},"")))))))))+1, 1) * 10^ROW(INDIRECT("1:"&amp;LEN((LEFT(A230,SUM(LEN(A230)-LEN(SUBSTITUTE(A230,{"0","1","2"},""))))))))/10))*1+1&amp;""&amp;" to "&amp;""&amp;(SUMPRODUCT(MID(0&amp;(--TRIM(RIGHT(SUBSTITUTE(LEFT(A230,_xlfn.AGGREGATE(16,6,FIND({0,1,2,3,4,5,6,7,8,9},A230,ROW(INDIRECT("1:"&amp;LEN(A230)))),1))," ",REPT(" ",LEN(A230))),LEN(A230)))), LARGE(INDEX(ISNUMBER(--MID((--TRIM(RIGHT(SUBSTITUTE(LEFT(A230,_xlfn.AGGREGATE(16,6,FIND({0,1,2,3,4,5,6,7,8,9},A230,ROW(INDIRECT("1:"&amp;LEN(A230)))),1))," ",REPT(" ",LEN(A230))),LEN(A230)))), ROW(INDIRECT("1:"&amp;LEN((--TRIM(RIGHT(SUBSTITUTE(LEFT(A230,_xlfn.AGGREGATE(16,6,FIND({0,1,2,3,4,5,6,7,8,9},A230,ROW(INDIRECT("1:"&amp;LEN(A230)))),1))," ",REPT(" ",LEN(A230))),LEN(A230))))))), 1)) * ROW(INDIRECT("1:"&amp;LEN((--TRIM(RIGHT(SUBSTITUTE(LEFT(A230,_xlfn.AGGREGATE(16,6,FIND({0,1,2,3,4,5,6,7,8,9},A230,ROW(INDIRECT("1:"&amp;LEN(A230)))),1))," ",REPT(" ",LEN(A230))),LEN(A230))))))), 0), ROW(INDIRECT("1:"&amp;LEN((--TRIM(RIGHT(SUBSTITUTE(LEFT(A230,_xlfn.AGGREGATE(16,6,FIND({0,1,2,3,4,5,6,7,8,9},A230,ROW(INDIRECT("1:"&amp;LEN(A230)))),1))," ",REPT(" ",LEN(A230))),LEN(A230))))))))+1, 1) * 10^ROW(INDIRECT("1:"&amp;LEN((--TRIM(RIGHT(SUBSTITUTE(LEFT(A230,_xlfn.AGGREGATE(16,6,FIND({0,1,2,3,4,5,6,7,8,9},A230,ROW(INDIRECT("1:"&amp;LEN(A230)))),1))," ",REPT(" ",LEN(A230))),LEN(A230)))))))/10))*1+1</f>
        <v>205 to 505</v>
      </c>
      <c r="B231" s="58"/>
      <c r="C231" s="45"/>
      <c r="D231" s="39"/>
      <c r="E231" s="39">
        <v>0</v>
      </c>
      <c r="F231" s="39">
        <f>D231*(($F$126)+1)+(IF(E231&lt;101,E231,IF(E231&lt;201,E231/2,IF(E231&lt;=301,E231/3,E231/4))))</f>
        <v>0</v>
      </c>
      <c r="G231" s="57" t="str">
        <f>G230</f>
        <v>2nd to 5th Floor</v>
      </c>
      <c r="H231" s="58"/>
      <c r="I231" s="33"/>
    </row>
    <row r="232" spans="1:9" s="34" customFormat="1" hidden="1" x14ac:dyDescent="0.3">
      <c r="A232" s="72" t="s">
        <v>154</v>
      </c>
      <c r="B232" s="73"/>
      <c r="C232" s="73"/>
      <c r="D232" s="73"/>
      <c r="E232" s="73"/>
      <c r="F232" s="73"/>
      <c r="G232" s="73"/>
      <c r="H232" s="74"/>
      <c r="I232" s="33"/>
    </row>
    <row r="233" spans="1:9" s="34" customFormat="1" hidden="1" x14ac:dyDescent="0.3">
      <c r="A233" s="57" t="str">
        <f ca="1">(SUMPRODUCT(MID(0&amp;(LEFT(A232,SUM(LEN(A232)-LEN(SUBSTITUTE(A232,{"0","1","2"},""))))), LARGE(INDEX(ISNUMBER(--MID((LEFT(A232,SUM(LEN(A232)-LEN(SUBSTITUTE(A232,{"0","1","2"},""))))), ROW(INDIRECT("1:"&amp;LEN((LEFT(A232,SUM(LEN(A232)-LEN(SUBSTITUTE(A232,{"0","1","2"},"")))))))), 1)) * ROW(INDIRECT("1:"&amp;LEN((LEFT(A232,SUM(LEN(A232)-LEN(SUBSTITUTE(A232,{"0","1","2"},"")))))))), 0), ROW(INDIRECT("1:"&amp;LEN((LEFT(A232,SUM(LEN(A232)-LEN(SUBSTITUTE(A232,{"0","1","2"},"")))))))))+1, 1) * 10^ROW(INDIRECT("1:"&amp;LEN((LEFT(A232,SUM(LEN(A232)-LEN(SUBSTITUTE(A232,{"0","1","2"},""))))))))/10))*100+1&amp;""&amp;" &amp; "&amp;""&amp;(SUMPRODUCT(MID(0&amp;(--TRIM(RIGHT(SUBSTITUTE(LEFT(A232,_xlfn.AGGREGATE(16,6,FIND({0,1,2,3,4,5,6,7,8,9},A232,ROW(INDIRECT("1:"&amp;LEN(A232)))),1))," ",REPT(" ",LEN(A232))),LEN(A232)))), LARGE(INDEX(ISNUMBER(--MID((--TRIM(RIGHT(SUBSTITUTE(LEFT(A232,_xlfn.AGGREGATE(16,6,FIND({0,1,2,3,4,5,6,7,8,9},A232,ROW(INDIRECT("1:"&amp;LEN(A232)))),1))," ",REPT(" ",LEN(A232))),LEN(A232)))), ROW(INDIRECT("1:"&amp;LEN((--TRIM(RIGHT(SUBSTITUTE(LEFT(A232,_xlfn.AGGREGATE(16,6,FIND({0,1,2,3,4,5,6,7,8,9},A232,ROW(INDIRECT("1:"&amp;LEN(A232)))),1))," ",REPT(" ",LEN(A232))),LEN(A232))))))), 1)) * ROW(INDIRECT("1:"&amp;LEN((--TRIM(RIGHT(SUBSTITUTE(LEFT(A232,_xlfn.AGGREGATE(16,6,FIND({0,1,2,3,4,5,6,7,8,9},A232,ROW(INDIRECT("1:"&amp;LEN(A232)))),1))," ",REPT(" ",LEN(A232))),LEN(A232))))))), 0), ROW(INDIRECT("1:"&amp;LEN((--TRIM(RIGHT(SUBSTITUTE(LEFT(A232,_xlfn.AGGREGATE(16,6,FIND({0,1,2,3,4,5,6,7,8,9},A232,ROW(INDIRECT("1:"&amp;LEN(A232)))),1))," ",REPT(" ",LEN(A232))),LEN(A232))))))))+1, 1) * 10^ROW(INDIRECT("1:"&amp;LEN((--TRIM(RIGHT(SUBSTITUTE(LEFT(A232,_xlfn.AGGREGATE(16,6,FIND({0,1,2,3,4,5,6,7,8,9},A232,ROW(INDIRECT("1:"&amp;LEN(A232)))),1))," ",REPT(" ",LEN(A232))),LEN(A232)))))))/10))*100+1</f>
        <v>201 &amp; 501</v>
      </c>
      <c r="B233" s="58"/>
      <c r="C233" s="45"/>
      <c r="D233" s="39"/>
      <c r="E233" s="39">
        <v>0</v>
      </c>
      <c r="F233" s="39">
        <f>D233*(($F$126)+1)+(IF(E233&lt;101,E233,IF(E233&lt;201,E233/2,IF(E233&lt;=301,E233/3,E233/4))))</f>
        <v>0</v>
      </c>
      <c r="G233" s="57" t="str">
        <f>A232</f>
        <v>2nd &amp; 5th Floor</v>
      </c>
      <c r="H233" s="58"/>
      <c r="I233" s="33"/>
    </row>
    <row r="234" spans="1:9" s="34" customFormat="1" hidden="1" x14ac:dyDescent="0.3">
      <c r="A234" s="57" t="str">
        <f ca="1">(SUMPRODUCT(MID(0&amp;(LEFT(A233,SUM(LEN(A233)-LEN(SUBSTITUTE(A233,{"0","1","2"},""))))), LARGE(INDEX(ISNUMBER(--MID((LEFT(A233,SUM(LEN(A233)-LEN(SUBSTITUTE(A233,{"0","1","2"},""))))), ROW(INDIRECT("1:"&amp;LEN((LEFT(A233,SUM(LEN(A233)-LEN(SUBSTITUTE(A233,{"0","1","2"},"")))))))), 1)) * ROW(INDIRECT("1:"&amp;LEN((LEFT(A233,SUM(LEN(A233)-LEN(SUBSTITUTE(A233,{"0","1","2"},"")))))))), 0), ROW(INDIRECT("1:"&amp;LEN((LEFT(A233,SUM(LEN(A233)-LEN(SUBSTITUTE(A233,{"0","1","2"},"")))))))))+1, 1) * 10^ROW(INDIRECT("1:"&amp;LEN((LEFT(A233,SUM(LEN(A233)-LEN(SUBSTITUTE(A233,{"0","1","2"},""))))))))/10))*1+1&amp;""&amp;" &amp; "&amp;""&amp;(SUMPRODUCT(MID(0&amp;(--TRIM(RIGHT(SUBSTITUTE(LEFT(A233,_xlfn.AGGREGATE(16,6,FIND({0,1,2,3,4,5,6,7,8,9},A233,ROW(INDIRECT("1:"&amp;LEN(A233)))),1))," ",REPT(" ",LEN(A233))),LEN(A233)))), LARGE(INDEX(ISNUMBER(--MID((--TRIM(RIGHT(SUBSTITUTE(LEFT(A233,_xlfn.AGGREGATE(16,6,FIND({0,1,2,3,4,5,6,7,8,9},A233,ROW(INDIRECT("1:"&amp;LEN(A233)))),1))," ",REPT(" ",LEN(A233))),LEN(A233)))), ROW(INDIRECT("1:"&amp;LEN((--TRIM(RIGHT(SUBSTITUTE(LEFT(A233,_xlfn.AGGREGATE(16,6,FIND({0,1,2,3,4,5,6,7,8,9},A233,ROW(INDIRECT("1:"&amp;LEN(A233)))),1))," ",REPT(" ",LEN(A233))),LEN(A233))))))), 1)) * ROW(INDIRECT("1:"&amp;LEN((--TRIM(RIGHT(SUBSTITUTE(LEFT(A233,_xlfn.AGGREGATE(16,6,FIND({0,1,2,3,4,5,6,7,8,9},A233,ROW(INDIRECT("1:"&amp;LEN(A233)))),1))," ",REPT(" ",LEN(A233))),LEN(A233))))))), 0), ROW(INDIRECT("1:"&amp;LEN((--TRIM(RIGHT(SUBSTITUTE(LEFT(A233,_xlfn.AGGREGATE(16,6,FIND({0,1,2,3,4,5,6,7,8,9},A233,ROW(INDIRECT("1:"&amp;LEN(A233)))),1))," ",REPT(" ",LEN(A233))),LEN(A233))))))))+1, 1) * 10^ROW(INDIRECT("1:"&amp;LEN((--TRIM(RIGHT(SUBSTITUTE(LEFT(A233,_xlfn.AGGREGATE(16,6,FIND({0,1,2,3,4,5,6,7,8,9},A233,ROW(INDIRECT("1:"&amp;LEN(A233)))),1))," ",REPT(" ",LEN(A233))),LEN(A233)))))))/10))*1+1</f>
        <v>202 &amp; 502</v>
      </c>
      <c r="B234" s="58"/>
      <c r="C234" s="45"/>
      <c r="D234" s="39"/>
      <c r="E234" s="39">
        <v>0</v>
      </c>
      <c r="F234" s="39">
        <f>D234*(($F$126)+1)+(IF(E234&lt;101,E234,IF(E234&lt;201,E234/2,IF(E234&lt;=301,E234/3,E234/4))))</f>
        <v>0</v>
      </c>
      <c r="G234" s="57" t="str">
        <f t="shared" ref="G234:G237" si="40">G233</f>
        <v>2nd &amp; 5th Floor</v>
      </c>
      <c r="H234" s="58"/>
      <c r="I234" s="33"/>
    </row>
    <row r="235" spans="1:9" s="34" customFormat="1" hidden="1" x14ac:dyDescent="0.3">
      <c r="A235" s="57" t="str">
        <f ca="1">(SUMPRODUCT(MID(0&amp;(LEFT(A234,SUM(LEN(A234)-LEN(SUBSTITUTE(A234,{"0","1","2"},""))))), LARGE(INDEX(ISNUMBER(--MID((LEFT(A234,SUM(LEN(A234)-LEN(SUBSTITUTE(A234,{"0","1","2"},""))))), ROW(INDIRECT("1:"&amp;LEN((LEFT(A234,SUM(LEN(A234)-LEN(SUBSTITUTE(A234,{"0","1","2"},"")))))))), 1)) * ROW(INDIRECT("1:"&amp;LEN((LEFT(A234,SUM(LEN(A234)-LEN(SUBSTITUTE(A234,{"0","1","2"},"")))))))), 0), ROW(INDIRECT("1:"&amp;LEN((LEFT(A234,SUM(LEN(A234)-LEN(SUBSTITUTE(A234,{"0","1","2"},"")))))))))+1, 1) * 10^ROW(INDIRECT("1:"&amp;LEN((LEFT(A234,SUM(LEN(A234)-LEN(SUBSTITUTE(A234,{"0","1","2"},""))))))))/10))*1+1&amp;""&amp;" &amp; "&amp;""&amp;(SUMPRODUCT(MID(0&amp;(--TRIM(RIGHT(SUBSTITUTE(LEFT(A234,_xlfn.AGGREGATE(16,6,FIND({0,1,2,3,4,5,6,7,8,9},A234,ROW(INDIRECT("1:"&amp;LEN(A234)))),1))," ",REPT(" ",LEN(A234))),LEN(A234)))), LARGE(INDEX(ISNUMBER(--MID((--TRIM(RIGHT(SUBSTITUTE(LEFT(A234,_xlfn.AGGREGATE(16,6,FIND({0,1,2,3,4,5,6,7,8,9},A234,ROW(INDIRECT("1:"&amp;LEN(A234)))),1))," ",REPT(" ",LEN(A234))),LEN(A234)))), ROW(INDIRECT("1:"&amp;LEN((--TRIM(RIGHT(SUBSTITUTE(LEFT(A234,_xlfn.AGGREGATE(16,6,FIND({0,1,2,3,4,5,6,7,8,9},A234,ROW(INDIRECT("1:"&amp;LEN(A234)))),1))," ",REPT(" ",LEN(A234))),LEN(A234))))))), 1)) * ROW(INDIRECT("1:"&amp;LEN((--TRIM(RIGHT(SUBSTITUTE(LEFT(A234,_xlfn.AGGREGATE(16,6,FIND({0,1,2,3,4,5,6,7,8,9},A234,ROW(INDIRECT("1:"&amp;LEN(A234)))),1))," ",REPT(" ",LEN(A234))),LEN(A234))))))), 0), ROW(INDIRECT("1:"&amp;LEN((--TRIM(RIGHT(SUBSTITUTE(LEFT(A234,_xlfn.AGGREGATE(16,6,FIND({0,1,2,3,4,5,6,7,8,9},A234,ROW(INDIRECT("1:"&amp;LEN(A234)))),1))," ",REPT(" ",LEN(A234))),LEN(A234))))))))+1, 1) * 10^ROW(INDIRECT("1:"&amp;LEN((--TRIM(RIGHT(SUBSTITUTE(LEFT(A234,_xlfn.AGGREGATE(16,6,FIND({0,1,2,3,4,5,6,7,8,9},A234,ROW(INDIRECT("1:"&amp;LEN(A234)))),1))," ",REPT(" ",LEN(A234))),LEN(A234)))))))/10))*1+1</f>
        <v>203 &amp; 503</v>
      </c>
      <c r="B235" s="58"/>
      <c r="C235" s="45"/>
      <c r="D235" s="39"/>
      <c r="E235" s="39">
        <v>0</v>
      </c>
      <c r="F235" s="39">
        <f>D235*(($F$126)+1)+(IF(E235&lt;101,E235,IF(E235&lt;201,E235/2,IF(E235&lt;=301,E235/3,E235/4))))</f>
        <v>0</v>
      </c>
      <c r="G235" s="57" t="str">
        <f t="shared" si="40"/>
        <v>2nd &amp; 5th Floor</v>
      </c>
      <c r="H235" s="58"/>
      <c r="I235" s="33"/>
    </row>
    <row r="236" spans="1:9" s="34" customFormat="1" hidden="1" x14ac:dyDescent="0.3">
      <c r="A236" s="57" t="str">
        <f ca="1">(SUMPRODUCT(MID(0&amp;(LEFT(A235,SUM(LEN(A235)-LEN(SUBSTITUTE(A235,{"0","1","2"},""))))), LARGE(INDEX(ISNUMBER(--MID((LEFT(A235,SUM(LEN(A235)-LEN(SUBSTITUTE(A235,{"0","1","2"},""))))), ROW(INDIRECT("1:"&amp;LEN((LEFT(A235,SUM(LEN(A235)-LEN(SUBSTITUTE(A235,{"0","1","2"},"")))))))), 1)) * ROW(INDIRECT("1:"&amp;LEN((LEFT(A235,SUM(LEN(A235)-LEN(SUBSTITUTE(A235,{"0","1","2"},"")))))))), 0), ROW(INDIRECT("1:"&amp;LEN((LEFT(A235,SUM(LEN(A235)-LEN(SUBSTITUTE(A235,{"0","1","2"},"")))))))))+1, 1) * 10^ROW(INDIRECT("1:"&amp;LEN((LEFT(A235,SUM(LEN(A235)-LEN(SUBSTITUTE(A235,{"0","1","2"},""))))))))/10))*1+1&amp;""&amp;" &amp; "&amp;""&amp;(SUMPRODUCT(MID(0&amp;(--TRIM(RIGHT(SUBSTITUTE(LEFT(A235,_xlfn.AGGREGATE(16,6,FIND({0,1,2,3,4,5,6,7,8,9},A235,ROW(INDIRECT("1:"&amp;LEN(A235)))),1))," ",REPT(" ",LEN(A235))),LEN(A235)))), LARGE(INDEX(ISNUMBER(--MID((--TRIM(RIGHT(SUBSTITUTE(LEFT(A235,_xlfn.AGGREGATE(16,6,FIND({0,1,2,3,4,5,6,7,8,9},A235,ROW(INDIRECT("1:"&amp;LEN(A235)))),1))," ",REPT(" ",LEN(A235))),LEN(A235)))), ROW(INDIRECT("1:"&amp;LEN((--TRIM(RIGHT(SUBSTITUTE(LEFT(A235,_xlfn.AGGREGATE(16,6,FIND({0,1,2,3,4,5,6,7,8,9},A235,ROW(INDIRECT("1:"&amp;LEN(A235)))),1))," ",REPT(" ",LEN(A235))),LEN(A235))))))), 1)) * ROW(INDIRECT("1:"&amp;LEN((--TRIM(RIGHT(SUBSTITUTE(LEFT(A235,_xlfn.AGGREGATE(16,6,FIND({0,1,2,3,4,5,6,7,8,9},A235,ROW(INDIRECT("1:"&amp;LEN(A235)))),1))," ",REPT(" ",LEN(A235))),LEN(A235))))))), 0), ROW(INDIRECT("1:"&amp;LEN((--TRIM(RIGHT(SUBSTITUTE(LEFT(A235,_xlfn.AGGREGATE(16,6,FIND({0,1,2,3,4,5,6,7,8,9},A235,ROW(INDIRECT("1:"&amp;LEN(A235)))),1))," ",REPT(" ",LEN(A235))),LEN(A235))))))))+1, 1) * 10^ROW(INDIRECT("1:"&amp;LEN((--TRIM(RIGHT(SUBSTITUTE(LEFT(A235,_xlfn.AGGREGATE(16,6,FIND({0,1,2,3,4,5,6,7,8,9},A235,ROW(INDIRECT("1:"&amp;LEN(A235)))),1))," ",REPT(" ",LEN(A235))),LEN(A235)))))))/10))*1+1</f>
        <v>204 &amp; 504</v>
      </c>
      <c r="B236" s="58"/>
      <c r="C236" s="45"/>
      <c r="D236" s="39"/>
      <c r="E236" s="39">
        <v>0</v>
      </c>
      <c r="F236" s="39">
        <f>D236*(($F$126)+1)+(IF(E236&lt;101,E236,IF(E236&lt;201,E236/2,IF(E236&lt;=301,E236/3,E236/4))))</f>
        <v>0</v>
      </c>
      <c r="G236" s="57" t="str">
        <f t="shared" si="40"/>
        <v>2nd &amp; 5th Floor</v>
      </c>
      <c r="H236" s="58"/>
      <c r="I236" s="33"/>
    </row>
    <row r="237" spans="1:9" s="34" customFormat="1" hidden="1" x14ac:dyDescent="0.3">
      <c r="A237" s="57" t="str">
        <f ca="1">(SUMPRODUCT(MID(0&amp;(LEFT(A236,SUM(LEN(A236)-LEN(SUBSTITUTE(A236,{"0","1","2"},""))))), LARGE(INDEX(ISNUMBER(--MID((LEFT(A236,SUM(LEN(A236)-LEN(SUBSTITUTE(A236,{"0","1","2"},""))))), ROW(INDIRECT("1:"&amp;LEN((LEFT(A236,SUM(LEN(A236)-LEN(SUBSTITUTE(A236,{"0","1","2"},"")))))))), 1)) * ROW(INDIRECT("1:"&amp;LEN((LEFT(A236,SUM(LEN(A236)-LEN(SUBSTITUTE(A236,{"0","1","2"},"")))))))), 0), ROW(INDIRECT("1:"&amp;LEN((LEFT(A236,SUM(LEN(A236)-LEN(SUBSTITUTE(A236,{"0","1","2"},"")))))))))+1, 1) * 10^ROW(INDIRECT("1:"&amp;LEN((LEFT(A236,SUM(LEN(A236)-LEN(SUBSTITUTE(A236,{"0","1","2"},""))))))))/10))*1+1&amp;""&amp;" &amp; "&amp;""&amp;(SUMPRODUCT(MID(0&amp;(--TRIM(RIGHT(SUBSTITUTE(LEFT(A236,_xlfn.AGGREGATE(16,6,FIND({0,1,2,3,4,5,6,7,8,9},A236,ROW(INDIRECT("1:"&amp;LEN(A236)))),1))," ",REPT(" ",LEN(A236))),LEN(A236)))), LARGE(INDEX(ISNUMBER(--MID((--TRIM(RIGHT(SUBSTITUTE(LEFT(A236,_xlfn.AGGREGATE(16,6,FIND({0,1,2,3,4,5,6,7,8,9},A236,ROW(INDIRECT("1:"&amp;LEN(A236)))),1))," ",REPT(" ",LEN(A236))),LEN(A236)))), ROW(INDIRECT("1:"&amp;LEN((--TRIM(RIGHT(SUBSTITUTE(LEFT(A236,_xlfn.AGGREGATE(16,6,FIND({0,1,2,3,4,5,6,7,8,9},A236,ROW(INDIRECT("1:"&amp;LEN(A236)))),1))," ",REPT(" ",LEN(A236))),LEN(A236))))))), 1)) * ROW(INDIRECT("1:"&amp;LEN((--TRIM(RIGHT(SUBSTITUTE(LEFT(A236,_xlfn.AGGREGATE(16,6,FIND({0,1,2,3,4,5,6,7,8,9},A236,ROW(INDIRECT("1:"&amp;LEN(A236)))),1))," ",REPT(" ",LEN(A236))),LEN(A236))))))), 0), ROW(INDIRECT("1:"&amp;LEN((--TRIM(RIGHT(SUBSTITUTE(LEFT(A236,_xlfn.AGGREGATE(16,6,FIND({0,1,2,3,4,5,6,7,8,9},A236,ROW(INDIRECT("1:"&amp;LEN(A236)))),1))," ",REPT(" ",LEN(A236))),LEN(A236))))))))+1, 1) * 10^ROW(INDIRECT("1:"&amp;LEN((--TRIM(RIGHT(SUBSTITUTE(LEFT(A236,_xlfn.AGGREGATE(16,6,FIND({0,1,2,3,4,5,6,7,8,9},A236,ROW(INDIRECT("1:"&amp;LEN(A236)))),1))," ",REPT(" ",LEN(A236))),LEN(A236)))))))/10))*1+1</f>
        <v>205 &amp; 505</v>
      </c>
      <c r="B237" s="58"/>
      <c r="C237" s="45"/>
      <c r="D237" s="39"/>
      <c r="E237" s="39">
        <v>0</v>
      </c>
      <c r="F237" s="39">
        <f>D237*(($F$126)+1)+(IF(E237&lt;101,E237,IF(E237&lt;201,E237/2,IF(E237&lt;=301,E237/3,E237/4))))</f>
        <v>0</v>
      </c>
      <c r="G237" s="57" t="str">
        <f t="shared" si="40"/>
        <v>2nd &amp; 5th Floor</v>
      </c>
      <c r="H237" s="58"/>
      <c r="I237" s="33"/>
    </row>
    <row r="238" spans="1:9" s="32" customFormat="1" x14ac:dyDescent="0.3">
      <c r="A238" s="125" t="s">
        <v>72</v>
      </c>
      <c r="B238" s="125"/>
      <c r="C238" s="125"/>
      <c r="D238" s="125"/>
      <c r="E238" s="125"/>
      <c r="F238" s="125"/>
      <c r="G238" s="125"/>
      <c r="H238" s="125"/>
    </row>
    <row r="239" spans="1:9" s="32" customFormat="1" x14ac:dyDescent="0.3">
      <c r="A239" s="42" t="s">
        <v>162</v>
      </c>
      <c r="B239" s="126" t="s">
        <v>246</v>
      </c>
      <c r="C239" s="127"/>
      <c r="D239" s="127"/>
      <c r="E239" s="127"/>
      <c r="F239" s="127"/>
      <c r="G239" s="127"/>
      <c r="H239" s="128"/>
    </row>
    <row r="240" spans="1:9" s="32" customFormat="1" x14ac:dyDescent="0.3">
      <c r="A240" s="42" t="s">
        <v>162</v>
      </c>
      <c r="B240" s="126" t="str">
        <f>(IF(F125="Saleable area Loading :","We have considered Saleable area of Flats as per our Calculation.","We considered Saleable area of Flat as per Builder area Sheet."))</f>
        <v>We have considered Saleable area of Flats as per our Calculation.</v>
      </c>
      <c r="C240" s="127"/>
      <c r="D240" s="127"/>
      <c r="E240" s="127"/>
      <c r="F240" s="127"/>
      <c r="G240" s="127"/>
      <c r="H240" s="128"/>
    </row>
    <row r="241" spans="1:8" s="32" customFormat="1" x14ac:dyDescent="0.3">
      <c r="A241" s="42" t="s">
        <v>162</v>
      </c>
      <c r="B241" s="126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41" s="127"/>
      <c r="D241" s="127"/>
      <c r="E241" s="127"/>
      <c r="F241" s="127"/>
      <c r="G241" s="127"/>
      <c r="H241" s="128"/>
    </row>
    <row r="242" spans="1:8" s="32" customFormat="1" x14ac:dyDescent="0.3">
      <c r="A242" s="42" t="s">
        <v>162</v>
      </c>
      <c r="B242" s="52" t="s">
        <v>130</v>
      </c>
      <c r="C242" s="53"/>
      <c r="D242" s="53"/>
      <c r="E242" s="53"/>
      <c r="F242" s="53"/>
      <c r="G242" s="53"/>
      <c r="H242" s="54"/>
    </row>
    <row r="243" spans="1:8" s="32" customFormat="1" x14ac:dyDescent="0.3">
      <c r="A243" s="42" t="s">
        <v>162</v>
      </c>
      <c r="B243" s="52" t="s">
        <v>215</v>
      </c>
      <c r="C243" s="53"/>
      <c r="D243" s="53"/>
      <c r="E243" s="53"/>
      <c r="F243" s="53"/>
      <c r="G243" s="53"/>
      <c r="H243" s="54"/>
    </row>
    <row r="244" spans="1:8" s="32" customFormat="1" x14ac:dyDescent="0.3">
      <c r="A244" s="42" t="s">
        <v>162</v>
      </c>
      <c r="B244" s="52" t="s">
        <v>161</v>
      </c>
      <c r="C244" s="53"/>
      <c r="D244" s="53"/>
      <c r="E244" s="53"/>
      <c r="F244" s="53"/>
      <c r="G244" s="53"/>
      <c r="H244" s="54"/>
    </row>
    <row r="245" spans="1:8" s="32" customFormat="1" x14ac:dyDescent="0.3">
      <c r="A245" s="42" t="s">
        <v>162</v>
      </c>
      <c r="B245" s="52" t="s">
        <v>131</v>
      </c>
      <c r="C245" s="53"/>
      <c r="D245" s="53"/>
      <c r="E245" s="53"/>
      <c r="F245" s="53"/>
      <c r="G245" s="53"/>
      <c r="H245" s="54"/>
    </row>
    <row r="246" spans="1:8" s="32" customFormat="1" ht="34.5" customHeight="1" x14ac:dyDescent="0.3">
      <c r="A246" s="42" t="s">
        <v>162</v>
      </c>
      <c r="B246" s="52" t="s">
        <v>163</v>
      </c>
      <c r="C246" s="53"/>
      <c r="D246" s="53"/>
      <c r="E246" s="53"/>
      <c r="F246" s="53"/>
      <c r="G246" s="53"/>
      <c r="H246" s="54"/>
    </row>
    <row r="247" spans="1:8" s="32" customFormat="1" x14ac:dyDescent="0.3">
      <c r="A247" s="42" t="s">
        <v>162</v>
      </c>
      <c r="B247" s="52" t="s">
        <v>132</v>
      </c>
      <c r="C247" s="53"/>
      <c r="D247" s="53"/>
      <c r="E247" s="53"/>
      <c r="F247" s="53"/>
      <c r="G247" s="53"/>
      <c r="H247" s="54"/>
    </row>
    <row r="248" spans="1:8" s="32" customFormat="1" x14ac:dyDescent="0.3">
      <c r="A248" s="42" t="s">
        <v>162</v>
      </c>
      <c r="B248" s="52" t="s">
        <v>239</v>
      </c>
      <c r="C248" s="53"/>
      <c r="D248" s="53"/>
      <c r="E248" s="53"/>
      <c r="F248" s="53"/>
      <c r="G248" s="53"/>
      <c r="H248" s="54"/>
    </row>
    <row r="249" spans="1:8" s="32" customFormat="1" x14ac:dyDescent="0.3">
      <c r="A249" s="42" t="s">
        <v>162</v>
      </c>
      <c r="B249" s="52" t="s">
        <v>240</v>
      </c>
      <c r="C249" s="53"/>
      <c r="D249" s="53"/>
      <c r="E249" s="53"/>
      <c r="F249" s="53"/>
      <c r="G249" s="53"/>
      <c r="H249" s="54"/>
    </row>
    <row r="250" spans="1:8" s="32" customFormat="1" ht="30.6" hidden="1" customHeight="1" x14ac:dyDescent="0.3">
      <c r="A250" s="42" t="s">
        <v>162</v>
      </c>
      <c r="B250" s="142" t="s">
        <v>242</v>
      </c>
      <c r="C250" s="143"/>
      <c r="D250" s="143"/>
      <c r="E250" s="143"/>
      <c r="F250" s="143"/>
      <c r="G250" s="143"/>
      <c r="H250" s="144"/>
    </row>
    <row r="251" spans="1:8" x14ac:dyDescent="0.3">
      <c r="A251" s="123" t="s">
        <v>65</v>
      </c>
      <c r="B251" s="123"/>
      <c r="C251" s="123"/>
      <c r="D251" s="123"/>
      <c r="E251" s="123"/>
      <c r="F251" s="123"/>
      <c r="G251" s="123"/>
      <c r="H251" s="123"/>
    </row>
    <row r="252" spans="1:8" x14ac:dyDescent="0.3">
      <c r="A252" s="68" t="s">
        <v>66</v>
      </c>
      <c r="B252" s="68"/>
      <c r="C252" s="68"/>
      <c r="D252" s="68"/>
      <c r="E252" s="68"/>
      <c r="F252" s="68"/>
      <c r="G252" s="68"/>
      <c r="H252" s="68"/>
    </row>
    <row r="253" spans="1:8" ht="15.75" customHeight="1" x14ac:dyDescent="0.3">
      <c r="A253" s="137" t="s">
        <v>67</v>
      </c>
      <c r="B253" s="137"/>
      <c r="C253" s="137"/>
      <c r="D253" s="137"/>
      <c r="E253" s="137"/>
      <c r="F253" s="137"/>
      <c r="G253" s="137"/>
      <c r="H253" s="137"/>
    </row>
    <row r="254" spans="1:8" x14ac:dyDescent="0.3">
      <c r="A254" s="68" t="s">
        <v>68</v>
      </c>
      <c r="B254" s="68"/>
      <c r="C254" s="68"/>
      <c r="D254" s="68"/>
      <c r="E254" s="68"/>
      <c r="F254" s="68"/>
      <c r="G254" s="68"/>
      <c r="H254" s="68"/>
    </row>
    <row r="255" spans="1:8" x14ac:dyDescent="0.3">
      <c r="A255" s="68" t="s">
        <v>69</v>
      </c>
      <c r="B255" s="68"/>
      <c r="C255" s="68"/>
      <c r="D255" s="68"/>
      <c r="E255" s="68"/>
      <c r="F255" s="68"/>
      <c r="G255" s="68"/>
      <c r="H255" s="68"/>
    </row>
    <row r="256" spans="1:8" x14ac:dyDescent="0.3">
      <c r="A256" s="68" t="s">
        <v>133</v>
      </c>
      <c r="B256" s="68"/>
      <c r="C256" s="68"/>
      <c r="D256" s="68"/>
      <c r="E256" s="68"/>
      <c r="F256" s="68"/>
      <c r="G256" s="68"/>
      <c r="H256" s="68"/>
    </row>
    <row r="257" spans="1:8" x14ac:dyDescent="0.3">
      <c r="A257" s="94" t="s">
        <v>134</v>
      </c>
      <c r="B257" s="94"/>
      <c r="C257" s="94"/>
      <c r="D257" s="94"/>
      <c r="E257" s="94"/>
      <c r="F257" s="94"/>
      <c r="G257" s="94"/>
      <c r="H257" s="94"/>
    </row>
    <row r="258" spans="1:8" x14ac:dyDescent="0.3">
      <c r="A258" s="120" t="s">
        <v>82</v>
      </c>
      <c r="B258" s="120"/>
      <c r="C258" s="120" t="s">
        <v>244</v>
      </c>
      <c r="D258" s="120"/>
      <c r="E258" s="120" t="s">
        <v>110</v>
      </c>
      <c r="F258" s="120"/>
      <c r="G258" s="120" t="s">
        <v>245</v>
      </c>
      <c r="H258" s="120"/>
    </row>
    <row r="259" spans="1:8" x14ac:dyDescent="0.3">
      <c r="A259" s="119" t="s">
        <v>84</v>
      </c>
      <c r="B259" s="119"/>
      <c r="C259" s="119"/>
      <c r="D259" s="119"/>
      <c r="E259" s="119"/>
      <c r="F259" s="119"/>
      <c r="G259" s="119"/>
      <c r="H259" s="119"/>
    </row>
    <row r="260" spans="1:8" x14ac:dyDescent="0.3">
      <c r="A260" s="119"/>
      <c r="B260" s="119"/>
      <c r="C260" s="119"/>
      <c r="D260" s="119"/>
      <c r="E260" s="119"/>
      <c r="F260" s="119"/>
      <c r="G260" s="119"/>
      <c r="H260" s="119"/>
    </row>
    <row r="261" spans="1:8" x14ac:dyDescent="0.3">
      <c r="A261" s="119"/>
      <c r="B261" s="119"/>
      <c r="C261" s="119"/>
      <c r="D261" s="119"/>
      <c r="E261" s="119"/>
      <c r="F261" s="119"/>
      <c r="G261" s="119"/>
      <c r="H261" s="119"/>
    </row>
    <row r="262" spans="1:8" x14ac:dyDescent="0.3">
      <c r="A262" s="119"/>
      <c r="B262" s="119"/>
      <c r="C262" s="119"/>
      <c r="D262" s="119"/>
      <c r="E262" s="119"/>
      <c r="F262" s="119"/>
      <c r="G262" s="119"/>
      <c r="H262" s="119"/>
    </row>
    <row r="263" spans="1:8" x14ac:dyDescent="0.3">
      <c r="A263" s="35" t="s">
        <v>70</v>
      </c>
      <c r="B263" s="36"/>
      <c r="C263" s="36"/>
      <c r="D263" s="35" t="str">
        <f>E8</f>
        <v>Zillion Tower</v>
      </c>
      <c r="F263" s="36"/>
      <c r="G263" s="36"/>
      <c r="H263" s="36"/>
    </row>
    <row r="264" spans="1:8" x14ac:dyDescent="0.3">
      <c r="A264" s="36"/>
      <c r="B264" s="36"/>
      <c r="C264" s="36"/>
      <c r="D264" s="36"/>
      <c r="E264" s="36"/>
      <c r="F264" s="36"/>
      <c r="G264" s="36"/>
      <c r="H264" s="36"/>
    </row>
    <row r="265" spans="1:8" x14ac:dyDescent="0.3">
      <c r="A265" s="36"/>
      <c r="B265" s="36"/>
      <c r="C265" s="36"/>
      <c r="D265" s="36"/>
      <c r="E265" s="36"/>
      <c r="F265" s="36"/>
      <c r="G265" s="36"/>
      <c r="H265" s="36"/>
    </row>
    <row r="266" spans="1:8" ht="15" customHeight="1" x14ac:dyDescent="0.3"/>
    <row r="307" spans="1:1" x14ac:dyDescent="0.3">
      <c r="A307" s="38" t="s">
        <v>229</v>
      </c>
    </row>
    <row r="342" spans="1:1" hidden="1" x14ac:dyDescent="0.3"/>
    <row r="343" spans="1:1" hidden="1" x14ac:dyDescent="0.3"/>
    <row r="344" spans="1:1" hidden="1" x14ac:dyDescent="0.3"/>
    <row r="345" spans="1:1" hidden="1" x14ac:dyDescent="0.3"/>
    <row r="346" spans="1:1" hidden="1" x14ac:dyDescent="0.3"/>
    <row r="347" spans="1:1" hidden="1" x14ac:dyDescent="0.3"/>
    <row r="348" spans="1:1" hidden="1" x14ac:dyDescent="0.3"/>
    <row r="349" spans="1:1" hidden="1" x14ac:dyDescent="0.3"/>
    <row r="350" spans="1:1" hidden="1" x14ac:dyDescent="0.3"/>
    <row r="351" spans="1:1" x14ac:dyDescent="0.3">
      <c r="A351" s="38" t="s">
        <v>71</v>
      </c>
    </row>
  </sheetData>
  <mergeCells count="533">
    <mergeCell ref="A41:D41"/>
    <mergeCell ref="A256:H256"/>
    <mergeCell ref="A253:H253"/>
    <mergeCell ref="G230:H230"/>
    <mergeCell ref="A215:B215"/>
    <mergeCell ref="A97:B97"/>
    <mergeCell ref="D125:D126"/>
    <mergeCell ref="E125:E126"/>
    <mergeCell ref="G125:H126"/>
    <mergeCell ref="A74:B74"/>
    <mergeCell ref="F80:H80"/>
    <mergeCell ref="G95:H95"/>
    <mergeCell ref="A48:B48"/>
    <mergeCell ref="C48:E48"/>
    <mergeCell ref="G48:H48"/>
    <mergeCell ref="G50:H50"/>
    <mergeCell ref="D54:H54"/>
    <mergeCell ref="C50:E50"/>
    <mergeCell ref="A57:C57"/>
    <mergeCell ref="D57:H57"/>
    <mergeCell ref="C49:E49"/>
    <mergeCell ref="A94:B94"/>
    <mergeCell ref="G133:H133"/>
    <mergeCell ref="B250:H250"/>
    <mergeCell ref="A72:B72"/>
    <mergeCell ref="E68:F68"/>
    <mergeCell ref="A61:C61"/>
    <mergeCell ref="D61:H61"/>
    <mergeCell ref="A64:C64"/>
    <mergeCell ref="D64:H64"/>
    <mergeCell ref="A62:C62"/>
    <mergeCell ref="D62:H62"/>
    <mergeCell ref="A63:C63"/>
    <mergeCell ref="D63:H63"/>
    <mergeCell ref="A69:B69"/>
    <mergeCell ref="G68:H68"/>
    <mergeCell ref="A52:B52"/>
    <mergeCell ref="C52:E52"/>
    <mergeCell ref="A49:B49"/>
    <mergeCell ref="A53:H53"/>
    <mergeCell ref="A54:C54"/>
    <mergeCell ref="A55:C55"/>
    <mergeCell ref="D55:H55"/>
    <mergeCell ref="G52:H52"/>
    <mergeCell ref="C51:H51"/>
    <mergeCell ref="B240:H240"/>
    <mergeCell ref="G228:H228"/>
    <mergeCell ref="F90:H90"/>
    <mergeCell ref="F88:H88"/>
    <mergeCell ref="A222:B222"/>
    <mergeCell ref="A100:H100"/>
    <mergeCell ref="G94:H94"/>
    <mergeCell ref="A89:E89"/>
    <mergeCell ref="C95:D95"/>
    <mergeCell ref="E95:F95"/>
    <mergeCell ref="G216:H216"/>
    <mergeCell ref="B101:B102"/>
    <mergeCell ref="A101:A102"/>
    <mergeCell ref="C125:C126"/>
    <mergeCell ref="A209:H209"/>
    <mergeCell ref="A224:B224"/>
    <mergeCell ref="A221:B221"/>
    <mergeCell ref="G213:H213"/>
    <mergeCell ref="F89:H89"/>
    <mergeCell ref="E94:F94"/>
    <mergeCell ref="G107:H107"/>
    <mergeCell ref="A99:H99"/>
    <mergeCell ref="G139:H139"/>
    <mergeCell ref="A140:B140"/>
    <mergeCell ref="G140:H140"/>
    <mergeCell ref="A141:B141"/>
    <mergeCell ref="A220:H220"/>
    <mergeCell ref="A213:B213"/>
    <mergeCell ref="G223:H223"/>
    <mergeCell ref="G221:H221"/>
    <mergeCell ref="A210:B210"/>
    <mergeCell ref="G222:H222"/>
    <mergeCell ref="G218:H218"/>
    <mergeCell ref="G215:H215"/>
    <mergeCell ref="G141:H141"/>
    <mergeCell ref="A142:B142"/>
    <mergeCell ref="G142:H142"/>
    <mergeCell ref="A143:H143"/>
    <mergeCell ref="A144:B144"/>
    <mergeCell ref="G144:H144"/>
    <mergeCell ref="A145:B145"/>
    <mergeCell ref="G217:H217"/>
    <mergeCell ref="A259:H262"/>
    <mergeCell ref="A258:B258"/>
    <mergeCell ref="E258:F258"/>
    <mergeCell ref="C258:D258"/>
    <mergeCell ref="G258:H258"/>
    <mergeCell ref="A93:H93"/>
    <mergeCell ref="A91:E91"/>
    <mergeCell ref="F91:H91"/>
    <mergeCell ref="A92:E92"/>
    <mergeCell ref="F92:H92"/>
    <mergeCell ref="A214:H214"/>
    <mergeCell ref="A98:B98"/>
    <mergeCell ref="A223:B223"/>
    <mergeCell ref="A95:B95"/>
    <mergeCell ref="A254:H254"/>
    <mergeCell ref="A96:H96"/>
    <mergeCell ref="A257:H257"/>
    <mergeCell ref="A255:H255"/>
    <mergeCell ref="A251:H251"/>
    <mergeCell ref="A252:H252"/>
    <mergeCell ref="E97:F97"/>
    <mergeCell ref="B248:H248"/>
    <mergeCell ref="G106:H106"/>
    <mergeCell ref="G104:H10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E13:H13"/>
    <mergeCell ref="A14:B14"/>
    <mergeCell ref="C14:H14"/>
    <mergeCell ref="C15:H15"/>
    <mergeCell ref="A16:B16"/>
    <mergeCell ref="C16:H16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21:D22"/>
    <mergeCell ref="E21:H22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F35:H35"/>
    <mergeCell ref="A37:B37"/>
    <mergeCell ref="E37:F37"/>
    <mergeCell ref="C37:D37"/>
    <mergeCell ref="G37:H37"/>
    <mergeCell ref="A38:B38"/>
    <mergeCell ref="C38:H38"/>
    <mergeCell ref="A44:D44"/>
    <mergeCell ref="A45:D45"/>
    <mergeCell ref="A46:H46"/>
    <mergeCell ref="D56:H56"/>
    <mergeCell ref="A56:C56"/>
    <mergeCell ref="G49:H49"/>
    <mergeCell ref="A50:B51"/>
    <mergeCell ref="E41:H41"/>
    <mergeCell ref="A59:C59"/>
    <mergeCell ref="D58:H58"/>
    <mergeCell ref="E69:F78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43:D43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6:B76"/>
    <mergeCell ref="C98:D98"/>
    <mergeCell ref="E98:F98"/>
    <mergeCell ref="G98:H98"/>
    <mergeCell ref="F86:H86"/>
    <mergeCell ref="A80:E80"/>
    <mergeCell ref="A103:H103"/>
    <mergeCell ref="E101:E102"/>
    <mergeCell ref="G101:H102"/>
    <mergeCell ref="F79:H79"/>
    <mergeCell ref="F84:H84"/>
    <mergeCell ref="F87:H87"/>
    <mergeCell ref="C94:D94"/>
    <mergeCell ref="A88:E88"/>
    <mergeCell ref="F82:H82"/>
    <mergeCell ref="A87:E87"/>
    <mergeCell ref="A82:E82"/>
    <mergeCell ref="A79:E79"/>
    <mergeCell ref="F83:H83"/>
    <mergeCell ref="A86:E86"/>
    <mergeCell ref="A125:A126"/>
    <mergeCell ref="A219:B219"/>
    <mergeCell ref="A216:B216"/>
    <mergeCell ref="A217:B217"/>
    <mergeCell ref="A227:B227"/>
    <mergeCell ref="A228:B228"/>
    <mergeCell ref="A229:B229"/>
    <mergeCell ref="A218:B218"/>
    <mergeCell ref="G219:H219"/>
    <mergeCell ref="G225:H225"/>
    <mergeCell ref="G224:H224"/>
    <mergeCell ref="G210:H210"/>
    <mergeCell ref="A211:B211"/>
    <mergeCell ref="G211:H211"/>
    <mergeCell ref="A212:B212"/>
    <mergeCell ref="G212:H212"/>
    <mergeCell ref="G227:H227"/>
    <mergeCell ref="A225:B225"/>
    <mergeCell ref="A134:B134"/>
    <mergeCell ref="G134:H134"/>
    <mergeCell ref="A135:B135"/>
    <mergeCell ref="A127:H127"/>
    <mergeCell ref="B125:B126"/>
    <mergeCell ref="A226:H226"/>
    <mergeCell ref="A130:H130"/>
    <mergeCell ref="A131:B131"/>
    <mergeCell ref="G131:H131"/>
    <mergeCell ref="A132:B132"/>
    <mergeCell ref="G132:H132"/>
    <mergeCell ref="A133:B133"/>
    <mergeCell ref="G135:H135"/>
    <mergeCell ref="A128:H128"/>
    <mergeCell ref="A129:H129"/>
    <mergeCell ref="A136:B136"/>
    <mergeCell ref="G136:H136"/>
    <mergeCell ref="A137:B137"/>
    <mergeCell ref="G137:H137"/>
    <mergeCell ref="A138:B138"/>
    <mergeCell ref="G138:H138"/>
    <mergeCell ref="A139:B139"/>
    <mergeCell ref="A124:H124"/>
    <mergeCell ref="A47:B47"/>
    <mergeCell ref="C47:H47"/>
    <mergeCell ref="F81:H81"/>
    <mergeCell ref="A81:E81"/>
    <mergeCell ref="D101:D102"/>
    <mergeCell ref="A83:E83"/>
    <mergeCell ref="A104:B104"/>
    <mergeCell ref="A105:B105"/>
    <mergeCell ref="A106:B106"/>
    <mergeCell ref="A107:B107"/>
    <mergeCell ref="A84:E84"/>
    <mergeCell ref="A90:E90"/>
    <mergeCell ref="C97:D97"/>
    <mergeCell ref="G97:H97"/>
    <mergeCell ref="A85:E85"/>
    <mergeCell ref="F85:H85"/>
    <mergeCell ref="C101:C102"/>
    <mergeCell ref="L108:M108"/>
    <mergeCell ref="A109:B109"/>
    <mergeCell ref="G109:H109"/>
    <mergeCell ref="L109:M109"/>
    <mergeCell ref="A110:B110"/>
    <mergeCell ref="G110:H110"/>
    <mergeCell ref="L110:M110"/>
    <mergeCell ref="A111:B111"/>
    <mergeCell ref="G111:H111"/>
    <mergeCell ref="L111:M111"/>
    <mergeCell ref="A108:B108"/>
    <mergeCell ref="G108:H108"/>
    <mergeCell ref="L107:M107"/>
    <mergeCell ref="L106:M106"/>
    <mergeCell ref="L105:M105"/>
    <mergeCell ref="L104:M104"/>
    <mergeCell ref="G105:H105"/>
    <mergeCell ref="L112:M112"/>
    <mergeCell ref="A113:B113"/>
    <mergeCell ref="G113:H113"/>
    <mergeCell ref="L113:M113"/>
    <mergeCell ref="A114:B114"/>
    <mergeCell ref="G114:H114"/>
    <mergeCell ref="L114:M114"/>
    <mergeCell ref="A115:B115"/>
    <mergeCell ref="G115:H115"/>
    <mergeCell ref="L115:M115"/>
    <mergeCell ref="A112:B112"/>
    <mergeCell ref="G112:H112"/>
    <mergeCell ref="L116:M116"/>
    <mergeCell ref="A117:B117"/>
    <mergeCell ref="G117:H117"/>
    <mergeCell ref="L117:M117"/>
    <mergeCell ref="A118:B118"/>
    <mergeCell ref="G118:H118"/>
    <mergeCell ref="L118:M118"/>
    <mergeCell ref="A119:B119"/>
    <mergeCell ref="G119:H119"/>
    <mergeCell ref="L119:M119"/>
    <mergeCell ref="A116:B116"/>
    <mergeCell ref="G116:H116"/>
    <mergeCell ref="L120:M120"/>
    <mergeCell ref="A121:B121"/>
    <mergeCell ref="G121:H121"/>
    <mergeCell ref="L121:M121"/>
    <mergeCell ref="A122:B122"/>
    <mergeCell ref="G122:H122"/>
    <mergeCell ref="L122:M122"/>
    <mergeCell ref="A123:B123"/>
    <mergeCell ref="G123:H123"/>
    <mergeCell ref="L123:M123"/>
    <mergeCell ref="A120:B120"/>
    <mergeCell ref="G120:H120"/>
    <mergeCell ref="G145:H145"/>
    <mergeCell ref="A146:B146"/>
    <mergeCell ref="G146:H146"/>
    <mergeCell ref="A147:B147"/>
    <mergeCell ref="G147:H147"/>
    <mergeCell ref="A148:B148"/>
    <mergeCell ref="G148:H148"/>
    <mergeCell ref="A149:B149"/>
    <mergeCell ref="G149:H149"/>
    <mergeCell ref="A155:B155"/>
    <mergeCell ref="G155:H155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52:O152"/>
    <mergeCell ref="N153:O153"/>
    <mergeCell ref="N154:O154"/>
    <mergeCell ref="N155:O155"/>
    <mergeCell ref="A150:B150"/>
    <mergeCell ref="G150:H150"/>
    <mergeCell ref="A151:B151"/>
    <mergeCell ref="G151:H151"/>
    <mergeCell ref="A152:B152"/>
    <mergeCell ref="G152:H152"/>
    <mergeCell ref="A153:B153"/>
    <mergeCell ref="G153:H153"/>
    <mergeCell ref="A154:B154"/>
    <mergeCell ref="G154:H154"/>
    <mergeCell ref="A156:H156"/>
    <mergeCell ref="L156:M156"/>
    <mergeCell ref="A157:B157"/>
    <mergeCell ref="G157:H157"/>
    <mergeCell ref="A158:B158"/>
    <mergeCell ref="G158:H158"/>
    <mergeCell ref="A159:B159"/>
    <mergeCell ref="G159:H159"/>
    <mergeCell ref="A160:B160"/>
    <mergeCell ref="G160:H160"/>
    <mergeCell ref="A161:B161"/>
    <mergeCell ref="G161:H161"/>
    <mergeCell ref="A162:B162"/>
    <mergeCell ref="G162:H162"/>
    <mergeCell ref="A163:B163"/>
    <mergeCell ref="G163:H163"/>
    <mergeCell ref="A164:B164"/>
    <mergeCell ref="G164:H164"/>
    <mergeCell ref="A165:B165"/>
    <mergeCell ref="G165:H165"/>
    <mergeCell ref="A166:B166"/>
    <mergeCell ref="G166:H166"/>
    <mergeCell ref="A167:H167"/>
    <mergeCell ref="L167:M167"/>
    <mergeCell ref="A168:B168"/>
    <mergeCell ref="G168:H168"/>
    <mergeCell ref="A169:B169"/>
    <mergeCell ref="G169:H169"/>
    <mergeCell ref="A170:B170"/>
    <mergeCell ref="G170:H170"/>
    <mergeCell ref="A171:B171"/>
    <mergeCell ref="G171:H171"/>
    <mergeCell ref="A172:B172"/>
    <mergeCell ref="G172:H172"/>
    <mergeCell ref="A173:B173"/>
    <mergeCell ref="G173:H173"/>
    <mergeCell ref="A174:B174"/>
    <mergeCell ref="G174:H174"/>
    <mergeCell ref="A175:B175"/>
    <mergeCell ref="G175:H175"/>
    <mergeCell ref="A176:B176"/>
    <mergeCell ref="G176:H176"/>
    <mergeCell ref="A177:B177"/>
    <mergeCell ref="G177:H177"/>
    <mergeCell ref="A178:B178"/>
    <mergeCell ref="G178:H178"/>
    <mergeCell ref="A179:B179"/>
    <mergeCell ref="G179:H179"/>
    <mergeCell ref="A180:H180"/>
    <mergeCell ref="L180:M180"/>
    <mergeCell ref="A181:B181"/>
    <mergeCell ref="G181:H181"/>
    <mergeCell ref="A182:B182"/>
    <mergeCell ref="G182:H182"/>
    <mergeCell ref="A183:B183"/>
    <mergeCell ref="G183:H183"/>
    <mergeCell ref="A184:B184"/>
    <mergeCell ref="G184:H184"/>
    <mergeCell ref="A185:B185"/>
    <mergeCell ref="G185:H185"/>
    <mergeCell ref="A186:B186"/>
    <mergeCell ref="G186:H186"/>
    <mergeCell ref="A187:B187"/>
    <mergeCell ref="G187:H187"/>
    <mergeCell ref="A188:B188"/>
    <mergeCell ref="G188:H188"/>
    <mergeCell ref="A189:B189"/>
    <mergeCell ref="G189:H189"/>
    <mergeCell ref="A190:B190"/>
    <mergeCell ref="G190:H190"/>
    <mergeCell ref="A191:B191"/>
    <mergeCell ref="G191:H191"/>
    <mergeCell ref="A192:B192"/>
    <mergeCell ref="G192:H192"/>
    <mergeCell ref="A193:H193"/>
    <mergeCell ref="L193:M193"/>
    <mergeCell ref="A194:B194"/>
    <mergeCell ref="G194:H194"/>
    <mergeCell ref="A195:B195"/>
    <mergeCell ref="G195:H195"/>
    <mergeCell ref="A196:B196"/>
    <mergeCell ref="G196:H196"/>
    <mergeCell ref="A197:B197"/>
    <mergeCell ref="G197:H197"/>
    <mergeCell ref="A198:B198"/>
    <mergeCell ref="G198:H198"/>
    <mergeCell ref="A199:B199"/>
    <mergeCell ref="G199:H199"/>
    <mergeCell ref="A200:B200"/>
    <mergeCell ref="G200:H200"/>
    <mergeCell ref="A201:B201"/>
    <mergeCell ref="G201:H201"/>
    <mergeCell ref="B249:H249"/>
    <mergeCell ref="A202:H202"/>
    <mergeCell ref="A207:B207"/>
    <mergeCell ref="G207:H207"/>
    <mergeCell ref="A208:B208"/>
    <mergeCell ref="G208:H208"/>
    <mergeCell ref="B246:H246"/>
    <mergeCell ref="G231:H231"/>
    <mergeCell ref="A238:H238"/>
    <mergeCell ref="A230:B230"/>
    <mergeCell ref="A231:B231"/>
    <mergeCell ref="G229:H229"/>
    <mergeCell ref="B245:H245"/>
    <mergeCell ref="B241:H241"/>
    <mergeCell ref="A235:B235"/>
    <mergeCell ref="G235:H235"/>
    <mergeCell ref="G234:H234"/>
    <mergeCell ref="A232:H232"/>
    <mergeCell ref="A233:B233"/>
    <mergeCell ref="A234:B234"/>
    <mergeCell ref="L214:M214"/>
    <mergeCell ref="L213:M213"/>
    <mergeCell ref="L210:M210"/>
    <mergeCell ref="L211:M211"/>
    <mergeCell ref="L212:M212"/>
    <mergeCell ref="B247:H247"/>
    <mergeCell ref="L202:M202"/>
    <mergeCell ref="A203:B203"/>
    <mergeCell ref="G203:H203"/>
    <mergeCell ref="A204:B204"/>
    <mergeCell ref="G204:H204"/>
    <mergeCell ref="A205:B205"/>
    <mergeCell ref="G205:H205"/>
    <mergeCell ref="A206:B206"/>
    <mergeCell ref="G206:H206"/>
    <mergeCell ref="A237:B237"/>
    <mergeCell ref="G237:H237"/>
    <mergeCell ref="A236:B236"/>
    <mergeCell ref="B242:H242"/>
    <mergeCell ref="B243:H243"/>
    <mergeCell ref="G233:H233"/>
    <mergeCell ref="B244:H244"/>
    <mergeCell ref="G236:H236"/>
    <mergeCell ref="B239:H239"/>
  </mergeCells>
  <hyperlinks>
    <hyperlink ref="C38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2" scale="93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262" max="16383" man="1"/>
    <brk id="306" max="16383" man="1"/>
    <brk id="350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topLeftCell="A16" zoomScale="85" zoomScaleNormal="85" workbookViewId="0">
      <selection activeCell="K32" sqref="K32"/>
    </sheetView>
  </sheetViews>
  <sheetFormatPr defaultColWidth="8.88671875" defaultRowHeight="14.4" x14ac:dyDescent="0.3"/>
  <cols>
    <col min="1" max="1" width="8.8867187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886718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45" t="s">
        <v>111</v>
      </c>
      <c r="C3" s="145"/>
      <c r="D3" s="145"/>
      <c r="E3" s="145"/>
      <c r="F3" s="145"/>
      <c r="G3" s="145"/>
      <c r="H3" s="145"/>
    </row>
    <row r="4" spans="1:9" x14ac:dyDescent="0.3">
      <c r="A4" s="2"/>
      <c r="B4" s="3" t="s">
        <v>112</v>
      </c>
      <c r="C4" s="3" t="s">
        <v>113</v>
      </c>
      <c r="D4" s="3" t="s">
        <v>73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2025-08-18T10:44:53Z</cp:lastPrinted>
  <dcterms:created xsi:type="dcterms:W3CDTF">2019-07-16T09:29:46Z</dcterms:created>
  <dcterms:modified xsi:type="dcterms:W3CDTF">2025-08-18T10:55:13Z</dcterms:modified>
</cp:coreProperties>
</file>