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
    </mc:Choice>
  </mc:AlternateContent>
  <xr:revisionPtr revIDLastSave="0" documentId="13_ncr:1_{F8522281-6773-487B-83A7-7E0EFF2BD805}" xr6:coauthVersionLast="47" xr6:coauthVersionMax="47" xr10:uidLastSave="{00000000-0000-0000-0000-000000000000}"/>
  <bookViews>
    <workbookView xWindow="-108" yWindow="-108" windowWidth="23256" windowHeight="12456" xr2:uid="{00000000-000D-0000-FFFF-FFFF00000000}"/>
  </bookViews>
  <sheets>
    <sheet name="Report (2)" sheetId="1" r:id="rId1"/>
    <sheet name="1%" sheetId="2" r:id="rId2"/>
    <sheet name="4%" sheetId="4" r:id="rId3"/>
    <sheet name="5%" sheetId="5" r:id="rId4"/>
    <sheet name="Note" sheetId="6" r:id="rId5"/>
    <sheet name="Valuation" sheetId="7" r:id="rId6"/>
    <sheet name="Flat detail" sheetId="3" r:id="rId7"/>
  </sheets>
  <definedNames>
    <definedName name="_xlnm.Print_Area" localSheetId="0">'Report (2)'!$A$1:$J$410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1" i="1" l="1"/>
  <c r="L120" i="1"/>
  <c r="L119" i="1"/>
  <c r="L118" i="1"/>
  <c r="H63" i="1" l="1"/>
  <c r="C63" i="1"/>
  <c r="L91" i="1" l="1"/>
  <c r="L90" i="1"/>
  <c r="L89" i="1"/>
  <c r="L88" i="1"/>
  <c r="D270" i="1"/>
  <c r="G270" i="1" s="1"/>
  <c r="D269" i="1"/>
  <c r="G269" i="1" s="1"/>
  <c r="D268" i="1"/>
  <c r="G268" i="1" s="1"/>
  <c r="D267" i="1"/>
  <c r="G267" i="1" s="1"/>
  <c r="D266" i="1"/>
  <c r="G266" i="1" s="1"/>
  <c r="D265" i="1"/>
  <c r="G265" i="1" s="1"/>
  <c r="D263" i="1"/>
  <c r="G263" i="1" s="1"/>
  <c r="D262" i="1"/>
  <c r="G262" i="1" s="1"/>
  <c r="D261" i="1"/>
  <c r="D258" i="1"/>
  <c r="D257" i="1"/>
  <c r="D256" i="1"/>
  <c r="D255" i="1"/>
  <c r="D251" i="1"/>
  <c r="D250" i="1"/>
  <c r="D249" i="1"/>
  <c r="D248" i="1"/>
  <c r="L253" i="1"/>
  <c r="K253" i="1"/>
  <c r="I261" i="1"/>
  <c r="I265" i="1"/>
  <c r="I81" i="1"/>
  <c r="D168" i="1" l="1"/>
  <c r="C169" i="1"/>
  <c r="D170" i="1"/>
  <c r="L86" i="1"/>
  <c r="L87" i="1" s="1"/>
  <c r="L92" i="1" s="1"/>
  <c r="L93" i="1" s="1"/>
  <c r="C87" i="1" s="1"/>
  <c r="D94" i="1"/>
  <c r="D92" i="1"/>
  <c r="D90" i="1"/>
  <c r="D88" i="1"/>
  <c r="L84" i="1"/>
  <c r="L85" i="1"/>
  <c r="C86" i="1" s="1"/>
  <c r="L83" i="1"/>
  <c r="D95" i="1"/>
  <c r="D93" i="1"/>
  <c r="D91" i="1"/>
  <c r="D89" i="1"/>
  <c r="D169" i="1"/>
  <c r="G261" i="1"/>
  <c r="G170" i="1" s="1"/>
  <c r="C168" i="1"/>
  <c r="C170" i="1"/>
  <c r="I111" i="1"/>
  <c r="L113" i="1" l="1"/>
  <c r="D122" i="1"/>
  <c r="L115" i="1"/>
  <c r="C114" i="1" s="1"/>
  <c r="D121" i="1"/>
  <c r="L114" i="1"/>
  <c r="D118" i="1"/>
  <c r="D123" i="1"/>
  <c r="D117" i="1"/>
  <c r="L116" i="1"/>
  <c r="L117" i="1" s="1"/>
  <c r="L122" i="1" s="1"/>
  <c r="L123" i="1" s="1"/>
  <c r="C115" i="1" s="1"/>
  <c r="D116" i="1"/>
  <c r="D120" i="1"/>
  <c r="D119" i="1"/>
  <c r="C171" i="1"/>
  <c r="F86" i="1"/>
  <c r="K80" i="1" s="1"/>
  <c r="C82" i="1" s="1"/>
  <c r="D87" i="1"/>
  <c r="H86" i="1"/>
  <c r="D86" i="1"/>
  <c r="F114" i="1" l="1"/>
  <c r="D115" i="1"/>
  <c r="H114" i="1"/>
  <c r="D114" i="1"/>
  <c r="G255" i="1"/>
  <c r="G258" i="1"/>
  <c r="G257" i="1"/>
  <c r="G256" i="1"/>
  <c r="I255" i="1"/>
  <c r="G251" i="1"/>
  <c r="G250" i="1"/>
  <c r="G249" i="1"/>
  <c r="G248" i="1"/>
  <c r="N226" i="1"/>
  <c r="P226" i="1"/>
  <c r="N227" i="1"/>
  <c r="M226" i="1"/>
  <c r="M227" i="1"/>
  <c r="L241" i="1"/>
  <c r="L240" i="1"/>
  <c r="K241" i="1"/>
  <c r="K240" i="1"/>
  <c r="I248" i="1"/>
  <c r="C124" i="1"/>
  <c r="L135" i="1"/>
  <c r="L134" i="1"/>
  <c r="L133" i="1"/>
  <c r="L132" i="1"/>
  <c r="L104" i="1"/>
  <c r="L105" i="1"/>
  <c r="D71" i="1"/>
  <c r="H64" i="1"/>
  <c r="E68" i="1" s="1"/>
  <c r="F51" i="1"/>
  <c r="F52" i="1" s="1"/>
  <c r="F53" i="1" s="1"/>
  <c r="I125" i="1"/>
  <c r="K110" i="1" l="1"/>
  <c r="C112" i="1" s="1"/>
  <c r="G168" i="1"/>
  <c r="G169" i="1"/>
  <c r="O226" i="1"/>
  <c r="L129" i="1"/>
  <c r="C128" i="1" s="1"/>
  <c r="D128" i="1" s="1"/>
  <c r="L127" i="1"/>
  <c r="L130" i="1"/>
  <c r="L131" i="1" s="1"/>
  <c r="D136" i="1"/>
  <c r="D134" i="1"/>
  <c r="D132" i="1"/>
  <c r="D130" i="1"/>
  <c r="L128" i="1"/>
  <c r="D137" i="1"/>
  <c r="D135" i="1"/>
  <c r="D133" i="1"/>
  <c r="D131" i="1"/>
  <c r="F3" i="1"/>
  <c r="L136" i="1" l="1"/>
  <c r="L107" i="1"/>
  <c r="L106" i="1"/>
  <c r="I97" i="1"/>
  <c r="L137" i="1" l="1"/>
  <c r="C129" i="1" s="1"/>
  <c r="F128" i="1" s="1"/>
  <c r="K124" i="1" s="1"/>
  <c r="C126" i="1" s="1"/>
  <c r="L100" i="1"/>
  <c r="L101" i="1"/>
  <c r="C100" i="1" s="1"/>
  <c r="D100" i="1" s="1"/>
  <c r="L102" i="1"/>
  <c r="L103" i="1" s="1"/>
  <c r="L108" i="1" s="1"/>
  <c r="L109" i="1" s="1"/>
  <c r="C101" i="1" s="1"/>
  <c r="L99" i="1"/>
  <c r="D109" i="1"/>
  <c r="D107" i="1"/>
  <c r="D105" i="1"/>
  <c r="D103" i="1"/>
  <c r="D108" i="1"/>
  <c r="D106" i="1"/>
  <c r="D104" i="1"/>
  <c r="D102" i="1"/>
  <c r="G12" i="7"/>
  <c r="D129" i="1" l="1"/>
  <c r="H128" i="1"/>
  <c r="F100" i="1"/>
  <c r="K96" i="1" s="1"/>
  <c r="D101" i="1"/>
  <c r="H100" i="1"/>
  <c r="F44" i="1"/>
  <c r="I239" i="1"/>
  <c r="I230" i="1"/>
  <c r="D241" i="1"/>
  <c r="D240" i="1"/>
  <c r="D242" i="1"/>
  <c r="D239" i="1"/>
  <c r="D233" i="1"/>
  <c r="D232" i="1"/>
  <c r="D231" i="1"/>
  <c r="D230" i="1"/>
  <c r="D237" i="1"/>
  <c r="D236" i="1"/>
  <c r="D228" i="1"/>
  <c r="D227" i="1"/>
  <c r="I218" i="1"/>
  <c r="I211" i="1"/>
  <c r="I202" i="1"/>
  <c r="D223" i="1"/>
  <c r="D222" i="1"/>
  <c r="D221" i="1"/>
  <c r="D220" i="1"/>
  <c r="D219" i="1"/>
  <c r="D218" i="1"/>
  <c r="F215" i="1"/>
  <c r="F214" i="1"/>
  <c r="D216" i="1"/>
  <c r="D215" i="1"/>
  <c r="D214" i="1"/>
  <c r="D213" i="1"/>
  <c r="D212" i="1"/>
  <c r="D211" i="1"/>
  <c r="D209" i="1"/>
  <c r="D208" i="1"/>
  <c r="D207" i="1"/>
  <c r="D206" i="1"/>
  <c r="D205" i="1"/>
  <c r="D204" i="1"/>
  <c r="D203" i="1"/>
  <c r="D202" i="1"/>
  <c r="I194" i="1"/>
  <c r="I187" i="1"/>
  <c r="I178" i="1"/>
  <c r="F199" i="1"/>
  <c r="F197" i="1"/>
  <c r="F196" i="1"/>
  <c r="F195" i="1"/>
  <c r="F194" i="1"/>
  <c r="F192" i="1"/>
  <c r="F190" i="1"/>
  <c r="D199" i="1"/>
  <c r="D198" i="1"/>
  <c r="D192" i="1"/>
  <c r="D191" i="1"/>
  <c r="D190" i="1"/>
  <c r="D197" i="1"/>
  <c r="D196" i="1"/>
  <c r="D189" i="1"/>
  <c r="D195" i="1"/>
  <c r="D188" i="1"/>
  <c r="D194" i="1"/>
  <c r="D187" i="1"/>
  <c r="D185" i="1"/>
  <c r="D184" i="1"/>
  <c r="D183" i="1"/>
  <c r="D182" i="1"/>
  <c r="D181" i="1"/>
  <c r="D180" i="1"/>
  <c r="D179" i="1"/>
  <c r="D178" i="1"/>
  <c r="G15" i="5"/>
  <c r="G16" i="5" s="1"/>
  <c r="C15" i="5" s="1"/>
  <c r="B7" i="5"/>
  <c r="H15" i="5" s="1"/>
  <c r="B16" i="5" s="1"/>
  <c r="D6" i="5"/>
  <c r="C5" i="5"/>
  <c r="B12" i="5" s="1"/>
  <c r="G15" i="4"/>
  <c r="G16" i="4" s="1"/>
  <c r="C15" i="4" s="1"/>
  <c r="B7" i="4"/>
  <c r="H15" i="4" s="1"/>
  <c r="B16" i="4" s="1"/>
  <c r="D6" i="4"/>
  <c r="C5" i="4"/>
  <c r="B12" i="4" s="1"/>
  <c r="C16" i="1"/>
  <c r="D171" i="1" l="1"/>
  <c r="C98" i="1"/>
  <c r="B9" i="5"/>
  <c r="J16" i="5" s="1"/>
  <c r="C18" i="5" s="1"/>
  <c r="B15" i="5"/>
  <c r="D155" i="1"/>
  <c r="D156" i="1"/>
  <c r="D161" i="1"/>
  <c r="D160" i="1"/>
  <c r="D162" i="1"/>
  <c r="B9" i="4"/>
  <c r="J16" i="4" s="1"/>
  <c r="C18" i="4" s="1"/>
  <c r="B11" i="5"/>
  <c r="L15" i="5" s="1"/>
  <c r="B20" i="5" s="1"/>
  <c r="C160" i="1"/>
  <c r="B11" i="4"/>
  <c r="L15" i="4" s="1"/>
  <c r="B20" i="4" s="1"/>
  <c r="B15" i="4"/>
  <c r="D12" i="5"/>
  <c r="M16" i="5"/>
  <c r="C21" i="5" s="1"/>
  <c r="M15" i="5"/>
  <c r="B21" i="5" s="1"/>
  <c r="H16" i="5"/>
  <c r="C16" i="5" s="1"/>
  <c r="D7" i="5"/>
  <c r="D9" i="5"/>
  <c r="J15" i="5"/>
  <c r="B18" i="5" s="1"/>
  <c r="B8" i="5"/>
  <c r="B10" i="5"/>
  <c r="D12" i="4"/>
  <c r="M16" i="4"/>
  <c r="C21" i="4" s="1"/>
  <c r="M15" i="4"/>
  <c r="B21" i="4" s="1"/>
  <c r="H16" i="4"/>
  <c r="C16" i="4" s="1"/>
  <c r="D7" i="4"/>
  <c r="B8" i="4"/>
  <c r="B10" i="4"/>
  <c r="D11" i="5" l="1"/>
  <c r="L16" i="5"/>
  <c r="C20" i="5" s="1"/>
  <c r="D11" i="4"/>
  <c r="D9" i="4"/>
  <c r="J15" i="4"/>
  <c r="B18" i="4" s="1"/>
  <c r="L16" i="4"/>
  <c r="C20" i="4" s="1"/>
  <c r="K16" i="5"/>
  <c r="C19" i="5" s="1"/>
  <c r="D10" i="5"/>
  <c r="K15" i="5"/>
  <c r="B19" i="5" s="1"/>
  <c r="D8" i="5"/>
  <c r="I16" i="5"/>
  <c r="C17" i="5" s="1"/>
  <c r="I15" i="5"/>
  <c r="B17" i="5" s="1"/>
  <c r="K16" i="4"/>
  <c r="C19" i="4" s="1"/>
  <c r="D10" i="4"/>
  <c r="K15" i="4"/>
  <c r="B19" i="4" s="1"/>
  <c r="D8" i="4"/>
  <c r="I16" i="4"/>
  <c r="C17" i="4" s="1"/>
  <c r="I15" i="4"/>
  <c r="B17" i="4" s="1"/>
  <c r="C22" i="5" l="1"/>
  <c r="C22" i="4"/>
  <c r="B22" i="5"/>
  <c r="B22" i="4"/>
  <c r="G185" i="1" l="1"/>
  <c r="G242" i="1"/>
  <c r="G241" i="1"/>
  <c r="G233" i="1"/>
  <c r="G232" i="1"/>
  <c r="G231" i="1"/>
  <c r="G230" i="1"/>
  <c r="G240" i="1"/>
  <c r="G239" i="1"/>
  <c r="G237" i="1"/>
  <c r="G236" i="1"/>
  <c r="G228" i="1"/>
  <c r="G223" i="1"/>
  <c r="G222" i="1"/>
  <c r="G221" i="1"/>
  <c r="G220" i="1"/>
  <c r="G219" i="1"/>
  <c r="G218" i="1"/>
  <c r="G216" i="1"/>
  <c r="G213" i="1"/>
  <c r="G212" i="1"/>
  <c r="G209" i="1"/>
  <c r="G208" i="1"/>
  <c r="G207" i="1"/>
  <c r="G206" i="1"/>
  <c r="G205" i="1"/>
  <c r="G204" i="1"/>
  <c r="G203" i="1"/>
  <c r="G191" i="1"/>
  <c r="G198" i="1"/>
  <c r="G195" i="1"/>
  <c r="G194" i="1"/>
  <c r="G192" i="1"/>
  <c r="G189" i="1"/>
  <c r="G188" i="1"/>
  <c r="G184" i="1"/>
  <c r="G183" i="1"/>
  <c r="G182" i="1"/>
  <c r="G181" i="1"/>
  <c r="G180" i="1"/>
  <c r="G179" i="1"/>
  <c r="G197" i="1" l="1"/>
  <c r="G199" i="1"/>
  <c r="G215" i="1"/>
  <c r="G214" i="1"/>
  <c r="C155" i="1"/>
  <c r="G187" i="1"/>
  <c r="G190" i="1"/>
  <c r="G196" i="1"/>
  <c r="G171" i="1" s="1"/>
  <c r="C156" i="1"/>
  <c r="C161" i="1"/>
  <c r="G202" i="1"/>
  <c r="G156" i="1" s="1"/>
  <c r="C162" i="1"/>
  <c r="G178" i="1"/>
  <c r="G155" i="1" s="1"/>
  <c r="G211" i="1"/>
  <c r="G227" i="1"/>
  <c r="G162" i="1" s="1"/>
  <c r="B7" i="2"/>
  <c r="G160" i="1" l="1"/>
  <c r="G161" i="1"/>
  <c r="G15" i="2"/>
  <c r="G16" i="2" s="1"/>
  <c r="C15" i="2" s="1"/>
  <c r="B15" i="2"/>
  <c r="H15" i="2"/>
  <c r="B16" i="2" s="1"/>
  <c r="D6" i="2"/>
  <c r="C5" i="2"/>
  <c r="B12" i="2" s="1"/>
  <c r="D286" i="1"/>
  <c r="D163" i="1"/>
  <c r="C163" i="1"/>
  <c r="G157" i="1"/>
  <c r="D157" i="1"/>
  <c r="C157" i="1"/>
  <c r="G151" i="1"/>
  <c r="E67" i="1"/>
  <c r="F45" i="1"/>
  <c r="D70" i="1" s="1"/>
  <c r="F7" i="1"/>
  <c r="C164" i="1" l="1"/>
  <c r="D164" i="1"/>
  <c r="G163" i="1"/>
  <c r="G164" i="1" s="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<sst xmlns="http://schemas.openxmlformats.org/spreadsheetml/2006/main" count="810" uniqueCount="330">
  <si>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</si>
  <si>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</si>
  <si>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</si>
  <si>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</si>
  <si>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</si>
  <si>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</si>
  <si>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</si>
  <si>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</si>
  <si>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</si>
  <si>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</si>
  <si>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</si>
  <si>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</si>
  <si>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</si>
  <si>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</si>
  <si>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</si>
  <si>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</si>
  <si>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</si>
  <si>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</si>
  <si>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</si>
  <si>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</si>
  <si>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</si>
  <si>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</si>
  <si>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</si>
  <si>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</si>
  <si>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</si>
  <si>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</si>
  <si>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</si>
  <si>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</si>
  <si>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</si>
  <si>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</si>
  <si>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</si>
  <si>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</si>
  <si>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</si>
  <si>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</si>
  <si>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</si>
  <si>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</si>
  <si>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</si>
  <si>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</si>
  <si>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</si>
  <si>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</si>
  <si>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</si>
  <si>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</si>
  <si>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</si>
  <si>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</si>
  <si>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</si>
  <si>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</si>
  <si>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</si>
  <si>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</si>
  <si>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</si>
  <si>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Dated</t>
  </si>
  <si>
    <t xml:space="preserve">O. Certificate No.: </t>
  </si>
  <si>
    <t xml:space="preserve">Date of approval: </t>
  </si>
  <si>
    <t xml:space="preserve">Commencement date of construction </t>
  </si>
  <si>
    <t>Expected Completion</t>
  </si>
  <si>
    <t>Building wise Construction details</t>
  </si>
  <si>
    <t>Approved no of units</t>
  </si>
  <si>
    <t>Approved no of Floors</t>
  </si>
  <si>
    <t>Quality of construction: Good</t>
  </si>
  <si>
    <t>Type of Work</t>
  </si>
  <si>
    <t>Plinth</t>
  </si>
  <si>
    <t>RCC</t>
  </si>
  <si>
    <t>Plaster</t>
  </si>
  <si>
    <t>Flooring</t>
  </si>
  <si>
    <t>Finishing</t>
  </si>
  <si>
    <t>Violations Observed if any : NA</t>
  </si>
  <si>
    <t>Recommended Rates of the Property :</t>
  </si>
  <si>
    <t>Floor rise rate  Per Sq. Ft.</t>
  </si>
  <si>
    <t>PLC charges</t>
  </si>
  <si>
    <t>Club Charges</t>
  </si>
  <si>
    <t>Any Other amenities</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</si>
  <si>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</si>
  <si>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</si>
  <si>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</si>
  <si>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</si>
  <si>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</si>
  <si>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</si>
  <si>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</si>
  <si>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</si>
  <si>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</si>
  <si>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</si>
  <si>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</si>
  <si>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</si>
  <si>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</si>
  <si>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</si>
  <si>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</si>
  <si>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</si>
  <si>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</si>
  <si>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</si>
  <si>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</si>
  <si>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</si>
  <si>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</si>
  <si>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</si>
  <si>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</si>
  <si>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</si>
  <si>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</si>
  <si>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</si>
  <si>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</si>
  <si>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</si>
  <si>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</si>
  <si>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</si>
  <si>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</si>
  <si>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</si>
  <si>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</si>
  <si>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</si>
  <si>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</si>
  <si>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</si>
  <si>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</si>
  <si>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</si>
  <si>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</si>
  <si>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</si>
  <si>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</si>
  <si>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</si>
  <si>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</si>
  <si>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</si>
  <si>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</si>
  <si>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</si>
  <si>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</si>
  <si>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</si>
  <si>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</si>
  <si>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</si>
  <si>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</si>
  <si>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</si>
  <si>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</si>
  <si>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</si>
  <si>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</si>
  <si>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</si>
  <si>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</si>
  <si>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</si>
  <si>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</si>
  <si>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</si>
  <si>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</si>
  <si>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</si>
  <si>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</si>
  <si>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</si>
  <si>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</si>
  <si>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</si>
  <si>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</si>
  <si>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</si>
  <si>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</si>
  <si>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</si>
  <si>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</si>
  <si>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</si>
  <si>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</si>
  <si>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</si>
  <si>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</si>
  <si>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</si>
  <si>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</si>
  <si>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</si>
  <si>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</si>
  <si>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</si>
  <si>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</si>
  <si>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</si>
  <si>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</si>
  <si>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</si>
  <si>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</si>
  <si>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</si>
  <si>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</si>
  <si>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</si>
  <si>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</si>
  <si>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</si>
  <si>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</si>
  <si>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</si>
  <si>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</si>
  <si>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</si>
  <si>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</si>
  <si>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</si>
  <si>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</si>
  <si>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</si>
  <si>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</si>
  <si>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</si>
  <si>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</si>
  <si>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</si>
  <si>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 xml:space="preserve">M/s.Patil Builders
</t>
  </si>
  <si>
    <t>8888805000/7021577921</t>
  </si>
  <si>
    <t>Saphale</t>
  </si>
  <si>
    <t>25/05/2018.</t>
  </si>
  <si>
    <t>Office</t>
  </si>
  <si>
    <t>Ground Floor for Commercial, Residential, Parking</t>
  </si>
  <si>
    <t>1BHK</t>
  </si>
  <si>
    <t>1st &amp; 3rd Floor</t>
  </si>
  <si>
    <t>2BHK</t>
  </si>
  <si>
    <t>2nd &amp; 4th Floor</t>
  </si>
  <si>
    <t>1st Floor</t>
  </si>
  <si>
    <t>2nd to 4th Floor</t>
  </si>
  <si>
    <t>Ground Floor for Residential, Parking</t>
  </si>
  <si>
    <t>B Wing</t>
  </si>
  <si>
    <t>A Wing</t>
  </si>
  <si>
    <t>Residential + Commercial</t>
  </si>
  <si>
    <t>Axis Goregaon</t>
  </si>
  <si>
    <t>Vrindavan Complex Phase II</t>
  </si>
  <si>
    <t>Village</t>
  </si>
  <si>
    <t>Kurlai Temple</t>
  </si>
  <si>
    <t>150000/-</t>
  </si>
  <si>
    <t>Building No.1</t>
  </si>
  <si>
    <t>Building No.4</t>
  </si>
  <si>
    <t>Building No.5</t>
  </si>
  <si>
    <t>Building No.1 (Type A)</t>
  </si>
  <si>
    <t>Building No.4 (Type C)</t>
  </si>
  <si>
    <t>Building No.5 (Type D)</t>
  </si>
  <si>
    <t>Recommended rate of the Office Per Sq. Ft. ( on Saleable area)</t>
  </si>
  <si>
    <t>MHSL/K-1/MJ1/VSP/S.R/359/97</t>
  </si>
  <si>
    <t>1st to 4th Floor</t>
  </si>
  <si>
    <t>Ground Floor</t>
  </si>
  <si>
    <t>Pratiksha</t>
  </si>
  <si>
    <t>Market Research Data</t>
  </si>
  <si>
    <t>Source</t>
  </si>
  <si>
    <t>Distance from proposed property</t>
  </si>
  <si>
    <t>Net Carpet</t>
  </si>
  <si>
    <t>Saleable Area</t>
  </si>
  <si>
    <t>Rate on Saleable</t>
  </si>
  <si>
    <t>Market Value</t>
  </si>
  <si>
    <t>Magic Brick</t>
  </si>
  <si>
    <t>99 Acres</t>
  </si>
  <si>
    <t>Average</t>
  </si>
  <si>
    <t xml:space="preserve">Valuation Adopted </t>
  </si>
  <si>
    <t>50000/-</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</si>
  <si>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</si>
  <si>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</si>
  <si>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</si>
  <si>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</si>
  <si>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</si>
  <si>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</si>
  <si>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</si>
  <si>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</si>
  <si>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</si>
  <si>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</si>
  <si>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</si>
  <si>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</si>
  <si>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</si>
  <si>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</si>
  <si>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</si>
  <si>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</si>
  <si>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</si>
  <si>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</si>
  <si>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</si>
  <si>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</si>
  <si>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</si>
  <si>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</si>
  <si>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</si>
  <si>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</si>
  <si>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04 Wings</t>
  </si>
  <si>
    <t>Development charges</t>
  </si>
  <si>
    <t>Valid Up to: 
Building No.1 - Type A = G + 1st to 4th Floor
Building No.4 - Type C =  G + 1st to 4th Floor
Building No.5 - Type D =  G + 1st to 4th Floor</t>
  </si>
  <si>
    <t xml:space="preserve">MHSL/KS.1/T.1/ANAP/ASAR-359/2017
</t>
  </si>
  <si>
    <t>Building No.1 - Type A =  G + 1st to 4th Floor
Building No.4 - Type C =  G + 1st to 4th Floor
Building No.5 - Type D (A &amp; B Wings) =  G + 1st to 4th Floor</t>
  </si>
  <si>
    <t xml:space="preserve">Location Link </t>
  </si>
  <si>
    <t>Grand Total</t>
  </si>
  <si>
    <t>Projected life of the structure: 60 Years</t>
  </si>
  <si>
    <t>Wheather the construction is as per approved Building plan : Yes</t>
  </si>
  <si>
    <t>3200 to 3550</t>
  </si>
  <si>
    <t>Gaurav</t>
  </si>
  <si>
    <t>cost sheet</t>
  </si>
  <si>
    <t>Office No. 1031, Wing J, Akshar Business Park, Plot No. 03 Sector 25, Near APMC Market, Vashi, Navi Mumbai, Maharashtra 400703 TEL: 022-46090378/79/80
Email : vsjcapf@gmail.com. Web site : www.vsjadon.com</t>
  </si>
  <si>
    <t>Building No.1 - Type A =  G + 1st to 4th Floor
Building No.5 - Type D (A &amp; B Wings)  =  G + 1st to 4th Floor
Building No.4 - Type C =  G + 1st to 4th Floor</t>
  </si>
  <si>
    <t>Completed</t>
  </si>
  <si>
    <t>1.5 Km from Saphale Railway Station</t>
  </si>
  <si>
    <t>3550 to 3650</t>
  </si>
  <si>
    <t>Trupti</t>
  </si>
  <si>
    <t>verbal</t>
  </si>
  <si>
    <t>Contact Details ( Name &amp; Contact No.)</t>
  </si>
  <si>
    <t>Site Person - Contact Details (Name &amp; Contact No.)</t>
  </si>
  <si>
    <t>Vrindavan Complex Phase II &amp; III</t>
  </si>
  <si>
    <t>Phase II</t>
  </si>
  <si>
    <t>Phase III</t>
  </si>
  <si>
    <t>RERA Name &amp; No.</t>
  </si>
  <si>
    <t>Building No.A (Wing A &amp; B)
Building No.B</t>
  </si>
  <si>
    <t>Vrindavan Complex Phase II
(P99000018246)</t>
  </si>
  <si>
    <t>Vrindavan Complex Phase III
(P99000054219)</t>
  </si>
  <si>
    <t xml:space="preserve">Building Type A (Wing A &amp; B)
Building Type B
</t>
  </si>
  <si>
    <t>Building No.1
Building No.4
Building No.5 (A &amp; B Wings)</t>
  </si>
  <si>
    <t>As per Layout</t>
  </si>
  <si>
    <t>Vrindavan Complex Phase III</t>
  </si>
  <si>
    <t>Layout :</t>
  </si>
  <si>
    <t>S. No</t>
  </si>
  <si>
    <t>321, 322/2, 322/3 (New S.No.322/B/K/D/E/E/F)</t>
  </si>
  <si>
    <t>https://maps.app.goo.gl/yPVo2LRWibRdiyfy8</t>
  </si>
  <si>
    <t>19.575295,72.832045</t>
  </si>
  <si>
    <t>Saphale East</t>
  </si>
  <si>
    <t>Shirdhankar Ln Road</t>
  </si>
  <si>
    <t>Open Plot</t>
  </si>
  <si>
    <t>Internal Road</t>
  </si>
  <si>
    <t>Existing Road</t>
  </si>
  <si>
    <t>Other Plot</t>
  </si>
  <si>
    <t>Approved Floor plan No. (Phase II)</t>
  </si>
  <si>
    <t>Approved Floor plan No.  (Phase III)</t>
  </si>
  <si>
    <t>PJP/GP/PD/346</t>
  </si>
  <si>
    <t>PJP/GP/PDKRN/346</t>
  </si>
  <si>
    <t>Valid Up to: 
Building No.A = Gr + 1st to 7th Floor
Building No.B = Gr + 1st to 7th Floor</t>
  </si>
  <si>
    <t xml:space="preserve"> 31/12/2028</t>
  </si>
  <si>
    <t>Approved area of the building in Sq.Mt
(Phase II)</t>
  </si>
  <si>
    <t>Approved area of the building in Sq.Mt
(Phase III) Building Type A &amp; B</t>
  </si>
  <si>
    <t>Building Type A (Wing A &amp; B) = Gr + 1st to 7th Floor</t>
  </si>
  <si>
    <t>Building Type B = Gr + 1st to 7th Floor</t>
  </si>
  <si>
    <t>Proposed no of Floors</t>
  </si>
  <si>
    <t>Compound Wall, Rain Water Harvesting System, Open Space, Community Building, Internal Road, Lift, Parking etc.</t>
  </si>
  <si>
    <t>Building Type A</t>
  </si>
  <si>
    <t xml:space="preserve"> Wing A</t>
  </si>
  <si>
    <t>Ground Floor For Entrance Lobby &amp; Parking</t>
  </si>
  <si>
    <t>1st to 7th Floor For Residential</t>
  </si>
  <si>
    <t>e</t>
  </si>
  <si>
    <t>o</t>
  </si>
  <si>
    <t>fb</t>
  </si>
  <si>
    <t xml:space="preserve"> Wing B</t>
  </si>
  <si>
    <t>Building Type B</t>
  </si>
  <si>
    <t>Ground Floor For Entrance Lobby, Society Office, Driver Room &amp; Parking</t>
  </si>
  <si>
    <t>Ground Floor For Residential &amp; Parking</t>
  </si>
  <si>
    <t>1RK</t>
  </si>
  <si>
    <t>`</t>
  </si>
  <si>
    <t>Flat = 101</t>
  </si>
  <si>
    <t xml:space="preserve">Details of Residential &amp; Commercial in Building   </t>
  </si>
  <si>
    <t xml:space="preserve">Layout Approval No.
(Phase II)   </t>
  </si>
  <si>
    <t xml:space="preserve">Layout Approval No.
(Phase III)  </t>
  </si>
  <si>
    <t>Commencement Certificate No.
(Phase II)</t>
  </si>
  <si>
    <t>Commencement Certificate No.
(Phase III)</t>
  </si>
  <si>
    <t>Name of Municipal Corporation/Authority</t>
  </si>
  <si>
    <t>Under Construction</t>
  </si>
  <si>
    <t xml:space="preserve">Flat =86 &amp; shop =14 </t>
  </si>
  <si>
    <t>Zilla Parishad, Palghar</t>
  </si>
  <si>
    <t>Approved Plan, CC &amp; Cost Sheet</t>
  </si>
  <si>
    <t>Building No.1 (Type A)
Building No.4 (Type C)
Building No.5 (Type D)</t>
  </si>
  <si>
    <t>Material laying at Site: Cement, Aggregate,Steel etc.</t>
  </si>
  <si>
    <t>3BHK</t>
  </si>
  <si>
    <t>07 Building</t>
  </si>
  <si>
    <t>21/10/2022.</t>
  </si>
  <si>
    <t>Mr. Ravindra Patel 7021579421</t>
  </si>
  <si>
    <t>Building Type A (Wing A) = Gr + 1st to 7th Floor</t>
  </si>
  <si>
    <t>Building Type A (Wing B) = Gr + 1st to 7th Floor</t>
  </si>
  <si>
    <t>1 .Bldg no.1, 4 &amp; 5 (A &amp; B Wing) = All work completed. Please provide OC.
    Building Type A (Wing A) = Construction work is in process at the time of Visit (Slow Speed).
    Building Type A (Wing B) &amp; Type B = Construction work is in process at the time of Visit.
2. We considered Saleable area as per our calculation.
3. We considered Carpet area as per Approved Plan.
4. We considered Gross carpet area = Net carpet + Enclose balcony + Open Balcony + F.B Area
5. We have considered rate by verifying it from market inquire.
6. Car parking is subjected to authentic documentation.
7. Recommended Rates / Other charges of the Property have been revised on 29/03/2024.
8. We have updated Phase III revised approved floor plan &amp; C.C (on 13/04/2024).</t>
  </si>
  <si>
    <t>Kunal Kadam</t>
  </si>
  <si>
    <t>Yadnesh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</si>
</sst>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rgb="FFFF0000"/>
      <name val="Calibri"/>
      <family val="2"/>
      <scheme val="minor"/>
    </font>
    <font>
      <sz val="11"/>
      <color rgb="FFFF0000"/>
      <name val="Calibri"/>
      <family val="2"/>
    </font>
    <font>
      <u/>
      <sz val="11"/>
      <color theme="10"/>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1" fillId="0" borderId="0" applyNumberFormat="0" applyFill="0" applyBorder="0" applyAlignment="0" applyProtection="0"/>
  </cellStyleXfs>
  <cellXfs count="314">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9" fillId="0" borderId="0" xfId="1" applyFont="1" applyAlignment="1">
      <alignment horizontal="center" vertical="top" wrapText="1"/>
    </xf>
    <xf numFmtId="1" fontId="8" fillId="0" borderId="4" xfId="0" applyNumberFormat="1" applyFont="1" applyBorder="1" applyAlignment="1">
      <alignment horizontal="center" vertical="center"/>
    </xf>
    <xf numFmtId="1" fontId="7" fillId="0" borderId="0" xfId="1" applyNumberFormat="1" applyFont="1" applyAlignment="1">
      <alignment horizontal="center" vertical="center" wrapText="1"/>
    </xf>
    <xf numFmtId="1" fontId="7" fillId="0" borderId="0" xfId="1" applyNumberFormat="1" applyFont="1" applyAlignment="1">
      <alignment vertical="center" wrapText="1"/>
    </xf>
    <xf numFmtId="14" fontId="0" fillId="0" borderId="0" xfId="0" applyNumberFormat="1"/>
    <xf numFmtId="14" fontId="6" fillId="0" borderId="0" xfId="5" applyNumberFormat="1"/>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 fillId="0" borderId="4" xfId="6" applyBorder="1" applyAlignment="1">
      <alignment horizontal="left" vertical="center" wrapText="1"/>
    </xf>
    <xf numFmtId="0" fontId="10" fillId="0" borderId="4" xfId="6" applyFont="1" applyBorder="1" applyAlignment="1">
      <alignment horizontal="center" vertical="center"/>
    </xf>
    <xf numFmtId="1" fontId="19" fillId="0" borderId="4" xfId="6" applyNumberFormat="1" applyFont="1" applyBorder="1" applyAlignment="1">
      <alignment horizontal="center" vertical="center"/>
    </xf>
    <xf numFmtId="0" fontId="6" fillId="0" borderId="4" xfId="5" applyBorder="1" applyAlignment="1">
      <alignment horizontal="center" vertical="center"/>
    </xf>
    <xf numFmtId="0" fontId="20" fillId="0" borderId="0" xfId="5" applyFont="1"/>
    <xf numFmtId="0" fontId="14" fillId="0" borderId="4" xfId="1" applyFont="1" applyBorder="1" applyAlignment="1" applyProtection="1">
      <alignment horizontal="center" vertical="top"/>
      <protection locked="0"/>
    </xf>
    <xf numFmtId="0" fontId="8" fillId="0" borderId="0" xfId="1" applyFont="1" applyProtection="1">
      <protection hidden="1"/>
    </xf>
    <xf numFmtId="0" fontId="8" fillId="0" borderId="21" xfId="1" applyFont="1" applyBorder="1" applyProtection="1">
      <protection hidden="1"/>
    </xf>
    <xf numFmtId="0" fontId="17" fillId="0" borderId="0" xfId="0" applyFont="1" applyProtection="1">
      <protection hidden="1"/>
    </xf>
    <xf numFmtId="0" fontId="8" fillId="0" borderId="21" xfId="1" applyFont="1" applyBorder="1"/>
    <xf numFmtId="0" fontId="17" fillId="0" borderId="21" xfId="0" applyFont="1" applyBorder="1" applyProtection="1">
      <protection hidden="1"/>
    </xf>
    <xf numFmtId="1" fontId="0" fillId="0" borderId="21" xfId="0" applyNumberFormat="1" applyBorder="1"/>
    <xf numFmtId="1" fontId="0" fillId="0" borderId="21" xfId="0" applyNumberFormat="1" applyBorder="1" applyAlignment="1">
      <alignment horizontal="right"/>
    </xf>
    <xf numFmtId="0" fontId="17" fillId="0" borderId="30" xfId="0" applyFont="1" applyBorder="1" applyProtection="1">
      <protection hidden="1"/>
    </xf>
    <xf numFmtId="1" fontId="0" fillId="0" borderId="31"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6" xfId="1" applyFont="1" applyBorder="1" applyAlignment="1" applyProtection="1">
      <alignment horizontal="center" wrapText="1"/>
      <protection locked="0"/>
    </xf>
    <xf numFmtId="0" fontId="8" fillId="0" borderId="0" xfId="1" applyFont="1" applyAlignment="1" applyProtection="1">
      <alignment horizontal="center" vertical="center"/>
      <protection hidden="1"/>
    </xf>
    <xf numFmtId="0" fontId="8" fillId="3" borderId="0" xfId="1" applyFont="1" applyFill="1"/>
    <xf numFmtId="14" fontId="8" fillId="3" borderId="0" xfId="1" applyNumberFormat="1" applyFont="1" applyFill="1"/>
    <xf numFmtId="0" fontId="14" fillId="0" borderId="19" xfId="1" applyFont="1" applyBorder="1" applyAlignment="1" applyProtection="1">
      <alignment horizontal="center" vertical="top"/>
      <protection locked="0"/>
    </xf>
    <xf numFmtId="0" fontId="8" fillId="4" borderId="0" xfId="1" applyFont="1" applyFill="1"/>
    <xf numFmtId="14" fontId="8" fillId="4" borderId="0" xfId="1" applyNumberFormat="1" applyFont="1" applyFill="1"/>
    <xf numFmtId="0" fontId="8" fillId="0" borderId="0" xfId="1" applyFont="1" applyAlignment="1">
      <alignment wrapText="1"/>
    </xf>
    <xf numFmtId="0" fontId="11" fillId="0" borderId="0" xfId="1" applyFont="1" applyAlignment="1">
      <alignment horizontal="center" vertical="center"/>
    </xf>
    <xf numFmtId="0" fontId="14" fillId="0" borderId="4" xfId="1" applyFont="1" applyBorder="1" applyAlignment="1">
      <alignment horizontal="center" vertical="center" wrapText="1"/>
    </xf>
    <xf numFmtId="0" fontId="7" fillId="0" borderId="4" xfId="1" applyFont="1" applyBorder="1" applyAlignment="1">
      <alignment horizontal="center" vertical="center"/>
    </xf>
    <xf numFmtId="1" fontId="0" fillId="0" borderId="0" xfId="0" applyNumberFormat="1"/>
    <xf numFmtId="1" fontId="0" fillId="0" borderId="0" xfId="0" applyNumberFormat="1" applyAlignment="1">
      <alignment horizontal="right"/>
    </xf>
    <xf numFmtId="165" fontId="8" fillId="0" borderId="0" xfId="1" applyNumberFormat="1" applyFont="1" applyAlignment="1">
      <alignment horizontal="center" vertical="center"/>
    </xf>
    <xf numFmtId="1" fontId="7" fillId="0" borderId="4" xfId="0" applyNumberFormat="1" applyFont="1" applyBorder="1" applyAlignment="1">
      <alignment horizontal="center" vertical="center" wrapText="1"/>
    </xf>
    <xf numFmtId="0" fontId="8" fillId="0" borderId="19" xfId="1" applyFont="1" applyBorder="1" applyAlignment="1" applyProtection="1">
      <alignment horizontal="center" vertical="top"/>
      <protection locked="0"/>
    </xf>
    <xf numFmtId="0" fontId="8" fillId="0" borderId="4" xfId="1" applyFont="1" applyBorder="1" applyAlignment="1" applyProtection="1">
      <alignment horizontal="center" vertical="top"/>
      <protection locked="0"/>
    </xf>
    <xf numFmtId="0" fontId="17" fillId="0" borderId="2" xfId="0" applyFont="1" applyBorder="1" applyProtection="1">
      <protection hidden="1"/>
    </xf>
    <xf numFmtId="1" fontId="0" fillId="0" borderId="2" xfId="0" applyNumberFormat="1" applyBorder="1"/>
    <xf numFmtId="0" fontId="8" fillId="0" borderId="2" xfId="1" applyFont="1" applyBorder="1"/>
    <xf numFmtId="1" fontId="11" fillId="0" borderId="4" xfId="0" applyNumberFormat="1" applyFont="1" applyBorder="1" applyAlignment="1">
      <alignment horizontal="center" vertical="center"/>
    </xf>
    <xf numFmtId="0" fontId="15" fillId="2" borderId="4" xfId="1" applyFont="1" applyFill="1" applyBorder="1" applyAlignment="1">
      <alignment horizontal="left" vertical="top"/>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4"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4"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1" xfId="1" applyNumberFormat="1" applyFont="1" applyFill="1" applyBorder="1" applyAlignment="1" applyProtection="1">
      <alignment horizontal="center" vertical="center" wrapText="1"/>
      <protection hidden="1"/>
    </xf>
    <xf numFmtId="9" fontId="14" fillId="2" borderId="29"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0" fontId="8" fillId="0" borderId="19" xfId="1" applyFont="1" applyBorder="1" applyAlignment="1" applyProtection="1">
      <alignment horizontal="center" vertical="top"/>
      <protection locked="0"/>
    </xf>
    <xf numFmtId="0" fontId="8" fillId="0" borderId="4" xfId="1" applyFont="1" applyBorder="1" applyAlignment="1" applyProtection="1">
      <alignment horizontal="center" vertical="top"/>
      <protection locked="0"/>
    </xf>
    <xf numFmtId="0" fontId="14" fillId="0" borderId="19"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19"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25" xfId="1" applyFont="1" applyBorder="1" applyAlignment="1" applyProtection="1">
      <alignment horizontal="center" vertical="top"/>
      <protection locked="0"/>
    </xf>
    <xf numFmtId="0" fontId="14" fillId="0" borderId="26" xfId="1" applyFont="1" applyBorder="1" applyAlignment="1" applyProtection="1">
      <alignment horizontal="center" vertical="top"/>
      <protection locked="0"/>
    </xf>
    <xf numFmtId="9" fontId="14" fillId="2" borderId="27" xfId="1" applyNumberFormat="1" applyFont="1" applyFill="1" applyBorder="1" applyAlignment="1" applyProtection="1">
      <alignment horizontal="center" vertical="center" wrapText="1"/>
      <protection hidden="1"/>
    </xf>
    <xf numFmtId="9" fontId="14" fillId="2" borderId="28" xfId="1" applyNumberFormat="1" applyFont="1" applyFill="1" applyBorder="1" applyAlignment="1" applyProtection="1">
      <alignment horizontal="center" vertical="center" wrapText="1"/>
      <protection hidden="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0" fontId="14" fillId="0" borderId="1" xfId="1" applyFont="1" applyBorder="1" applyAlignment="1">
      <alignment horizontal="left" vertical="top" wrapText="1"/>
    </xf>
    <xf numFmtId="0" fontId="14" fillId="0" borderId="3" xfId="1" applyFont="1" applyBorder="1" applyAlignment="1">
      <alignment horizontal="left" vertical="top" wrapText="1"/>
    </xf>
    <xf numFmtId="0" fontId="9" fillId="2" borderId="1" xfId="1" applyFont="1" applyFill="1" applyBorder="1" applyAlignment="1">
      <alignment horizontal="left" vertical="top" wrapText="1"/>
    </xf>
    <xf numFmtId="0" fontId="9" fillId="2" borderId="2" xfId="1" applyFont="1" applyFill="1" applyBorder="1" applyAlignment="1">
      <alignment horizontal="left" vertical="top" wrapText="1"/>
    </xf>
    <xf numFmtId="0" fontId="9" fillId="2" borderId="3" xfId="1" applyFont="1" applyFill="1" applyBorder="1" applyAlignment="1">
      <alignment horizontal="left" vertical="top" wrapText="1"/>
    </xf>
    <xf numFmtId="0" fontId="8" fillId="0" borderId="19" xfId="1" applyFont="1" applyBorder="1" applyAlignment="1" applyProtection="1">
      <alignment horizontal="center" vertical="top" wrapText="1"/>
      <protection locked="0"/>
    </xf>
    <xf numFmtId="0" fontId="8" fillId="0" borderId="4" xfId="1" applyFont="1" applyBorder="1" applyAlignment="1" applyProtection="1">
      <alignment horizontal="center" vertical="top" wrapText="1"/>
      <protection locked="0"/>
    </xf>
    <xf numFmtId="0" fontId="8" fillId="0" borderId="25" xfId="1" applyFont="1" applyBorder="1" applyAlignment="1" applyProtection="1">
      <alignment horizontal="center" vertical="top"/>
      <protection locked="0"/>
    </xf>
    <xf numFmtId="0" fontId="8" fillId="0" borderId="26" xfId="1" applyFont="1" applyBorder="1" applyAlignment="1" applyProtection="1">
      <alignment horizontal="center" vertical="top"/>
      <protection locked="0"/>
    </xf>
    <xf numFmtId="0" fontId="11" fillId="0" borderId="19"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25" xfId="1" applyFont="1" applyBorder="1" applyAlignment="1" applyProtection="1">
      <alignment horizontal="center" vertical="center"/>
      <protection locked="0"/>
    </xf>
    <xf numFmtId="0" fontId="11" fillId="0" borderId="26" xfId="1" applyFont="1" applyBorder="1" applyAlignment="1" applyProtection="1">
      <alignment horizontal="center" vertical="center"/>
      <protection locked="0"/>
    </xf>
    <xf numFmtId="9" fontId="15" fillId="0" borderId="4" xfId="1" applyNumberFormat="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0" borderId="26" xfId="1" applyFont="1" applyBorder="1" applyAlignment="1" applyProtection="1">
      <alignment horizontal="center" vertical="center" wrapText="1"/>
      <protection locked="0"/>
    </xf>
    <xf numFmtId="0" fontId="14" fillId="0" borderId="4" xfId="1" applyFont="1" applyBorder="1" applyAlignment="1">
      <alignment horizontal="center" vertical="center" wrapText="1"/>
    </xf>
    <xf numFmtId="0" fontId="15" fillId="0" borderId="14" xfId="1" applyFont="1" applyBorder="1" applyAlignment="1" applyProtection="1">
      <alignment horizontal="center" vertical="top"/>
      <protection locked="0"/>
    </xf>
    <xf numFmtId="0" fontId="15" fillId="0" borderId="15"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0"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2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0" fontId="14" fillId="0" borderId="23" xfId="1" applyFont="1" applyBorder="1" applyAlignment="1" applyProtection="1">
      <alignment horizontal="center" vertical="top" wrapText="1"/>
      <protection locked="0"/>
    </xf>
    <xf numFmtId="0" fontId="15" fillId="0" borderId="23" xfId="1" applyFont="1" applyBorder="1" applyAlignment="1" applyProtection="1">
      <alignment horizontal="center" vertical="center" wrapText="1"/>
      <protection locked="0"/>
    </xf>
    <xf numFmtId="0" fontId="15" fillId="0" borderId="32" xfId="1" applyFont="1" applyBorder="1" applyAlignment="1" applyProtection="1">
      <alignment horizontal="center" vertical="center" wrapText="1"/>
      <protection locked="0"/>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8" fillId="0" borderId="1" xfId="1" applyNumberFormat="1" applyFont="1" applyBorder="1" applyAlignment="1">
      <alignment horizontal="center"/>
    </xf>
    <xf numFmtId="1" fontId="8" fillId="0" borderId="3" xfId="1" applyNumberFormat="1" applyFont="1" applyBorder="1" applyAlignment="1">
      <alignment horizontal="center"/>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9" fillId="5" borderId="1" xfId="1" applyNumberFormat="1" applyFont="1" applyFill="1" applyBorder="1" applyAlignment="1">
      <alignment horizontal="center" vertical="center" wrapText="1"/>
    </xf>
    <xf numFmtId="1" fontId="9" fillId="5" borderId="2" xfId="1" applyNumberFormat="1" applyFont="1" applyFill="1" applyBorder="1" applyAlignment="1">
      <alignment horizontal="center" vertical="center" wrapText="1"/>
    </xf>
    <xf numFmtId="1" fontId="9" fillId="5" borderId="3" xfId="1"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7" fillId="0" borderId="4" xfId="0" applyNumberFormat="1" applyFont="1" applyBorder="1" applyAlignment="1">
      <alignment horizontal="center" vertical="center" wrapText="1"/>
    </xf>
    <xf numFmtId="0" fontId="14" fillId="0" borderId="22" xfId="1" applyFont="1" applyBorder="1" applyAlignment="1" applyProtection="1">
      <alignment horizontal="center" vertical="top"/>
      <protection locked="0"/>
    </xf>
    <xf numFmtId="0" fontId="11" fillId="0" borderId="14" xfId="1" applyFont="1" applyBorder="1" applyAlignment="1" applyProtection="1">
      <alignment horizontal="center" vertical="top"/>
      <protection locked="0"/>
    </xf>
    <xf numFmtId="0" fontId="11" fillId="0" borderId="15" xfId="1" applyFont="1" applyBorder="1" applyAlignment="1" applyProtection="1">
      <alignment horizontal="center"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1" fontId="7" fillId="0" borderId="0" xfId="1" applyNumberFormat="1" applyFont="1" applyAlignment="1">
      <alignment horizontal="center" vertical="center" wrapText="1"/>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xf numFmtId="0" fontId="14" fillId="0" borderId="4" xfId="1" applyFont="1" applyBorder="1" applyAlignment="1">
      <alignment horizontal="center" vertical="top"/>
    </xf>
    <xf numFmtId="0" fontId="7" fillId="0" borderId="1" xfId="1" applyFont="1" applyBorder="1" applyAlignment="1">
      <alignment horizontal="left"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7" fillId="0" borderId="4" xfId="1" applyFont="1" applyBorder="1" applyAlignment="1">
      <alignment horizontal="center" vertical="top"/>
    </xf>
    <xf numFmtId="0" fontId="7" fillId="0" borderId="3" xfId="1" applyFont="1" applyBorder="1" applyAlignment="1">
      <alignment horizontal="center"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10" xfId="1" applyFont="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1" xfId="1" applyFont="1" applyFill="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left" vertical="top" wrapText="1"/>
    </xf>
    <xf numFmtId="0" fontId="14" fillId="0" borderId="4" xfId="1" applyFont="1" applyBorder="1" applyAlignment="1">
      <alignment horizontal="left" vertical="top"/>
    </xf>
    <xf numFmtId="0" fontId="7" fillId="0" borderId="1" xfId="1" applyFont="1" applyBorder="1" applyAlignment="1">
      <alignment horizontal="center" vertical="center" wrapText="1"/>
    </xf>
    <xf numFmtId="0" fontId="7" fillId="0" borderId="3" xfId="1" applyFont="1" applyBorder="1" applyAlignment="1">
      <alignment horizontal="center" vertical="center"/>
    </xf>
    <xf numFmtId="0" fontId="7" fillId="0" borderId="1" xfId="1" applyFont="1" applyBorder="1" applyAlignment="1">
      <alignment horizontal="center" vertical="top" wrapText="1"/>
    </xf>
    <xf numFmtId="0" fontId="7" fillId="0" borderId="2" xfId="1" applyFont="1" applyBorder="1" applyAlignment="1">
      <alignment horizontal="left" vertical="top" wrapText="1"/>
    </xf>
    <xf numFmtId="0" fontId="7" fillId="0" borderId="1" xfId="1" applyFont="1" applyBorder="1" applyAlignment="1">
      <alignment horizontal="center"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7" fillId="0" borderId="4" xfId="1" applyFont="1" applyBorder="1" applyAlignment="1">
      <alignment horizontal="left" vertical="top"/>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9" fillId="0" borderId="1"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14" fillId="0" borderId="2" xfId="1" applyFont="1" applyBorder="1" applyAlignment="1">
      <alignment horizontal="left" vertical="top" wrapText="1"/>
    </xf>
    <xf numFmtId="0" fontId="7" fillId="0" borderId="4" xfId="1" applyFont="1" applyBorder="1" applyAlignment="1">
      <alignment horizontal="left" vertical="top" wrapText="1"/>
    </xf>
    <xf numFmtId="0" fontId="7" fillId="2" borderId="4" xfId="1" applyFont="1" applyFill="1" applyBorder="1" applyAlignment="1">
      <alignment horizontal="left" vertical="top"/>
    </xf>
    <xf numFmtId="0" fontId="7" fillId="0" borderId="6" xfId="1" applyFont="1" applyBorder="1" applyAlignment="1">
      <alignment horizontal="left" vertical="top" wrapText="1"/>
    </xf>
    <xf numFmtId="0" fontId="7" fillId="0" borderId="9" xfId="1" applyFont="1" applyBorder="1" applyAlignment="1">
      <alignment horizontal="left" vertical="top" wrapText="1"/>
    </xf>
    <xf numFmtId="0" fontId="15" fillId="0" borderId="3" xfId="1" applyFont="1" applyBorder="1" applyAlignment="1">
      <alignment horizontal="left" vertical="top" wrapText="1"/>
    </xf>
    <xf numFmtId="0" fontId="9" fillId="0" borderId="1"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2" xfId="1" applyFont="1" applyBorder="1" applyAlignment="1">
      <alignment horizontal="left" vertical="top" wrapText="1"/>
    </xf>
    <xf numFmtId="0" fontId="14" fillId="0" borderId="4" xfId="1" applyFont="1" applyBorder="1" applyAlignment="1">
      <alignment horizontal="left" vertical="center" wrapText="1"/>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Border="1" applyAlignment="1">
      <alignment horizontal="left" vertical="top" wrapText="1"/>
    </xf>
    <xf numFmtId="0" fontId="11" fillId="0" borderId="4" xfId="2" applyFont="1" applyBorder="1" applyAlignment="1">
      <alignment horizontal="left" vertical="top" wrapText="1"/>
    </xf>
    <xf numFmtId="0" fontId="21" fillId="0" borderId="1" xfId="8" applyFill="1" applyBorder="1" applyAlignment="1">
      <alignment horizontal="left" vertical="top"/>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10" fillId="0" borderId="4" xfId="6" applyFont="1" applyBorder="1" applyAlignment="1">
      <alignment horizontal="left"/>
    </xf>
    <xf numFmtId="0" fontId="0" fillId="3" borderId="4" xfId="0" applyFill="1" applyBorder="1" applyAlignment="1">
      <alignment horizontal="center" wrapText="1"/>
    </xf>
    <xf numFmtId="0" fontId="10" fillId="0" borderId="4" xfId="0" applyFont="1" applyBorder="1" applyAlignment="1">
      <alignment horizontal="center"/>
    </xf>
    <xf numFmtId="0" fontId="15" fillId="0" borderId="33" xfId="1" applyFont="1" applyBorder="1" applyAlignment="1" applyProtection="1">
      <alignment horizontal="center" vertical="top"/>
      <protection locked="0"/>
    </xf>
    <xf numFmtId="0" fontId="15" fillId="0" borderId="10" xfId="1" applyFont="1" applyBorder="1" applyAlignment="1" applyProtection="1">
      <alignment horizontal="center" vertical="top"/>
      <protection locked="0"/>
    </xf>
    <xf numFmtId="0" fontId="15" fillId="0" borderId="3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7" fillId="2" borderId="4" xfId="1" applyFont="1" applyFill="1" applyBorder="1" applyAlignment="1">
      <alignment horizontal="left" vertical="top" wrapText="1"/>
    </xf>
    <xf numFmtId="14" fontId="7" fillId="2" borderId="4" xfId="1" applyNumberFormat="1" applyFont="1" applyFill="1" applyBorder="1" applyAlignment="1">
      <alignment horizontal="left" vertical="top"/>
    </xf>
    <xf numFmtId="0" fontId="15" fillId="0" borderId="4" xfId="1" applyFont="1" applyBorder="1" applyAlignment="1">
      <alignment horizontal="left" vertical="top" wrapText="1"/>
    </xf>
    <xf numFmtId="0" fontId="15" fillId="2" borderId="4" xfId="1" applyFont="1" applyFill="1" applyBorder="1" applyAlignment="1">
      <alignment horizontal="left" vertical="top" wrapText="1"/>
    </xf>
    <xf numFmtId="0" fontId="15" fillId="2" borderId="4" xfId="1" applyFont="1" applyFill="1" applyBorder="1" applyAlignment="1">
      <alignment horizontal="left" vertical="top"/>
    </xf>
    <xf numFmtId="0" fontId="9" fillId="0" borderId="4" xfId="1" applyFont="1" applyBorder="1" applyAlignment="1">
      <alignment horizontal="left" vertical="top" wrapText="1"/>
    </xf>
    <xf numFmtId="0" fontId="7" fillId="0" borderId="4" xfId="1" applyFont="1" applyBorder="1" applyAlignment="1">
      <alignment horizontal="center" vertical="center"/>
    </xf>
    <xf numFmtId="14" fontId="7" fillId="0" borderId="4" xfId="1" applyNumberFormat="1" applyFont="1" applyBorder="1" applyAlignment="1">
      <alignment horizontal="center" vertical="top"/>
    </xf>
    <xf numFmtId="0" fontId="9" fillId="0" borderId="4" xfId="1" applyFont="1" applyBorder="1" applyAlignment="1">
      <alignment vertical="top"/>
    </xf>
    <xf numFmtId="2" fontId="7" fillId="0" borderId="4" xfId="1" applyNumberFormat="1" applyFont="1" applyBorder="1" applyAlignment="1">
      <alignment horizontal="center" vertical="center"/>
    </xf>
    <xf numFmtId="0" fontId="8" fillId="0" borderId="26" xfId="1" applyFont="1" applyBorder="1" applyAlignment="1">
      <alignment horizontal="left" vertical="top"/>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1.jpeg"/><Relationship Id="rId18" Type="http://schemas.openxmlformats.org/officeDocument/2006/relationships/image" Target="../media/image16.jpeg"/><Relationship Id="rId26" Type="http://schemas.openxmlformats.org/officeDocument/2006/relationships/image" Target="../media/image24.jpeg"/><Relationship Id="rId21" Type="http://schemas.openxmlformats.org/officeDocument/2006/relationships/image" Target="../media/image19.jpeg"/><Relationship Id="rId34" Type="http://schemas.openxmlformats.org/officeDocument/2006/relationships/image" Target="../media/image32.jpeg"/><Relationship Id="rId7" Type="http://schemas.openxmlformats.org/officeDocument/2006/relationships/image" Target="../media/image5.png"/><Relationship Id="rId12" Type="http://schemas.openxmlformats.org/officeDocument/2006/relationships/image" Target="../media/image10.jpeg"/><Relationship Id="rId17" Type="http://schemas.openxmlformats.org/officeDocument/2006/relationships/image" Target="../media/image15.jpeg"/><Relationship Id="rId25" Type="http://schemas.openxmlformats.org/officeDocument/2006/relationships/image" Target="../media/image23.jpeg"/><Relationship Id="rId33" Type="http://schemas.openxmlformats.org/officeDocument/2006/relationships/image" Target="../media/image31.jpeg"/><Relationship Id="rId2" Type="http://schemas.microsoft.com/office/2007/relationships/hdphoto" Target="../media/hdphoto1.wdp"/><Relationship Id="rId16" Type="http://schemas.openxmlformats.org/officeDocument/2006/relationships/image" Target="../media/image14.jpeg"/><Relationship Id="rId20" Type="http://schemas.openxmlformats.org/officeDocument/2006/relationships/image" Target="../media/image18.jpeg"/><Relationship Id="rId29" Type="http://schemas.openxmlformats.org/officeDocument/2006/relationships/image" Target="../media/image27.jpe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jpeg"/><Relationship Id="rId24" Type="http://schemas.openxmlformats.org/officeDocument/2006/relationships/image" Target="../media/image22.jpeg"/><Relationship Id="rId32" Type="http://schemas.openxmlformats.org/officeDocument/2006/relationships/image" Target="../media/image30.jpeg"/><Relationship Id="rId37" Type="http://schemas.openxmlformats.org/officeDocument/2006/relationships/image" Target="../media/image35.jpeg"/><Relationship Id="rId5" Type="http://schemas.openxmlformats.org/officeDocument/2006/relationships/image" Target="../media/image3.png"/><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jpeg"/><Relationship Id="rId36" Type="http://schemas.openxmlformats.org/officeDocument/2006/relationships/image" Target="../media/image34.jpeg"/><Relationship Id="rId10" Type="http://schemas.openxmlformats.org/officeDocument/2006/relationships/image" Target="../media/image8.jpeg"/><Relationship Id="rId19" Type="http://schemas.openxmlformats.org/officeDocument/2006/relationships/image" Target="../media/image17.jpeg"/><Relationship Id="rId31" Type="http://schemas.openxmlformats.org/officeDocument/2006/relationships/image" Target="../media/image29.jpeg"/><Relationship Id="rId4" Type="http://schemas.microsoft.com/office/2007/relationships/hdphoto" Target="../media/hdphoto2.wdp"/><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jpeg"/><Relationship Id="rId27" Type="http://schemas.openxmlformats.org/officeDocument/2006/relationships/image" Target="../media/image25.jpeg"/><Relationship Id="rId30" Type="http://schemas.openxmlformats.org/officeDocument/2006/relationships/image" Target="../media/image28.jpeg"/><Relationship Id="rId35" Type="http://schemas.openxmlformats.org/officeDocument/2006/relationships/image" Target="../media/image33.jpeg"/><Relationship Id="rId8" Type="http://schemas.openxmlformats.org/officeDocument/2006/relationships/image" Target="../media/image6.jpe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jpeg"/><Relationship Id="rId4" Type="http://schemas.openxmlformats.org/officeDocument/2006/relationships/image" Target="../media/image4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xdr:from>
      <xdr:col>11</xdr:col>
      <xdr:colOff>395141</xdr:colOff>
      <xdr:row>210</xdr:row>
      <xdr:rowOff>38712</xdr:rowOff>
    </xdr:from>
    <xdr:to>
      <xdr:col>13</xdr:col>
      <xdr:colOff>595318</xdr:colOff>
      <xdr:row>212</xdr:row>
      <xdr:rowOff>159429</xdr:rowOff>
    </xdr:to>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7729391" y="42035303"/>
          <a:ext cx="1412450" cy="51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000" b="1">
              <a:solidFill>
                <a:srgbClr val="FFFF00"/>
              </a:solidFill>
            </a:rPr>
            <a:t>Bldg No. 1</a:t>
          </a:r>
        </a:p>
      </xdr:txBody>
    </xdr:sp>
    <xdr:clientData/>
  </xdr:twoCellAnchor>
  <xdr:twoCellAnchor editAs="oneCell">
    <xdr:from>
      <xdr:col>2</xdr:col>
      <xdr:colOff>348952</xdr:colOff>
      <xdr:row>329</xdr:row>
      <xdr:rowOff>43881</xdr:rowOff>
    </xdr:from>
    <xdr:to>
      <xdr:col>7</xdr:col>
      <xdr:colOff>0</xdr:colOff>
      <xdr:row>345</xdr:row>
      <xdr:rowOff>148490</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cstate="screen">
          <a:extLst>
            <a:ext uri="{BEBA8EAE-BF5A-486C-A8C5-ECC9F3942E4B}">
              <a14:imgProps xmlns:a14="http://schemas.microsoft.com/office/drawing/2010/main">
                <a14:imgLayer r:embed="rId2">
                  <a14:imgEffect>
                    <a14:artisticPhotocopy/>
                  </a14:imgEffect>
                  <a14:imgEffect>
                    <a14:colorTemperature colorTemp="4700"/>
                  </a14:imgEffect>
                  <a14:imgEffect>
                    <a14:brightnessContrast contrast="40000"/>
                  </a14:imgEffect>
                </a14:imgLayer>
              </a14:imgProps>
            </a:ext>
            <a:ext uri="{28A0092B-C50C-407E-A947-70E740481C1C}">
              <a14:useLocalDpi xmlns:a14="http://schemas.microsoft.com/office/drawing/2010/main"/>
            </a:ext>
          </a:extLst>
        </a:blip>
        <a:srcRect/>
        <a:stretch/>
      </xdr:blipFill>
      <xdr:spPr>
        <a:xfrm>
          <a:off x="1911052" y="65004381"/>
          <a:ext cx="2813348" cy="3305007"/>
        </a:xfrm>
        <a:prstGeom prst="rect">
          <a:avLst/>
        </a:prstGeom>
        <a:ln>
          <a:solidFill>
            <a:schemeClr val="tx1"/>
          </a:solidFill>
        </a:ln>
      </xdr:spPr>
    </xdr:pic>
    <xdr:clientData/>
  </xdr:twoCellAnchor>
  <xdr:twoCellAnchor>
    <xdr:from>
      <xdr:col>0</xdr:col>
      <xdr:colOff>388792</xdr:colOff>
      <xdr:row>346</xdr:row>
      <xdr:rowOff>85674</xdr:rowOff>
    </xdr:from>
    <xdr:to>
      <xdr:col>9</xdr:col>
      <xdr:colOff>440314</xdr:colOff>
      <xdr:row>367</xdr:row>
      <xdr:rowOff>13361</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388792" y="75020754"/>
          <a:ext cx="6345642" cy="4088207"/>
          <a:chOff x="340951" y="4328168"/>
          <a:chExt cx="6176097" cy="4128212"/>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3" cstate="screen">
            <a:extLst>
              <a:ext uri="{BEBA8EAE-BF5A-486C-A8C5-ECC9F3942E4B}">
                <a14:imgProps xmlns:a14="http://schemas.microsoft.com/office/drawing/2010/main">
                  <a14:imgLayer r:embed="rId4">
                    <a14:imgEffect>
                      <a14:artisticPhotocopy/>
                    </a14:imgEffect>
                    <a14:imgEffect>
                      <a14:colorTemperature colorTemp="4700"/>
                    </a14:imgEffect>
                    <a14:imgEffect>
                      <a14:brightnessContrast contrast="20000"/>
                    </a14:imgEffect>
                  </a14:imgLayer>
                </a14:imgProps>
              </a:ext>
              <a:ext uri="{28A0092B-C50C-407E-A947-70E740481C1C}">
                <a14:useLocalDpi xmlns:a14="http://schemas.microsoft.com/office/drawing/2010/main"/>
              </a:ext>
            </a:extLst>
          </a:blip>
          <a:srcRect l="-184"/>
          <a:stretch/>
        </xdr:blipFill>
        <xdr:spPr>
          <a:xfrm>
            <a:off x="340951" y="4328168"/>
            <a:ext cx="6176097" cy="4128212"/>
          </a:xfrm>
          <a:prstGeom prst="rect">
            <a:avLst/>
          </a:prstGeom>
          <a:ln>
            <a:solidFill>
              <a:schemeClr val="tx1"/>
            </a:solidFill>
          </a:ln>
        </xdr:spPr>
      </xdr:pic>
      <xdr:sp macro="" textlink="">
        <xdr:nvSpPr>
          <xdr:cNvPr id="30" name="Rectangle 29">
            <a:extLst>
              <a:ext uri="{FF2B5EF4-FFF2-40B4-BE49-F238E27FC236}">
                <a16:creationId xmlns:a16="http://schemas.microsoft.com/office/drawing/2014/main" id="{00000000-0008-0000-0000-00001E000000}"/>
              </a:ext>
            </a:extLst>
          </xdr:cNvPr>
          <xdr:cNvSpPr/>
        </xdr:nvSpPr>
        <xdr:spPr>
          <a:xfrm>
            <a:off x="3438525" y="5257800"/>
            <a:ext cx="1571625" cy="609600"/>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L-Shape 30">
            <a:extLst>
              <a:ext uri="{FF2B5EF4-FFF2-40B4-BE49-F238E27FC236}">
                <a16:creationId xmlns:a16="http://schemas.microsoft.com/office/drawing/2014/main" id="{00000000-0008-0000-0000-00001F000000}"/>
              </a:ext>
            </a:extLst>
          </xdr:cNvPr>
          <xdr:cNvSpPr/>
        </xdr:nvSpPr>
        <xdr:spPr>
          <a:xfrm rot="10800000">
            <a:off x="5047913" y="5322879"/>
            <a:ext cx="847725" cy="838200"/>
          </a:xfrm>
          <a:prstGeom prst="corner">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TextBox 11">
            <a:extLst>
              <a:ext uri="{FF2B5EF4-FFF2-40B4-BE49-F238E27FC236}">
                <a16:creationId xmlns:a16="http://schemas.microsoft.com/office/drawing/2014/main" id="{00000000-0008-0000-0000-000020000000}"/>
              </a:ext>
            </a:extLst>
          </xdr:cNvPr>
          <xdr:cNvSpPr txBox="1"/>
        </xdr:nvSpPr>
        <xdr:spPr>
          <a:xfrm>
            <a:off x="3614759" y="5797749"/>
            <a:ext cx="214884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0000FF"/>
                </a:solidFill>
                <a:latin typeface="Times New Roman" panose="02020603050405020304" pitchFamily="18" charset="0"/>
                <a:cs typeface="Times New Roman" panose="02020603050405020304" pitchFamily="18" charset="0"/>
              </a:rPr>
              <a:t>Building Type A</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129148" y="4990326"/>
            <a:ext cx="128875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0000FF"/>
                </a:solidFill>
                <a:latin typeface="Times New Roman" panose="02020603050405020304" pitchFamily="18" charset="0"/>
                <a:cs typeface="Times New Roman" panose="02020603050405020304" pitchFamily="18" charset="0"/>
              </a:rPr>
              <a:t>Building Type B</a:t>
            </a:r>
          </a:p>
        </xdr:txBody>
      </xdr:sp>
      <xdr:cxnSp macro="">
        <xdr:nvCxnSpPr>
          <xdr:cNvPr id="34" name="Straight Arrow Connector 33">
            <a:extLst>
              <a:ext uri="{FF2B5EF4-FFF2-40B4-BE49-F238E27FC236}">
                <a16:creationId xmlns:a16="http://schemas.microsoft.com/office/drawing/2014/main" id="{00000000-0008-0000-0000-000022000000}"/>
              </a:ext>
            </a:extLst>
          </xdr:cNvPr>
          <xdr:cNvCxnSpPr>
            <a:endCxn id="30" idx="0"/>
          </xdr:cNvCxnSpPr>
        </xdr:nvCxnSpPr>
        <xdr:spPr>
          <a:xfrm flipH="1">
            <a:off x="4224338" y="4835507"/>
            <a:ext cx="530988" cy="42229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a:extLst>
              <a:ext uri="{FF2B5EF4-FFF2-40B4-BE49-F238E27FC236}">
                <a16:creationId xmlns:a16="http://schemas.microsoft.com/office/drawing/2014/main" id="{00000000-0008-0000-0000-000023000000}"/>
              </a:ext>
            </a:extLst>
          </xdr:cNvPr>
          <xdr:cNvCxnSpPr/>
        </xdr:nvCxnSpPr>
        <xdr:spPr>
          <a:xfrm>
            <a:off x="4719616" y="4842720"/>
            <a:ext cx="447336" cy="43523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TextBox 30">
            <a:extLst>
              <a:ext uri="{FF2B5EF4-FFF2-40B4-BE49-F238E27FC236}">
                <a16:creationId xmlns:a16="http://schemas.microsoft.com/office/drawing/2014/main" id="{00000000-0008-0000-0000-000024000000}"/>
              </a:ext>
            </a:extLst>
          </xdr:cNvPr>
          <xdr:cNvSpPr txBox="1"/>
        </xdr:nvSpPr>
        <xdr:spPr>
          <a:xfrm>
            <a:off x="3735705" y="4391681"/>
            <a:ext cx="1612561"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0000FF"/>
                </a:solidFill>
                <a:latin typeface="Times New Roman" panose="02020603050405020304" pitchFamily="18" charset="0"/>
                <a:cs typeface="Times New Roman" panose="02020603050405020304" pitchFamily="18" charset="0"/>
              </a:rPr>
              <a:t>Vrindavan Complex Phase III</a:t>
            </a:r>
          </a:p>
        </xdr:txBody>
      </xdr:sp>
      <xdr:sp macro="" textlink="">
        <xdr:nvSpPr>
          <xdr:cNvPr id="37" name="Rectangle 36">
            <a:extLst>
              <a:ext uri="{FF2B5EF4-FFF2-40B4-BE49-F238E27FC236}">
                <a16:creationId xmlns:a16="http://schemas.microsoft.com/office/drawing/2014/main" id="{00000000-0008-0000-0000-000025000000}"/>
              </a:ext>
            </a:extLst>
          </xdr:cNvPr>
          <xdr:cNvSpPr/>
        </xdr:nvSpPr>
        <xdr:spPr>
          <a:xfrm>
            <a:off x="1116046" y="5464893"/>
            <a:ext cx="676049" cy="1027240"/>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L-Shape 37">
            <a:extLst>
              <a:ext uri="{FF2B5EF4-FFF2-40B4-BE49-F238E27FC236}">
                <a16:creationId xmlns:a16="http://schemas.microsoft.com/office/drawing/2014/main" id="{00000000-0008-0000-0000-000026000000}"/>
              </a:ext>
            </a:extLst>
          </xdr:cNvPr>
          <xdr:cNvSpPr/>
        </xdr:nvSpPr>
        <xdr:spPr>
          <a:xfrm rot="20104250">
            <a:off x="1332660" y="6868990"/>
            <a:ext cx="807316" cy="669194"/>
          </a:xfrm>
          <a:prstGeom prst="corner">
            <a:avLst>
              <a:gd name="adj1" fmla="val 58651"/>
              <a:gd name="adj2" fmla="val 77127"/>
            </a:avLst>
          </a:pr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Rectangle 38">
            <a:extLst>
              <a:ext uri="{FF2B5EF4-FFF2-40B4-BE49-F238E27FC236}">
                <a16:creationId xmlns:a16="http://schemas.microsoft.com/office/drawing/2014/main" id="{00000000-0008-0000-0000-000027000000}"/>
              </a:ext>
            </a:extLst>
          </xdr:cNvPr>
          <xdr:cNvSpPr/>
        </xdr:nvSpPr>
        <xdr:spPr>
          <a:xfrm rot="4032737">
            <a:off x="2555619" y="6149106"/>
            <a:ext cx="520245" cy="1332201"/>
          </a:xfrm>
          <a:prstGeom prst="rect">
            <a:avLst/>
          </a:pr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0" name="TextBox 46">
            <a:extLst>
              <a:ext uri="{FF2B5EF4-FFF2-40B4-BE49-F238E27FC236}">
                <a16:creationId xmlns:a16="http://schemas.microsoft.com/office/drawing/2014/main" id="{00000000-0008-0000-0000-000028000000}"/>
              </a:ext>
            </a:extLst>
          </xdr:cNvPr>
          <xdr:cNvSpPr txBox="1"/>
        </xdr:nvSpPr>
        <xdr:spPr>
          <a:xfrm rot="19969919">
            <a:off x="1030029" y="6624399"/>
            <a:ext cx="113869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CC0000"/>
                </a:solidFill>
                <a:latin typeface="Times New Roman" panose="02020603050405020304" pitchFamily="18" charset="0"/>
                <a:cs typeface="Times New Roman" panose="02020603050405020304" pitchFamily="18" charset="0"/>
              </a:rPr>
              <a:t>Building No.4</a:t>
            </a:r>
          </a:p>
        </xdr:txBody>
      </xdr:sp>
      <xdr:sp macro="" textlink="">
        <xdr:nvSpPr>
          <xdr:cNvPr id="41" name="TextBox 47">
            <a:extLst>
              <a:ext uri="{FF2B5EF4-FFF2-40B4-BE49-F238E27FC236}">
                <a16:creationId xmlns:a16="http://schemas.microsoft.com/office/drawing/2014/main" id="{00000000-0008-0000-0000-000029000000}"/>
              </a:ext>
            </a:extLst>
          </xdr:cNvPr>
          <xdr:cNvSpPr txBox="1"/>
        </xdr:nvSpPr>
        <xdr:spPr>
          <a:xfrm rot="20208361">
            <a:off x="2390310" y="6975856"/>
            <a:ext cx="113869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CC0000"/>
                </a:solidFill>
                <a:latin typeface="Times New Roman" panose="02020603050405020304" pitchFamily="18" charset="0"/>
                <a:cs typeface="Times New Roman" panose="02020603050405020304" pitchFamily="18" charset="0"/>
              </a:rPr>
              <a:t>Building No.5</a:t>
            </a:r>
          </a:p>
        </xdr:txBody>
      </xdr:sp>
      <xdr:sp macro="" textlink="">
        <xdr:nvSpPr>
          <xdr:cNvPr id="42" name="TextBox 48">
            <a:extLst>
              <a:ext uri="{FF2B5EF4-FFF2-40B4-BE49-F238E27FC236}">
                <a16:creationId xmlns:a16="http://schemas.microsoft.com/office/drawing/2014/main" id="{00000000-0008-0000-0000-00002A000000}"/>
              </a:ext>
            </a:extLst>
          </xdr:cNvPr>
          <xdr:cNvSpPr txBox="1"/>
        </xdr:nvSpPr>
        <xdr:spPr>
          <a:xfrm rot="16200000">
            <a:off x="442327" y="5840013"/>
            <a:ext cx="113869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CC0000"/>
                </a:solidFill>
                <a:latin typeface="Times New Roman" panose="02020603050405020304" pitchFamily="18" charset="0"/>
                <a:cs typeface="Times New Roman" panose="02020603050405020304" pitchFamily="18" charset="0"/>
              </a:rPr>
              <a:t>Building No.1</a:t>
            </a:r>
          </a:p>
        </xdr:txBody>
      </xdr:sp>
      <xdr:sp macro="" textlink="">
        <xdr:nvSpPr>
          <xdr:cNvPr id="43" name="TextBox 49">
            <a:extLst>
              <a:ext uri="{FF2B5EF4-FFF2-40B4-BE49-F238E27FC236}">
                <a16:creationId xmlns:a16="http://schemas.microsoft.com/office/drawing/2014/main" id="{00000000-0008-0000-0000-00002B000000}"/>
              </a:ext>
            </a:extLst>
          </xdr:cNvPr>
          <xdr:cNvSpPr txBox="1"/>
        </xdr:nvSpPr>
        <xdr:spPr>
          <a:xfrm>
            <a:off x="488321" y="7937655"/>
            <a:ext cx="1612561"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CC0000"/>
                </a:solidFill>
                <a:latin typeface="Times New Roman" panose="02020603050405020304" pitchFamily="18" charset="0"/>
                <a:cs typeface="Times New Roman" panose="02020603050405020304" pitchFamily="18" charset="0"/>
              </a:rPr>
              <a:t>Vrindavan Complex Phase II</a:t>
            </a:r>
          </a:p>
        </xdr:txBody>
      </xdr:sp>
      <xdr:cxnSp macro="">
        <xdr:nvCxnSpPr>
          <xdr:cNvPr id="44" name="Straight Arrow Connector 43">
            <a:extLst>
              <a:ext uri="{FF2B5EF4-FFF2-40B4-BE49-F238E27FC236}">
                <a16:creationId xmlns:a16="http://schemas.microsoft.com/office/drawing/2014/main" id="{00000000-0008-0000-0000-00002C000000}"/>
              </a:ext>
            </a:extLst>
          </xdr:cNvPr>
          <xdr:cNvCxnSpPr/>
        </xdr:nvCxnSpPr>
        <xdr:spPr>
          <a:xfrm flipV="1">
            <a:off x="880739" y="6478906"/>
            <a:ext cx="261875" cy="1455539"/>
          </a:xfrm>
          <a:prstGeom prst="straightConnector1">
            <a:avLst/>
          </a:prstGeom>
          <a:ln>
            <a:solidFill>
              <a:srgbClr val="CC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a:extLst>
              <a:ext uri="{FF2B5EF4-FFF2-40B4-BE49-F238E27FC236}">
                <a16:creationId xmlns:a16="http://schemas.microsoft.com/office/drawing/2014/main" id="{00000000-0008-0000-0000-00002D000000}"/>
              </a:ext>
            </a:extLst>
          </xdr:cNvPr>
          <xdr:cNvCxnSpPr/>
        </xdr:nvCxnSpPr>
        <xdr:spPr>
          <a:xfrm flipH="1" flipV="1">
            <a:off x="1533525" y="7677151"/>
            <a:ext cx="128588" cy="260504"/>
          </a:xfrm>
          <a:prstGeom prst="straightConnector1">
            <a:avLst/>
          </a:prstGeom>
          <a:ln>
            <a:solidFill>
              <a:srgbClr val="CC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a:extLst>
              <a:ext uri="{FF2B5EF4-FFF2-40B4-BE49-F238E27FC236}">
                <a16:creationId xmlns:a16="http://schemas.microsoft.com/office/drawing/2014/main" id="{00000000-0008-0000-0000-00002E000000}"/>
              </a:ext>
            </a:extLst>
          </xdr:cNvPr>
          <xdr:cNvCxnSpPr/>
        </xdr:nvCxnSpPr>
        <xdr:spPr>
          <a:xfrm flipV="1">
            <a:off x="1662113" y="7313021"/>
            <a:ext cx="701531" cy="624635"/>
          </a:xfrm>
          <a:prstGeom prst="straightConnector1">
            <a:avLst/>
          </a:prstGeom>
          <a:ln>
            <a:solidFill>
              <a:srgbClr val="CC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Rectangle 46">
            <a:extLst>
              <a:ext uri="{FF2B5EF4-FFF2-40B4-BE49-F238E27FC236}">
                <a16:creationId xmlns:a16="http://schemas.microsoft.com/office/drawing/2014/main" id="{00000000-0008-0000-0000-00002F000000}"/>
              </a:ext>
            </a:extLst>
          </xdr:cNvPr>
          <xdr:cNvSpPr/>
        </xdr:nvSpPr>
        <xdr:spPr>
          <a:xfrm>
            <a:off x="1801621" y="5459981"/>
            <a:ext cx="659554" cy="434066"/>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2482570" y="5459981"/>
            <a:ext cx="659554" cy="434066"/>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91">
            <a:extLst>
              <a:ext uri="{FF2B5EF4-FFF2-40B4-BE49-F238E27FC236}">
                <a16:creationId xmlns:a16="http://schemas.microsoft.com/office/drawing/2014/main" id="{00000000-0008-0000-0000-000031000000}"/>
              </a:ext>
            </a:extLst>
          </xdr:cNvPr>
          <xdr:cNvSpPr txBox="1"/>
        </xdr:nvSpPr>
        <xdr:spPr>
          <a:xfrm>
            <a:off x="1753302" y="5866293"/>
            <a:ext cx="1108599" cy="26564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latin typeface="Times New Roman" panose="02020603050405020304" pitchFamily="18" charset="0"/>
                <a:cs typeface="Times New Roman" panose="02020603050405020304" pitchFamily="18" charset="0"/>
              </a:rPr>
              <a:t>Building No.2</a:t>
            </a:r>
          </a:p>
        </xdr:txBody>
      </xdr:sp>
      <xdr:sp macro="" textlink="">
        <xdr:nvSpPr>
          <xdr:cNvPr id="50" name="TextBox 92">
            <a:extLst>
              <a:ext uri="{FF2B5EF4-FFF2-40B4-BE49-F238E27FC236}">
                <a16:creationId xmlns:a16="http://schemas.microsoft.com/office/drawing/2014/main" id="{00000000-0008-0000-0000-000032000000}"/>
              </a:ext>
            </a:extLst>
          </xdr:cNvPr>
          <xdr:cNvSpPr txBox="1"/>
        </xdr:nvSpPr>
        <xdr:spPr>
          <a:xfrm>
            <a:off x="2345880" y="5187894"/>
            <a:ext cx="214884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latin typeface="Times New Roman" panose="02020603050405020304" pitchFamily="18" charset="0"/>
                <a:cs typeface="Times New Roman" panose="02020603050405020304" pitchFamily="18" charset="0"/>
              </a:rPr>
              <a:t>Building No.3</a:t>
            </a:r>
          </a:p>
        </xdr:txBody>
      </xdr:sp>
      <xdr:sp macro="" textlink="">
        <xdr:nvSpPr>
          <xdr:cNvPr id="51" name="TextBox 93">
            <a:extLst>
              <a:ext uri="{FF2B5EF4-FFF2-40B4-BE49-F238E27FC236}">
                <a16:creationId xmlns:a16="http://schemas.microsoft.com/office/drawing/2014/main" id="{00000000-0008-0000-0000-000033000000}"/>
              </a:ext>
            </a:extLst>
          </xdr:cNvPr>
          <xdr:cNvSpPr txBox="1"/>
        </xdr:nvSpPr>
        <xdr:spPr>
          <a:xfrm>
            <a:off x="1224135" y="4528661"/>
            <a:ext cx="1612561"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latin typeface="Times New Roman" panose="02020603050405020304" pitchFamily="18" charset="0"/>
                <a:cs typeface="Times New Roman" panose="02020603050405020304" pitchFamily="18" charset="0"/>
              </a:rPr>
              <a:t>Vrindavan Complex Phase I</a:t>
            </a:r>
          </a:p>
        </xdr:txBody>
      </xdr:sp>
      <xdr:cxnSp macro="">
        <xdr:nvCxnSpPr>
          <xdr:cNvPr id="52" name="Straight Arrow Connector 51">
            <a:extLst>
              <a:ext uri="{FF2B5EF4-FFF2-40B4-BE49-F238E27FC236}">
                <a16:creationId xmlns:a16="http://schemas.microsoft.com/office/drawing/2014/main" id="{00000000-0008-0000-0000-000034000000}"/>
              </a:ext>
            </a:extLst>
          </xdr:cNvPr>
          <xdr:cNvCxnSpPr/>
        </xdr:nvCxnSpPr>
        <xdr:spPr>
          <a:xfrm>
            <a:off x="1962440" y="4990326"/>
            <a:ext cx="74272" cy="4776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a:extLst>
              <a:ext uri="{FF2B5EF4-FFF2-40B4-BE49-F238E27FC236}">
                <a16:creationId xmlns:a16="http://schemas.microsoft.com/office/drawing/2014/main" id="{00000000-0008-0000-0000-000035000000}"/>
              </a:ext>
            </a:extLst>
          </xdr:cNvPr>
          <xdr:cNvCxnSpPr/>
        </xdr:nvCxnSpPr>
        <xdr:spPr>
          <a:xfrm>
            <a:off x="1977945" y="5017368"/>
            <a:ext cx="542622" cy="42495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4" name="L-Shape 53">
            <a:extLst>
              <a:ext uri="{FF2B5EF4-FFF2-40B4-BE49-F238E27FC236}">
                <a16:creationId xmlns:a16="http://schemas.microsoft.com/office/drawing/2014/main" id="{00000000-0008-0000-0000-000036000000}"/>
              </a:ext>
            </a:extLst>
          </xdr:cNvPr>
          <xdr:cNvSpPr/>
        </xdr:nvSpPr>
        <xdr:spPr>
          <a:xfrm rot="16200000">
            <a:off x="5146405" y="6161538"/>
            <a:ext cx="749564" cy="819545"/>
          </a:xfrm>
          <a:prstGeom prst="corner">
            <a:avLst>
              <a:gd name="adj1" fmla="val 62890"/>
              <a:gd name="adj2" fmla="val 65895"/>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4950950" y="6917529"/>
            <a:ext cx="128875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0000FF"/>
                </a:solidFill>
                <a:latin typeface="Times New Roman" panose="02020603050405020304" pitchFamily="18" charset="0"/>
                <a:cs typeface="Times New Roman" panose="02020603050405020304" pitchFamily="18" charset="0"/>
              </a:rPr>
              <a:t>Building Type C</a:t>
            </a:r>
          </a:p>
        </xdr:txBody>
      </xdr:sp>
    </xdr:grpSp>
    <xdr:clientData/>
  </xdr:twoCellAnchor>
  <xdr:twoCellAnchor editAs="oneCell">
    <xdr:from>
      <xdr:col>1</xdr:col>
      <xdr:colOff>347348</xdr:colOff>
      <xdr:row>370</xdr:row>
      <xdr:rowOff>0</xdr:rowOff>
    </xdr:from>
    <xdr:to>
      <xdr:col>7</xdr:col>
      <xdr:colOff>684805</xdr:colOff>
      <xdr:row>386</xdr:row>
      <xdr:rowOff>82327</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5"/>
        <a:stretch>
          <a:fillRect/>
        </a:stretch>
      </xdr:blipFill>
      <xdr:spPr>
        <a:xfrm>
          <a:off x="1061723" y="74461688"/>
          <a:ext cx="4361770" cy="3130326"/>
        </a:xfrm>
        <a:prstGeom prst="rect">
          <a:avLst/>
        </a:prstGeom>
        <a:ln>
          <a:solidFill>
            <a:sysClr val="windowText" lastClr="000000"/>
          </a:solidFill>
        </a:ln>
      </xdr:spPr>
    </xdr:pic>
    <xdr:clientData/>
  </xdr:twoCellAnchor>
  <xdr:twoCellAnchor>
    <xdr:from>
      <xdr:col>0</xdr:col>
      <xdr:colOff>619125</xdr:colOff>
      <xdr:row>387</xdr:row>
      <xdr:rowOff>47690</xdr:rowOff>
    </xdr:from>
    <xdr:to>
      <xdr:col>8</xdr:col>
      <xdr:colOff>607363</xdr:colOff>
      <xdr:row>408</xdr:row>
      <xdr:rowOff>82327</xdr:rowOff>
    </xdr:to>
    <xdr:grpSp>
      <xdr:nvGrpSpPr>
        <xdr:cNvPr id="87" name="Group 86">
          <a:extLst>
            <a:ext uri="{FF2B5EF4-FFF2-40B4-BE49-F238E27FC236}">
              <a16:creationId xmlns:a16="http://schemas.microsoft.com/office/drawing/2014/main" id="{00000000-0008-0000-0000-000057000000}"/>
            </a:ext>
          </a:extLst>
        </xdr:cNvPr>
        <xdr:cNvGrpSpPr/>
      </xdr:nvGrpSpPr>
      <xdr:grpSpPr>
        <a:xfrm>
          <a:off x="619125" y="83105690"/>
          <a:ext cx="5573698" cy="4195157"/>
          <a:chOff x="790771" y="75090399"/>
          <a:chExt cx="5209512" cy="3938504"/>
        </a:xfrm>
      </xdr:grpSpPr>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6"/>
          <a:stretch>
            <a:fillRect/>
          </a:stretch>
        </xdr:blipFill>
        <xdr:spPr>
          <a:xfrm>
            <a:off x="790771" y="75090399"/>
            <a:ext cx="5209512" cy="3938504"/>
          </a:xfrm>
          <a:prstGeom prst="rect">
            <a:avLst/>
          </a:prstGeom>
          <a:ln>
            <a:solidFill>
              <a:sysClr val="windowText" lastClr="000000"/>
            </a:solidFill>
          </a:ln>
        </xdr:spPr>
      </xdr:pic>
      <xdr:sp macro="" textlink="">
        <xdr:nvSpPr>
          <xdr:cNvPr id="89" name="Freeform 88">
            <a:extLst>
              <a:ext uri="{FF2B5EF4-FFF2-40B4-BE49-F238E27FC236}">
                <a16:creationId xmlns:a16="http://schemas.microsoft.com/office/drawing/2014/main" id="{00000000-0008-0000-0000-000059000000}"/>
              </a:ext>
            </a:extLst>
          </xdr:cNvPr>
          <xdr:cNvSpPr/>
        </xdr:nvSpPr>
        <xdr:spPr>
          <a:xfrm>
            <a:off x="2268843" y="76432592"/>
            <a:ext cx="2249912" cy="1287859"/>
          </a:xfrm>
          <a:custGeom>
            <a:avLst/>
            <a:gdLst>
              <a:gd name="connsiteX0" fmla="*/ 99391 w 2252870"/>
              <a:gd name="connsiteY0" fmla="*/ 960782 h 1225826"/>
              <a:gd name="connsiteX1" fmla="*/ 0 w 2252870"/>
              <a:gd name="connsiteY1" fmla="*/ 381000 h 1225826"/>
              <a:gd name="connsiteX2" fmla="*/ 107674 w 2252870"/>
              <a:gd name="connsiteY2" fmla="*/ 0 h 1225826"/>
              <a:gd name="connsiteX3" fmla="*/ 2252870 w 2252870"/>
              <a:gd name="connsiteY3" fmla="*/ 496956 h 1225826"/>
              <a:gd name="connsiteX4" fmla="*/ 2037522 w 2252870"/>
              <a:gd name="connsiteY4" fmla="*/ 1225826 h 1225826"/>
              <a:gd name="connsiteX5" fmla="*/ 1027044 w 2252870"/>
              <a:gd name="connsiteY5" fmla="*/ 919369 h 1225826"/>
              <a:gd name="connsiteX6" fmla="*/ 99391 w 2252870"/>
              <a:gd name="connsiteY6" fmla="*/ 960782 h 12258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870" h="1225826">
                <a:moveTo>
                  <a:pt x="99391" y="960782"/>
                </a:moveTo>
                <a:lnTo>
                  <a:pt x="0" y="381000"/>
                </a:lnTo>
                <a:lnTo>
                  <a:pt x="107674" y="0"/>
                </a:lnTo>
                <a:lnTo>
                  <a:pt x="2252870" y="496956"/>
                </a:lnTo>
                <a:lnTo>
                  <a:pt x="2037522" y="1225826"/>
                </a:lnTo>
                <a:lnTo>
                  <a:pt x="1027044" y="919369"/>
                </a:lnTo>
                <a:lnTo>
                  <a:pt x="99391" y="960782"/>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10</xdr:col>
      <xdr:colOff>504997</xdr:colOff>
      <xdr:row>396</xdr:row>
      <xdr:rowOff>28575</xdr:rowOff>
    </xdr:from>
    <xdr:to>
      <xdr:col>17</xdr:col>
      <xdr:colOff>346105</xdr:colOff>
      <xdr:row>428</xdr:row>
      <xdr:rowOff>29427</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7"/>
        <a:stretch>
          <a:fillRect/>
        </a:stretch>
      </xdr:blipFill>
      <xdr:spPr>
        <a:xfrm>
          <a:off x="7439197" y="82553175"/>
          <a:ext cx="5718033" cy="6401652"/>
        </a:xfrm>
        <a:prstGeom prst="rect">
          <a:avLst/>
        </a:prstGeom>
      </xdr:spPr>
    </xdr:pic>
    <xdr:clientData/>
  </xdr:twoCellAnchor>
  <xdr:twoCellAnchor editAs="oneCell">
    <xdr:from>
      <xdr:col>11</xdr:col>
      <xdr:colOff>1081664</xdr:colOff>
      <xdr:row>285</xdr:row>
      <xdr:rowOff>49306</xdr:rowOff>
    </xdr:from>
    <xdr:to>
      <xdr:col>13</xdr:col>
      <xdr:colOff>228525</xdr:colOff>
      <xdr:row>296</xdr:row>
      <xdr:rowOff>43956</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071458" y="60796394"/>
          <a:ext cx="1533714" cy="2213415"/>
        </a:xfrm>
        <a:prstGeom prst="rect">
          <a:avLst/>
        </a:prstGeom>
        <a:ln>
          <a:solidFill>
            <a:schemeClr val="tx1"/>
          </a:solidFill>
        </a:ln>
      </xdr:spPr>
    </xdr:pic>
    <xdr:clientData/>
  </xdr:twoCellAnchor>
  <xdr:twoCellAnchor editAs="oneCell">
    <xdr:from>
      <xdr:col>10</xdr:col>
      <xdr:colOff>427318</xdr:colOff>
      <xdr:row>285</xdr:row>
      <xdr:rowOff>49306</xdr:rowOff>
    </xdr:from>
    <xdr:to>
      <xdr:col>11</xdr:col>
      <xdr:colOff>924489</xdr:colOff>
      <xdr:row>296</xdr:row>
      <xdr:rowOff>43956</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363759" y="60796394"/>
          <a:ext cx="1550524" cy="2213415"/>
        </a:xfrm>
        <a:prstGeom prst="rect">
          <a:avLst/>
        </a:prstGeom>
        <a:ln>
          <a:solidFill>
            <a:schemeClr val="tx1"/>
          </a:solidFill>
        </a:ln>
      </xdr:spPr>
    </xdr:pic>
    <xdr:clientData/>
  </xdr:twoCellAnchor>
  <xdr:twoCellAnchor editAs="oneCell">
    <xdr:from>
      <xdr:col>13</xdr:col>
      <xdr:colOff>380925</xdr:colOff>
      <xdr:row>285</xdr:row>
      <xdr:rowOff>49306</xdr:rowOff>
    </xdr:from>
    <xdr:to>
      <xdr:col>18</xdr:col>
      <xdr:colOff>107217</xdr:colOff>
      <xdr:row>296</xdr:row>
      <xdr:rowOff>43956</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757572" y="60796394"/>
          <a:ext cx="2751880" cy="2213415"/>
        </a:xfrm>
        <a:prstGeom prst="rect">
          <a:avLst/>
        </a:prstGeom>
        <a:ln>
          <a:solidFill>
            <a:schemeClr val="tx1"/>
          </a:solidFill>
        </a:ln>
      </xdr:spPr>
    </xdr:pic>
    <xdr:clientData/>
  </xdr:twoCellAnchor>
  <xdr:twoCellAnchor editAs="oneCell">
    <xdr:from>
      <xdr:col>10</xdr:col>
      <xdr:colOff>989357</xdr:colOff>
      <xdr:row>296</xdr:row>
      <xdr:rowOff>132856</xdr:rowOff>
    </xdr:from>
    <xdr:to>
      <xdr:col>11</xdr:col>
      <xdr:colOff>1518652</xdr:colOff>
      <xdr:row>307</xdr:row>
      <xdr:rowOff>127506</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925798" y="63098709"/>
          <a:ext cx="1582648" cy="2213415"/>
        </a:xfrm>
        <a:prstGeom prst="rect">
          <a:avLst/>
        </a:prstGeom>
        <a:ln>
          <a:solidFill>
            <a:schemeClr val="tx1"/>
          </a:solidFill>
        </a:ln>
      </xdr:spPr>
    </xdr:pic>
    <xdr:clientData/>
  </xdr:twoCellAnchor>
  <xdr:twoCellAnchor editAs="oneCell">
    <xdr:from>
      <xdr:col>12</xdr:col>
      <xdr:colOff>37234</xdr:colOff>
      <xdr:row>296</xdr:row>
      <xdr:rowOff>132856</xdr:rowOff>
    </xdr:from>
    <xdr:to>
      <xdr:col>14</xdr:col>
      <xdr:colOff>188142</xdr:colOff>
      <xdr:row>307</xdr:row>
      <xdr:rowOff>127506</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618263" y="63098709"/>
          <a:ext cx="1551644" cy="2213415"/>
        </a:xfrm>
        <a:prstGeom prst="rect">
          <a:avLst/>
        </a:prstGeom>
        <a:ln>
          <a:solidFill>
            <a:schemeClr val="tx1"/>
          </a:solidFill>
        </a:ln>
      </xdr:spPr>
    </xdr:pic>
    <xdr:clientData/>
  </xdr:twoCellAnchor>
  <xdr:twoCellAnchor editAs="oneCell">
    <xdr:from>
      <xdr:col>14</xdr:col>
      <xdr:colOff>340542</xdr:colOff>
      <xdr:row>296</xdr:row>
      <xdr:rowOff>132856</xdr:rowOff>
    </xdr:from>
    <xdr:to>
      <xdr:col>17</xdr:col>
      <xdr:colOff>75713</xdr:colOff>
      <xdr:row>307</xdr:row>
      <xdr:rowOff>127506</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322307" y="63098709"/>
          <a:ext cx="1550524" cy="2213415"/>
        </a:xfrm>
        <a:prstGeom prst="rect">
          <a:avLst/>
        </a:prstGeom>
        <a:ln>
          <a:solidFill>
            <a:schemeClr val="tx1"/>
          </a:solidFill>
        </a:ln>
      </xdr:spPr>
    </xdr:pic>
    <xdr:clientData/>
  </xdr:twoCellAnchor>
  <xdr:twoCellAnchor editAs="oneCell">
    <xdr:from>
      <xdr:col>10</xdr:col>
      <xdr:colOff>553125</xdr:colOff>
      <xdr:row>308</xdr:row>
      <xdr:rowOff>46450</xdr:rowOff>
    </xdr:from>
    <xdr:to>
      <xdr:col>11</xdr:col>
      <xdr:colOff>904650</xdr:colOff>
      <xdr:row>318</xdr:row>
      <xdr:rowOff>77000</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487325" y="64997425"/>
          <a:ext cx="1408800" cy="2002225"/>
        </a:xfrm>
        <a:prstGeom prst="rect">
          <a:avLst/>
        </a:prstGeom>
        <a:ln>
          <a:solidFill>
            <a:schemeClr val="tx1"/>
          </a:solidFill>
        </a:ln>
      </xdr:spPr>
    </xdr:pic>
    <xdr:clientData/>
  </xdr:twoCellAnchor>
  <xdr:twoCellAnchor editAs="oneCell">
    <xdr:from>
      <xdr:col>13</xdr:col>
      <xdr:colOff>180875</xdr:colOff>
      <xdr:row>308</xdr:row>
      <xdr:rowOff>46450</xdr:rowOff>
    </xdr:from>
    <xdr:to>
      <xdr:col>15</xdr:col>
      <xdr:colOff>383175</xdr:colOff>
      <xdr:row>318</xdr:row>
      <xdr:rowOff>77000</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553600" y="64997425"/>
          <a:ext cx="1421500" cy="2002225"/>
        </a:xfrm>
        <a:prstGeom prst="rect">
          <a:avLst/>
        </a:prstGeom>
        <a:ln>
          <a:solidFill>
            <a:schemeClr val="tx1"/>
          </a:solidFill>
        </a:ln>
      </xdr:spPr>
    </xdr:pic>
    <xdr:clientData/>
  </xdr:twoCellAnchor>
  <xdr:twoCellAnchor editAs="oneCell">
    <xdr:from>
      <xdr:col>11</xdr:col>
      <xdr:colOff>1033750</xdr:colOff>
      <xdr:row>308</xdr:row>
      <xdr:rowOff>46450</xdr:rowOff>
    </xdr:from>
    <xdr:to>
      <xdr:col>13</xdr:col>
      <xdr:colOff>51775</xdr:colOff>
      <xdr:row>318</xdr:row>
      <xdr:rowOff>77000</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9025225" y="64997425"/>
          <a:ext cx="1399275" cy="2002225"/>
        </a:xfrm>
        <a:prstGeom prst="rect">
          <a:avLst/>
        </a:prstGeom>
        <a:ln>
          <a:solidFill>
            <a:schemeClr val="tx1"/>
          </a:solidFill>
        </a:ln>
      </xdr:spPr>
    </xdr:pic>
    <xdr:clientData/>
  </xdr:twoCellAnchor>
  <xdr:twoCellAnchor editAs="oneCell">
    <xdr:from>
      <xdr:col>15</xdr:col>
      <xdr:colOff>512275</xdr:colOff>
      <xdr:row>308</xdr:row>
      <xdr:rowOff>46450</xdr:rowOff>
    </xdr:from>
    <xdr:to>
      <xdr:col>18</xdr:col>
      <xdr:colOff>104975</xdr:colOff>
      <xdr:row>318</xdr:row>
      <xdr:rowOff>77000</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2104200" y="64997425"/>
          <a:ext cx="1421500" cy="2002225"/>
        </a:xfrm>
        <a:prstGeom prst="rect">
          <a:avLst/>
        </a:prstGeom>
        <a:ln>
          <a:solidFill>
            <a:schemeClr val="tx1"/>
          </a:solidFill>
        </a:ln>
      </xdr:spPr>
    </xdr:pic>
    <xdr:clientData/>
  </xdr:twoCellAnchor>
  <xdr:twoCellAnchor editAs="oneCell">
    <xdr:from>
      <xdr:col>10</xdr:col>
      <xdr:colOff>831900</xdr:colOff>
      <xdr:row>318</xdr:row>
      <xdr:rowOff>165900</xdr:rowOff>
    </xdr:from>
    <xdr:to>
      <xdr:col>11</xdr:col>
      <xdr:colOff>1218350</xdr:colOff>
      <xdr:row>326</xdr:row>
      <xdr:rowOff>127000</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7766100" y="67088550"/>
          <a:ext cx="1443725" cy="1561300"/>
        </a:xfrm>
        <a:prstGeom prst="rect">
          <a:avLst/>
        </a:prstGeom>
        <a:ln>
          <a:solidFill>
            <a:schemeClr val="tx1"/>
          </a:solidFill>
        </a:ln>
      </xdr:spPr>
    </xdr:pic>
    <xdr:clientData/>
  </xdr:twoCellAnchor>
  <xdr:twoCellAnchor editAs="oneCell">
    <xdr:from>
      <xdr:col>11</xdr:col>
      <xdr:colOff>1361675</xdr:colOff>
      <xdr:row>318</xdr:row>
      <xdr:rowOff>165900</xdr:rowOff>
    </xdr:from>
    <xdr:to>
      <xdr:col>13</xdr:col>
      <xdr:colOff>379700</xdr:colOff>
      <xdr:row>326</xdr:row>
      <xdr:rowOff>127000</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353150" y="67088550"/>
          <a:ext cx="1399275" cy="1561300"/>
        </a:xfrm>
        <a:prstGeom prst="rect">
          <a:avLst/>
        </a:prstGeom>
        <a:ln>
          <a:solidFill>
            <a:schemeClr val="tx1"/>
          </a:solidFill>
        </a:ln>
      </xdr:spPr>
    </xdr:pic>
    <xdr:clientData/>
  </xdr:twoCellAnchor>
  <xdr:twoCellAnchor editAs="oneCell">
    <xdr:from>
      <xdr:col>13</xdr:col>
      <xdr:colOff>494575</xdr:colOff>
      <xdr:row>318</xdr:row>
      <xdr:rowOff>165900</xdr:rowOff>
    </xdr:from>
    <xdr:to>
      <xdr:col>17</xdr:col>
      <xdr:colOff>569175</xdr:colOff>
      <xdr:row>326</xdr:row>
      <xdr:rowOff>127000</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0867300" y="67088550"/>
          <a:ext cx="2513000" cy="1561300"/>
        </a:xfrm>
        <a:prstGeom prst="rect">
          <a:avLst/>
        </a:prstGeom>
        <a:ln>
          <a:solidFill>
            <a:schemeClr val="tx1"/>
          </a:solidFill>
        </a:ln>
      </xdr:spPr>
    </xdr:pic>
    <xdr:clientData/>
  </xdr:twoCellAnchor>
  <xdr:oneCellAnchor>
    <xdr:from>
      <xdr:col>10</xdr:col>
      <xdr:colOff>522568</xdr:colOff>
      <xdr:row>285</xdr:row>
      <xdr:rowOff>23906</xdr:rowOff>
    </xdr:from>
    <xdr:ext cx="1361335"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59009" y="60770994"/>
          <a:ext cx="13613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Bldg Type A (A wing)</a:t>
          </a:r>
        </a:p>
      </xdr:txBody>
    </xdr:sp>
    <xdr:clientData/>
  </xdr:oneCellAnchor>
  <xdr:oneCellAnchor>
    <xdr:from>
      <xdr:col>11</xdr:col>
      <xdr:colOff>1081664</xdr:colOff>
      <xdr:row>285</xdr:row>
      <xdr:rowOff>49306</xdr:rowOff>
    </xdr:from>
    <xdr:ext cx="1429575" cy="436786"/>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9071458" y="60796394"/>
          <a:ext cx="14295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Phase III : Bldg Type A (A wing)</a:t>
          </a:r>
        </a:p>
      </xdr:txBody>
    </xdr:sp>
    <xdr:clientData/>
  </xdr:oneCellAnchor>
  <xdr:oneCellAnchor>
    <xdr:from>
      <xdr:col>16</xdr:col>
      <xdr:colOff>127672</xdr:colOff>
      <xdr:row>285</xdr:row>
      <xdr:rowOff>125506</xdr:rowOff>
    </xdr:from>
    <xdr:ext cx="1397075" cy="436786"/>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12319672" y="60872594"/>
          <a:ext cx="1397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Phase III : Bldg Type A (B wing)</a:t>
          </a:r>
        </a:p>
      </xdr:txBody>
    </xdr:sp>
    <xdr:clientData/>
  </xdr:oneCellAnchor>
  <xdr:oneCellAnchor>
    <xdr:from>
      <xdr:col>12</xdr:col>
      <xdr:colOff>37234</xdr:colOff>
      <xdr:row>296</xdr:row>
      <xdr:rowOff>132856</xdr:rowOff>
    </xdr:from>
    <xdr:ext cx="1430737"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9618263" y="63098709"/>
          <a:ext cx="14307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Phase III : Bldg Type B</a:t>
          </a:r>
        </a:p>
      </xdr:txBody>
    </xdr:sp>
    <xdr:clientData/>
  </xdr:oneCellAnchor>
  <xdr:oneCellAnchor>
    <xdr:from>
      <xdr:col>14</xdr:col>
      <xdr:colOff>340542</xdr:colOff>
      <xdr:row>296</xdr:row>
      <xdr:rowOff>132856</xdr:rowOff>
    </xdr:from>
    <xdr:ext cx="1430737"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11322307" y="63098709"/>
          <a:ext cx="14307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Phase III : Bldg Type B</a:t>
          </a:r>
        </a:p>
      </xdr:txBody>
    </xdr:sp>
    <xdr:clientData/>
  </xdr:oneCellAnchor>
  <xdr:twoCellAnchor>
    <xdr:from>
      <xdr:col>10</xdr:col>
      <xdr:colOff>683895</xdr:colOff>
      <xdr:row>282</xdr:row>
      <xdr:rowOff>51434</xdr:rowOff>
    </xdr:from>
    <xdr:to>
      <xdr:col>17</xdr:col>
      <xdr:colOff>193635</xdr:colOff>
      <xdr:row>322</xdr:row>
      <xdr:rowOff>89534</xdr:rowOff>
    </xdr:to>
    <xdr:grpSp>
      <xdr:nvGrpSpPr>
        <xdr:cNvPr id="75" name="Group 74">
          <a:extLst>
            <a:ext uri="{FF2B5EF4-FFF2-40B4-BE49-F238E27FC236}">
              <a16:creationId xmlns:a16="http://schemas.microsoft.com/office/drawing/2014/main" id="{B3F9ED3D-FE92-456F-976C-78EE8C123488}"/>
            </a:ext>
          </a:extLst>
        </xdr:cNvPr>
        <xdr:cNvGrpSpPr/>
      </xdr:nvGrpSpPr>
      <xdr:grpSpPr>
        <a:xfrm>
          <a:off x="7808595" y="62329694"/>
          <a:ext cx="5552400" cy="7940040"/>
          <a:chOff x="519953" y="320494"/>
          <a:chExt cx="5400000" cy="8794248"/>
        </a:xfrm>
      </xdr:grpSpPr>
      <xdr:grpSp>
        <xdr:nvGrpSpPr>
          <xdr:cNvPr id="80" name="Group 79">
            <a:extLst>
              <a:ext uri="{FF2B5EF4-FFF2-40B4-BE49-F238E27FC236}">
                <a16:creationId xmlns:a16="http://schemas.microsoft.com/office/drawing/2014/main" id="{059CCB6B-F159-453E-B677-E91CC0BE0902}"/>
              </a:ext>
            </a:extLst>
          </xdr:cNvPr>
          <xdr:cNvGrpSpPr/>
        </xdr:nvGrpSpPr>
        <xdr:grpSpPr>
          <a:xfrm>
            <a:off x="519953" y="320494"/>
            <a:ext cx="5400000" cy="8794248"/>
            <a:chOff x="519953" y="320494"/>
            <a:chExt cx="5400000" cy="8794248"/>
          </a:xfrm>
        </xdr:grpSpPr>
        <xdr:pic>
          <xdr:nvPicPr>
            <xdr:cNvPr id="94" name="Picture 93">
              <a:extLst>
                <a:ext uri="{FF2B5EF4-FFF2-40B4-BE49-F238E27FC236}">
                  <a16:creationId xmlns:a16="http://schemas.microsoft.com/office/drawing/2014/main" id="{BE16CC45-96E1-46C8-821F-22F927853417}"/>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519953" y="320494"/>
              <a:ext cx="5400000" cy="2431755"/>
            </a:xfrm>
            <a:prstGeom prst="rect">
              <a:avLst/>
            </a:prstGeom>
            <a:ln>
              <a:solidFill>
                <a:schemeClr val="tx1"/>
              </a:solidFill>
            </a:ln>
          </xdr:spPr>
        </xdr:pic>
        <xdr:pic>
          <xdr:nvPicPr>
            <xdr:cNvPr id="95" name="Picture 94">
              <a:extLst>
                <a:ext uri="{FF2B5EF4-FFF2-40B4-BE49-F238E27FC236}">
                  <a16:creationId xmlns:a16="http://schemas.microsoft.com/office/drawing/2014/main" id="{F041B2AF-2BC5-4349-A54C-F03BB707B8EB}"/>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83441" y="5524496"/>
              <a:ext cx="4396824" cy="1980000"/>
            </a:xfrm>
            <a:prstGeom prst="rect">
              <a:avLst/>
            </a:prstGeom>
            <a:ln>
              <a:solidFill>
                <a:schemeClr val="tx1"/>
              </a:solidFill>
            </a:ln>
          </xdr:spPr>
        </xdr:pic>
        <xdr:pic>
          <xdr:nvPicPr>
            <xdr:cNvPr id="96" name="Picture 95">
              <a:extLst>
                <a:ext uri="{FF2B5EF4-FFF2-40B4-BE49-F238E27FC236}">
                  <a16:creationId xmlns:a16="http://schemas.microsoft.com/office/drawing/2014/main" id="{6C78515D-A51E-4D28-A4E0-078278B10C55}"/>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86643" y="7674742"/>
              <a:ext cx="2395210" cy="1440000"/>
            </a:xfrm>
            <a:prstGeom prst="rect">
              <a:avLst/>
            </a:prstGeom>
            <a:ln>
              <a:solidFill>
                <a:schemeClr val="tx1"/>
              </a:solidFill>
            </a:ln>
          </xdr:spPr>
        </xdr:pic>
        <xdr:pic>
          <xdr:nvPicPr>
            <xdr:cNvPr id="97" name="Picture 96">
              <a:extLst>
                <a:ext uri="{FF2B5EF4-FFF2-40B4-BE49-F238E27FC236}">
                  <a16:creationId xmlns:a16="http://schemas.microsoft.com/office/drawing/2014/main" id="{82EA14BE-FC07-485E-9A36-36D32FB5CB6B}"/>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352821" y="7674742"/>
              <a:ext cx="2395210" cy="1440000"/>
            </a:xfrm>
            <a:prstGeom prst="rect">
              <a:avLst/>
            </a:prstGeom>
            <a:ln>
              <a:solidFill>
                <a:schemeClr val="tx1"/>
              </a:solidFill>
            </a:ln>
          </xdr:spPr>
        </xdr:pic>
        <xdr:pic>
          <xdr:nvPicPr>
            <xdr:cNvPr id="98" name="Picture 97">
              <a:extLst>
                <a:ext uri="{FF2B5EF4-FFF2-40B4-BE49-F238E27FC236}">
                  <a16:creationId xmlns:a16="http://schemas.microsoft.com/office/drawing/2014/main" id="{189BB828-13D9-401B-AA29-2F13D1842EB8}"/>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519953" y="2922495"/>
              <a:ext cx="5400000" cy="2431755"/>
            </a:xfrm>
            <a:prstGeom prst="rect">
              <a:avLst/>
            </a:prstGeom>
            <a:ln>
              <a:solidFill>
                <a:schemeClr val="tx1"/>
              </a:solidFill>
            </a:ln>
          </xdr:spPr>
        </xdr:pic>
      </xdr:grpSp>
      <xdr:sp macro="" textlink="">
        <xdr:nvSpPr>
          <xdr:cNvPr id="91" name="TextBox 67">
            <a:extLst>
              <a:ext uri="{FF2B5EF4-FFF2-40B4-BE49-F238E27FC236}">
                <a16:creationId xmlns:a16="http://schemas.microsoft.com/office/drawing/2014/main" id="{3DCE9569-2D58-459C-85E6-D72CDAA06296}"/>
              </a:ext>
            </a:extLst>
          </xdr:cNvPr>
          <xdr:cNvSpPr txBox="1"/>
        </xdr:nvSpPr>
        <xdr:spPr>
          <a:xfrm>
            <a:off x="519953" y="2922495"/>
            <a:ext cx="1732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Type A (A wing </a:t>
            </a:r>
            <a:r>
              <a:rPr lang="en-US">
                <a:solidFill>
                  <a:srgbClr val="FF0000"/>
                </a:solidFill>
              </a:rPr>
              <a:t>)</a:t>
            </a:r>
            <a:endParaRPr lang="en-IN">
              <a:solidFill>
                <a:srgbClr val="FF0000"/>
              </a:solidFill>
            </a:endParaRPr>
          </a:p>
        </xdr:txBody>
      </xdr:sp>
      <xdr:sp macro="" textlink="">
        <xdr:nvSpPr>
          <xdr:cNvPr id="92" name="TextBox 68">
            <a:extLst>
              <a:ext uri="{FF2B5EF4-FFF2-40B4-BE49-F238E27FC236}">
                <a16:creationId xmlns:a16="http://schemas.microsoft.com/office/drawing/2014/main" id="{AB85410C-AB0F-4190-80F7-98FA7A2D63B8}"/>
              </a:ext>
            </a:extLst>
          </xdr:cNvPr>
          <xdr:cNvSpPr txBox="1"/>
        </xdr:nvSpPr>
        <xdr:spPr>
          <a:xfrm>
            <a:off x="4015697" y="2922495"/>
            <a:ext cx="16698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Type A (Bwing </a:t>
            </a:r>
            <a:r>
              <a:rPr lang="en-US">
                <a:solidFill>
                  <a:srgbClr val="FF0000"/>
                </a:solidFill>
              </a:rPr>
              <a:t>)</a:t>
            </a:r>
            <a:endParaRPr lang="en-IN">
              <a:solidFill>
                <a:srgbClr val="FF0000"/>
              </a:solidFill>
            </a:endParaRPr>
          </a:p>
        </xdr:txBody>
      </xdr:sp>
      <xdr:sp macro="" textlink="">
        <xdr:nvSpPr>
          <xdr:cNvPr id="93" name="TextBox 70">
            <a:extLst>
              <a:ext uri="{FF2B5EF4-FFF2-40B4-BE49-F238E27FC236}">
                <a16:creationId xmlns:a16="http://schemas.microsoft.com/office/drawing/2014/main" id="{221695B9-7B69-4650-BC3D-54624ED55644}"/>
              </a:ext>
            </a:extLst>
          </xdr:cNvPr>
          <xdr:cNvSpPr txBox="1"/>
        </xdr:nvSpPr>
        <xdr:spPr>
          <a:xfrm>
            <a:off x="2880610" y="5690530"/>
            <a:ext cx="8218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Type B</a:t>
            </a:r>
            <a:endParaRPr lang="en-IN">
              <a:solidFill>
                <a:srgbClr val="FF0000"/>
              </a:solidFill>
            </a:endParaRPr>
          </a:p>
        </xdr:txBody>
      </xdr:sp>
    </xdr:grpSp>
    <xdr:clientData/>
  </xdr:twoCellAnchor>
  <xdr:twoCellAnchor>
    <xdr:from>
      <xdr:col>0</xdr:col>
      <xdr:colOff>175261</xdr:colOff>
      <xdr:row>286</xdr:row>
      <xdr:rowOff>83820</xdr:rowOff>
    </xdr:from>
    <xdr:to>
      <xdr:col>9</xdr:col>
      <xdr:colOff>685800</xdr:colOff>
      <xdr:row>326</xdr:row>
      <xdr:rowOff>152400</xdr:rowOff>
    </xdr:to>
    <xdr:grpSp>
      <xdr:nvGrpSpPr>
        <xdr:cNvPr id="7" name="Group 6">
          <a:extLst>
            <a:ext uri="{FF2B5EF4-FFF2-40B4-BE49-F238E27FC236}">
              <a16:creationId xmlns:a16="http://schemas.microsoft.com/office/drawing/2014/main" id="{EB098961-4F03-D537-E00C-4B58A3C94AF8}"/>
            </a:ext>
          </a:extLst>
        </xdr:cNvPr>
        <xdr:cNvGrpSpPr/>
      </xdr:nvGrpSpPr>
      <xdr:grpSpPr>
        <a:xfrm>
          <a:off x="175261" y="63154560"/>
          <a:ext cx="6804659" cy="7970520"/>
          <a:chOff x="-272128" y="148734"/>
          <a:chExt cx="7402257" cy="8872572"/>
        </a:xfrm>
      </xdr:grpSpPr>
      <xdr:grpSp>
        <xdr:nvGrpSpPr>
          <xdr:cNvPr id="8" name="Group 7">
            <a:extLst>
              <a:ext uri="{FF2B5EF4-FFF2-40B4-BE49-F238E27FC236}">
                <a16:creationId xmlns:a16="http://schemas.microsoft.com/office/drawing/2014/main" id="{28EB6FCF-FD13-F52F-3C06-C42C2B7EB1D9}"/>
              </a:ext>
            </a:extLst>
          </xdr:cNvPr>
          <xdr:cNvGrpSpPr/>
        </xdr:nvGrpSpPr>
        <xdr:grpSpPr>
          <a:xfrm>
            <a:off x="481982" y="2829720"/>
            <a:ext cx="5894036" cy="2160000"/>
            <a:chOff x="160410" y="2814480"/>
            <a:chExt cx="5894036" cy="2160000"/>
          </a:xfrm>
        </xdr:grpSpPr>
        <xdr:pic>
          <xdr:nvPicPr>
            <xdr:cNvPr id="26" name="Picture 25">
              <a:extLst>
                <a:ext uri="{FF2B5EF4-FFF2-40B4-BE49-F238E27FC236}">
                  <a16:creationId xmlns:a16="http://schemas.microsoft.com/office/drawing/2014/main" id="{5EFEF621-89ED-8953-B500-6C79E833BB5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0410" y="2814480"/>
              <a:ext cx="2877678"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8268F43C-1358-682E-1D23-B3F5CDC063E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176768" y="2814480"/>
              <a:ext cx="2877678" cy="216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E87BC3E5-0728-B52D-A394-8C6AB2E1C2A3}"/>
              </a:ext>
            </a:extLst>
          </xdr:cNvPr>
          <xdr:cNvGrpSpPr/>
        </xdr:nvGrpSpPr>
        <xdr:grpSpPr>
          <a:xfrm>
            <a:off x="492434" y="5187840"/>
            <a:ext cx="5873132" cy="1800000"/>
            <a:chOff x="160410" y="5172600"/>
            <a:chExt cx="5873132" cy="1800000"/>
          </a:xfrm>
        </xdr:grpSpPr>
        <xdr:pic>
          <xdr:nvPicPr>
            <xdr:cNvPr id="19" name="Picture 18">
              <a:extLst>
                <a:ext uri="{FF2B5EF4-FFF2-40B4-BE49-F238E27FC236}">
                  <a16:creationId xmlns:a16="http://schemas.microsoft.com/office/drawing/2014/main" id="{3698F2E1-36AC-599C-21D8-05001113A06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176768" y="5172600"/>
              <a:ext cx="1348594"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C611678C-7333-4F78-707B-4734BE8A4AC8}"/>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0410" y="5172600"/>
              <a:ext cx="1348594"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0E646EE9-DF12-4374-F8CD-AFA64748579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668589" y="5172600"/>
              <a:ext cx="1348594"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FA76AA59-1D77-8FAB-D3FA-80982165B58A}"/>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684948" y="5172600"/>
              <a:ext cx="1348594" cy="180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6A813540-41D6-BE73-6491-75C9D5689F0D}"/>
              </a:ext>
            </a:extLst>
          </xdr:cNvPr>
          <xdr:cNvGrpSpPr/>
        </xdr:nvGrpSpPr>
        <xdr:grpSpPr>
          <a:xfrm>
            <a:off x="160410" y="7206066"/>
            <a:ext cx="6537180" cy="1815240"/>
            <a:chOff x="27741" y="7190826"/>
            <a:chExt cx="6537180" cy="1815240"/>
          </a:xfrm>
        </xdr:grpSpPr>
        <xdr:pic>
          <xdr:nvPicPr>
            <xdr:cNvPr id="16" name="Picture 15">
              <a:extLst>
                <a:ext uri="{FF2B5EF4-FFF2-40B4-BE49-F238E27FC236}">
                  <a16:creationId xmlns:a16="http://schemas.microsoft.com/office/drawing/2014/main" id="{FE31EA1B-5E48-0A3E-E4EF-FD8A6B55185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216327" y="7206066"/>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2BD4A6E0-E600-8BA7-AD34-6F0ABD158E5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622034" y="7190826"/>
              <a:ext cx="2398065" cy="1800000"/>
            </a:xfrm>
            <a:prstGeom prst="rect">
              <a:avLst/>
            </a:prstGeom>
            <a:ln>
              <a:solidFill>
                <a:schemeClr val="tx1"/>
              </a:solidFill>
            </a:ln>
          </xdr:spPr>
        </xdr:pic>
        <xdr:pic>
          <xdr:nvPicPr>
            <xdr:cNvPr id="18" name="Picture 17">
              <a:extLst>
                <a:ext uri="{FF2B5EF4-FFF2-40B4-BE49-F238E27FC236}">
                  <a16:creationId xmlns:a16="http://schemas.microsoft.com/office/drawing/2014/main" id="{75599106-6429-CEDC-20E5-C25EBFD2DBE4}"/>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7741" y="7206066"/>
              <a:ext cx="2398065" cy="1800000"/>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EB91D07A-4F55-9693-1324-EC1D19741EBB}"/>
              </a:ext>
            </a:extLst>
          </xdr:cNvPr>
          <xdr:cNvGrpSpPr/>
        </xdr:nvGrpSpPr>
        <xdr:grpSpPr>
          <a:xfrm>
            <a:off x="-272128" y="148734"/>
            <a:ext cx="7402257" cy="2520000"/>
            <a:chOff x="160410" y="133494"/>
            <a:chExt cx="7402257" cy="2520000"/>
          </a:xfrm>
        </xdr:grpSpPr>
        <xdr:pic>
          <xdr:nvPicPr>
            <xdr:cNvPr id="13" name="Picture 12">
              <a:extLst>
                <a:ext uri="{FF2B5EF4-FFF2-40B4-BE49-F238E27FC236}">
                  <a16:creationId xmlns:a16="http://schemas.microsoft.com/office/drawing/2014/main" id="{355C66AF-A27E-C9D0-FC24-1D7D7ECBBF84}"/>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60410" y="133494"/>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3B781FB2-AF41-8E11-1495-D6E9AF35212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182893" y="133494"/>
              <a:ext cx="188803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7C0A2CCE-CD69-6663-AE95-FB665E9CB34A}"/>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205376" y="133494"/>
              <a:ext cx="335729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256714</xdr:colOff>
      <xdr:row>0</xdr:row>
      <xdr:rowOff>160020</xdr:rowOff>
    </xdr:from>
    <xdr:to>
      <xdr:col>12</xdr:col>
      <xdr:colOff>175620</xdr:colOff>
      <xdr:row>22</xdr:row>
      <xdr:rowOff>96660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622974" y="160020"/>
          <a:ext cx="2966906" cy="3960000"/>
        </a:xfrm>
        <a:prstGeom prst="rect">
          <a:avLst/>
        </a:prstGeom>
      </xdr:spPr>
    </xdr:pic>
    <xdr:clientData/>
  </xdr:twoCellAnchor>
  <xdr:twoCellAnchor editAs="oneCell">
    <xdr:from>
      <xdr:col>2</xdr:col>
      <xdr:colOff>106680</xdr:colOff>
      <xdr:row>0</xdr:row>
      <xdr:rowOff>160020</xdr:rowOff>
    </xdr:from>
    <xdr:to>
      <xdr:col>7</xdr:col>
      <xdr:colOff>25586</xdr:colOff>
      <xdr:row>22</xdr:row>
      <xdr:rowOff>96660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24940" y="160020"/>
          <a:ext cx="2966906" cy="3960000"/>
        </a:xfrm>
        <a:prstGeom prst="rect">
          <a:avLst/>
        </a:prstGeom>
      </xdr:spPr>
    </xdr:pic>
    <xdr:clientData/>
  </xdr:twoCellAnchor>
  <xdr:twoCellAnchor editAs="oneCell">
    <xdr:from>
      <xdr:col>6</xdr:col>
      <xdr:colOff>356828</xdr:colOff>
      <xdr:row>24</xdr:row>
      <xdr:rowOff>0</xdr:rowOff>
    </xdr:from>
    <xdr:to>
      <xdr:col>11</xdr:col>
      <xdr:colOff>6015</xdr:colOff>
      <xdr:row>43</xdr:row>
      <xdr:rowOff>125280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13488" y="4389120"/>
          <a:ext cx="2697187" cy="3600000"/>
        </a:xfrm>
        <a:prstGeom prst="rect">
          <a:avLst/>
        </a:prstGeom>
      </xdr:spPr>
    </xdr:pic>
    <xdr:clientData/>
  </xdr:twoCellAnchor>
  <xdr:twoCellAnchor editAs="oneCell">
    <xdr:from>
      <xdr:col>2</xdr:col>
      <xdr:colOff>0</xdr:colOff>
      <xdr:row>24</xdr:row>
      <xdr:rowOff>0</xdr:rowOff>
    </xdr:from>
    <xdr:to>
      <xdr:col>6</xdr:col>
      <xdr:colOff>258787</xdr:colOff>
      <xdr:row>43</xdr:row>
      <xdr:rowOff>125280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18260" y="4389120"/>
          <a:ext cx="2697187"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PVo2LRWibRdiyfy8"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5"/>
  <sheetViews>
    <sheetView tabSelected="1" view="pageBreakPreview" topLeftCell="A140" zoomScaleNormal="100" zoomScaleSheetLayoutView="100" zoomScalePageLayoutView="85" workbookViewId="0">
      <selection activeCell="L160" sqref="L160"/>
    </sheetView>
  </sheetViews>
  <sheetFormatPr defaultRowHeight="15.6" x14ac:dyDescent="0.3"/>
  <cols>
    <col min="1" max="1" width="10.6640625" style="12" customWidth="1"/>
    <col min="2" max="2" width="12.6640625" style="12" customWidth="1"/>
    <col min="3" max="3" width="14.6640625" style="12" customWidth="1"/>
    <col min="4" max="4" width="7.33203125" style="12" customWidth="1"/>
    <col min="5" max="5" width="5.5546875" style="12" customWidth="1"/>
    <col min="6" max="6" width="9.88671875" style="12" customWidth="1"/>
    <col min="7" max="7" width="10.109375" style="12" customWidth="1"/>
    <col min="8" max="8" width="10.5546875" style="12" customWidth="1"/>
    <col min="9" max="9" width="10.33203125" style="12" customWidth="1"/>
    <col min="10" max="10" width="12.109375" style="12" customWidth="1"/>
    <col min="11" max="11" width="15.88671875" style="12" customWidth="1"/>
    <col min="12" max="12" width="23.88671875" style="12" customWidth="1"/>
    <col min="13" max="13" width="11.88671875" style="12" bestFit="1" customWidth="1"/>
    <col min="14"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1" ht="46.5" customHeight="1" x14ac:dyDescent="0.3">
      <c r="A1" s="255" t="s">
        <v>252</v>
      </c>
      <c r="B1" s="256"/>
      <c r="C1" s="256"/>
      <c r="D1" s="256"/>
      <c r="E1" s="256"/>
      <c r="F1" s="256"/>
      <c r="G1" s="256"/>
      <c r="H1" s="256"/>
      <c r="I1" s="256"/>
      <c r="J1" s="257"/>
    </row>
    <row r="2" spans="1:11" ht="16.5" customHeight="1" x14ac:dyDescent="0.3">
      <c r="A2" s="258" t="s">
        <v>0</v>
      </c>
      <c r="B2" s="259"/>
      <c r="C2" s="259"/>
      <c r="D2" s="259"/>
      <c r="E2" s="259"/>
      <c r="F2" s="259"/>
      <c r="G2" s="259"/>
      <c r="H2" s="259"/>
      <c r="I2" s="259"/>
      <c r="J2" s="260"/>
    </row>
    <row r="3" spans="1:11" x14ac:dyDescent="0.3">
      <c r="A3" s="201" t="s">
        <v>1</v>
      </c>
      <c r="B3" s="198"/>
      <c r="C3" s="198"/>
      <c r="D3" s="198"/>
      <c r="E3" s="199"/>
      <c r="F3" s="261" t="str">
        <f ca="1">TEXT(TODAY(),"DD/MM/YYYY")</f>
        <v>12/08/2025</v>
      </c>
      <c r="G3" s="262"/>
      <c r="H3" s="262"/>
      <c r="I3" s="262"/>
      <c r="J3" s="263"/>
    </row>
    <row r="4" spans="1:11" ht="15" customHeight="1" x14ac:dyDescent="0.3">
      <c r="A4" s="201" t="s">
        <v>2</v>
      </c>
      <c r="B4" s="198"/>
      <c r="C4" s="198"/>
      <c r="D4" s="198"/>
      <c r="E4" s="199"/>
      <c r="F4" s="265" t="s">
        <v>188</v>
      </c>
      <c r="G4" s="266"/>
      <c r="H4" s="266"/>
      <c r="I4" s="266"/>
      <c r="J4" s="267"/>
    </row>
    <row r="5" spans="1:11" x14ac:dyDescent="0.3">
      <c r="A5" s="201" t="s">
        <v>3</v>
      </c>
      <c r="B5" s="198"/>
      <c r="C5" s="198"/>
      <c r="D5" s="198"/>
      <c r="E5" s="199"/>
      <c r="F5" s="261">
        <v>45881</v>
      </c>
      <c r="G5" s="262"/>
      <c r="H5" s="262"/>
      <c r="I5" s="262"/>
      <c r="J5" s="263"/>
    </row>
    <row r="6" spans="1:11" ht="16.5" customHeight="1" x14ac:dyDescent="0.3">
      <c r="A6" s="201" t="s">
        <v>4</v>
      </c>
      <c r="B6" s="198"/>
      <c r="C6" s="198"/>
      <c r="D6" s="198"/>
      <c r="E6" s="199"/>
      <c r="F6" s="190" t="s">
        <v>172</v>
      </c>
      <c r="G6" s="236"/>
      <c r="H6" s="236"/>
      <c r="I6" s="236"/>
      <c r="J6" s="191"/>
    </row>
    <row r="7" spans="1:11" ht="15" customHeight="1" x14ac:dyDescent="0.3">
      <c r="A7" s="201" t="s">
        <v>5</v>
      </c>
      <c r="B7" s="198"/>
      <c r="C7" s="198"/>
      <c r="D7" s="198"/>
      <c r="E7" s="199"/>
      <c r="F7" s="190" t="str">
        <f>F6</f>
        <v xml:space="preserve">M/s.Patil Builders
</v>
      </c>
      <c r="G7" s="236"/>
      <c r="H7" s="236"/>
      <c r="I7" s="236"/>
      <c r="J7" s="191"/>
    </row>
    <row r="8" spans="1:11" x14ac:dyDescent="0.3">
      <c r="A8" s="201" t="s">
        <v>6</v>
      </c>
      <c r="B8" s="198"/>
      <c r="C8" s="198"/>
      <c r="D8" s="198"/>
      <c r="E8" s="199"/>
      <c r="F8" s="264" t="s">
        <v>261</v>
      </c>
      <c r="G8" s="218"/>
      <c r="H8" s="218"/>
      <c r="I8" s="218"/>
      <c r="J8" s="219"/>
    </row>
    <row r="9" spans="1:11" x14ac:dyDescent="0.3">
      <c r="A9" s="201" t="s">
        <v>259</v>
      </c>
      <c r="B9" s="198"/>
      <c r="C9" s="198"/>
      <c r="D9" s="198"/>
      <c r="E9" s="199"/>
      <c r="F9" s="201" t="s">
        <v>173</v>
      </c>
      <c r="G9" s="198"/>
      <c r="H9" s="198"/>
      <c r="I9" s="198"/>
      <c r="J9" s="199"/>
    </row>
    <row r="10" spans="1:11" x14ac:dyDescent="0.3">
      <c r="A10" s="201" t="s">
        <v>260</v>
      </c>
      <c r="B10" s="198"/>
      <c r="C10" s="198"/>
      <c r="D10" s="198"/>
      <c r="E10" s="199"/>
      <c r="F10" s="201" t="s">
        <v>324</v>
      </c>
      <c r="G10" s="198"/>
      <c r="H10" s="198"/>
      <c r="I10" s="198"/>
      <c r="J10" s="199"/>
    </row>
    <row r="11" spans="1:11" ht="49.5" customHeight="1" x14ac:dyDescent="0.3">
      <c r="A11" s="223" t="s">
        <v>7</v>
      </c>
      <c r="B11" s="224"/>
      <c r="C11" s="224"/>
      <c r="D11" s="224"/>
      <c r="E11" s="225"/>
      <c r="F11" s="229" t="s">
        <v>262</v>
      </c>
      <c r="G11" s="230"/>
      <c r="H11" s="231" t="s">
        <v>269</v>
      </c>
      <c r="I11" s="232"/>
      <c r="J11" s="232"/>
    </row>
    <row r="12" spans="1:11" ht="37.5" customHeight="1" x14ac:dyDescent="0.3">
      <c r="A12" s="226"/>
      <c r="B12" s="227"/>
      <c r="C12" s="227"/>
      <c r="D12" s="227"/>
      <c r="E12" s="228"/>
      <c r="F12" s="229" t="s">
        <v>263</v>
      </c>
      <c r="G12" s="230"/>
      <c r="H12" s="231" t="s">
        <v>268</v>
      </c>
      <c r="I12" s="232"/>
      <c r="J12" s="232"/>
    </row>
    <row r="13" spans="1:11" x14ac:dyDescent="0.3">
      <c r="A13" s="201" t="s">
        <v>8</v>
      </c>
      <c r="B13" s="198"/>
      <c r="C13" s="198"/>
      <c r="D13" s="198"/>
      <c r="E13" s="199"/>
      <c r="F13" s="115" t="s">
        <v>318</v>
      </c>
      <c r="G13" s="268"/>
      <c r="H13" s="268"/>
      <c r="I13" s="268"/>
      <c r="J13" s="116"/>
    </row>
    <row r="14" spans="1:11" ht="50.25" customHeight="1" x14ac:dyDescent="0.3">
      <c r="A14" s="223" t="s">
        <v>264</v>
      </c>
      <c r="B14" s="224"/>
      <c r="C14" s="224"/>
      <c r="D14" s="224"/>
      <c r="E14" s="225"/>
      <c r="F14" s="233" t="s">
        <v>266</v>
      </c>
      <c r="G14" s="234"/>
      <c r="H14" s="190" t="s">
        <v>319</v>
      </c>
      <c r="I14" s="236"/>
      <c r="J14" s="191"/>
    </row>
    <row r="15" spans="1:11" ht="51.75" customHeight="1" x14ac:dyDescent="0.3">
      <c r="A15" s="226"/>
      <c r="B15" s="227"/>
      <c r="C15" s="227"/>
      <c r="D15" s="227"/>
      <c r="E15" s="228"/>
      <c r="F15" s="235" t="s">
        <v>267</v>
      </c>
      <c r="G15" s="209"/>
      <c r="H15" s="190" t="s">
        <v>265</v>
      </c>
      <c r="I15" s="236"/>
      <c r="J15" s="191"/>
      <c r="K15" s="74"/>
    </row>
    <row r="16" spans="1:11" ht="32.25" customHeight="1" x14ac:dyDescent="0.3">
      <c r="A16" s="269" t="s">
        <v>9</v>
      </c>
      <c r="B16" s="269"/>
      <c r="C16" s="190" t="str">
        <f>CONCATENATE((IF(OR(F8="",F8="NA"),"",F8)),", ",(IF(OR(A17="",A17="NA"),"",A17)),".",(IF(OR(C17="",C17="NA"),"",C17)),", ",(IF(OR(C18="",C18="NA"),"",C18)),", ",(IF(OR(H18="",H18="NA"),"",H18)),", ",(IF(OR(H19="",H19="NA"),"",H19)),".")</f>
        <v>Vrindavan Complex Phase II &amp; III, S. No.321, 322/2, 322/3 (New S.No.322/B/K/D/E/E/F), Shirdhankar Ln Road, Saphale, Palghar.</v>
      </c>
      <c r="D16" s="236"/>
      <c r="E16" s="236"/>
      <c r="F16" s="236"/>
      <c r="G16" s="236"/>
      <c r="H16" s="236"/>
      <c r="I16" s="236"/>
      <c r="J16" s="191"/>
    </row>
    <row r="17" spans="1:10" ht="15.75" customHeight="1" x14ac:dyDescent="0.3">
      <c r="A17" s="190" t="s">
        <v>273</v>
      </c>
      <c r="B17" s="191"/>
      <c r="C17" s="190" t="s">
        <v>274</v>
      </c>
      <c r="D17" s="236"/>
      <c r="E17" s="236"/>
      <c r="F17" s="236"/>
      <c r="G17" s="236"/>
      <c r="H17" s="236"/>
      <c r="I17" s="236"/>
      <c r="J17" s="191"/>
    </row>
    <row r="18" spans="1:10" ht="15.75" customHeight="1" x14ac:dyDescent="0.3">
      <c r="A18" s="190" t="s">
        <v>10</v>
      </c>
      <c r="B18" s="191"/>
      <c r="C18" s="248" t="s">
        <v>278</v>
      </c>
      <c r="D18" s="248"/>
      <c r="E18" s="248"/>
      <c r="F18" s="210" t="s">
        <v>190</v>
      </c>
      <c r="G18" s="211"/>
      <c r="H18" s="190" t="s">
        <v>174</v>
      </c>
      <c r="I18" s="236"/>
      <c r="J18" s="191"/>
    </row>
    <row r="19" spans="1:10" x14ac:dyDescent="0.3">
      <c r="A19" s="248" t="s">
        <v>12</v>
      </c>
      <c r="B19" s="248"/>
      <c r="C19" s="248" t="s">
        <v>277</v>
      </c>
      <c r="D19" s="248"/>
      <c r="E19" s="248"/>
      <c r="F19" s="210" t="s">
        <v>11</v>
      </c>
      <c r="G19" s="211"/>
      <c r="H19" s="249" t="s">
        <v>151</v>
      </c>
      <c r="I19" s="249"/>
      <c r="J19" s="249"/>
    </row>
    <row r="20" spans="1:10" x14ac:dyDescent="0.3">
      <c r="A20" s="248" t="s">
        <v>135</v>
      </c>
      <c r="B20" s="248"/>
      <c r="C20" s="190" t="s">
        <v>151</v>
      </c>
      <c r="D20" s="236"/>
      <c r="E20" s="191"/>
      <c r="F20" s="210" t="s">
        <v>13</v>
      </c>
      <c r="G20" s="211"/>
      <c r="H20" s="190">
        <v>401102</v>
      </c>
      <c r="I20" s="236"/>
      <c r="J20" s="191"/>
    </row>
    <row r="21" spans="1:10" ht="32.25" customHeight="1" x14ac:dyDescent="0.3">
      <c r="A21" s="248" t="s">
        <v>14</v>
      </c>
      <c r="B21" s="248"/>
      <c r="C21" s="270" t="s">
        <v>191</v>
      </c>
      <c r="D21" s="270"/>
      <c r="E21" s="270"/>
      <c r="F21" s="269" t="s">
        <v>15</v>
      </c>
      <c r="G21" s="269"/>
      <c r="H21" s="268" t="s">
        <v>255</v>
      </c>
      <c r="I21" s="268"/>
      <c r="J21" s="116"/>
    </row>
    <row r="22" spans="1:10" ht="15" customHeight="1" x14ac:dyDescent="0.3">
      <c r="A22" s="210" t="s">
        <v>147</v>
      </c>
      <c r="B22" s="271"/>
      <c r="C22" s="271"/>
      <c r="D22" s="271"/>
      <c r="E22" s="211"/>
      <c r="F22" s="223" t="s">
        <v>16</v>
      </c>
      <c r="G22" s="224"/>
      <c r="H22" s="224"/>
      <c r="I22" s="224"/>
      <c r="J22" s="225"/>
    </row>
    <row r="23" spans="1:10" ht="18.75" customHeight="1" x14ac:dyDescent="0.3">
      <c r="A23" s="212"/>
      <c r="B23" s="272"/>
      <c r="C23" s="272"/>
      <c r="D23" s="272"/>
      <c r="E23" s="213"/>
      <c r="F23" s="226"/>
      <c r="G23" s="227"/>
      <c r="H23" s="227"/>
      <c r="I23" s="227"/>
      <c r="J23" s="228"/>
    </row>
    <row r="24" spans="1:10" ht="15" customHeight="1" x14ac:dyDescent="0.3">
      <c r="A24" s="210" t="s">
        <v>17</v>
      </c>
      <c r="B24" s="271"/>
      <c r="C24" s="271"/>
      <c r="D24" s="271"/>
      <c r="E24" s="211"/>
      <c r="F24" s="210" t="s">
        <v>18</v>
      </c>
      <c r="G24" s="271"/>
      <c r="H24" s="271"/>
      <c r="I24" s="271"/>
      <c r="J24" s="211"/>
    </row>
    <row r="25" spans="1:10" x14ac:dyDescent="0.3">
      <c r="A25" s="212"/>
      <c r="B25" s="272"/>
      <c r="C25" s="272"/>
      <c r="D25" s="272"/>
      <c r="E25" s="213"/>
      <c r="F25" s="212"/>
      <c r="G25" s="272"/>
      <c r="H25" s="272"/>
      <c r="I25" s="272"/>
      <c r="J25" s="213"/>
    </row>
    <row r="26" spans="1:10" ht="15" customHeight="1" x14ac:dyDescent="0.3">
      <c r="A26" s="201" t="s">
        <v>19</v>
      </c>
      <c r="B26" s="198"/>
      <c r="C26" s="198"/>
      <c r="D26" s="198"/>
      <c r="E26" s="199"/>
      <c r="F26" s="265" t="s">
        <v>20</v>
      </c>
      <c r="G26" s="266"/>
      <c r="H26" s="266"/>
      <c r="I26" s="266"/>
      <c r="J26" s="267"/>
    </row>
    <row r="27" spans="1:10" x14ac:dyDescent="0.3">
      <c r="A27" s="201" t="s">
        <v>21</v>
      </c>
      <c r="B27" s="198"/>
      <c r="C27" s="198"/>
      <c r="D27" s="198"/>
      <c r="E27" s="199"/>
      <c r="F27" s="265" t="s">
        <v>22</v>
      </c>
      <c r="G27" s="266"/>
      <c r="H27" s="266"/>
      <c r="I27" s="266"/>
      <c r="J27" s="267"/>
    </row>
    <row r="28" spans="1:10" ht="15" customHeight="1" x14ac:dyDescent="0.3">
      <c r="A28" s="201" t="s">
        <v>23</v>
      </c>
      <c r="B28" s="198"/>
      <c r="C28" s="198"/>
      <c r="D28" s="198"/>
      <c r="E28" s="199"/>
      <c r="F28" s="265" t="s">
        <v>24</v>
      </c>
      <c r="G28" s="266"/>
      <c r="H28" s="266"/>
      <c r="I28" s="266"/>
      <c r="J28" s="267"/>
    </row>
    <row r="29" spans="1:10" x14ac:dyDescent="0.3">
      <c r="A29" s="201" t="s">
        <v>25</v>
      </c>
      <c r="B29" s="198"/>
      <c r="C29" s="198"/>
      <c r="D29" s="198"/>
      <c r="E29" s="199"/>
      <c r="F29" s="265" t="s">
        <v>26</v>
      </c>
      <c r="G29" s="266"/>
      <c r="H29" s="266"/>
      <c r="I29" s="266"/>
      <c r="J29" s="267"/>
    </row>
    <row r="30" spans="1:10" x14ac:dyDescent="0.3">
      <c r="A30" s="250" t="s">
        <v>27</v>
      </c>
      <c r="B30" s="251"/>
      <c r="C30" s="250" t="s">
        <v>28</v>
      </c>
      <c r="D30" s="251"/>
      <c r="E30" s="250" t="s">
        <v>29</v>
      </c>
      <c r="F30" s="251"/>
      <c r="G30" s="250" t="s">
        <v>31</v>
      </c>
      <c r="H30" s="251"/>
      <c r="I30" s="250" t="s">
        <v>30</v>
      </c>
      <c r="J30" s="251"/>
    </row>
    <row r="31" spans="1:10" x14ac:dyDescent="0.3">
      <c r="A31" s="237" t="s">
        <v>270</v>
      </c>
      <c r="B31" s="209"/>
      <c r="C31" s="237" t="s">
        <v>282</v>
      </c>
      <c r="D31" s="209"/>
      <c r="E31" s="237" t="s">
        <v>281</v>
      </c>
      <c r="F31" s="209"/>
      <c r="G31" s="237" t="s">
        <v>282</v>
      </c>
      <c r="H31" s="209"/>
      <c r="I31" s="237" t="s">
        <v>281</v>
      </c>
      <c r="J31" s="209"/>
    </row>
    <row r="32" spans="1:10" ht="18.75" customHeight="1" x14ac:dyDescent="0.3">
      <c r="A32" s="237" t="s">
        <v>33</v>
      </c>
      <c r="B32" s="209"/>
      <c r="C32" s="237" t="s">
        <v>279</v>
      </c>
      <c r="D32" s="209"/>
      <c r="E32" s="237" t="s">
        <v>280</v>
      </c>
      <c r="F32" s="209"/>
      <c r="G32" s="237" t="s">
        <v>279</v>
      </c>
      <c r="H32" s="209"/>
      <c r="I32" s="237" t="s">
        <v>278</v>
      </c>
      <c r="J32" s="209"/>
    </row>
    <row r="33" spans="1:10" x14ac:dyDescent="0.3">
      <c r="A33" s="201" t="s">
        <v>34</v>
      </c>
      <c r="B33" s="198"/>
      <c r="C33" s="198"/>
      <c r="D33" s="198"/>
      <c r="E33" s="198"/>
      <c r="F33" s="198"/>
      <c r="G33" s="198"/>
      <c r="H33" s="198"/>
      <c r="I33" s="198"/>
      <c r="J33" s="199"/>
    </row>
    <row r="34" spans="1:10" x14ac:dyDescent="0.3">
      <c r="A34" s="201" t="s">
        <v>35</v>
      </c>
      <c r="B34" s="198"/>
      <c r="C34" s="198"/>
      <c r="D34" s="198"/>
      <c r="E34" s="198"/>
      <c r="F34" s="198"/>
      <c r="G34" s="198"/>
      <c r="H34" s="198"/>
      <c r="I34" s="198"/>
      <c r="J34" s="199"/>
    </row>
    <row r="35" spans="1:10" x14ac:dyDescent="0.3">
      <c r="A35" s="201" t="s">
        <v>36</v>
      </c>
      <c r="B35" s="199"/>
      <c r="C35" s="201" t="s">
        <v>276</v>
      </c>
      <c r="D35" s="198"/>
      <c r="E35" s="198"/>
      <c r="F35" s="198"/>
      <c r="G35" s="198"/>
      <c r="H35" s="198"/>
      <c r="I35" s="198"/>
      <c r="J35" s="199"/>
    </row>
    <row r="36" spans="1:10" x14ac:dyDescent="0.3">
      <c r="A36" s="201" t="s">
        <v>245</v>
      </c>
      <c r="B36" s="199"/>
      <c r="C36" s="291" t="s">
        <v>275</v>
      </c>
      <c r="D36" s="198"/>
      <c r="E36" s="198"/>
      <c r="F36" s="198"/>
      <c r="G36" s="198"/>
      <c r="H36" s="198"/>
      <c r="I36" s="198"/>
      <c r="J36" s="199"/>
    </row>
    <row r="37" spans="1:10" x14ac:dyDescent="0.3">
      <c r="A37" s="217" t="s">
        <v>37</v>
      </c>
      <c r="B37" s="218"/>
      <c r="C37" s="218"/>
      <c r="D37" s="218"/>
      <c r="E37" s="218"/>
      <c r="F37" s="218"/>
      <c r="G37" s="218"/>
      <c r="H37" s="218"/>
      <c r="I37" s="218"/>
      <c r="J37" s="219"/>
    </row>
    <row r="38" spans="1:10" ht="15" customHeight="1" x14ac:dyDescent="0.3">
      <c r="A38" s="190" t="s">
        <v>38</v>
      </c>
      <c r="B38" s="236"/>
      <c r="C38" s="236"/>
      <c r="D38" s="236"/>
      <c r="E38" s="191"/>
      <c r="F38" s="252" t="s">
        <v>187</v>
      </c>
      <c r="G38" s="253"/>
      <c r="H38" s="253"/>
      <c r="I38" s="253"/>
      <c r="J38" s="254"/>
    </row>
    <row r="39" spans="1:10" ht="15" customHeight="1" x14ac:dyDescent="0.3">
      <c r="A39" s="212" t="s">
        <v>39</v>
      </c>
      <c r="B39" s="272"/>
      <c r="C39" s="272"/>
      <c r="D39" s="272"/>
      <c r="E39" s="272"/>
      <c r="F39" s="190" t="s">
        <v>40</v>
      </c>
      <c r="G39" s="236"/>
      <c r="H39" s="236"/>
      <c r="I39" s="236"/>
      <c r="J39" s="191"/>
    </row>
    <row r="40" spans="1:10" ht="15" customHeight="1" x14ac:dyDescent="0.3">
      <c r="A40" s="274" t="s">
        <v>189</v>
      </c>
      <c r="B40" s="275"/>
      <c r="C40" s="275"/>
      <c r="D40" s="275"/>
      <c r="E40" s="275"/>
      <c r="F40" s="275"/>
      <c r="G40" s="275"/>
      <c r="H40" s="275"/>
      <c r="I40" s="275"/>
      <c r="J40" s="276"/>
    </row>
    <row r="41" spans="1:10" x14ac:dyDescent="0.3">
      <c r="A41" s="217" t="s">
        <v>41</v>
      </c>
      <c r="B41" s="218"/>
      <c r="C41" s="218"/>
      <c r="D41" s="218"/>
      <c r="E41" s="218"/>
      <c r="F41" s="218"/>
      <c r="G41" s="218"/>
      <c r="H41" s="218"/>
      <c r="I41" s="218"/>
      <c r="J41" s="219"/>
    </row>
    <row r="42" spans="1:10" x14ac:dyDescent="0.3">
      <c r="A42" s="201" t="s">
        <v>42</v>
      </c>
      <c r="B42" s="198"/>
      <c r="C42" s="198"/>
      <c r="D42" s="198"/>
      <c r="E42" s="199"/>
      <c r="F42" s="220">
        <v>4861.8500000000004</v>
      </c>
      <c r="G42" s="221"/>
      <c r="H42" s="221"/>
      <c r="I42" s="221"/>
      <c r="J42" s="222"/>
    </row>
    <row r="43" spans="1:10" x14ac:dyDescent="0.3">
      <c r="A43" s="201" t="s">
        <v>43</v>
      </c>
      <c r="B43" s="198"/>
      <c r="C43" s="198"/>
      <c r="D43" s="198"/>
      <c r="E43" s="199"/>
      <c r="F43" s="202">
        <v>1</v>
      </c>
      <c r="G43" s="203"/>
      <c r="H43" s="203"/>
      <c r="I43" s="203"/>
      <c r="J43" s="204"/>
    </row>
    <row r="44" spans="1:10" x14ac:dyDescent="0.3">
      <c r="A44" s="201" t="s">
        <v>44</v>
      </c>
      <c r="B44" s="198"/>
      <c r="C44" s="198"/>
      <c r="D44" s="198"/>
      <c r="E44" s="199"/>
      <c r="F44" s="202">
        <f>F46/F42-F43</f>
        <v>0.19089235579049113</v>
      </c>
      <c r="G44" s="203"/>
      <c r="H44" s="203"/>
      <c r="I44" s="203"/>
      <c r="J44" s="204"/>
    </row>
    <row r="45" spans="1:10" x14ac:dyDescent="0.3">
      <c r="A45" s="201" t="s">
        <v>45</v>
      </c>
      <c r="B45" s="198"/>
      <c r="C45" s="198"/>
      <c r="D45" s="198"/>
      <c r="E45" s="199"/>
      <c r="F45" s="202">
        <f>F43+F44</f>
        <v>1.1908923557904911</v>
      </c>
      <c r="G45" s="203"/>
      <c r="H45" s="203"/>
      <c r="I45" s="203"/>
      <c r="J45" s="204"/>
    </row>
    <row r="46" spans="1:10" x14ac:dyDescent="0.3">
      <c r="A46" s="201" t="s">
        <v>46</v>
      </c>
      <c r="B46" s="198"/>
      <c r="C46" s="198"/>
      <c r="D46" s="198"/>
      <c r="E46" s="199"/>
      <c r="F46" s="202">
        <v>5789.94</v>
      </c>
      <c r="G46" s="203"/>
      <c r="H46" s="203"/>
      <c r="I46" s="203"/>
      <c r="J46" s="204"/>
    </row>
    <row r="47" spans="1:10" x14ac:dyDescent="0.3">
      <c r="A47" s="201" t="s">
        <v>47</v>
      </c>
      <c r="B47" s="198"/>
      <c r="C47" s="198"/>
      <c r="D47" s="198"/>
      <c r="E47" s="199"/>
      <c r="F47" s="205" t="s">
        <v>240</v>
      </c>
      <c r="G47" s="206"/>
      <c r="H47" s="206"/>
      <c r="I47" s="206"/>
      <c r="J47" s="207"/>
    </row>
    <row r="48" spans="1:10" x14ac:dyDescent="0.3">
      <c r="A48" s="274" t="s">
        <v>271</v>
      </c>
      <c r="B48" s="275"/>
      <c r="C48" s="275"/>
      <c r="D48" s="275"/>
      <c r="E48" s="275"/>
      <c r="F48" s="275"/>
      <c r="G48" s="275"/>
      <c r="H48" s="275"/>
      <c r="I48" s="275"/>
      <c r="J48" s="276"/>
    </row>
    <row r="49" spans="1:12" x14ac:dyDescent="0.3">
      <c r="A49" s="217" t="s">
        <v>41</v>
      </c>
      <c r="B49" s="218"/>
      <c r="C49" s="218"/>
      <c r="D49" s="218"/>
      <c r="E49" s="218"/>
      <c r="F49" s="218"/>
      <c r="G49" s="218"/>
      <c r="H49" s="218"/>
      <c r="I49" s="218"/>
      <c r="J49" s="219"/>
    </row>
    <row r="50" spans="1:12" ht="17.25" customHeight="1" x14ac:dyDescent="0.3">
      <c r="A50" s="201" t="s">
        <v>42</v>
      </c>
      <c r="B50" s="198"/>
      <c r="C50" s="198"/>
      <c r="D50" s="198"/>
      <c r="E50" s="199"/>
      <c r="F50" s="220">
        <v>4485.38</v>
      </c>
      <c r="G50" s="221"/>
      <c r="H50" s="221"/>
      <c r="I50" s="221"/>
      <c r="J50" s="222"/>
    </row>
    <row r="51" spans="1:12" x14ac:dyDescent="0.3">
      <c r="A51" s="201" t="s">
        <v>43</v>
      </c>
      <c r="B51" s="198"/>
      <c r="C51" s="198"/>
      <c r="D51" s="198"/>
      <c r="E51" s="199"/>
      <c r="F51" s="202">
        <f>4485.38/F50</f>
        <v>1</v>
      </c>
      <c r="G51" s="203"/>
      <c r="H51" s="203"/>
      <c r="I51" s="203"/>
      <c r="J51" s="204"/>
    </row>
    <row r="52" spans="1:12" x14ac:dyDescent="0.3">
      <c r="A52" s="201" t="s">
        <v>44</v>
      </c>
      <c r="B52" s="198"/>
      <c r="C52" s="198"/>
      <c r="D52" s="198"/>
      <c r="E52" s="199"/>
      <c r="F52" s="202">
        <f>F54/F50-F51</f>
        <v>0.5994720625677199</v>
      </c>
      <c r="G52" s="203"/>
      <c r="H52" s="203"/>
      <c r="I52" s="203"/>
      <c r="J52" s="204"/>
    </row>
    <row r="53" spans="1:12" ht="15" customHeight="1" x14ac:dyDescent="0.3">
      <c r="A53" s="201" t="s">
        <v>45</v>
      </c>
      <c r="B53" s="198"/>
      <c r="C53" s="198"/>
      <c r="D53" s="198"/>
      <c r="E53" s="199"/>
      <c r="F53" s="202">
        <f>F51+F52</f>
        <v>1.5994720625677199</v>
      </c>
      <c r="G53" s="203"/>
      <c r="H53" s="203"/>
      <c r="I53" s="203"/>
      <c r="J53" s="204"/>
    </row>
    <row r="54" spans="1:12" x14ac:dyDescent="0.3">
      <c r="A54" s="201" t="s">
        <v>46</v>
      </c>
      <c r="B54" s="198"/>
      <c r="C54" s="198"/>
      <c r="D54" s="198"/>
      <c r="E54" s="199"/>
      <c r="F54" s="202">
        <v>7174.24</v>
      </c>
      <c r="G54" s="203"/>
      <c r="H54" s="203"/>
      <c r="I54" s="203"/>
      <c r="J54" s="204"/>
    </row>
    <row r="55" spans="1:12" x14ac:dyDescent="0.3">
      <c r="A55" s="201" t="s">
        <v>47</v>
      </c>
      <c r="B55" s="198"/>
      <c r="C55" s="198"/>
      <c r="D55" s="198"/>
      <c r="E55" s="199"/>
      <c r="F55" s="205" t="s">
        <v>322</v>
      </c>
      <c r="G55" s="206"/>
      <c r="H55" s="206"/>
      <c r="I55" s="206"/>
      <c r="J55" s="207"/>
    </row>
    <row r="56" spans="1:12" x14ac:dyDescent="0.3">
      <c r="A56" s="217" t="s">
        <v>48</v>
      </c>
      <c r="B56" s="218"/>
      <c r="C56" s="218"/>
      <c r="D56" s="218"/>
      <c r="E56" s="218"/>
      <c r="F56" s="218"/>
      <c r="G56" s="218"/>
      <c r="H56" s="218"/>
      <c r="I56" s="218"/>
      <c r="J56" s="219"/>
    </row>
    <row r="57" spans="1:12" ht="30.75" customHeight="1" x14ac:dyDescent="0.3">
      <c r="A57" s="115" t="s">
        <v>314</v>
      </c>
      <c r="B57" s="116"/>
      <c r="C57" s="117" t="s">
        <v>317</v>
      </c>
      <c r="D57" s="118"/>
      <c r="E57" s="118"/>
      <c r="F57" s="118"/>
      <c r="G57" s="118"/>
      <c r="H57" s="118"/>
      <c r="I57" s="118"/>
      <c r="J57" s="119"/>
    </row>
    <row r="58" spans="1:12" ht="35.25" customHeight="1" x14ac:dyDescent="0.3">
      <c r="A58" s="115" t="s">
        <v>310</v>
      </c>
      <c r="B58" s="116"/>
      <c r="C58" s="192" t="s">
        <v>200</v>
      </c>
      <c r="D58" s="193"/>
      <c r="E58" s="193"/>
      <c r="F58" s="194"/>
      <c r="G58" s="20" t="s">
        <v>49</v>
      </c>
      <c r="H58" s="195" t="s">
        <v>175</v>
      </c>
      <c r="I58" s="196"/>
      <c r="J58" s="197"/>
    </row>
    <row r="59" spans="1:12" ht="36" customHeight="1" x14ac:dyDescent="0.3">
      <c r="A59" s="190" t="s">
        <v>283</v>
      </c>
      <c r="B59" s="191"/>
      <c r="C59" s="192" t="s">
        <v>200</v>
      </c>
      <c r="D59" s="193"/>
      <c r="E59" s="193"/>
      <c r="F59" s="194"/>
      <c r="G59" s="20" t="s">
        <v>49</v>
      </c>
      <c r="H59" s="195" t="s">
        <v>175</v>
      </c>
      <c r="I59" s="196"/>
      <c r="J59" s="197"/>
    </row>
    <row r="60" spans="1:12" ht="30.75" customHeight="1" x14ac:dyDescent="0.3">
      <c r="A60" s="210" t="s">
        <v>312</v>
      </c>
      <c r="B60" s="211"/>
      <c r="C60" s="303" t="s">
        <v>243</v>
      </c>
      <c r="D60" s="270"/>
      <c r="E60" s="270"/>
      <c r="F60" s="270"/>
      <c r="G60" s="13" t="s">
        <v>49</v>
      </c>
      <c r="H60" s="270" t="s">
        <v>175</v>
      </c>
      <c r="I60" s="270"/>
      <c r="J60" s="270"/>
      <c r="K60" s="55"/>
      <c r="L60" s="55"/>
    </row>
    <row r="61" spans="1:12" ht="62.25" customHeight="1" x14ac:dyDescent="0.3">
      <c r="A61" s="212"/>
      <c r="B61" s="213"/>
      <c r="C61" s="303" t="s">
        <v>242</v>
      </c>
      <c r="D61" s="303"/>
      <c r="E61" s="303"/>
      <c r="F61" s="303"/>
      <c r="G61" s="303"/>
      <c r="H61" s="303"/>
      <c r="I61" s="303"/>
      <c r="J61" s="303"/>
      <c r="K61" s="55"/>
      <c r="L61" s="55"/>
    </row>
    <row r="62" spans="1:12" ht="33.75" customHeight="1" x14ac:dyDescent="0.3">
      <c r="A62" s="190" t="s">
        <v>311</v>
      </c>
      <c r="B62" s="191"/>
      <c r="C62" s="192" t="s">
        <v>285</v>
      </c>
      <c r="D62" s="193"/>
      <c r="E62" s="193"/>
      <c r="F62" s="194"/>
      <c r="G62" s="20" t="s">
        <v>49</v>
      </c>
      <c r="H62" s="195" t="s">
        <v>323</v>
      </c>
      <c r="I62" s="196"/>
      <c r="J62" s="197"/>
    </row>
    <row r="63" spans="1:12" ht="35.25" customHeight="1" x14ac:dyDescent="0.3">
      <c r="A63" s="190" t="s">
        <v>284</v>
      </c>
      <c r="B63" s="191"/>
      <c r="C63" s="192" t="str">
        <f>C62</f>
        <v>PJP/GP/PD/346</v>
      </c>
      <c r="D63" s="193"/>
      <c r="E63" s="193"/>
      <c r="F63" s="194"/>
      <c r="G63" s="20" t="s">
        <v>49</v>
      </c>
      <c r="H63" s="195" t="str">
        <f>H62</f>
        <v>21/10/2022.</v>
      </c>
      <c r="I63" s="196"/>
      <c r="J63" s="197"/>
    </row>
    <row r="64" spans="1:12" x14ac:dyDescent="0.3">
      <c r="A64" s="269" t="s">
        <v>313</v>
      </c>
      <c r="B64" s="269"/>
      <c r="C64" s="303" t="s">
        <v>286</v>
      </c>
      <c r="D64" s="270"/>
      <c r="E64" s="270"/>
      <c r="F64" s="270"/>
      <c r="G64" s="13" t="s">
        <v>49</v>
      </c>
      <c r="H64" s="304" t="str">
        <f>H62</f>
        <v>21/10/2022.</v>
      </c>
      <c r="I64" s="270"/>
      <c r="J64" s="270"/>
      <c r="K64" s="55"/>
      <c r="L64" s="55"/>
    </row>
    <row r="65" spans="1:12" s="3" customFormat="1" ht="48" customHeight="1" x14ac:dyDescent="0.3">
      <c r="A65" s="269"/>
      <c r="B65" s="269"/>
      <c r="C65" s="303" t="s">
        <v>287</v>
      </c>
      <c r="D65" s="303"/>
      <c r="E65" s="303"/>
      <c r="F65" s="303"/>
      <c r="G65" s="303"/>
      <c r="H65" s="303"/>
      <c r="I65" s="303"/>
      <c r="J65" s="303"/>
      <c r="K65" s="68"/>
      <c r="L65" s="68"/>
    </row>
    <row r="66" spans="1:12" s="3" customFormat="1" x14ac:dyDescent="0.3">
      <c r="A66" s="305" t="s">
        <v>50</v>
      </c>
      <c r="B66" s="305"/>
      <c r="C66" s="306" t="s">
        <v>143</v>
      </c>
      <c r="D66" s="307"/>
      <c r="E66" s="307"/>
      <c r="F66" s="307" t="s">
        <v>51</v>
      </c>
      <c r="G66" s="88" t="s">
        <v>49</v>
      </c>
      <c r="H66" s="308" t="s">
        <v>32</v>
      </c>
      <c r="I66" s="308" t="s">
        <v>32</v>
      </c>
      <c r="J66" s="308"/>
      <c r="K66" s="68"/>
      <c r="L66" s="68"/>
    </row>
    <row r="67" spans="1:12" s="3" customFormat="1" x14ac:dyDescent="0.3">
      <c r="A67" s="77" t="s">
        <v>262</v>
      </c>
      <c r="B67" s="309" t="s">
        <v>52</v>
      </c>
      <c r="C67" s="309"/>
      <c r="D67" s="309"/>
      <c r="E67" s="208" t="str">
        <f>H60</f>
        <v>25/05/2018.</v>
      </c>
      <c r="F67" s="208"/>
      <c r="G67" s="309" t="s">
        <v>53</v>
      </c>
      <c r="H67" s="309"/>
      <c r="I67" s="200" t="s">
        <v>254</v>
      </c>
      <c r="J67" s="200"/>
      <c r="K67" s="68"/>
      <c r="L67" s="68"/>
    </row>
    <row r="68" spans="1:12" ht="15.75" customHeight="1" x14ac:dyDescent="0.3">
      <c r="A68" s="77" t="s">
        <v>263</v>
      </c>
      <c r="B68" s="309"/>
      <c r="C68" s="309"/>
      <c r="D68" s="309"/>
      <c r="E68" s="310" t="str">
        <f>H64</f>
        <v>21/10/2022.</v>
      </c>
      <c r="F68" s="208"/>
      <c r="G68" s="309"/>
      <c r="H68" s="309"/>
      <c r="I68" s="200" t="s">
        <v>288</v>
      </c>
      <c r="J68" s="200"/>
      <c r="K68" s="57"/>
    </row>
    <row r="69" spans="1:12" x14ac:dyDescent="0.3">
      <c r="A69" s="311" t="s">
        <v>54</v>
      </c>
      <c r="B69" s="311"/>
      <c r="C69" s="311"/>
      <c r="D69" s="311"/>
      <c r="E69" s="311"/>
      <c r="F69" s="311"/>
      <c r="G69" s="311"/>
      <c r="H69" s="311"/>
      <c r="I69" s="311"/>
      <c r="J69" s="311"/>
      <c r="K69" s="57"/>
    </row>
    <row r="70" spans="1:12" ht="33" customHeight="1" x14ac:dyDescent="0.3">
      <c r="A70" s="269" t="s">
        <v>289</v>
      </c>
      <c r="B70" s="248"/>
      <c r="C70" s="248"/>
      <c r="D70" s="312">
        <f>F46</f>
        <v>5789.94</v>
      </c>
      <c r="E70" s="312"/>
      <c r="F70" s="131" t="s">
        <v>55</v>
      </c>
      <c r="G70" s="131"/>
      <c r="H70" s="76" t="s">
        <v>262</v>
      </c>
      <c r="I70" s="131" t="s">
        <v>316</v>
      </c>
      <c r="J70" s="131"/>
      <c r="K70" s="57"/>
      <c r="L70" s="57"/>
    </row>
    <row r="71" spans="1:12" ht="33.75" customHeight="1" x14ac:dyDescent="0.3">
      <c r="A71" s="269" t="s">
        <v>290</v>
      </c>
      <c r="B71" s="248"/>
      <c r="C71" s="248"/>
      <c r="D71" s="312">
        <f>(3493.99+2575.01)</f>
        <v>6069</v>
      </c>
      <c r="E71" s="312"/>
      <c r="F71" s="131"/>
      <c r="G71" s="131"/>
      <c r="H71" s="76" t="s">
        <v>263</v>
      </c>
      <c r="I71" s="131" t="s">
        <v>308</v>
      </c>
      <c r="J71" s="131"/>
      <c r="K71" s="57"/>
      <c r="L71" s="57"/>
    </row>
    <row r="72" spans="1:12" ht="49.5" customHeight="1" x14ac:dyDescent="0.3">
      <c r="A72" s="232" t="s">
        <v>56</v>
      </c>
      <c r="B72" s="232"/>
      <c r="C72" s="76" t="s">
        <v>262</v>
      </c>
      <c r="D72" s="280" t="s">
        <v>244</v>
      </c>
      <c r="E72" s="280"/>
      <c r="F72" s="280"/>
      <c r="G72" s="280"/>
      <c r="H72" s="280"/>
      <c r="I72" s="280"/>
      <c r="J72" s="280"/>
      <c r="K72" s="57"/>
      <c r="L72" s="57"/>
    </row>
    <row r="73" spans="1:12" x14ac:dyDescent="0.3">
      <c r="A73" s="232"/>
      <c r="B73" s="232"/>
      <c r="C73" s="131" t="s">
        <v>263</v>
      </c>
      <c r="D73" s="280" t="s">
        <v>291</v>
      </c>
      <c r="E73" s="280"/>
      <c r="F73" s="280"/>
      <c r="G73" s="280"/>
      <c r="H73" s="280"/>
      <c r="I73" s="280"/>
      <c r="J73" s="280"/>
      <c r="K73" s="57"/>
      <c r="L73" s="78"/>
    </row>
    <row r="74" spans="1:12" s="86" customFormat="1" x14ac:dyDescent="0.3">
      <c r="A74" s="232"/>
      <c r="B74" s="232"/>
      <c r="C74" s="131"/>
      <c r="D74" s="280" t="s">
        <v>292</v>
      </c>
      <c r="E74" s="280"/>
      <c r="F74" s="280"/>
      <c r="G74" s="280"/>
      <c r="H74" s="280"/>
      <c r="I74" s="280"/>
      <c r="J74" s="280"/>
      <c r="K74" s="84"/>
      <c r="L74" s="85"/>
    </row>
    <row r="75" spans="1:12" ht="44.25" customHeight="1" x14ac:dyDescent="0.3">
      <c r="A75" s="232" t="s">
        <v>293</v>
      </c>
      <c r="B75" s="232"/>
      <c r="C75" s="76" t="s">
        <v>262</v>
      </c>
      <c r="D75" s="280" t="s">
        <v>244</v>
      </c>
      <c r="E75" s="280"/>
      <c r="F75" s="280"/>
      <c r="G75" s="280"/>
      <c r="H75" s="280"/>
      <c r="I75" s="280"/>
      <c r="J75" s="280"/>
      <c r="K75" s="57"/>
      <c r="L75" s="78"/>
    </row>
    <row r="76" spans="1:12" ht="15" customHeight="1" x14ac:dyDescent="0.3">
      <c r="A76" s="232"/>
      <c r="B76" s="232"/>
      <c r="C76" s="131" t="s">
        <v>263</v>
      </c>
      <c r="D76" s="280" t="s">
        <v>291</v>
      </c>
      <c r="E76" s="280"/>
      <c r="F76" s="280"/>
      <c r="G76" s="280"/>
      <c r="H76" s="280"/>
      <c r="I76" s="280"/>
      <c r="J76" s="280"/>
      <c r="K76" s="57"/>
      <c r="L76" s="78"/>
    </row>
    <row r="77" spans="1:12" x14ac:dyDescent="0.3">
      <c r="A77" s="232"/>
      <c r="B77" s="232"/>
      <c r="C77" s="131"/>
      <c r="D77" s="280" t="s">
        <v>292</v>
      </c>
      <c r="E77" s="280"/>
      <c r="F77" s="280"/>
      <c r="G77" s="280"/>
      <c r="H77" s="280"/>
      <c r="I77" s="280"/>
      <c r="J77" s="280"/>
      <c r="K77" s="57"/>
      <c r="L77" s="78"/>
    </row>
    <row r="78" spans="1:12" x14ac:dyDescent="0.3">
      <c r="A78" s="248" t="s">
        <v>57</v>
      </c>
      <c r="B78" s="248"/>
      <c r="C78" s="248"/>
      <c r="D78" s="269" t="s">
        <v>247</v>
      </c>
      <c r="E78" s="269"/>
      <c r="F78" s="269"/>
      <c r="G78" s="269"/>
      <c r="H78" s="269"/>
      <c r="I78" s="269"/>
      <c r="J78" s="269"/>
      <c r="K78" s="57"/>
      <c r="L78" s="79"/>
    </row>
    <row r="79" spans="1:12" ht="15" customHeight="1" thickBot="1" x14ac:dyDescent="0.35">
      <c r="A79" s="313" t="s">
        <v>320</v>
      </c>
      <c r="B79" s="313"/>
      <c r="C79" s="313"/>
      <c r="D79" s="313"/>
      <c r="E79" s="313"/>
      <c r="F79" s="313"/>
      <c r="G79" s="313"/>
      <c r="H79" s="313"/>
      <c r="I79" s="313"/>
      <c r="J79" s="313"/>
      <c r="K79" s="57" t="s">
        <v>315</v>
      </c>
      <c r="L79" s="78"/>
    </row>
    <row r="80" spans="1:12" ht="48" customHeight="1" x14ac:dyDescent="0.3">
      <c r="A80" s="299" t="s">
        <v>216</v>
      </c>
      <c r="B80" s="300"/>
      <c r="C80" s="301" t="s">
        <v>253</v>
      </c>
      <c r="D80" s="301"/>
      <c r="E80" s="301"/>
      <c r="F80" s="301"/>
      <c r="G80" s="301"/>
      <c r="H80" s="301"/>
      <c r="I80" s="301"/>
      <c r="J80" s="302"/>
      <c r="K80" s="55"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","0")))&amp;(IF(C87=0%,"",IF(C87=L86,"Footing work is process",IF(C87=L87,"Footing work Completed",IF(C87=L88,"1st Basement Completed",IF(C87=L89,"1st &amp; 2nd Basement Completed",IF(C87=L90,"1st to 3rd Basement Completed",IF(C87=L91,"1st to 4th Basement Completed",IF(C87=L92,"Plinth work is process",IF(C87=L93,"Plinth work completed","0")))))))))))&amp;(IF(C88=(D81+G81+I81),", RCC Slab",IF(C88&gt;0,", RCC upto "&amp;C88&amp;" Slab",""))&amp;(IF(C89=I81,", Brickwork",IF(C89&gt;0,", Brickwork upto "&amp;C89&amp;" Floor",""))&amp;(IF(C90=I81,", Internal Plaster",IF(C90&gt;0,", Internal Plaster upto "&amp;C90&amp;" Floor",""))&amp;(IF(C91=I81,", External Plaster",IF(C91&gt;0,", External Plaster upto "&amp;C91&amp;" Floor",""))&amp;(IF(C92=I81,", Flooring",IF(C92&gt;0,", Flooring upto "&amp;C92&amp;" Floor",""))&amp;(IF(C93=I81,", Painting",IF(C93&gt;0,", Painting upto "&amp;C93&amp;" Floor",""))&amp;(IF(C94&gt;0,", Finishing upto "&amp;C94&amp;" Floor","")&amp;(IF(C88&gt;0.5," Completed",""))))))))))))))</f>
        <v>All work completed. Please provide OC.</v>
      </c>
      <c r="L80" s="56"/>
    </row>
    <row r="81" spans="1:16" x14ac:dyDescent="0.3">
      <c r="A81" s="71" t="s">
        <v>131</v>
      </c>
      <c r="B81" s="54">
        <v>0</v>
      </c>
      <c r="C81" s="54" t="s">
        <v>133</v>
      </c>
      <c r="D81" s="54">
        <v>1</v>
      </c>
      <c r="E81" s="134" t="s">
        <v>132</v>
      </c>
      <c r="F81" s="135"/>
      <c r="G81" s="54">
        <v>0</v>
      </c>
      <c r="H81" s="54" t="s">
        <v>217</v>
      </c>
      <c r="I81" s="134">
        <f ca="1">--TRIM(RIGHT(SUBSTITUTE(LEFT(C80,_xlfn.AGGREGATE(16,6,FIND({0,1,2,3,4,5,6,7,8,9},C80,ROW(INDIRECT("1:"&amp;LEN(C80)))),1))," ",REPT(" ",LEN(C80))),LEN(C80)))</f>
        <v>4</v>
      </c>
      <c r="J81" s="136"/>
      <c r="K81" s="55"/>
      <c r="L81" s="56"/>
    </row>
    <row r="82" spans="1:16" x14ac:dyDescent="0.3">
      <c r="A82" s="137" t="s">
        <v>218</v>
      </c>
      <c r="B82" s="138"/>
      <c r="C82" s="139" t="str">
        <f ca="1">K80</f>
        <v>All work completed. Please provide OC.</v>
      </c>
      <c r="D82" s="140"/>
      <c r="E82" s="140"/>
      <c r="F82" s="140"/>
      <c r="G82" s="140"/>
      <c r="H82" s="140"/>
      <c r="I82" s="140"/>
      <c r="J82" s="141"/>
      <c r="K82" s="55" t="s">
        <v>219</v>
      </c>
      <c r="L82" s="56"/>
    </row>
    <row r="83" spans="1:16" x14ac:dyDescent="0.3">
      <c r="A83" s="124" t="s">
        <v>222</v>
      </c>
      <c r="B83" s="125"/>
      <c r="C83" s="128">
        <v>1</v>
      </c>
      <c r="D83" s="129"/>
      <c r="E83" s="129"/>
      <c r="F83" s="129" t="s">
        <v>223</v>
      </c>
      <c r="G83" s="129"/>
      <c r="H83" s="128">
        <v>1</v>
      </c>
      <c r="I83" s="129"/>
      <c r="J83" s="145"/>
      <c r="K83" s="57" t="s">
        <v>224</v>
      </c>
      <c r="L83" s="58">
        <f ca="1">I81*25%</f>
        <v>1</v>
      </c>
    </row>
    <row r="84" spans="1:16" ht="16.2" thickBot="1" x14ac:dyDescent="0.35">
      <c r="A84" s="126"/>
      <c r="B84" s="127"/>
      <c r="C84" s="130"/>
      <c r="D84" s="130"/>
      <c r="E84" s="130"/>
      <c r="F84" s="130"/>
      <c r="G84" s="130"/>
      <c r="H84" s="130"/>
      <c r="I84" s="130"/>
      <c r="J84" s="146"/>
      <c r="K84" s="57" t="s">
        <v>137</v>
      </c>
      <c r="L84" s="59">
        <f ca="1">I81*50%</f>
        <v>2</v>
      </c>
      <c r="P84" s="69"/>
    </row>
    <row r="85" spans="1:16" hidden="1" x14ac:dyDescent="0.3">
      <c r="A85" s="142" t="s">
        <v>58</v>
      </c>
      <c r="B85" s="143"/>
      <c r="C85" s="64" t="s">
        <v>220</v>
      </c>
      <c r="D85" s="107" t="s">
        <v>221</v>
      </c>
      <c r="E85" s="107"/>
      <c r="F85" s="107" t="s">
        <v>222</v>
      </c>
      <c r="G85" s="107"/>
      <c r="H85" s="107" t="s">
        <v>223</v>
      </c>
      <c r="I85" s="107"/>
      <c r="J85" s="144"/>
      <c r="K85" s="57" t="s">
        <v>138</v>
      </c>
      <c r="L85" s="59">
        <f ca="1">I81</f>
        <v>4</v>
      </c>
    </row>
    <row r="86" spans="1:16" hidden="1" x14ac:dyDescent="0.3">
      <c r="A86" s="102" t="s">
        <v>225</v>
      </c>
      <c r="B86" s="103"/>
      <c r="C86" s="65">
        <f ca="1">L85</f>
        <v>4</v>
      </c>
      <c r="D86" s="89">
        <f ca="1">((100/I81)*C86)/100</f>
        <v>1</v>
      </c>
      <c r="E86" s="90"/>
      <c r="F86" s="91">
        <f ca="1">(((C87/I81*10)+(40/(D81+G81+I81)*C88)+(7.5/(I81)*C89)+(7.5/(I81)*C90)+(10/I81*C91)+(10/I81*C92)+(5/I81*C93)+(5/I81*C94)+(5/I81*C95))/100)</f>
        <v>1</v>
      </c>
      <c r="G86" s="91"/>
      <c r="H86" s="93">
        <f ca="1">((((C86/I81)*20)+((C87/I81)*25)+(30/(I81+G81+D81)*C88)+(5/I81*C89)+(5/I81*C90)+(5/I81*C91)+(5/I81*C92)+(0/I81*C93)+(0/I81*C94)+(5/I81*C95))/100)</f>
        <v>1</v>
      </c>
      <c r="I86" s="94"/>
      <c r="J86" s="95"/>
      <c r="K86" s="57" t="s">
        <v>139</v>
      </c>
      <c r="L86" s="60">
        <f ca="1">(IF(B81&gt;1,(I81/(B81+2)),I81/4))</f>
        <v>1</v>
      </c>
    </row>
    <row r="87" spans="1:16" hidden="1" x14ac:dyDescent="0.3">
      <c r="A87" s="102" t="s">
        <v>59</v>
      </c>
      <c r="B87" s="103"/>
      <c r="C87" s="66">
        <f ca="1">L93</f>
        <v>4</v>
      </c>
      <c r="D87" s="89">
        <f ca="1">((100/I81)*C87)/100</f>
        <v>1</v>
      </c>
      <c r="E87" s="90"/>
      <c r="F87" s="91"/>
      <c r="G87" s="91"/>
      <c r="H87" s="96"/>
      <c r="I87" s="97"/>
      <c r="J87" s="98"/>
      <c r="K87" s="57" t="s">
        <v>140</v>
      </c>
      <c r="L87" s="60">
        <f ca="1">(IF(B81&gt;1,(I81/(B81+2)+L86),I81/4+L86))</f>
        <v>2</v>
      </c>
    </row>
    <row r="88" spans="1:16" hidden="1" x14ac:dyDescent="0.3">
      <c r="A88" s="102" t="s">
        <v>239</v>
      </c>
      <c r="B88" s="103"/>
      <c r="C88" s="66">
        <v>5</v>
      </c>
      <c r="D88" s="89">
        <f ca="1">((100/(D81+G81+I81))*C88)/100</f>
        <v>1</v>
      </c>
      <c r="E88" s="90"/>
      <c r="F88" s="91"/>
      <c r="G88" s="91"/>
      <c r="H88" s="96"/>
      <c r="I88" s="97"/>
      <c r="J88" s="98"/>
      <c r="K88" s="57" t="s">
        <v>229</v>
      </c>
      <c r="L88" s="60">
        <f>(IF(B81&gt;1,(I81/(B81+2)+L87),0))</f>
        <v>0</v>
      </c>
    </row>
    <row r="89" spans="1:16" ht="15.75" hidden="1" customHeight="1" x14ac:dyDescent="0.3">
      <c r="A89" s="102" t="s">
        <v>226</v>
      </c>
      <c r="B89" s="103" t="s">
        <v>227</v>
      </c>
      <c r="C89" s="65">
        <v>4</v>
      </c>
      <c r="D89" s="89">
        <f ca="1">((100/I81)*C89)/100</f>
        <v>1</v>
      </c>
      <c r="E89" s="90"/>
      <c r="F89" s="91"/>
      <c r="G89" s="91"/>
      <c r="H89" s="96"/>
      <c r="I89" s="97"/>
      <c r="J89" s="98"/>
      <c r="K89" s="57" t="s">
        <v>232</v>
      </c>
      <c r="L89" s="60">
        <f>(IF(B81&gt;2,(I81/(B81+2)+L88),0))</f>
        <v>0</v>
      </c>
    </row>
    <row r="90" spans="1:16" hidden="1" x14ac:dyDescent="0.3">
      <c r="A90" s="102" t="s">
        <v>228</v>
      </c>
      <c r="B90" s="103" t="s">
        <v>227</v>
      </c>
      <c r="C90" s="65">
        <v>4</v>
      </c>
      <c r="D90" s="89">
        <f ca="1">((100/I81)*C90)/100</f>
        <v>1</v>
      </c>
      <c r="E90" s="90"/>
      <c r="F90" s="91"/>
      <c r="G90" s="91"/>
      <c r="H90" s="96"/>
      <c r="I90" s="97"/>
      <c r="J90" s="98"/>
      <c r="K90" s="57" t="s">
        <v>234</v>
      </c>
      <c r="L90" s="61">
        <f>(IF(B81&gt;3,(I81/(B81+2)+L89),0))</f>
        <v>0</v>
      </c>
    </row>
    <row r="91" spans="1:16" hidden="1" x14ac:dyDescent="0.3">
      <c r="A91" s="102" t="s">
        <v>230</v>
      </c>
      <c r="B91" s="103" t="s">
        <v>231</v>
      </c>
      <c r="C91" s="65">
        <v>4</v>
      </c>
      <c r="D91" s="89">
        <f ca="1">((100/(I81))*C91)/100</f>
        <v>1</v>
      </c>
      <c r="E91" s="90"/>
      <c r="F91" s="91"/>
      <c r="G91" s="91"/>
      <c r="H91" s="96"/>
      <c r="I91" s="97"/>
      <c r="J91" s="98"/>
      <c r="K91" s="57" t="s">
        <v>236</v>
      </c>
      <c r="L91" s="60">
        <f>(IF(B81&gt;4,(I81/(B81+2)+L90),0))</f>
        <v>0</v>
      </c>
    </row>
    <row r="92" spans="1:16" hidden="1" x14ac:dyDescent="0.3">
      <c r="A92" s="102" t="s">
        <v>233</v>
      </c>
      <c r="B92" s="103" t="s">
        <v>233</v>
      </c>
      <c r="C92" s="65">
        <v>4</v>
      </c>
      <c r="D92" s="89">
        <f ca="1">((100/I81)*C92)/100</f>
        <v>1</v>
      </c>
      <c r="E92" s="90"/>
      <c r="F92" s="91"/>
      <c r="G92" s="91"/>
      <c r="H92" s="96"/>
      <c r="I92" s="97"/>
      <c r="J92" s="98"/>
      <c r="K92" s="57" t="s">
        <v>141</v>
      </c>
      <c r="L92" s="60">
        <f ca="1">(IF(B81=1,(I81/(B81+3)+L87),IF(B81=0,(I81/4+L87),IF(B81&gt;1,0))))</f>
        <v>3</v>
      </c>
    </row>
    <row r="93" spans="1:16" s="14" customFormat="1" ht="14.4" hidden="1" customHeight="1" thickBot="1" x14ac:dyDescent="0.35">
      <c r="A93" s="102" t="s">
        <v>235</v>
      </c>
      <c r="B93" s="103"/>
      <c r="C93" s="65">
        <v>4</v>
      </c>
      <c r="D93" s="89">
        <f ca="1">((100/I81)*C93)/100</f>
        <v>1</v>
      </c>
      <c r="E93" s="90"/>
      <c r="F93" s="91"/>
      <c r="G93" s="91"/>
      <c r="H93" s="96"/>
      <c r="I93" s="97"/>
      <c r="J93" s="98"/>
      <c r="K93" s="62" t="s">
        <v>142</v>
      </c>
      <c r="L93" s="63">
        <f ca="1">(IF(B81&gt;1.5,(I81/(B81+2)+L87+MAX(0,L88-L87)+MAX(0,L89-L88)+MAX(0,L90-L89)+MAX(0,L91-L90)+MAX(0,L92-L91)),IF(B81=1,(I81/(B81+3)+L92),IF(B81=0,I81/4+L92))))</f>
        <v>4</v>
      </c>
    </row>
    <row r="94" spans="1:16" s="1" customFormat="1" ht="15.75" hidden="1" customHeight="1" x14ac:dyDescent="0.3">
      <c r="A94" s="120" t="s">
        <v>237</v>
      </c>
      <c r="B94" s="121" t="s">
        <v>237</v>
      </c>
      <c r="C94" s="65">
        <v>4</v>
      </c>
      <c r="D94" s="89">
        <f ca="1">((100/(I81))*C94)/100</f>
        <v>1</v>
      </c>
      <c r="E94" s="90"/>
      <c r="F94" s="91"/>
      <c r="G94" s="91"/>
      <c r="H94" s="96"/>
      <c r="I94" s="97"/>
      <c r="J94" s="98"/>
    </row>
    <row r="95" spans="1:16" s="1" customFormat="1" ht="15.75" hidden="1" customHeight="1" thickBot="1" x14ac:dyDescent="0.35">
      <c r="A95" s="122" t="s">
        <v>238</v>
      </c>
      <c r="B95" s="123"/>
      <c r="C95" s="67">
        <v>4</v>
      </c>
      <c r="D95" s="110">
        <f ca="1">((100/(I81))*C95)/100</f>
        <v>1</v>
      </c>
      <c r="E95" s="111"/>
      <c r="F95" s="92"/>
      <c r="G95" s="92"/>
      <c r="H95" s="99"/>
      <c r="I95" s="100"/>
      <c r="J95" s="101"/>
    </row>
    <row r="96" spans="1:16" s="1" customFormat="1" x14ac:dyDescent="0.3">
      <c r="A96" s="182" t="s">
        <v>216</v>
      </c>
      <c r="B96" s="183"/>
      <c r="C96" s="184" t="s">
        <v>325</v>
      </c>
      <c r="D96" s="185"/>
      <c r="E96" s="185"/>
      <c r="F96" s="185"/>
      <c r="G96" s="185"/>
      <c r="H96" s="185"/>
      <c r="I96" s="185"/>
      <c r="J96" s="186"/>
      <c r="K96" s="55" t="str">
        <f ca="1">(IF(F100&gt;99%,"All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Excavation work Completed. Plinth work completed, RCC Slab, Brickwork, Internal Plaster upto 6 Floor, External Plaster upto 6 Floor Completed</v>
      </c>
      <c r="L96" s="56"/>
    </row>
    <row r="97" spans="1:14" s="1" customFormat="1" x14ac:dyDescent="0.3">
      <c r="A97" s="82" t="s">
        <v>131</v>
      </c>
      <c r="B97" s="83">
        <v>0</v>
      </c>
      <c r="C97" s="54" t="s">
        <v>133</v>
      </c>
      <c r="D97" s="54">
        <v>1</v>
      </c>
      <c r="E97" s="134" t="s">
        <v>132</v>
      </c>
      <c r="F97" s="135"/>
      <c r="G97" s="54">
        <v>0</v>
      </c>
      <c r="H97" s="54" t="s">
        <v>217</v>
      </c>
      <c r="I97" s="134">
        <f ca="1">--TRIM(RIGHT(SUBSTITUTE(LEFT(C96,_xlfn.AGGREGATE(16,6,FIND({0,1,2,3,4,5,6,7,8,9},C96,ROW(INDIRECT("1:"&amp;LEN(C96)))),1))," ",REPT(" ",LEN(C96))),LEN(C96)))</f>
        <v>7</v>
      </c>
      <c r="J97" s="136"/>
      <c r="K97" s="55"/>
      <c r="L97" s="56"/>
    </row>
    <row r="98" spans="1:14" s="1" customFormat="1" ht="36" customHeight="1" x14ac:dyDescent="0.3">
      <c r="A98" s="187" t="s">
        <v>218</v>
      </c>
      <c r="B98" s="188"/>
      <c r="C98" s="139" t="str">
        <f ca="1">K96</f>
        <v>Excavation work Completed. Plinth work completed, RCC Slab, Brickwork, Internal Plaster upto 6 Floor, External Plaster upto 6 Floor Completed</v>
      </c>
      <c r="D98" s="140"/>
      <c r="E98" s="140"/>
      <c r="F98" s="140"/>
      <c r="G98" s="140"/>
      <c r="H98" s="140"/>
      <c r="I98" s="140"/>
      <c r="J98" s="141"/>
      <c r="K98" s="55" t="s">
        <v>219</v>
      </c>
      <c r="L98" s="56"/>
    </row>
    <row r="99" spans="1:14" s="1" customFormat="1" x14ac:dyDescent="0.3">
      <c r="A99" s="142" t="s">
        <v>58</v>
      </c>
      <c r="B99" s="143"/>
      <c r="C99" s="64" t="s">
        <v>220</v>
      </c>
      <c r="D99" s="107" t="s">
        <v>221</v>
      </c>
      <c r="E99" s="107"/>
      <c r="F99" s="107" t="s">
        <v>222</v>
      </c>
      <c r="G99" s="107"/>
      <c r="H99" s="107" t="s">
        <v>223</v>
      </c>
      <c r="I99" s="107"/>
      <c r="J99" s="144"/>
      <c r="K99" s="57" t="s">
        <v>224</v>
      </c>
      <c r="L99" s="58">
        <f ca="1">I97*25%</f>
        <v>1.75</v>
      </c>
    </row>
    <row r="100" spans="1:14" s="1" customFormat="1" x14ac:dyDescent="0.3">
      <c r="A100" s="102" t="s">
        <v>225</v>
      </c>
      <c r="B100" s="103"/>
      <c r="C100" s="65">
        <f ca="1">L101</f>
        <v>7</v>
      </c>
      <c r="D100" s="89">
        <f ca="1">((100/I97)*C100)/100</f>
        <v>1</v>
      </c>
      <c r="E100" s="90"/>
      <c r="F100" s="91">
        <f ca="1">(((C101/I97*10)+(40/(D97+G97+I97)*C102)+(7.5/(I97)*C103)+(7.5/(I97)*C104)+(10/I97*C105)+(10/I97*C106)+(5/I97*C107)+(5/I97*C108)+(5/I97*C109))/100)</f>
        <v>0.72499999999999998</v>
      </c>
      <c r="G100" s="91"/>
      <c r="H100" s="93">
        <f ca="1">((((C100/I97)*20)+((C101/I97)*25)+(30/(I97+G97+D97)*C102)+(5/I97*C103)+(5/I97*C104)+(5/I97*C105)+(5/I97*C106)+(0/I97*C107)+(0/I97*C108)+(5/I97*C109))/100)</f>
        <v>0.88571428571428579</v>
      </c>
      <c r="I100" s="94"/>
      <c r="J100" s="95"/>
      <c r="K100" s="57" t="s">
        <v>137</v>
      </c>
      <c r="L100" s="59">
        <f ca="1">I97*50%</f>
        <v>3.5</v>
      </c>
    </row>
    <row r="101" spans="1:14" s="1" customFormat="1" x14ac:dyDescent="0.3">
      <c r="A101" s="102" t="s">
        <v>59</v>
      </c>
      <c r="B101" s="103"/>
      <c r="C101" s="66">
        <f ca="1">L109</f>
        <v>7</v>
      </c>
      <c r="D101" s="89">
        <f ca="1">((100/I97)*C101)/100</f>
        <v>1</v>
      </c>
      <c r="E101" s="90"/>
      <c r="F101" s="91"/>
      <c r="G101" s="91"/>
      <c r="H101" s="96"/>
      <c r="I101" s="97"/>
      <c r="J101" s="98"/>
      <c r="K101" s="57" t="s">
        <v>138</v>
      </c>
      <c r="L101" s="59">
        <f ca="1">I97</f>
        <v>7</v>
      </c>
    </row>
    <row r="102" spans="1:14" s="1" customFormat="1" ht="15.75" customHeight="1" x14ac:dyDescent="0.3">
      <c r="A102" s="104" t="s">
        <v>239</v>
      </c>
      <c r="B102" s="105"/>
      <c r="C102" s="66">
        <v>8</v>
      </c>
      <c r="D102" s="89">
        <f ca="1">((100/(D97+G97+I97))*C102)/100</f>
        <v>1</v>
      </c>
      <c r="E102" s="90"/>
      <c r="F102" s="91"/>
      <c r="G102" s="91"/>
      <c r="H102" s="96"/>
      <c r="I102" s="97"/>
      <c r="J102" s="98"/>
      <c r="K102" s="57" t="s">
        <v>139</v>
      </c>
      <c r="L102" s="60">
        <f ca="1">(IF(B97&gt;1,(I97/(B97+2)),I97/4))</f>
        <v>1.75</v>
      </c>
    </row>
    <row r="103" spans="1:14" s="1" customFormat="1" x14ac:dyDescent="0.3">
      <c r="A103" s="104" t="s">
        <v>226</v>
      </c>
      <c r="B103" s="105" t="s">
        <v>227</v>
      </c>
      <c r="C103" s="65">
        <v>7</v>
      </c>
      <c r="D103" s="89">
        <f ca="1">((100/I97)*C103)/100</f>
        <v>1</v>
      </c>
      <c r="E103" s="90"/>
      <c r="F103" s="91"/>
      <c r="G103" s="91"/>
      <c r="H103" s="96"/>
      <c r="I103" s="97"/>
      <c r="J103" s="98"/>
      <c r="K103" s="57" t="s">
        <v>140</v>
      </c>
      <c r="L103" s="60">
        <f ca="1">(IF(B97&gt;1,(I97/(B97+2)+L102),I97/4+L102))</f>
        <v>3.5</v>
      </c>
    </row>
    <row r="104" spans="1:14" s="1" customFormat="1" x14ac:dyDescent="0.3">
      <c r="A104" s="104" t="s">
        <v>228</v>
      </c>
      <c r="B104" s="105" t="s">
        <v>227</v>
      </c>
      <c r="C104" s="65">
        <v>6</v>
      </c>
      <c r="D104" s="89">
        <f ca="1">((100/I97)*C104)/100</f>
        <v>0.85714285714285721</v>
      </c>
      <c r="E104" s="90"/>
      <c r="F104" s="91"/>
      <c r="G104" s="91"/>
      <c r="H104" s="96"/>
      <c r="I104" s="97"/>
      <c r="J104" s="98"/>
      <c r="K104" s="57" t="s">
        <v>229</v>
      </c>
      <c r="L104" s="60">
        <f>(IF(B97&gt;1,(I97/(B97+2)+L103),0))</f>
        <v>0</v>
      </c>
      <c r="M104" s="69"/>
      <c r="N104" s="69"/>
    </row>
    <row r="105" spans="1:14" s="1" customFormat="1" x14ac:dyDescent="0.3">
      <c r="A105" s="104" t="s">
        <v>230</v>
      </c>
      <c r="B105" s="105" t="s">
        <v>231</v>
      </c>
      <c r="C105" s="65">
        <v>6</v>
      </c>
      <c r="D105" s="89">
        <f ca="1">((100/(I97))*C105)/100</f>
        <v>0.85714285714285721</v>
      </c>
      <c r="E105" s="90"/>
      <c r="F105" s="91"/>
      <c r="G105" s="91"/>
      <c r="H105" s="96"/>
      <c r="I105" s="97"/>
      <c r="J105" s="98"/>
      <c r="K105" s="57" t="s">
        <v>232</v>
      </c>
      <c r="L105" s="60">
        <f>(IF(B97&gt;2,(I97/(B97+2)+L104),0))</f>
        <v>0</v>
      </c>
      <c r="M105" s="72"/>
      <c r="N105" s="72"/>
    </row>
    <row r="106" spans="1:14" s="14" customFormat="1" x14ac:dyDescent="0.3">
      <c r="A106" s="104" t="s">
        <v>233</v>
      </c>
      <c r="B106" s="105" t="s">
        <v>233</v>
      </c>
      <c r="C106" s="65">
        <v>0</v>
      </c>
      <c r="D106" s="89">
        <f ca="1">((100/I97)*C106)/100</f>
        <v>0</v>
      </c>
      <c r="E106" s="90"/>
      <c r="F106" s="91"/>
      <c r="G106" s="91"/>
      <c r="H106" s="96"/>
      <c r="I106" s="97"/>
      <c r="J106" s="98"/>
      <c r="K106" s="57" t="s">
        <v>234</v>
      </c>
      <c r="L106" s="61">
        <f>(IF(B97&gt;3,(I97/(B97+2)+L105),0))</f>
        <v>0</v>
      </c>
    </row>
    <row r="107" spans="1:14" x14ac:dyDescent="0.3">
      <c r="A107" s="104" t="s">
        <v>235</v>
      </c>
      <c r="B107" s="105"/>
      <c r="C107" s="65">
        <v>0</v>
      </c>
      <c r="D107" s="89">
        <f ca="1">((100/I97)*C107)/100</f>
        <v>0</v>
      </c>
      <c r="E107" s="90"/>
      <c r="F107" s="91"/>
      <c r="G107" s="91"/>
      <c r="H107" s="96"/>
      <c r="I107" s="97"/>
      <c r="J107" s="98"/>
      <c r="K107" s="57" t="s">
        <v>236</v>
      </c>
      <c r="L107" s="60">
        <f>(IF(B97&gt;4,(I97/(B97+2)+L106),0))</f>
        <v>0</v>
      </c>
    </row>
    <row r="108" spans="1:14" x14ac:dyDescent="0.3">
      <c r="A108" s="106" t="s">
        <v>237</v>
      </c>
      <c r="B108" s="107" t="s">
        <v>237</v>
      </c>
      <c r="C108" s="65">
        <v>0</v>
      </c>
      <c r="D108" s="89">
        <f ca="1">((100/(I97))*C108)/100</f>
        <v>0</v>
      </c>
      <c r="E108" s="90"/>
      <c r="F108" s="91"/>
      <c r="G108" s="91"/>
      <c r="H108" s="96"/>
      <c r="I108" s="97"/>
      <c r="J108" s="98"/>
      <c r="K108" s="57" t="s">
        <v>141</v>
      </c>
      <c r="L108" s="60">
        <f ca="1">(IF(B97=1,(I97/(B97+3)+L103),IF(B97=0,(I97/4+L103),IF(B97&gt;1,0))))</f>
        <v>5.25</v>
      </c>
    </row>
    <row r="109" spans="1:14" s="3" customFormat="1" ht="15.75" customHeight="1" thickBot="1" x14ac:dyDescent="0.35">
      <c r="A109" s="108" t="s">
        <v>238</v>
      </c>
      <c r="B109" s="109"/>
      <c r="C109" s="67">
        <v>0</v>
      </c>
      <c r="D109" s="110">
        <f ca="1">((100/(I97))*C109)/100</f>
        <v>0</v>
      </c>
      <c r="E109" s="111"/>
      <c r="F109" s="92"/>
      <c r="G109" s="92"/>
      <c r="H109" s="99"/>
      <c r="I109" s="100"/>
      <c r="J109" s="101"/>
      <c r="K109" s="62" t="s">
        <v>142</v>
      </c>
      <c r="L109" s="63">
        <f ca="1">(IF(B97&gt;1.5,(I97/(B97+2)+L103+MAX(0,L104-L103)+MAX(0,L105-L104)+MAX(0,L106-L105)+MAX(0,L107-L106)+MAX(0,L108-L107)),IF(B97=1,(I97/(B97+3)+L108),IF(B97=0,I97/4+L108))))</f>
        <v>7</v>
      </c>
    </row>
    <row r="110" spans="1:14" s="1" customFormat="1" x14ac:dyDescent="0.3">
      <c r="A110" s="182" t="s">
        <v>216</v>
      </c>
      <c r="B110" s="183"/>
      <c r="C110" s="184" t="s">
        <v>326</v>
      </c>
      <c r="D110" s="185"/>
      <c r="E110" s="185"/>
      <c r="F110" s="185"/>
      <c r="G110" s="185"/>
      <c r="H110" s="185"/>
      <c r="I110" s="185"/>
      <c r="J110" s="186"/>
      <c r="K110" s="55" t="str">
        <f ca="1">(IF(F114&gt;99%,"All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completed, RCC Slab, Brickwork, Internal Plaster upto 6 Floor, External Plaster upto 5 Floor Completed</v>
      </c>
      <c r="L110" s="56"/>
    </row>
    <row r="111" spans="1:14" s="1" customFormat="1" x14ac:dyDescent="0.3">
      <c r="A111" s="82" t="s">
        <v>131</v>
      </c>
      <c r="B111" s="83">
        <v>0</v>
      </c>
      <c r="C111" s="54" t="s">
        <v>133</v>
      </c>
      <c r="D111" s="54">
        <v>1</v>
      </c>
      <c r="E111" s="134" t="s">
        <v>132</v>
      </c>
      <c r="F111" s="135"/>
      <c r="G111" s="54">
        <v>0</v>
      </c>
      <c r="H111" s="54" t="s">
        <v>217</v>
      </c>
      <c r="I111" s="134">
        <f ca="1">--TRIM(RIGHT(SUBSTITUTE(LEFT(C110,_xlfn.AGGREGATE(16,6,FIND({0,1,2,3,4,5,6,7,8,9},C110,ROW(INDIRECT("1:"&amp;LEN(C110)))),1))," ",REPT(" ",LEN(C110))),LEN(C110)))</f>
        <v>7</v>
      </c>
      <c r="J111" s="136"/>
      <c r="K111" s="55"/>
      <c r="L111" s="56"/>
    </row>
    <row r="112" spans="1:14" s="1" customFormat="1" ht="36" customHeight="1" x14ac:dyDescent="0.3">
      <c r="A112" s="187" t="s">
        <v>218</v>
      </c>
      <c r="B112" s="188"/>
      <c r="C112" s="139" t="str">
        <f ca="1">K110</f>
        <v>Excavation work Completed. Plinth work completed, RCC Slab, Brickwork, Internal Plaster upto 6 Floor, External Plaster upto 5 Floor Completed</v>
      </c>
      <c r="D112" s="140"/>
      <c r="E112" s="140"/>
      <c r="F112" s="140"/>
      <c r="G112" s="140"/>
      <c r="H112" s="140"/>
      <c r="I112" s="140"/>
      <c r="J112" s="141"/>
      <c r="K112" s="55" t="s">
        <v>219</v>
      </c>
      <c r="L112" s="56"/>
    </row>
    <row r="113" spans="1:14" s="1" customFormat="1" x14ac:dyDescent="0.3">
      <c r="A113" s="142" t="s">
        <v>58</v>
      </c>
      <c r="B113" s="143"/>
      <c r="C113" s="64" t="s">
        <v>220</v>
      </c>
      <c r="D113" s="107" t="s">
        <v>221</v>
      </c>
      <c r="E113" s="107"/>
      <c r="F113" s="107" t="s">
        <v>222</v>
      </c>
      <c r="G113" s="107"/>
      <c r="H113" s="107" t="s">
        <v>223</v>
      </c>
      <c r="I113" s="107"/>
      <c r="J113" s="144"/>
      <c r="K113" s="57" t="s">
        <v>224</v>
      </c>
      <c r="L113" s="58">
        <f ca="1">I111*25%</f>
        <v>1.75</v>
      </c>
    </row>
    <row r="114" spans="1:14" s="1" customFormat="1" x14ac:dyDescent="0.3">
      <c r="A114" s="102" t="s">
        <v>225</v>
      </c>
      <c r="B114" s="103"/>
      <c r="C114" s="65">
        <f ca="1">L115</f>
        <v>7</v>
      </c>
      <c r="D114" s="89">
        <f ca="1">((100/I111)*C114)/100</f>
        <v>1</v>
      </c>
      <c r="E114" s="90"/>
      <c r="F114" s="91">
        <f ca="1">(((C115/I111*10)+(40/(D111+G111+I111)*C116)+(7.5/(I111)*C117)+(7.5/(I111)*C118)+(10/I111*C119)+(10/I111*C120)+(5/I111*C121)+(5/I111*C122)+(5/I111*C123))/100)</f>
        <v>0.71071428571428574</v>
      </c>
      <c r="G114" s="91"/>
      <c r="H114" s="93">
        <f ca="1">((((C114/I111)*20)+((C115/I111)*25)+(30/(I111+G111+D111)*C116)+(5/I111*C117)+(5/I111*C118)+(5/I111*C119)+(5/I111*C120)+(0/I111*C121)+(0/I111*C122)+(5/I111*C123))/100)</f>
        <v>0.87857142857142856</v>
      </c>
      <c r="I114" s="94"/>
      <c r="J114" s="95"/>
      <c r="K114" s="57" t="s">
        <v>137</v>
      </c>
      <c r="L114" s="59">
        <f ca="1">I111*50%</f>
        <v>3.5</v>
      </c>
    </row>
    <row r="115" spans="1:14" s="1" customFormat="1" x14ac:dyDescent="0.3">
      <c r="A115" s="102" t="s">
        <v>59</v>
      </c>
      <c r="B115" s="103"/>
      <c r="C115" s="66">
        <f ca="1">L123</f>
        <v>7</v>
      </c>
      <c r="D115" s="89">
        <f ca="1">((100/I111)*C115)/100</f>
        <v>1</v>
      </c>
      <c r="E115" s="90"/>
      <c r="F115" s="91"/>
      <c r="G115" s="91"/>
      <c r="H115" s="96"/>
      <c r="I115" s="97"/>
      <c r="J115" s="98"/>
      <c r="K115" s="57" t="s">
        <v>138</v>
      </c>
      <c r="L115" s="59">
        <f ca="1">I111</f>
        <v>7</v>
      </c>
    </row>
    <row r="116" spans="1:14" s="1" customFormat="1" ht="15.75" customHeight="1" x14ac:dyDescent="0.3">
      <c r="A116" s="104" t="s">
        <v>239</v>
      </c>
      <c r="B116" s="105"/>
      <c r="C116" s="66">
        <v>8</v>
      </c>
      <c r="D116" s="89">
        <f ca="1">((100/(D111+G111+I111))*C116)/100</f>
        <v>1</v>
      </c>
      <c r="E116" s="90"/>
      <c r="F116" s="91"/>
      <c r="G116" s="91"/>
      <c r="H116" s="96"/>
      <c r="I116" s="97"/>
      <c r="J116" s="98"/>
      <c r="K116" s="57" t="s">
        <v>139</v>
      </c>
      <c r="L116" s="60">
        <f ca="1">(IF(B111&gt;1,(I111/(B111+2)),I111/4))</f>
        <v>1.75</v>
      </c>
    </row>
    <row r="117" spans="1:14" s="1" customFormat="1" x14ac:dyDescent="0.3">
      <c r="A117" s="104" t="s">
        <v>226</v>
      </c>
      <c r="B117" s="105" t="s">
        <v>227</v>
      </c>
      <c r="C117" s="65">
        <v>7</v>
      </c>
      <c r="D117" s="89">
        <f ca="1">((100/I111)*C117)/100</f>
        <v>1</v>
      </c>
      <c r="E117" s="90"/>
      <c r="F117" s="91"/>
      <c r="G117" s="91"/>
      <c r="H117" s="96"/>
      <c r="I117" s="97"/>
      <c r="J117" s="98"/>
      <c r="K117" s="57" t="s">
        <v>140</v>
      </c>
      <c r="L117" s="60">
        <f ca="1">(IF(B111&gt;1,(I111/(B111+2)+L116),I111/4+L116))</f>
        <v>3.5</v>
      </c>
    </row>
    <row r="118" spans="1:14" s="1" customFormat="1" x14ac:dyDescent="0.3">
      <c r="A118" s="104" t="s">
        <v>228</v>
      </c>
      <c r="B118" s="105" t="s">
        <v>227</v>
      </c>
      <c r="C118" s="65">
        <v>6</v>
      </c>
      <c r="D118" s="89">
        <f ca="1">((100/I111)*C118)/100</f>
        <v>0.85714285714285721</v>
      </c>
      <c r="E118" s="90"/>
      <c r="F118" s="91"/>
      <c r="G118" s="91"/>
      <c r="H118" s="96"/>
      <c r="I118" s="97"/>
      <c r="J118" s="98"/>
      <c r="K118" s="57" t="s">
        <v>229</v>
      </c>
      <c r="L118" s="60">
        <f>(IF(B111&gt;1,(I111/(B111+2)+L117),0))</f>
        <v>0</v>
      </c>
      <c r="M118" s="69"/>
      <c r="N118" s="69"/>
    </row>
    <row r="119" spans="1:14" s="1" customFormat="1" x14ac:dyDescent="0.3">
      <c r="A119" s="104" t="s">
        <v>230</v>
      </c>
      <c r="B119" s="105" t="s">
        <v>231</v>
      </c>
      <c r="C119" s="65">
        <v>5</v>
      </c>
      <c r="D119" s="89">
        <f ca="1">((100/(I111))*C119)/100</f>
        <v>0.7142857142857143</v>
      </c>
      <c r="E119" s="90"/>
      <c r="F119" s="91"/>
      <c r="G119" s="91"/>
      <c r="H119" s="96"/>
      <c r="I119" s="97"/>
      <c r="J119" s="98"/>
      <c r="K119" s="57" t="s">
        <v>232</v>
      </c>
      <c r="L119" s="60">
        <f>(IF(B111&gt;2,(I111/(B111+2)+L118),0))</f>
        <v>0</v>
      </c>
      <c r="M119" s="72"/>
      <c r="N119" s="72"/>
    </row>
    <row r="120" spans="1:14" s="14" customFormat="1" x14ac:dyDescent="0.3">
      <c r="A120" s="104" t="s">
        <v>233</v>
      </c>
      <c r="B120" s="105" t="s">
        <v>233</v>
      </c>
      <c r="C120" s="65">
        <v>0</v>
      </c>
      <c r="D120" s="89">
        <f ca="1">((100/I111)*C120)/100</f>
        <v>0</v>
      </c>
      <c r="E120" s="90"/>
      <c r="F120" s="91"/>
      <c r="G120" s="91"/>
      <c r="H120" s="96"/>
      <c r="I120" s="97"/>
      <c r="J120" s="98"/>
      <c r="K120" s="57" t="s">
        <v>234</v>
      </c>
      <c r="L120" s="61">
        <f>(IF(B111&gt;3,(I111/(B111+2)+L119),0))</f>
        <v>0</v>
      </c>
    </row>
    <row r="121" spans="1:14" x14ac:dyDescent="0.3">
      <c r="A121" s="104" t="s">
        <v>235</v>
      </c>
      <c r="B121" s="105"/>
      <c r="C121" s="65">
        <v>0</v>
      </c>
      <c r="D121" s="89">
        <f ca="1">((100/I111)*C121)/100</f>
        <v>0</v>
      </c>
      <c r="E121" s="90"/>
      <c r="F121" s="91"/>
      <c r="G121" s="91"/>
      <c r="H121" s="96"/>
      <c r="I121" s="97"/>
      <c r="J121" s="98"/>
      <c r="K121" s="57" t="s">
        <v>236</v>
      </c>
      <c r="L121" s="60">
        <f>(IF(B111&gt;4,(I111/(B111+2)+L120),0))</f>
        <v>0</v>
      </c>
    </row>
    <row r="122" spans="1:14" x14ac:dyDescent="0.3">
      <c r="A122" s="106" t="s">
        <v>237</v>
      </c>
      <c r="B122" s="107" t="s">
        <v>237</v>
      </c>
      <c r="C122" s="65">
        <v>0</v>
      </c>
      <c r="D122" s="89">
        <f ca="1">((100/(I111))*C122)/100</f>
        <v>0</v>
      </c>
      <c r="E122" s="90"/>
      <c r="F122" s="91"/>
      <c r="G122" s="91"/>
      <c r="H122" s="96"/>
      <c r="I122" s="97"/>
      <c r="J122" s="98"/>
      <c r="K122" s="57" t="s">
        <v>141</v>
      </c>
      <c r="L122" s="60">
        <f ca="1">(IF(B111=1,(I111/(B111+3)+L117),IF(B111=0,(I111/4+L117),IF(B111&gt;1,0))))</f>
        <v>5.25</v>
      </c>
    </row>
    <row r="123" spans="1:14" s="3" customFormat="1" ht="15.75" customHeight="1" thickBot="1" x14ac:dyDescent="0.35">
      <c r="A123" s="108" t="s">
        <v>238</v>
      </c>
      <c r="B123" s="109"/>
      <c r="C123" s="67">
        <v>0</v>
      </c>
      <c r="D123" s="110">
        <f ca="1">((100/(I111))*C123)/100</f>
        <v>0</v>
      </c>
      <c r="E123" s="111"/>
      <c r="F123" s="92"/>
      <c r="G123" s="92"/>
      <c r="H123" s="99"/>
      <c r="I123" s="100"/>
      <c r="J123" s="101"/>
      <c r="K123" s="62" t="s">
        <v>142</v>
      </c>
      <c r="L123" s="63">
        <f ca="1">(IF(B111&gt;1.5,(I111/(B111+2)+L117+MAX(0,L118-L117)+MAX(0,L119-L118)+MAX(0,L120-L119)+MAX(0,L121-L120)+MAX(0,L122-L121)),IF(B111=1,(I111/(B111+3)+L122),IF(B111=0,I111/4+L122))))</f>
        <v>7</v>
      </c>
    </row>
    <row r="124" spans="1:14" s="3" customFormat="1" x14ac:dyDescent="0.3">
      <c r="A124" s="132" t="s">
        <v>216</v>
      </c>
      <c r="B124" s="133"/>
      <c r="C124" s="184" t="str">
        <f>D77</f>
        <v>Building Type B = Gr + 1st to 7th Floor</v>
      </c>
      <c r="D124" s="185"/>
      <c r="E124" s="185"/>
      <c r="F124" s="185"/>
      <c r="G124" s="185"/>
      <c r="H124" s="185"/>
      <c r="I124" s="185"/>
      <c r="J124" s="186"/>
      <c r="K124" s="55" t="str">
        <f ca="1">(IF(F128&gt;99%,"All work completed. Please provide OC.",IF(F128&gt;89.8%,"Plinth, RCC, Brick, Plaster, Flooring, Painting work Completed. Finishing work is in process.",IF(F128&lt;94%,(IF(C128=0,"Work not yet Started.",IF(D128=25%,"Piling work in process",IF(D128=50%,"Excavation work in process",IF(D128=100%,"Excavation work Completed. ","0")))&amp;(IF(C129=0%,"",IF(C129=L130,"Footing work is process",IF(C129=L131,"Footing work Completed",IF(C129=L132,"1st Basement Completed",IF(C129=L133,"1st &amp; 2nd Basement Completed",IF(C129=L134,"1st to 3rd Basement Completed",IF(C129=L135,"1st to 4th Basement Completed",IF(C129=L136,"Plinth work is process",IF(C129=L137,"Plinth work completed","0")))))))))))&amp;(IF(C130=(D125+G125+I125),", RCC Slab",IF(C130&gt;0,", RCC upto "&amp;C130&amp;" Slab",""))&amp;(IF(C131=I125,", Brickwork",IF(C131&gt;0,", Brickwork upto "&amp;C131&amp;" Floor",""))&amp;(IF(C132=I125,", Internal Plaster",IF(C132&gt;0,", Internal Plaster upto "&amp;C132&amp;" Floor",""))&amp;(IF(C133=I125,", External Plaster",IF(C133&gt;0,", External Plaster upto "&amp;C133&amp;" Floor",""))&amp;(IF(C134=I125,", Flooring",IF(C134&gt;0,", Flooring upto "&amp;C134&amp;" Floor",""))&amp;(IF(C135=I125,", Painting",IF(C135&gt;0,", Painting upto "&amp;C135&amp;" Floor",""))&amp;(IF(C136&gt;0,", Finishing upto "&amp;C136&amp;" Floor","")&amp;(IF(C130&gt;0.5," Completed",""))))))))))))))</f>
        <v>Excavation work Completed. Plinth work completed, RCC upto 3 Slab Completed</v>
      </c>
      <c r="L124" s="56"/>
    </row>
    <row r="125" spans="1:14" s="3" customFormat="1" x14ac:dyDescent="0.3">
      <c r="A125" s="71" t="s">
        <v>131</v>
      </c>
      <c r="B125" s="54">
        <v>0</v>
      </c>
      <c r="C125" s="54" t="s">
        <v>133</v>
      </c>
      <c r="D125" s="54">
        <v>1</v>
      </c>
      <c r="E125" s="134" t="s">
        <v>132</v>
      </c>
      <c r="F125" s="135"/>
      <c r="G125" s="54">
        <v>0</v>
      </c>
      <c r="H125" s="54" t="s">
        <v>217</v>
      </c>
      <c r="I125" s="134">
        <f ca="1">--TRIM(RIGHT(SUBSTITUTE(LEFT(C124,_xlfn.AGGREGATE(16,6,FIND({0,1,2,3,4,5,6,7,8,9},C124,ROW(INDIRECT("1:"&amp;LEN(C124)))),1))," ",REPT(" ",LEN(C124))),LEN(C124)))</f>
        <v>7</v>
      </c>
      <c r="J125" s="136"/>
      <c r="K125" s="55"/>
      <c r="L125" s="56"/>
    </row>
    <row r="126" spans="1:14" s="3" customFormat="1" x14ac:dyDescent="0.3">
      <c r="A126" s="137" t="s">
        <v>218</v>
      </c>
      <c r="B126" s="138"/>
      <c r="C126" s="139" t="str">
        <f ca="1">K124</f>
        <v>Excavation work Completed. Plinth work completed, RCC upto 3 Slab Completed</v>
      </c>
      <c r="D126" s="140"/>
      <c r="E126" s="140"/>
      <c r="F126" s="140"/>
      <c r="G126" s="140"/>
      <c r="H126" s="140"/>
      <c r="I126" s="140"/>
      <c r="J126" s="141"/>
      <c r="K126" s="55" t="s">
        <v>219</v>
      </c>
      <c r="L126" s="56"/>
    </row>
    <row r="127" spans="1:14" s="3" customFormat="1" x14ac:dyDescent="0.3">
      <c r="A127" s="181" t="s">
        <v>58</v>
      </c>
      <c r="B127" s="135"/>
      <c r="C127" s="64" t="s">
        <v>220</v>
      </c>
      <c r="D127" s="107" t="s">
        <v>221</v>
      </c>
      <c r="E127" s="107"/>
      <c r="F127" s="107" t="s">
        <v>222</v>
      </c>
      <c r="G127" s="107"/>
      <c r="H127" s="107" t="s">
        <v>223</v>
      </c>
      <c r="I127" s="107"/>
      <c r="J127" s="144"/>
      <c r="K127" s="57" t="s">
        <v>224</v>
      </c>
      <c r="L127" s="58">
        <f ca="1">I125*25%</f>
        <v>1.75</v>
      </c>
    </row>
    <row r="128" spans="1:14" s="3" customFormat="1" x14ac:dyDescent="0.3">
      <c r="A128" s="104" t="s">
        <v>225</v>
      </c>
      <c r="B128" s="105"/>
      <c r="C128" s="65">
        <f ca="1">L129</f>
        <v>7</v>
      </c>
      <c r="D128" s="89">
        <f ca="1">((100/I125)*C128)/100</f>
        <v>1</v>
      </c>
      <c r="E128" s="90"/>
      <c r="F128" s="91">
        <f ca="1">(((C129/I125*10)+(40/(D125+G125+I125)*C130)+(7.5/(I125)*C131)+(7.5/(I125)*C132)+(10/I125*C133)+(10/I125*C134)+(5/I125*C135)+(5/I125*C136)+(5/I125*C137))/100)</f>
        <v>0.25</v>
      </c>
      <c r="G128" s="91"/>
      <c r="H128" s="93">
        <f ca="1">((((C128/I125)*20)+((C129/I125)*25)+(30/(I125+G125+D125)*C130)+(5/I125*C131)+(5/I125*C132)+(5/I125*C133)+(5/I125*C134)+(0/I125*C135)+(0/I125*C136)+(5/I125*C137))/100)</f>
        <v>0.5625</v>
      </c>
      <c r="I128" s="94"/>
      <c r="J128" s="95"/>
      <c r="K128" s="57" t="s">
        <v>137</v>
      </c>
      <c r="L128" s="59">
        <f ca="1">I125*50%</f>
        <v>3.5</v>
      </c>
    </row>
    <row r="129" spans="1:12" s="3" customFormat="1" x14ac:dyDescent="0.3">
      <c r="A129" s="104" t="s">
        <v>59</v>
      </c>
      <c r="B129" s="105"/>
      <c r="C129" s="66">
        <f ca="1">L137</f>
        <v>7</v>
      </c>
      <c r="D129" s="89">
        <f ca="1">((100/I125)*C129)/100</f>
        <v>1</v>
      </c>
      <c r="E129" s="90"/>
      <c r="F129" s="91"/>
      <c r="G129" s="91"/>
      <c r="H129" s="96"/>
      <c r="I129" s="97"/>
      <c r="J129" s="98"/>
      <c r="K129" s="57" t="s">
        <v>138</v>
      </c>
      <c r="L129" s="59">
        <f ca="1">I125</f>
        <v>7</v>
      </c>
    </row>
    <row r="130" spans="1:12" s="3" customFormat="1" x14ac:dyDescent="0.3">
      <c r="A130" s="104" t="s">
        <v>239</v>
      </c>
      <c r="B130" s="105"/>
      <c r="C130" s="66">
        <v>3</v>
      </c>
      <c r="D130" s="89">
        <f ca="1">((100/(D125+G125+I125))*C130)/100</f>
        <v>0.375</v>
      </c>
      <c r="E130" s="90"/>
      <c r="F130" s="91"/>
      <c r="G130" s="91"/>
      <c r="H130" s="96"/>
      <c r="I130" s="97"/>
      <c r="J130" s="98"/>
      <c r="K130" s="57" t="s">
        <v>139</v>
      </c>
      <c r="L130" s="60">
        <f ca="1">(IF(B125&gt;1,(I125/(B125+2)),I125/4))</f>
        <v>1.75</v>
      </c>
    </row>
    <row r="131" spans="1:12" s="3" customFormat="1" x14ac:dyDescent="0.3">
      <c r="A131" s="104" t="s">
        <v>226</v>
      </c>
      <c r="B131" s="105" t="s">
        <v>227</v>
      </c>
      <c r="C131" s="65">
        <v>0</v>
      </c>
      <c r="D131" s="89">
        <f ca="1">((100/I125)*C131)/100</f>
        <v>0</v>
      </c>
      <c r="E131" s="90"/>
      <c r="F131" s="91"/>
      <c r="G131" s="91"/>
      <c r="H131" s="96"/>
      <c r="I131" s="97"/>
      <c r="J131" s="98"/>
      <c r="K131" s="57" t="s">
        <v>140</v>
      </c>
      <c r="L131" s="60">
        <f ca="1">(IF(B125&gt;1,(I125/(B125+2)+L130),I125/4+L130))</f>
        <v>3.5</v>
      </c>
    </row>
    <row r="132" spans="1:12" s="3" customFormat="1" x14ac:dyDescent="0.3">
      <c r="A132" s="104" t="s">
        <v>228</v>
      </c>
      <c r="B132" s="105" t="s">
        <v>227</v>
      </c>
      <c r="C132" s="65">
        <v>0</v>
      </c>
      <c r="D132" s="89">
        <f ca="1">((100/I125)*C132)/100</f>
        <v>0</v>
      </c>
      <c r="E132" s="90"/>
      <c r="F132" s="91"/>
      <c r="G132" s="91"/>
      <c r="H132" s="96"/>
      <c r="I132" s="97"/>
      <c r="J132" s="98"/>
      <c r="K132" s="57" t="s">
        <v>229</v>
      </c>
      <c r="L132" s="60">
        <f>(IF(B125&gt;1,(I125/(B125+2)+L131),0))</f>
        <v>0</v>
      </c>
    </row>
    <row r="133" spans="1:12" s="3" customFormat="1" ht="15.75" customHeight="1" x14ac:dyDescent="0.3">
      <c r="A133" s="104" t="s">
        <v>230</v>
      </c>
      <c r="B133" s="105" t="s">
        <v>231</v>
      </c>
      <c r="C133" s="65">
        <v>0</v>
      </c>
      <c r="D133" s="89">
        <f ca="1">((100/(I125))*C133)/100</f>
        <v>0</v>
      </c>
      <c r="E133" s="90"/>
      <c r="F133" s="91"/>
      <c r="G133" s="91"/>
      <c r="H133" s="96"/>
      <c r="I133" s="97"/>
      <c r="J133" s="98"/>
      <c r="K133" s="57" t="s">
        <v>232</v>
      </c>
      <c r="L133" s="60">
        <f>(IF(B125&gt;2,(I125/(B125+2)+L132),0))</f>
        <v>0</v>
      </c>
    </row>
    <row r="134" spans="1:12" s="3" customFormat="1" x14ac:dyDescent="0.3">
      <c r="A134" s="104" t="s">
        <v>233</v>
      </c>
      <c r="B134" s="105" t="s">
        <v>233</v>
      </c>
      <c r="C134" s="65">
        <v>0</v>
      </c>
      <c r="D134" s="89">
        <f ca="1">((100/I125)*C134)/100</f>
        <v>0</v>
      </c>
      <c r="E134" s="90"/>
      <c r="F134" s="91"/>
      <c r="G134" s="91"/>
      <c r="H134" s="96"/>
      <c r="I134" s="97"/>
      <c r="J134" s="98"/>
      <c r="K134" s="57" t="s">
        <v>234</v>
      </c>
      <c r="L134" s="61">
        <f>(IF(B125&gt;3,(I125/(B125+2)+L133),0))</f>
        <v>0</v>
      </c>
    </row>
    <row r="135" spans="1:12" s="3" customFormat="1" x14ac:dyDescent="0.3">
      <c r="A135" s="104" t="s">
        <v>235</v>
      </c>
      <c r="B135" s="105"/>
      <c r="C135" s="65">
        <v>0</v>
      </c>
      <c r="D135" s="89">
        <f ca="1">((100/I125)*C135)/100</f>
        <v>0</v>
      </c>
      <c r="E135" s="90"/>
      <c r="F135" s="91"/>
      <c r="G135" s="91"/>
      <c r="H135" s="96"/>
      <c r="I135" s="97"/>
      <c r="J135" s="98"/>
      <c r="K135" s="57" t="s">
        <v>236</v>
      </c>
      <c r="L135" s="60">
        <f>(IF(B125&gt;4,(I125/(B125+2)+L134),0))</f>
        <v>0</v>
      </c>
    </row>
    <row r="136" spans="1:12" s="3" customFormat="1" x14ac:dyDescent="0.3">
      <c r="A136" s="106" t="s">
        <v>237</v>
      </c>
      <c r="B136" s="107" t="s">
        <v>237</v>
      </c>
      <c r="C136" s="65">
        <v>0</v>
      </c>
      <c r="D136" s="89">
        <f ca="1">((100/(I125))*C136)/100</f>
        <v>0</v>
      </c>
      <c r="E136" s="90"/>
      <c r="F136" s="91"/>
      <c r="G136" s="91"/>
      <c r="H136" s="96"/>
      <c r="I136" s="97"/>
      <c r="J136" s="98"/>
      <c r="K136" s="57" t="s">
        <v>141</v>
      </c>
      <c r="L136" s="60">
        <f ca="1">(IF(B125=1,(I125/(B125+3)+L131),IF(B125=0,(I125/4+L131),IF(B125&gt;1,0))))</f>
        <v>5.25</v>
      </c>
    </row>
    <row r="137" spans="1:12" s="3" customFormat="1" ht="16.2" thickBot="1" x14ac:dyDescent="0.35">
      <c r="A137" s="108" t="s">
        <v>238</v>
      </c>
      <c r="B137" s="109"/>
      <c r="C137" s="67">
        <v>0</v>
      </c>
      <c r="D137" s="110">
        <f ca="1">((100/(I125))*C137)/100</f>
        <v>0</v>
      </c>
      <c r="E137" s="111"/>
      <c r="F137" s="92"/>
      <c r="G137" s="92"/>
      <c r="H137" s="99"/>
      <c r="I137" s="100"/>
      <c r="J137" s="101"/>
      <c r="K137" s="62" t="s">
        <v>142</v>
      </c>
      <c r="L137" s="63">
        <f ca="1">(IF(B125&gt;1.5,(I125/(B125+2)+L131+MAX(0,L132-L131)+MAX(0,L133-L132)+MAX(0,L134-L133)+MAX(0,L135-L134)+MAX(0,L136-L135)),IF(B125=1,(I125/(B125+3)+L136),IF(B125=0,I125/4+L136))))</f>
        <v>7</v>
      </c>
    </row>
    <row r="138" spans="1:12" s="3" customFormat="1" x14ac:dyDescent="0.3">
      <c r="A138" s="205" t="s">
        <v>248</v>
      </c>
      <c r="B138" s="206"/>
      <c r="C138" s="206"/>
      <c r="D138" s="206"/>
      <c r="E138" s="206"/>
      <c r="F138" s="206"/>
      <c r="G138" s="206"/>
      <c r="H138" s="206"/>
      <c r="I138" s="206"/>
      <c r="J138" s="207"/>
      <c r="K138" s="1"/>
      <c r="L138" s="1"/>
    </row>
    <row r="139" spans="1:12" s="3" customFormat="1" x14ac:dyDescent="0.3">
      <c r="A139" s="201" t="s">
        <v>64</v>
      </c>
      <c r="B139" s="198"/>
      <c r="C139" s="198"/>
      <c r="D139" s="198"/>
      <c r="E139" s="198"/>
      <c r="F139" s="198"/>
      <c r="G139" s="198"/>
      <c r="H139" s="198"/>
      <c r="I139" s="198"/>
      <c r="J139" s="199"/>
      <c r="K139" s="1"/>
      <c r="L139" s="1"/>
    </row>
    <row r="140" spans="1:12" s="3" customFormat="1" ht="32.25" customHeight="1" x14ac:dyDescent="0.3">
      <c r="A140" s="277" t="s">
        <v>136</v>
      </c>
      <c r="B140" s="278"/>
      <c r="C140" s="115" t="s">
        <v>294</v>
      </c>
      <c r="D140" s="279"/>
      <c r="E140" s="279"/>
      <c r="F140" s="279"/>
      <c r="G140" s="279"/>
      <c r="H140" s="279"/>
      <c r="I140" s="279"/>
      <c r="J140" s="273"/>
      <c r="K140" s="1"/>
      <c r="L140" s="1"/>
    </row>
    <row r="141" spans="1:12" s="3" customFormat="1" ht="15.75" customHeight="1" x14ac:dyDescent="0.3">
      <c r="A141" s="217" t="s">
        <v>65</v>
      </c>
      <c r="B141" s="218"/>
      <c r="C141" s="218"/>
      <c r="D141" s="218"/>
      <c r="E141" s="218"/>
      <c r="F141" s="218"/>
      <c r="G141" s="218"/>
      <c r="H141" s="218"/>
      <c r="I141" s="218"/>
      <c r="J141" s="219"/>
      <c r="K141" s="1"/>
      <c r="L141" s="1"/>
    </row>
    <row r="142" spans="1:12" s="3" customFormat="1" x14ac:dyDescent="0.3">
      <c r="A142" s="201" t="s">
        <v>144</v>
      </c>
      <c r="B142" s="198"/>
      <c r="C142" s="198"/>
      <c r="D142" s="198"/>
      <c r="E142" s="198"/>
      <c r="F142" s="199"/>
      <c r="G142" s="216">
        <v>3650</v>
      </c>
      <c r="H142" s="214"/>
      <c r="I142" s="214"/>
      <c r="J142" s="215"/>
      <c r="K142" s="1"/>
      <c r="L142" s="1"/>
    </row>
    <row r="143" spans="1:12" s="3" customFormat="1" x14ac:dyDescent="0.3">
      <c r="A143" s="205" t="s">
        <v>199</v>
      </c>
      <c r="B143" s="206"/>
      <c r="C143" s="206"/>
      <c r="D143" s="206"/>
      <c r="E143" s="206"/>
      <c r="F143" s="207"/>
      <c r="G143" s="281">
        <v>5000</v>
      </c>
      <c r="H143" s="282"/>
      <c r="I143" s="282"/>
      <c r="J143" s="283"/>
      <c r="K143" s="1"/>
      <c r="L143" s="1"/>
    </row>
    <row r="144" spans="1:12" s="3" customFormat="1" hidden="1" x14ac:dyDescent="0.3">
      <c r="A144" s="201" t="s">
        <v>66</v>
      </c>
      <c r="B144" s="198"/>
      <c r="C144" s="198"/>
      <c r="D144" s="198"/>
      <c r="E144" s="198"/>
      <c r="F144" s="199"/>
      <c r="G144" s="192" t="s">
        <v>32</v>
      </c>
      <c r="H144" s="193"/>
      <c r="I144" s="193"/>
      <c r="J144" s="194"/>
      <c r="K144" s="1"/>
      <c r="L144" s="1"/>
    </row>
    <row r="145" spans="1:14" s="3" customFormat="1" hidden="1" x14ac:dyDescent="0.3">
      <c r="A145" s="201" t="s">
        <v>67</v>
      </c>
      <c r="B145" s="198"/>
      <c r="C145" s="198"/>
      <c r="D145" s="198"/>
      <c r="E145" s="198"/>
      <c r="F145" s="199"/>
      <c r="G145" s="192" t="s">
        <v>32</v>
      </c>
      <c r="H145" s="193"/>
      <c r="I145" s="193"/>
      <c r="J145" s="194"/>
    </row>
    <row r="146" spans="1:14" s="3" customFormat="1" hidden="1" x14ac:dyDescent="0.3">
      <c r="A146" s="201" t="s">
        <v>68</v>
      </c>
      <c r="B146" s="198"/>
      <c r="C146" s="198"/>
      <c r="D146" s="198"/>
      <c r="E146" s="198"/>
      <c r="F146" s="199"/>
      <c r="G146" s="192" t="s">
        <v>32</v>
      </c>
      <c r="H146" s="193"/>
      <c r="I146" s="193"/>
      <c r="J146" s="194"/>
    </row>
    <row r="147" spans="1:14" s="3" customFormat="1" hidden="1" x14ac:dyDescent="0.3">
      <c r="A147" s="190" t="s">
        <v>69</v>
      </c>
      <c r="B147" s="236"/>
      <c r="C147" s="236"/>
      <c r="D147" s="236"/>
      <c r="E147" s="236"/>
      <c r="F147" s="191"/>
      <c r="G147" s="192" t="s">
        <v>32</v>
      </c>
      <c r="H147" s="193"/>
      <c r="I147" s="193"/>
      <c r="J147" s="194"/>
      <c r="K147" s="72"/>
      <c r="L147" s="73"/>
    </row>
    <row r="148" spans="1:14" s="3" customFormat="1" ht="15.75" customHeight="1" x14ac:dyDescent="0.3">
      <c r="A148" s="201" t="s">
        <v>70</v>
      </c>
      <c r="B148" s="198"/>
      <c r="C148" s="198"/>
      <c r="D148" s="198"/>
      <c r="E148" s="198"/>
      <c r="F148" s="199"/>
      <c r="G148" s="192" t="s">
        <v>215</v>
      </c>
      <c r="H148" s="193"/>
      <c r="I148" s="193"/>
      <c r="J148" s="194"/>
      <c r="K148" s="69" t="s">
        <v>249</v>
      </c>
      <c r="L148" s="70">
        <v>45113</v>
      </c>
      <c r="M148" s="69" t="s">
        <v>250</v>
      </c>
      <c r="N148" s="69" t="s">
        <v>251</v>
      </c>
    </row>
    <row r="149" spans="1:14" s="3" customFormat="1" ht="15.75" customHeight="1" x14ac:dyDescent="0.3">
      <c r="A149" s="201" t="s">
        <v>71</v>
      </c>
      <c r="B149" s="198"/>
      <c r="C149" s="198"/>
      <c r="D149" s="198"/>
      <c r="E149" s="198"/>
      <c r="F149" s="199"/>
      <c r="G149" s="192" t="s">
        <v>192</v>
      </c>
      <c r="H149" s="193"/>
      <c r="I149" s="193"/>
      <c r="J149" s="194"/>
      <c r="K149" s="72" t="s">
        <v>256</v>
      </c>
      <c r="L149" s="73">
        <v>45380</v>
      </c>
      <c r="M149" s="72" t="s">
        <v>257</v>
      </c>
      <c r="N149" s="72" t="s">
        <v>258</v>
      </c>
    </row>
    <row r="150" spans="1:14" s="3" customFormat="1" ht="15.75" customHeight="1" x14ac:dyDescent="0.3">
      <c r="A150" s="201" t="s">
        <v>241</v>
      </c>
      <c r="B150" s="198"/>
      <c r="C150" s="198"/>
      <c r="D150" s="198"/>
      <c r="E150" s="198"/>
      <c r="F150" s="199"/>
      <c r="G150" s="192" t="s">
        <v>152</v>
      </c>
      <c r="H150" s="193"/>
      <c r="I150" s="193"/>
      <c r="J150" s="194"/>
      <c r="K150" s="12"/>
      <c r="L150" s="12"/>
    </row>
    <row r="151" spans="1:14" s="3" customFormat="1" x14ac:dyDescent="0.3">
      <c r="A151" s="217" t="s">
        <v>72</v>
      </c>
      <c r="B151" s="218"/>
      <c r="C151" s="218"/>
      <c r="D151" s="218"/>
      <c r="E151" s="218"/>
      <c r="F151" s="219"/>
      <c r="G151" s="216">
        <f>G142*0.8</f>
        <v>2920</v>
      </c>
      <c r="H151" s="214"/>
      <c r="I151" s="214"/>
      <c r="J151" s="215"/>
      <c r="K151" s="12"/>
      <c r="L151" s="12"/>
    </row>
    <row r="152" spans="1:14" s="3" customFormat="1" ht="15.75" customHeight="1" x14ac:dyDescent="0.3">
      <c r="A152" s="157" t="s">
        <v>262</v>
      </c>
      <c r="B152" s="158"/>
      <c r="C152" s="158"/>
      <c r="D152" s="158"/>
      <c r="E152" s="158"/>
      <c r="F152" s="158"/>
      <c r="G152" s="158"/>
      <c r="H152" s="158"/>
      <c r="I152" s="158"/>
      <c r="J152" s="159"/>
      <c r="L152" s="3" t="s">
        <v>307</v>
      </c>
    </row>
    <row r="153" spans="1:14" s="3" customFormat="1" x14ac:dyDescent="0.3">
      <c r="A153" s="160" t="s">
        <v>145</v>
      </c>
      <c r="B153" s="161"/>
      <c r="C153" s="161"/>
      <c r="D153" s="161"/>
      <c r="E153" s="161"/>
      <c r="F153" s="161"/>
      <c r="G153" s="161"/>
      <c r="H153" s="161"/>
      <c r="I153" s="161"/>
      <c r="J153" s="162"/>
    </row>
    <row r="154" spans="1:14" s="3" customFormat="1" x14ac:dyDescent="0.3">
      <c r="A154" s="163" t="s">
        <v>73</v>
      </c>
      <c r="B154" s="164"/>
      <c r="C154" s="10" t="s">
        <v>170</v>
      </c>
      <c r="D154" s="165" t="s">
        <v>74</v>
      </c>
      <c r="E154" s="166"/>
      <c r="F154" s="167"/>
      <c r="G154" s="163" t="s">
        <v>75</v>
      </c>
      <c r="H154" s="168"/>
      <c r="I154" s="168"/>
      <c r="J154" s="164"/>
    </row>
    <row r="155" spans="1:14" s="3" customFormat="1" x14ac:dyDescent="0.3">
      <c r="A155" s="175" t="s">
        <v>193</v>
      </c>
      <c r="B155" s="176"/>
      <c r="C155" s="37">
        <f>COUNT(D178:E184)</f>
        <v>7</v>
      </c>
      <c r="D155" s="169">
        <f>SUM(D178:E184)</f>
        <v>1302.0966800000001</v>
      </c>
      <c r="E155" s="170"/>
      <c r="F155" s="171"/>
      <c r="G155" s="172">
        <f>SUM(G178:G184)</f>
        <v>1888.0401859999997</v>
      </c>
      <c r="H155" s="173"/>
      <c r="I155" s="173"/>
      <c r="J155" s="174"/>
    </row>
    <row r="156" spans="1:14" s="3" customFormat="1" x14ac:dyDescent="0.3">
      <c r="A156" s="175" t="s">
        <v>194</v>
      </c>
      <c r="B156" s="176"/>
      <c r="C156" s="37">
        <f>COUNT(D202:E208)</f>
        <v>7</v>
      </c>
      <c r="D156" s="169">
        <f>SUM(D202:E208)</f>
        <v>796.42835999999988</v>
      </c>
      <c r="E156" s="170"/>
      <c r="F156" s="171"/>
      <c r="G156" s="172">
        <f>SUM(G202:G208)</f>
        <v>1154.8211219999998</v>
      </c>
      <c r="H156" s="173"/>
      <c r="I156" s="173"/>
      <c r="J156" s="174"/>
    </row>
    <row r="157" spans="1:14" s="3" customFormat="1" x14ac:dyDescent="0.3">
      <c r="A157" s="160" t="s">
        <v>77</v>
      </c>
      <c r="B157" s="161"/>
      <c r="C157" s="10">
        <f>SUM(C155:C156)</f>
        <v>14</v>
      </c>
      <c r="D157" s="177">
        <f>SUM(D155:F156)</f>
        <v>2098.52504</v>
      </c>
      <c r="E157" s="178"/>
      <c r="F157" s="179"/>
      <c r="G157" s="163">
        <f>SUM(G155:J156)</f>
        <v>3042.8613079999996</v>
      </c>
      <c r="H157" s="168"/>
      <c r="I157" s="168"/>
      <c r="J157" s="164"/>
    </row>
    <row r="158" spans="1:14" s="3" customFormat="1" x14ac:dyDescent="0.3">
      <c r="A158" s="160" t="s">
        <v>130</v>
      </c>
      <c r="B158" s="161"/>
      <c r="C158" s="161"/>
      <c r="D158" s="161"/>
      <c r="E158" s="161"/>
      <c r="F158" s="161"/>
      <c r="G158" s="161"/>
      <c r="H158" s="161"/>
      <c r="I158" s="161"/>
      <c r="J158" s="162"/>
    </row>
    <row r="159" spans="1:14" s="3" customFormat="1" x14ac:dyDescent="0.3">
      <c r="A159" s="163" t="s">
        <v>73</v>
      </c>
      <c r="B159" s="164"/>
      <c r="C159" s="10" t="s">
        <v>170</v>
      </c>
      <c r="D159" s="165" t="s">
        <v>74</v>
      </c>
      <c r="E159" s="166"/>
      <c r="F159" s="167"/>
      <c r="G159" s="163" t="s">
        <v>75</v>
      </c>
      <c r="H159" s="168"/>
      <c r="I159" s="168"/>
      <c r="J159" s="164"/>
    </row>
    <row r="160" spans="1:14" s="3" customFormat="1" ht="15.75" customHeight="1" x14ac:dyDescent="0.3">
      <c r="A160" s="175" t="s">
        <v>193</v>
      </c>
      <c r="B160" s="176"/>
      <c r="C160" s="37">
        <f>COUNT(D185)+COUNT(D187:E192)*2+COUNT(D194:E199)*2</f>
        <v>25</v>
      </c>
      <c r="D160" s="169">
        <f>SUM(D185)+SUM(D187:E192)*2+SUM(D194:E199)*2</f>
        <v>13892.44896</v>
      </c>
      <c r="E160" s="170"/>
      <c r="F160" s="171"/>
      <c r="G160" s="172">
        <f>SUM(G185)+SUM(G187:G192)*2+SUM(G194:G199)*2</f>
        <v>20872.127951999999</v>
      </c>
      <c r="H160" s="173"/>
      <c r="I160" s="173"/>
      <c r="J160" s="174"/>
    </row>
    <row r="161" spans="1:10" s="3" customFormat="1" x14ac:dyDescent="0.3">
      <c r="A161" s="175" t="s">
        <v>194</v>
      </c>
      <c r="B161" s="176"/>
      <c r="C161" s="37">
        <f>COUNT(D211:E216)+1+COUNT(D218:E223)*3</f>
        <v>25</v>
      </c>
      <c r="D161" s="169">
        <f>SUM(D211:E216)+SUM(D209)+SUM(D218:E223)*3</f>
        <v>9433.1390399999982</v>
      </c>
      <c r="E161" s="170"/>
      <c r="F161" s="171"/>
      <c r="G161" s="172">
        <f>SUM(G211:G216)+G209+SUM(G218:G223)*3</f>
        <v>13715.079767999996</v>
      </c>
      <c r="H161" s="173"/>
      <c r="I161" s="173"/>
      <c r="J161" s="174"/>
    </row>
    <row r="162" spans="1:10" s="3" customFormat="1" x14ac:dyDescent="0.3">
      <c r="A162" s="175" t="s">
        <v>195</v>
      </c>
      <c r="B162" s="176"/>
      <c r="C162" s="11">
        <f>COUNT(D227:E228)+COUNT(D236:E237)+COUNT(D230:E233)*4+COUNT(D239:E242)*4</f>
        <v>36</v>
      </c>
      <c r="D162" s="169">
        <f>SUM(D227:E228)+SUM(D236:E237)+SUM(D230:E233)*4+SUM(D239:E242)*4</f>
        <v>13401.502920000001</v>
      </c>
      <c r="E162" s="170"/>
      <c r="F162" s="171"/>
      <c r="G162" s="172">
        <f>SUM(G227:G228)+SUM(G236:G237)+SUM(G230:G233)*4+SUM(G239:G242)*4</f>
        <v>19432.179233999999</v>
      </c>
      <c r="H162" s="173"/>
      <c r="I162" s="173"/>
      <c r="J162" s="174"/>
    </row>
    <row r="163" spans="1:10" s="3" customFormat="1" x14ac:dyDescent="0.3">
      <c r="A163" s="160" t="s">
        <v>77</v>
      </c>
      <c r="B163" s="161"/>
      <c r="C163" s="10">
        <f>SUM(C160:C162)</f>
        <v>86</v>
      </c>
      <c r="D163" s="177">
        <f>SUM(D160:F162)</f>
        <v>36727.090919999995</v>
      </c>
      <c r="E163" s="178"/>
      <c r="F163" s="179"/>
      <c r="G163" s="163">
        <f>SUM(G160:J162)</f>
        <v>54019.386953999987</v>
      </c>
      <c r="H163" s="168"/>
      <c r="I163" s="168"/>
      <c r="J163" s="164"/>
    </row>
    <row r="164" spans="1:10" s="3" customFormat="1" x14ac:dyDescent="0.3">
      <c r="A164" s="160" t="s">
        <v>246</v>
      </c>
      <c r="B164" s="161"/>
      <c r="C164" s="10">
        <f>C163+C157</f>
        <v>100</v>
      </c>
      <c r="D164" s="177">
        <f>D163+D157</f>
        <v>38825.615959999996</v>
      </c>
      <c r="E164" s="178"/>
      <c r="F164" s="179"/>
      <c r="G164" s="163">
        <f>G163+G157</f>
        <v>57062.248261999986</v>
      </c>
      <c r="H164" s="168"/>
      <c r="I164" s="168"/>
      <c r="J164" s="164"/>
    </row>
    <row r="165" spans="1:10" s="3" customFormat="1" x14ac:dyDescent="0.3">
      <c r="A165" s="157" t="s">
        <v>263</v>
      </c>
      <c r="B165" s="158"/>
      <c r="C165" s="158"/>
      <c r="D165" s="158"/>
      <c r="E165" s="158"/>
      <c r="F165" s="158"/>
      <c r="G165" s="158"/>
      <c r="H165" s="158"/>
      <c r="I165" s="158"/>
      <c r="J165" s="159"/>
    </row>
    <row r="166" spans="1:10" s="3" customFormat="1" x14ac:dyDescent="0.3">
      <c r="A166" s="160" t="s">
        <v>130</v>
      </c>
      <c r="B166" s="161"/>
      <c r="C166" s="161"/>
      <c r="D166" s="161"/>
      <c r="E166" s="161"/>
      <c r="F166" s="161"/>
      <c r="G166" s="161"/>
      <c r="H166" s="161"/>
      <c r="I166" s="161"/>
      <c r="J166" s="162"/>
    </row>
    <row r="167" spans="1:10" s="3" customFormat="1" ht="15.75" customHeight="1" x14ac:dyDescent="0.3">
      <c r="A167" s="163" t="s">
        <v>73</v>
      </c>
      <c r="B167" s="164"/>
      <c r="C167" s="10" t="s">
        <v>170</v>
      </c>
      <c r="D167" s="165" t="s">
        <v>74</v>
      </c>
      <c r="E167" s="166"/>
      <c r="F167" s="167"/>
      <c r="G167" s="163" t="s">
        <v>75</v>
      </c>
      <c r="H167" s="168"/>
      <c r="I167" s="168"/>
      <c r="J167" s="164"/>
    </row>
    <row r="168" spans="1:10" s="3" customFormat="1" x14ac:dyDescent="0.3">
      <c r="A168" s="180" t="s">
        <v>295</v>
      </c>
      <c r="B168" s="81" t="s">
        <v>296</v>
      </c>
      <c r="C168" s="37">
        <f>COUNT(D248:E251)*7</f>
        <v>28</v>
      </c>
      <c r="D168" s="169">
        <f>SUM(D248:E251)*7</f>
        <v>15303.932280000001</v>
      </c>
      <c r="E168" s="170"/>
      <c r="F168" s="171"/>
      <c r="G168" s="172">
        <f>SUM(G248:G251)*7</f>
        <v>22190.701805999997</v>
      </c>
      <c r="H168" s="173"/>
      <c r="I168" s="173"/>
      <c r="J168" s="174"/>
    </row>
    <row r="169" spans="1:10" s="3" customFormat="1" x14ac:dyDescent="0.3">
      <c r="A169" s="180"/>
      <c r="B169" s="81" t="s">
        <v>302</v>
      </c>
      <c r="C169" s="37">
        <f>COUNT(D255:E258)*7</f>
        <v>28</v>
      </c>
      <c r="D169" s="169">
        <f>SUM(D255:E258)*7</f>
        <v>15251.942160000001</v>
      </c>
      <c r="E169" s="170"/>
      <c r="F169" s="171"/>
      <c r="G169" s="172">
        <f>SUM(G255:G258)*7</f>
        <v>22115.316131999996</v>
      </c>
      <c r="H169" s="173"/>
      <c r="I169" s="173"/>
      <c r="J169" s="174"/>
    </row>
    <row r="170" spans="1:10" s="3" customFormat="1" x14ac:dyDescent="0.3">
      <c r="A170" s="175" t="s">
        <v>303</v>
      </c>
      <c r="B170" s="176"/>
      <c r="C170" s="37">
        <f>COUNT(D261:E263)+COUNT(D265:E270)*7</f>
        <v>45</v>
      </c>
      <c r="D170" s="169">
        <f>SUM(D261:E263)+SUM(D265:E270)*7</f>
        <v>22408.387559999999</v>
      </c>
      <c r="E170" s="170"/>
      <c r="F170" s="171"/>
      <c r="G170" s="172">
        <f>SUM(G261:G263)+SUM(G265:G270)*7</f>
        <v>32492.161961999998</v>
      </c>
      <c r="H170" s="173"/>
      <c r="I170" s="173"/>
      <c r="J170" s="174"/>
    </row>
    <row r="171" spans="1:10" s="3" customFormat="1" x14ac:dyDescent="0.3">
      <c r="A171" s="160" t="s">
        <v>77</v>
      </c>
      <c r="B171" s="161"/>
      <c r="C171" s="87">
        <f>SUM(C168:C170)</f>
        <v>101</v>
      </c>
      <c r="D171" s="177">
        <f>SUM(D168:F170)</f>
        <v>52964.262000000002</v>
      </c>
      <c r="E171" s="178"/>
      <c r="F171" s="179"/>
      <c r="G171" s="163">
        <f>SUM(G168:J170)</f>
        <v>76798.179899999988</v>
      </c>
      <c r="H171" s="168"/>
      <c r="I171" s="168"/>
      <c r="J171" s="164"/>
    </row>
    <row r="172" spans="1:10" s="3" customFormat="1" x14ac:dyDescent="0.3">
      <c r="A172" s="258" t="s">
        <v>78</v>
      </c>
      <c r="B172" s="259"/>
      <c r="C172" s="259"/>
      <c r="D172" s="259"/>
      <c r="E172" s="259"/>
      <c r="F172" s="259"/>
      <c r="G172" s="259"/>
      <c r="H172" s="259"/>
      <c r="I172" s="259"/>
      <c r="J172" s="260"/>
    </row>
    <row r="173" spans="1:10" s="3" customFormat="1" x14ac:dyDescent="0.3">
      <c r="A173" s="258" t="s">
        <v>309</v>
      </c>
      <c r="B173" s="259"/>
      <c r="C173" s="259"/>
      <c r="D173" s="259"/>
      <c r="E173" s="259"/>
      <c r="F173" s="259"/>
      <c r="G173" s="259"/>
      <c r="H173" s="259"/>
      <c r="I173" s="259"/>
      <c r="J173" s="260"/>
    </row>
    <row r="174" spans="1:10" s="3" customFormat="1" ht="47.25" customHeight="1" x14ac:dyDescent="0.3">
      <c r="A174" s="284" t="s">
        <v>146</v>
      </c>
      <c r="B174" s="285"/>
      <c r="C174" s="2" t="s">
        <v>79</v>
      </c>
      <c r="D174" s="284" t="s">
        <v>80</v>
      </c>
      <c r="E174" s="285"/>
      <c r="F174" s="15" t="s">
        <v>81</v>
      </c>
      <c r="G174" s="2" t="s">
        <v>82</v>
      </c>
      <c r="H174" s="2" t="s">
        <v>83</v>
      </c>
      <c r="I174" s="284" t="s">
        <v>84</v>
      </c>
      <c r="J174" s="285"/>
    </row>
    <row r="175" spans="1:10" s="3" customFormat="1" x14ac:dyDescent="0.3">
      <c r="A175" s="157" t="s">
        <v>262</v>
      </c>
      <c r="B175" s="158"/>
      <c r="C175" s="158"/>
      <c r="D175" s="158"/>
      <c r="E175" s="158"/>
      <c r="F175" s="158"/>
      <c r="G175" s="158"/>
      <c r="H175" s="158"/>
      <c r="I175" s="158"/>
      <c r="J175" s="159"/>
    </row>
    <row r="176" spans="1:10" s="3" customFormat="1" ht="15.75" customHeight="1" x14ac:dyDescent="0.3">
      <c r="A176" s="112" t="s">
        <v>196</v>
      </c>
      <c r="B176" s="113"/>
      <c r="C176" s="113"/>
      <c r="D176" s="113"/>
      <c r="E176" s="113"/>
      <c r="F176" s="113"/>
      <c r="G176" s="113"/>
      <c r="H176" s="113"/>
      <c r="I176" s="113"/>
      <c r="J176" s="114"/>
    </row>
    <row r="177" spans="1:10" s="3" customFormat="1" x14ac:dyDescent="0.3">
      <c r="A177" s="112" t="s">
        <v>177</v>
      </c>
      <c r="B177" s="113"/>
      <c r="C177" s="113"/>
      <c r="D177" s="113"/>
      <c r="E177" s="113"/>
      <c r="F177" s="113"/>
      <c r="G177" s="113"/>
      <c r="H177" s="113"/>
      <c r="I177" s="113"/>
      <c r="J177" s="114"/>
    </row>
    <row r="178" spans="1:10" s="3" customFormat="1" x14ac:dyDescent="0.3">
      <c r="A178" s="147">
        <v>1</v>
      </c>
      <c r="B178" s="148"/>
      <c r="C178" s="4" t="s">
        <v>176</v>
      </c>
      <c r="D178" s="147">
        <f>(16.69)*10.64</f>
        <v>177.58160000000004</v>
      </c>
      <c r="E178" s="148"/>
      <c r="F178" s="4">
        <v>0</v>
      </c>
      <c r="G178" s="4">
        <f>D178*1.45</f>
        <v>257.49332000000004</v>
      </c>
      <c r="H178" s="4" t="s">
        <v>85</v>
      </c>
      <c r="I178" s="151" t="str">
        <f>A177</f>
        <v>Ground Floor for Commercial, Residential, Parking</v>
      </c>
      <c r="J178" s="152"/>
    </row>
    <row r="179" spans="1:10" s="3" customFormat="1" ht="15.75" customHeight="1" x14ac:dyDescent="0.3">
      <c r="A179" s="147">
        <v>2</v>
      </c>
      <c r="B179" s="148"/>
      <c r="C179" s="4" t="s">
        <v>176</v>
      </c>
      <c r="D179" s="147">
        <f>(15.74)*10.764</f>
        <v>169.42535999999998</v>
      </c>
      <c r="E179" s="148"/>
      <c r="F179" s="4">
        <v>0</v>
      </c>
      <c r="G179" s="4">
        <f t="shared" ref="G179:G185" si="0">D179*1.45</f>
        <v>245.66677199999998</v>
      </c>
      <c r="H179" s="4" t="s">
        <v>85</v>
      </c>
      <c r="I179" s="153"/>
      <c r="J179" s="154"/>
    </row>
    <row r="180" spans="1:10" s="3" customFormat="1" x14ac:dyDescent="0.3">
      <c r="A180" s="147">
        <v>3</v>
      </c>
      <c r="B180" s="148"/>
      <c r="C180" s="4" t="s">
        <v>176</v>
      </c>
      <c r="D180" s="147">
        <f>(19.85)*10.764</f>
        <v>213.66540000000001</v>
      </c>
      <c r="E180" s="148"/>
      <c r="F180" s="4">
        <v>0</v>
      </c>
      <c r="G180" s="4">
        <f t="shared" si="0"/>
        <v>309.81482999999997</v>
      </c>
      <c r="H180" s="4" t="s">
        <v>85</v>
      </c>
      <c r="I180" s="153"/>
      <c r="J180" s="154"/>
    </row>
    <row r="181" spans="1:10" s="3" customFormat="1" x14ac:dyDescent="0.3">
      <c r="A181" s="147">
        <v>4</v>
      </c>
      <c r="B181" s="148"/>
      <c r="C181" s="4" t="s">
        <v>176</v>
      </c>
      <c r="D181" s="147">
        <f>(17.83)*10.764</f>
        <v>191.92211999999998</v>
      </c>
      <c r="E181" s="148"/>
      <c r="F181" s="4">
        <v>0</v>
      </c>
      <c r="G181" s="4">
        <f t="shared" si="0"/>
        <v>278.28707399999996</v>
      </c>
      <c r="H181" s="4" t="s">
        <v>85</v>
      </c>
      <c r="I181" s="153"/>
      <c r="J181" s="154"/>
    </row>
    <row r="182" spans="1:10" s="3" customFormat="1" x14ac:dyDescent="0.3">
      <c r="A182" s="147">
        <v>5</v>
      </c>
      <c r="B182" s="148"/>
      <c r="C182" s="4" t="s">
        <v>176</v>
      </c>
      <c r="D182" s="147">
        <f>(20.83)*10.764</f>
        <v>224.21411999999998</v>
      </c>
      <c r="E182" s="148"/>
      <c r="F182" s="4">
        <v>0</v>
      </c>
      <c r="G182" s="4">
        <f t="shared" si="0"/>
        <v>325.11047399999995</v>
      </c>
      <c r="H182" s="4" t="s">
        <v>85</v>
      </c>
      <c r="I182" s="153"/>
      <c r="J182" s="154"/>
    </row>
    <row r="183" spans="1:10" s="3" customFormat="1" x14ac:dyDescent="0.3">
      <c r="A183" s="147">
        <v>6</v>
      </c>
      <c r="B183" s="148"/>
      <c r="C183" s="4" t="s">
        <v>176</v>
      </c>
      <c r="D183" s="147">
        <f>(14.59)*10.764</f>
        <v>157.04675999999998</v>
      </c>
      <c r="E183" s="148"/>
      <c r="F183" s="4">
        <v>0</v>
      </c>
      <c r="G183" s="4">
        <f t="shared" si="0"/>
        <v>227.71780199999995</v>
      </c>
      <c r="H183" s="4" t="s">
        <v>85</v>
      </c>
      <c r="I183" s="153"/>
      <c r="J183" s="154"/>
    </row>
    <row r="184" spans="1:10" s="3" customFormat="1" x14ac:dyDescent="0.3">
      <c r="A184" s="147">
        <v>7</v>
      </c>
      <c r="B184" s="148"/>
      <c r="C184" s="4" t="s">
        <v>176</v>
      </c>
      <c r="D184" s="147">
        <f>(15.63)*10.764</f>
        <v>168.24132</v>
      </c>
      <c r="E184" s="148"/>
      <c r="F184" s="4">
        <v>0</v>
      </c>
      <c r="G184" s="4">
        <f t="shared" si="0"/>
        <v>243.94991400000001</v>
      </c>
      <c r="H184" s="4" t="s">
        <v>85</v>
      </c>
      <c r="I184" s="153"/>
      <c r="J184" s="154"/>
    </row>
    <row r="185" spans="1:10" s="3" customFormat="1" ht="15.75" customHeight="1" x14ac:dyDescent="0.3">
      <c r="A185" s="147">
        <v>8</v>
      </c>
      <c r="B185" s="148"/>
      <c r="C185" s="4" t="s">
        <v>178</v>
      </c>
      <c r="D185" s="147">
        <f>31.2*10.764</f>
        <v>335.83679999999998</v>
      </c>
      <c r="E185" s="148"/>
      <c r="F185" s="4">
        <v>0</v>
      </c>
      <c r="G185" s="4">
        <f t="shared" si="0"/>
        <v>486.96335999999997</v>
      </c>
      <c r="H185" s="4" t="s">
        <v>85</v>
      </c>
      <c r="I185" s="155"/>
      <c r="J185" s="156"/>
    </row>
    <row r="186" spans="1:10" s="3" customFormat="1" x14ac:dyDescent="0.3">
      <c r="A186" s="112" t="s">
        <v>179</v>
      </c>
      <c r="B186" s="113"/>
      <c r="C186" s="113"/>
      <c r="D186" s="113"/>
      <c r="E186" s="113"/>
      <c r="F186" s="113"/>
      <c r="G186" s="113"/>
      <c r="H186" s="113"/>
      <c r="I186" s="113"/>
      <c r="J186" s="114"/>
    </row>
    <row r="187" spans="1:10" s="3" customFormat="1" x14ac:dyDescent="0.3">
      <c r="A187" s="147">
        <v>1</v>
      </c>
      <c r="B187" s="148"/>
      <c r="C187" s="4" t="s">
        <v>178</v>
      </c>
      <c r="D187" s="147">
        <f>(33.43+10.7+0.63)*10.764</f>
        <v>481.79663999999997</v>
      </c>
      <c r="E187" s="148"/>
      <c r="F187" s="4">
        <v>0</v>
      </c>
      <c r="G187" s="4">
        <f>D187*1.45+F187</f>
        <v>698.60512799999992</v>
      </c>
      <c r="H187" s="4" t="s">
        <v>85</v>
      </c>
      <c r="I187" s="151" t="str">
        <f>A186</f>
        <v>1st &amp; 3rd Floor</v>
      </c>
      <c r="J187" s="152"/>
    </row>
    <row r="188" spans="1:10" s="3" customFormat="1" x14ac:dyDescent="0.3">
      <c r="A188" s="147">
        <v>2</v>
      </c>
      <c r="B188" s="148"/>
      <c r="C188" s="4" t="s">
        <v>178</v>
      </c>
      <c r="D188" s="147">
        <f>(33.43+10.13+0.63)*10.764</f>
        <v>475.66116</v>
      </c>
      <c r="E188" s="148"/>
      <c r="F188" s="4">
        <v>0</v>
      </c>
      <c r="G188" s="4">
        <f t="shared" ref="G188:G192" si="1">D188*1.45+F188</f>
        <v>689.70868199999995</v>
      </c>
      <c r="H188" s="4" t="s">
        <v>85</v>
      </c>
      <c r="I188" s="153"/>
      <c r="J188" s="154"/>
    </row>
    <row r="189" spans="1:10" s="3" customFormat="1" x14ac:dyDescent="0.3">
      <c r="A189" s="147">
        <v>3</v>
      </c>
      <c r="B189" s="148"/>
      <c r="C189" s="4" t="s">
        <v>178</v>
      </c>
      <c r="D189" s="147">
        <f>(31.38+10.71)*10.764</f>
        <v>453.05676</v>
      </c>
      <c r="E189" s="148"/>
      <c r="F189" s="4">
        <v>0</v>
      </c>
      <c r="G189" s="4">
        <f t="shared" si="1"/>
        <v>656.93230199999994</v>
      </c>
      <c r="H189" s="4" t="s">
        <v>85</v>
      </c>
      <c r="I189" s="153"/>
      <c r="J189" s="154"/>
    </row>
    <row r="190" spans="1:10" s="3" customFormat="1" x14ac:dyDescent="0.3">
      <c r="A190" s="147">
        <v>4</v>
      </c>
      <c r="B190" s="148"/>
      <c r="C190" s="4" t="s">
        <v>180</v>
      </c>
      <c r="D190" s="147">
        <f>(41.59+10.05)*10.764</f>
        <v>555.85295999999994</v>
      </c>
      <c r="E190" s="148"/>
      <c r="F190" s="4">
        <f>(4.66)*10.764</f>
        <v>50.160240000000002</v>
      </c>
      <c r="G190" s="4">
        <f t="shared" si="1"/>
        <v>856.14703199999997</v>
      </c>
      <c r="H190" s="4" t="s">
        <v>85</v>
      </c>
      <c r="I190" s="153"/>
      <c r="J190" s="154"/>
    </row>
    <row r="191" spans="1:10" s="3" customFormat="1" x14ac:dyDescent="0.3">
      <c r="A191" s="147">
        <v>5</v>
      </c>
      <c r="B191" s="148"/>
      <c r="C191" s="4" t="s">
        <v>180</v>
      </c>
      <c r="D191" s="147">
        <f>(53.57+15.42)*10.764</f>
        <v>742.60835999999995</v>
      </c>
      <c r="E191" s="148"/>
      <c r="F191" s="4">
        <v>0</v>
      </c>
      <c r="G191" s="4">
        <f t="shared" si="1"/>
        <v>1076.7821219999998</v>
      </c>
      <c r="H191" s="4" t="s">
        <v>85</v>
      </c>
      <c r="I191" s="153"/>
      <c r="J191" s="154"/>
    </row>
    <row r="192" spans="1:10" s="3" customFormat="1" x14ac:dyDescent="0.3">
      <c r="A192" s="147">
        <v>6</v>
      </c>
      <c r="B192" s="148"/>
      <c r="C192" s="4" t="s">
        <v>180</v>
      </c>
      <c r="D192" s="147">
        <f>(51.07+15.42)*10.764</f>
        <v>715.69835999999987</v>
      </c>
      <c r="E192" s="148"/>
      <c r="F192" s="4">
        <f>4.21*10.764</f>
        <v>45.31644</v>
      </c>
      <c r="G192" s="4">
        <f t="shared" si="1"/>
        <v>1083.0790619999998</v>
      </c>
      <c r="H192" s="4" t="s">
        <v>85</v>
      </c>
      <c r="I192" s="155"/>
      <c r="J192" s="156"/>
    </row>
    <row r="193" spans="1:12" s="1" customFormat="1" x14ac:dyDescent="0.3">
      <c r="A193" s="112" t="s">
        <v>181</v>
      </c>
      <c r="B193" s="113"/>
      <c r="C193" s="113"/>
      <c r="D193" s="113"/>
      <c r="E193" s="113"/>
      <c r="F193" s="113"/>
      <c r="G193" s="113"/>
      <c r="H193" s="113"/>
      <c r="I193" s="113"/>
      <c r="J193" s="114"/>
      <c r="K193" s="3"/>
      <c r="L193" s="3"/>
    </row>
    <row r="194" spans="1:12" s="16" customFormat="1" x14ac:dyDescent="0.3">
      <c r="A194" s="147">
        <v>1</v>
      </c>
      <c r="B194" s="148"/>
      <c r="C194" s="4" t="s">
        <v>178</v>
      </c>
      <c r="D194" s="147">
        <f>(31.2+10.7+0.63)*10.764</f>
        <v>457.79291999999998</v>
      </c>
      <c r="E194" s="148"/>
      <c r="F194" s="4">
        <f>3.94*10.764</f>
        <v>42.410159999999998</v>
      </c>
      <c r="G194" s="4">
        <f>D194*1.45+F194</f>
        <v>706.20989399999996</v>
      </c>
      <c r="H194" s="4" t="s">
        <v>85</v>
      </c>
      <c r="I194" s="151" t="str">
        <f>A193</f>
        <v>2nd &amp; 4th Floor</v>
      </c>
      <c r="J194" s="152"/>
      <c r="K194" s="3"/>
      <c r="L194" s="3"/>
    </row>
    <row r="195" spans="1:12" x14ac:dyDescent="0.3">
      <c r="A195" s="147">
        <v>2</v>
      </c>
      <c r="B195" s="148"/>
      <c r="C195" s="4" t="s">
        <v>178</v>
      </c>
      <c r="D195" s="147">
        <f>(31.2+10.13+0.63)*10.764</f>
        <v>451.65744000000001</v>
      </c>
      <c r="E195" s="148"/>
      <c r="F195" s="4">
        <f>3.94*10.764</f>
        <v>42.410159999999998</v>
      </c>
      <c r="G195" s="4">
        <f t="shared" ref="G195:G199" si="2">D195*1.45+F195</f>
        <v>697.31344799999999</v>
      </c>
      <c r="H195" s="4" t="s">
        <v>85</v>
      </c>
      <c r="I195" s="153"/>
      <c r="J195" s="154"/>
      <c r="K195" s="3"/>
      <c r="L195" s="3"/>
    </row>
    <row r="196" spans="1:12" x14ac:dyDescent="0.3">
      <c r="A196" s="147">
        <v>3</v>
      </c>
      <c r="B196" s="148"/>
      <c r="C196" s="4" t="s">
        <v>178</v>
      </c>
      <c r="D196" s="147">
        <f>(28.96+10.71)*10.764</f>
        <v>427.00788</v>
      </c>
      <c r="E196" s="148"/>
      <c r="F196" s="4">
        <f>4.24*10.764</f>
        <v>45.639359999999996</v>
      </c>
      <c r="G196" s="4">
        <f t="shared" si="2"/>
        <v>664.80078600000002</v>
      </c>
      <c r="H196" s="4" t="s">
        <v>85</v>
      </c>
      <c r="I196" s="153"/>
      <c r="J196" s="154"/>
      <c r="K196" s="3"/>
      <c r="L196" s="3"/>
    </row>
    <row r="197" spans="1:12" ht="15.75" customHeight="1" x14ac:dyDescent="0.3">
      <c r="A197" s="147">
        <v>4</v>
      </c>
      <c r="B197" s="148"/>
      <c r="C197" s="4" t="s">
        <v>180</v>
      </c>
      <c r="D197" s="147">
        <f>(41.73+10.05)*10.764</f>
        <v>557.35991999999999</v>
      </c>
      <c r="E197" s="148"/>
      <c r="F197" s="4">
        <f>8.16*10.764</f>
        <v>87.834239999999994</v>
      </c>
      <c r="G197" s="4">
        <f t="shared" si="2"/>
        <v>896.006124</v>
      </c>
      <c r="H197" s="4" t="s">
        <v>85</v>
      </c>
      <c r="I197" s="153"/>
      <c r="J197" s="154"/>
      <c r="K197" s="3"/>
      <c r="L197" s="3"/>
    </row>
    <row r="198" spans="1:12" x14ac:dyDescent="0.3">
      <c r="A198" s="147">
        <v>5</v>
      </c>
      <c r="B198" s="148"/>
      <c r="C198" s="4" t="s">
        <v>180</v>
      </c>
      <c r="D198" s="147">
        <f>(53.57+15.42)*10.764</f>
        <v>742.60835999999995</v>
      </c>
      <c r="E198" s="148"/>
      <c r="F198" s="4">
        <v>0</v>
      </c>
      <c r="G198" s="4">
        <f t="shared" si="2"/>
        <v>1076.7821219999998</v>
      </c>
      <c r="H198" s="4" t="s">
        <v>85</v>
      </c>
      <c r="I198" s="153"/>
      <c r="J198" s="154"/>
      <c r="K198" s="3"/>
      <c r="L198" s="3"/>
    </row>
    <row r="199" spans="1:12" x14ac:dyDescent="0.3">
      <c r="A199" s="147">
        <v>6</v>
      </c>
      <c r="B199" s="148"/>
      <c r="C199" s="4" t="s">
        <v>180</v>
      </c>
      <c r="D199" s="147">
        <f>(51.21+15.42)*10.764</f>
        <v>717.20531999999992</v>
      </c>
      <c r="E199" s="148"/>
      <c r="F199" s="4">
        <f>4.67*10.764</f>
        <v>50.267879999999998</v>
      </c>
      <c r="G199" s="4">
        <f t="shared" si="2"/>
        <v>1090.215594</v>
      </c>
      <c r="H199" s="4" t="s">
        <v>85</v>
      </c>
      <c r="I199" s="155"/>
      <c r="J199" s="156"/>
      <c r="K199" s="3"/>
      <c r="L199" s="3"/>
    </row>
    <row r="200" spans="1:12" x14ac:dyDescent="0.3">
      <c r="A200" s="112" t="s">
        <v>197</v>
      </c>
      <c r="B200" s="113"/>
      <c r="C200" s="113"/>
      <c r="D200" s="113"/>
      <c r="E200" s="113"/>
      <c r="F200" s="113"/>
      <c r="G200" s="113"/>
      <c r="H200" s="113"/>
      <c r="I200" s="113"/>
      <c r="J200" s="114"/>
      <c r="K200" s="3"/>
      <c r="L200" s="3"/>
    </row>
    <row r="201" spans="1:12" x14ac:dyDescent="0.3">
      <c r="A201" s="112" t="s">
        <v>177</v>
      </c>
      <c r="B201" s="113"/>
      <c r="C201" s="113"/>
      <c r="D201" s="113"/>
      <c r="E201" s="113"/>
      <c r="F201" s="113"/>
      <c r="G201" s="113"/>
      <c r="H201" s="113"/>
      <c r="I201" s="113"/>
      <c r="J201" s="114"/>
      <c r="K201" s="3"/>
      <c r="L201" s="3"/>
    </row>
    <row r="202" spans="1:12" x14ac:dyDescent="0.3">
      <c r="A202" s="147">
        <v>1</v>
      </c>
      <c r="B202" s="148"/>
      <c r="C202" s="4" t="s">
        <v>176</v>
      </c>
      <c r="D202" s="147">
        <f>10.08*10.764</f>
        <v>108.50112</v>
      </c>
      <c r="E202" s="148"/>
      <c r="F202" s="4">
        <v>0</v>
      </c>
      <c r="G202" s="4">
        <f>D202*1.45+F202</f>
        <v>157.32662400000001</v>
      </c>
      <c r="H202" s="4" t="s">
        <v>85</v>
      </c>
      <c r="I202" s="151" t="str">
        <f>A201</f>
        <v>Ground Floor for Commercial, Residential, Parking</v>
      </c>
      <c r="J202" s="152"/>
      <c r="K202" s="3"/>
      <c r="L202" s="3"/>
    </row>
    <row r="203" spans="1:12" x14ac:dyDescent="0.3">
      <c r="A203" s="147">
        <v>2</v>
      </c>
      <c r="B203" s="148"/>
      <c r="C203" s="4" t="s">
        <v>176</v>
      </c>
      <c r="D203" s="147">
        <f>8.82*10.764</f>
        <v>94.938479999999998</v>
      </c>
      <c r="E203" s="148"/>
      <c r="F203" s="4">
        <v>0</v>
      </c>
      <c r="G203" s="4">
        <f t="shared" ref="G203:G209" si="3">D203*1.45+F203</f>
        <v>137.660796</v>
      </c>
      <c r="H203" s="4" t="s">
        <v>85</v>
      </c>
      <c r="I203" s="153"/>
      <c r="J203" s="154"/>
      <c r="K203" s="3"/>
      <c r="L203" s="3"/>
    </row>
    <row r="204" spans="1:12" x14ac:dyDescent="0.3">
      <c r="A204" s="147">
        <v>3</v>
      </c>
      <c r="B204" s="148"/>
      <c r="C204" s="4" t="s">
        <v>176</v>
      </c>
      <c r="D204" s="147">
        <f>13.48*10.764</f>
        <v>145.09871999999999</v>
      </c>
      <c r="E204" s="148"/>
      <c r="F204" s="4">
        <v>0</v>
      </c>
      <c r="G204" s="4">
        <f t="shared" si="3"/>
        <v>210.39314399999998</v>
      </c>
      <c r="H204" s="4" t="s">
        <v>85</v>
      </c>
      <c r="I204" s="153"/>
      <c r="J204" s="154"/>
      <c r="K204" s="3"/>
      <c r="L204" s="3"/>
    </row>
    <row r="205" spans="1:12" x14ac:dyDescent="0.3">
      <c r="A205" s="147">
        <v>4</v>
      </c>
      <c r="B205" s="148"/>
      <c r="C205" s="4" t="s">
        <v>176</v>
      </c>
      <c r="D205" s="147">
        <f>13.48*10.764</f>
        <v>145.09871999999999</v>
      </c>
      <c r="E205" s="148"/>
      <c r="F205" s="4">
        <v>0</v>
      </c>
      <c r="G205" s="4">
        <f t="shared" si="3"/>
        <v>210.39314399999998</v>
      </c>
      <c r="H205" s="4" t="s">
        <v>85</v>
      </c>
      <c r="I205" s="153"/>
      <c r="J205" s="154"/>
      <c r="K205" s="3"/>
      <c r="L205" s="3"/>
    </row>
    <row r="206" spans="1:12" x14ac:dyDescent="0.3">
      <c r="A206" s="147">
        <v>5</v>
      </c>
      <c r="B206" s="148"/>
      <c r="C206" s="4" t="s">
        <v>176</v>
      </c>
      <c r="D206" s="147">
        <f>8.62*10.764</f>
        <v>92.785679999999985</v>
      </c>
      <c r="E206" s="148"/>
      <c r="F206" s="4">
        <v>0</v>
      </c>
      <c r="G206" s="4">
        <f t="shared" si="3"/>
        <v>134.53923599999999</v>
      </c>
      <c r="H206" s="4" t="s">
        <v>85</v>
      </c>
      <c r="I206" s="153"/>
      <c r="J206" s="154"/>
      <c r="K206" s="3"/>
      <c r="L206" s="3"/>
    </row>
    <row r="207" spans="1:12" x14ac:dyDescent="0.3">
      <c r="A207" s="147">
        <v>6</v>
      </c>
      <c r="B207" s="148"/>
      <c r="C207" s="4" t="s">
        <v>176</v>
      </c>
      <c r="D207" s="147">
        <f>9.92*10.764</f>
        <v>106.77887999999999</v>
      </c>
      <c r="E207" s="148"/>
      <c r="F207" s="4">
        <v>0</v>
      </c>
      <c r="G207" s="4">
        <f t="shared" si="3"/>
        <v>154.82937599999997</v>
      </c>
      <c r="H207" s="4" t="s">
        <v>85</v>
      </c>
      <c r="I207" s="153"/>
      <c r="J207" s="154"/>
      <c r="K207" s="3"/>
      <c r="L207" s="3"/>
    </row>
    <row r="208" spans="1:12" x14ac:dyDescent="0.3">
      <c r="A208" s="147">
        <v>7</v>
      </c>
      <c r="B208" s="148"/>
      <c r="C208" s="4" t="s">
        <v>176</v>
      </c>
      <c r="D208" s="147">
        <f>9.59*10.764</f>
        <v>103.22676</v>
      </c>
      <c r="E208" s="148"/>
      <c r="F208" s="4">
        <v>0</v>
      </c>
      <c r="G208" s="4">
        <f t="shared" si="3"/>
        <v>149.67880199999999</v>
      </c>
      <c r="H208" s="4" t="s">
        <v>85</v>
      </c>
      <c r="I208" s="153"/>
      <c r="J208" s="154"/>
      <c r="K208" s="3"/>
      <c r="L208" s="3"/>
    </row>
    <row r="209" spans="1:12" x14ac:dyDescent="0.3">
      <c r="A209" s="147">
        <v>8</v>
      </c>
      <c r="B209" s="148"/>
      <c r="C209" s="4" t="s">
        <v>178</v>
      </c>
      <c r="D209" s="147">
        <f>(26.52+6.28)*10.764</f>
        <v>353.05919999999998</v>
      </c>
      <c r="E209" s="148"/>
      <c r="F209" s="4">
        <v>0</v>
      </c>
      <c r="G209" s="4">
        <f t="shared" si="3"/>
        <v>511.93583999999993</v>
      </c>
      <c r="H209" s="4" t="s">
        <v>85</v>
      </c>
      <c r="I209" s="155"/>
      <c r="J209" s="156"/>
      <c r="K209" s="3"/>
      <c r="L209" s="3"/>
    </row>
    <row r="210" spans="1:12" x14ac:dyDescent="0.3">
      <c r="A210" s="112" t="s">
        <v>182</v>
      </c>
      <c r="B210" s="113"/>
      <c r="C210" s="113"/>
      <c r="D210" s="113"/>
      <c r="E210" s="113"/>
      <c r="F210" s="113"/>
      <c r="G210" s="113"/>
      <c r="H210" s="113"/>
      <c r="I210" s="113"/>
      <c r="J210" s="114"/>
      <c r="K210" s="3"/>
      <c r="L210" s="3"/>
    </row>
    <row r="211" spans="1:12" x14ac:dyDescent="0.3">
      <c r="A211" s="147">
        <v>1</v>
      </c>
      <c r="B211" s="148"/>
      <c r="C211" s="4" t="s">
        <v>178</v>
      </c>
      <c r="D211" s="147">
        <f>(26.52+6.18+0.68)*10.764</f>
        <v>359.30232000000001</v>
      </c>
      <c r="E211" s="148"/>
      <c r="F211" s="4">
        <v>0</v>
      </c>
      <c r="G211" s="4">
        <f>D211*1.45+F211</f>
        <v>520.98836400000005</v>
      </c>
      <c r="H211" s="4" t="s">
        <v>85</v>
      </c>
      <c r="I211" s="151" t="str">
        <f>A210</f>
        <v>1st Floor</v>
      </c>
      <c r="J211" s="152"/>
      <c r="K211" s="3"/>
      <c r="L211" s="3"/>
    </row>
    <row r="212" spans="1:12" x14ac:dyDescent="0.3">
      <c r="A212" s="147">
        <v>2</v>
      </c>
      <c r="B212" s="148"/>
      <c r="C212" s="4" t="s">
        <v>178</v>
      </c>
      <c r="D212" s="147">
        <f>(26.52+6.28+0.68)*10.764</f>
        <v>360.37871999999993</v>
      </c>
      <c r="E212" s="148"/>
      <c r="F212" s="4">
        <v>0</v>
      </c>
      <c r="G212" s="4">
        <f t="shared" ref="G212:G216" si="4">D212*1.45+F212</f>
        <v>522.54914399999984</v>
      </c>
      <c r="H212" s="4" t="s">
        <v>85</v>
      </c>
      <c r="I212" s="153"/>
      <c r="J212" s="154"/>
      <c r="K212" s="3"/>
      <c r="L212" s="3"/>
    </row>
    <row r="213" spans="1:12" x14ac:dyDescent="0.3">
      <c r="A213" s="147">
        <v>3</v>
      </c>
      <c r="B213" s="148"/>
      <c r="C213" s="4" t="s">
        <v>178</v>
      </c>
      <c r="D213" s="147">
        <f>(26.52+6.28)*10.764</f>
        <v>353.05919999999998</v>
      </c>
      <c r="E213" s="148"/>
      <c r="F213" s="4">
        <v>0</v>
      </c>
      <c r="G213" s="4">
        <f t="shared" si="4"/>
        <v>511.93583999999993</v>
      </c>
      <c r="H213" s="4" t="s">
        <v>85</v>
      </c>
      <c r="I213" s="153"/>
      <c r="J213" s="154"/>
      <c r="K213" s="3"/>
      <c r="L213" s="3"/>
    </row>
    <row r="214" spans="1:12" s="3" customFormat="1" x14ac:dyDescent="0.3">
      <c r="A214" s="147">
        <v>4</v>
      </c>
      <c r="B214" s="148"/>
      <c r="C214" s="4" t="s">
        <v>180</v>
      </c>
      <c r="D214" s="147">
        <f>(34.84+9.53)*10.764</f>
        <v>477.59868</v>
      </c>
      <c r="E214" s="148"/>
      <c r="F214" s="4">
        <f>(1.72)*10.764</f>
        <v>18.51408</v>
      </c>
      <c r="G214" s="4">
        <f t="shared" si="4"/>
        <v>711.03216599999996</v>
      </c>
      <c r="H214" s="4" t="s">
        <v>85</v>
      </c>
      <c r="I214" s="153"/>
      <c r="J214" s="154"/>
    </row>
    <row r="215" spans="1:12" x14ac:dyDescent="0.3">
      <c r="A215" s="147">
        <v>5</v>
      </c>
      <c r="B215" s="148"/>
      <c r="C215" s="4" t="s">
        <v>178</v>
      </c>
      <c r="D215" s="147">
        <f>(26.52+6.28+0.68)*10.764</f>
        <v>360.37871999999993</v>
      </c>
      <c r="E215" s="148"/>
      <c r="F215" s="4">
        <f>(1.72)*10.764</f>
        <v>18.51408</v>
      </c>
      <c r="G215" s="4">
        <f t="shared" si="4"/>
        <v>541.06322399999988</v>
      </c>
      <c r="H215" s="4" t="s">
        <v>85</v>
      </c>
      <c r="I215" s="153"/>
      <c r="J215" s="154"/>
      <c r="K215" s="3"/>
      <c r="L215" s="3"/>
    </row>
    <row r="216" spans="1:12" s="3" customFormat="1" x14ac:dyDescent="0.3">
      <c r="A216" s="147">
        <v>6</v>
      </c>
      <c r="B216" s="148"/>
      <c r="C216" s="4" t="s">
        <v>178</v>
      </c>
      <c r="D216" s="147">
        <f>(26.52+6.18+0.68)*10.764</f>
        <v>359.30232000000001</v>
      </c>
      <c r="E216" s="148"/>
      <c r="F216" s="4">
        <v>0</v>
      </c>
      <c r="G216" s="4">
        <f t="shared" si="4"/>
        <v>520.98836400000005</v>
      </c>
      <c r="H216" s="4" t="s">
        <v>85</v>
      </c>
      <c r="I216" s="155"/>
      <c r="J216" s="156"/>
    </row>
    <row r="217" spans="1:12" s="3" customFormat="1" x14ac:dyDescent="0.3">
      <c r="A217" s="112" t="s">
        <v>183</v>
      </c>
      <c r="B217" s="113"/>
      <c r="C217" s="113"/>
      <c r="D217" s="113"/>
      <c r="E217" s="113"/>
      <c r="F217" s="113"/>
      <c r="G217" s="113"/>
      <c r="H217" s="113"/>
      <c r="I217" s="113"/>
      <c r="J217" s="114"/>
    </row>
    <row r="218" spans="1:12" s="3" customFormat="1" x14ac:dyDescent="0.3">
      <c r="A218" s="147">
        <v>1</v>
      </c>
      <c r="B218" s="148"/>
      <c r="C218" s="4" t="s">
        <v>178</v>
      </c>
      <c r="D218" s="147">
        <f>(26.52+6.18+0.68)*10.764</f>
        <v>359.30232000000001</v>
      </c>
      <c r="E218" s="148"/>
      <c r="F218" s="4">
        <v>0</v>
      </c>
      <c r="G218" s="4">
        <f>D218*1.45+F218</f>
        <v>520.98836400000005</v>
      </c>
      <c r="H218" s="4" t="s">
        <v>85</v>
      </c>
      <c r="I218" s="151" t="str">
        <f>A217</f>
        <v>2nd to 4th Floor</v>
      </c>
      <c r="J218" s="152"/>
    </row>
    <row r="219" spans="1:12" s="3" customFormat="1" x14ac:dyDescent="0.3">
      <c r="A219" s="147">
        <v>2</v>
      </c>
      <c r="B219" s="148"/>
      <c r="C219" s="4" t="s">
        <v>178</v>
      </c>
      <c r="D219" s="147">
        <f>(26.52+6.28+0.68)*10.764</f>
        <v>360.37871999999993</v>
      </c>
      <c r="E219" s="148"/>
      <c r="F219" s="4">
        <v>0</v>
      </c>
      <c r="G219" s="4">
        <f t="shared" ref="G219:G223" si="5">D219*1.45+F219</f>
        <v>522.54914399999984</v>
      </c>
      <c r="H219" s="4" t="s">
        <v>85</v>
      </c>
      <c r="I219" s="153"/>
      <c r="J219" s="154"/>
    </row>
    <row r="220" spans="1:12" s="3" customFormat="1" x14ac:dyDescent="0.3">
      <c r="A220" s="147">
        <v>3</v>
      </c>
      <c r="B220" s="148"/>
      <c r="C220" s="4" t="s">
        <v>178</v>
      </c>
      <c r="D220" s="147">
        <f>(26.52+6.28)*10.764</f>
        <v>353.05919999999998</v>
      </c>
      <c r="E220" s="148"/>
      <c r="F220" s="4">
        <v>0</v>
      </c>
      <c r="G220" s="4">
        <f t="shared" si="5"/>
        <v>511.93583999999993</v>
      </c>
      <c r="H220" s="4" t="s">
        <v>85</v>
      </c>
      <c r="I220" s="153"/>
      <c r="J220" s="154"/>
    </row>
    <row r="221" spans="1:12" s="3" customFormat="1" x14ac:dyDescent="0.3">
      <c r="A221" s="147">
        <v>4</v>
      </c>
      <c r="B221" s="148"/>
      <c r="C221" s="4" t="s">
        <v>180</v>
      </c>
      <c r="D221" s="147">
        <f>(34.84+9.53)*10.764</f>
        <v>477.59868</v>
      </c>
      <c r="E221" s="148"/>
      <c r="F221" s="4">
        <v>0</v>
      </c>
      <c r="G221" s="4">
        <f t="shared" si="5"/>
        <v>692.51808599999993</v>
      </c>
      <c r="H221" s="4" t="s">
        <v>85</v>
      </c>
      <c r="I221" s="153"/>
      <c r="J221" s="154"/>
      <c r="K221" s="1"/>
      <c r="L221" s="1"/>
    </row>
    <row r="222" spans="1:12" s="3" customFormat="1" x14ac:dyDescent="0.3">
      <c r="A222" s="147">
        <v>5</v>
      </c>
      <c r="B222" s="148"/>
      <c r="C222" s="4" t="s">
        <v>178</v>
      </c>
      <c r="D222" s="147">
        <f>(26.52+6.28+0.68)*10.764</f>
        <v>360.37871999999993</v>
      </c>
      <c r="E222" s="148"/>
      <c r="F222" s="4">
        <v>0</v>
      </c>
      <c r="G222" s="4">
        <f t="shared" si="5"/>
        <v>522.54914399999984</v>
      </c>
      <c r="H222" s="4" t="s">
        <v>85</v>
      </c>
      <c r="I222" s="153"/>
      <c r="J222" s="154"/>
      <c r="K222" s="16"/>
      <c r="L222" s="16"/>
    </row>
    <row r="223" spans="1:12" s="3" customFormat="1" x14ac:dyDescent="0.3">
      <c r="A223" s="147">
        <v>6</v>
      </c>
      <c r="B223" s="148"/>
      <c r="C223" s="4" t="s">
        <v>178</v>
      </c>
      <c r="D223" s="147">
        <f>(26.52+6.18+0.68)*10.764</f>
        <v>359.30232000000001</v>
      </c>
      <c r="E223" s="148"/>
      <c r="F223" s="4">
        <v>0</v>
      </c>
      <c r="G223" s="4">
        <f t="shared" si="5"/>
        <v>520.98836400000005</v>
      </c>
      <c r="H223" s="4" t="s">
        <v>85</v>
      </c>
      <c r="I223" s="155"/>
      <c r="J223" s="156"/>
      <c r="K223" s="12"/>
      <c r="L223" s="12"/>
    </row>
    <row r="224" spans="1:12" s="3" customFormat="1" x14ac:dyDescent="0.3">
      <c r="A224" s="112" t="s">
        <v>198</v>
      </c>
      <c r="B224" s="113"/>
      <c r="C224" s="113"/>
      <c r="D224" s="113"/>
      <c r="E224" s="113"/>
      <c r="F224" s="113"/>
      <c r="G224" s="113"/>
      <c r="H224" s="113"/>
      <c r="I224" s="113"/>
      <c r="J224" s="114"/>
      <c r="K224" s="12"/>
      <c r="L224" s="12"/>
    </row>
    <row r="225" spans="1:16" s="3" customFormat="1" x14ac:dyDescent="0.3">
      <c r="A225" s="112" t="s">
        <v>186</v>
      </c>
      <c r="B225" s="113"/>
      <c r="C225" s="113"/>
      <c r="D225" s="113"/>
      <c r="E225" s="113"/>
      <c r="F225" s="113"/>
      <c r="G225" s="113"/>
      <c r="H225" s="113"/>
      <c r="I225" s="113"/>
      <c r="J225" s="114"/>
      <c r="K225" s="12"/>
      <c r="L225" s="12"/>
      <c r="M225" s="3" t="s">
        <v>300</v>
      </c>
      <c r="N225" s="3" t="s">
        <v>301</v>
      </c>
    </row>
    <row r="226" spans="1:16" s="3" customFormat="1" x14ac:dyDescent="0.3">
      <c r="A226" s="112" t="s">
        <v>184</v>
      </c>
      <c r="B226" s="113"/>
      <c r="C226" s="113"/>
      <c r="D226" s="113"/>
      <c r="E226" s="113"/>
      <c r="F226" s="113"/>
      <c r="G226" s="113"/>
      <c r="H226" s="113"/>
      <c r="I226" s="113"/>
      <c r="J226" s="114"/>
      <c r="K226" s="12"/>
      <c r="L226" s="12"/>
      <c r="M226" s="80">
        <f>0.75*(2.85*3)</f>
        <v>6.4125000000000005</v>
      </c>
      <c r="N226" s="3">
        <f>2.3*0.75</f>
        <v>1.7249999999999999</v>
      </c>
      <c r="O226" s="80">
        <f>SUM(L226:N226)</f>
        <v>8.1375000000000011</v>
      </c>
      <c r="P226" s="3">
        <f>49.91+7.39+5.22+1.72</f>
        <v>64.239999999999995</v>
      </c>
    </row>
    <row r="227" spans="1:16" s="3" customFormat="1" x14ac:dyDescent="0.3">
      <c r="A227" s="147">
        <v>1</v>
      </c>
      <c r="B227" s="148"/>
      <c r="C227" s="4" t="s">
        <v>178</v>
      </c>
      <c r="D227" s="147">
        <f>(26.52+6.19)*10.764</f>
        <v>352.09044</v>
      </c>
      <c r="E227" s="148"/>
      <c r="F227" s="4">
        <v>0</v>
      </c>
      <c r="G227" s="4">
        <f>D227*1.45+F227</f>
        <v>510.531138</v>
      </c>
      <c r="H227" s="4" t="s">
        <v>85</v>
      </c>
      <c r="I227" s="151" t="s">
        <v>202</v>
      </c>
      <c r="J227" s="152"/>
      <c r="K227" s="12"/>
      <c r="L227" s="12"/>
      <c r="M227" s="80">
        <f>2.9*0.75</f>
        <v>2.1749999999999998</v>
      </c>
      <c r="N227" s="3">
        <f>0.75*(2.9*2+2.3)</f>
        <v>6.0749999999999993</v>
      </c>
    </row>
    <row r="228" spans="1:16" s="3" customFormat="1" x14ac:dyDescent="0.3">
      <c r="A228" s="147">
        <v>2</v>
      </c>
      <c r="B228" s="148"/>
      <c r="C228" s="4" t="s">
        <v>178</v>
      </c>
      <c r="D228" s="147">
        <f>(26.52+6.11)*10.764</f>
        <v>351.22932000000003</v>
      </c>
      <c r="E228" s="148"/>
      <c r="F228" s="4">
        <v>0</v>
      </c>
      <c r="G228" s="4">
        <f>D228*1.45+F228</f>
        <v>509.28251400000005</v>
      </c>
      <c r="H228" s="4" t="s">
        <v>85</v>
      </c>
      <c r="I228" s="155"/>
      <c r="J228" s="156"/>
      <c r="K228" s="12"/>
      <c r="L228" s="12"/>
    </row>
    <row r="229" spans="1:16" s="3" customFormat="1" x14ac:dyDescent="0.3">
      <c r="A229" s="112" t="s">
        <v>201</v>
      </c>
      <c r="B229" s="113"/>
      <c r="C229" s="113"/>
      <c r="D229" s="113"/>
      <c r="E229" s="113"/>
      <c r="F229" s="113"/>
      <c r="G229" s="113"/>
      <c r="H229" s="113"/>
      <c r="I229" s="113"/>
      <c r="J229" s="114"/>
      <c r="K229" s="12"/>
      <c r="L229" s="12"/>
    </row>
    <row r="230" spans="1:16" s="3" customFormat="1" x14ac:dyDescent="0.3">
      <c r="A230" s="147">
        <v>1</v>
      </c>
      <c r="B230" s="148"/>
      <c r="C230" s="4" t="s">
        <v>178</v>
      </c>
      <c r="D230" s="147">
        <f>(26.52+6.2+0.68)*10.764</f>
        <v>359.51759999999996</v>
      </c>
      <c r="E230" s="148"/>
      <c r="F230" s="4">
        <v>0</v>
      </c>
      <c r="G230" s="4">
        <f>D230*1.45+F230</f>
        <v>521.30051999999989</v>
      </c>
      <c r="H230" s="4" t="s">
        <v>85</v>
      </c>
      <c r="I230" s="151" t="str">
        <f>A229</f>
        <v>1st to 4th Floor</v>
      </c>
      <c r="J230" s="152"/>
      <c r="K230" s="12"/>
      <c r="L230" s="12"/>
    </row>
    <row r="231" spans="1:16" s="3" customFormat="1" x14ac:dyDescent="0.3">
      <c r="A231" s="147">
        <v>2</v>
      </c>
      <c r="B231" s="148"/>
      <c r="C231" s="4" t="s">
        <v>180</v>
      </c>
      <c r="D231" s="147">
        <f>(33.77+6.19+0.68)*10.764</f>
        <v>437.44896</v>
      </c>
      <c r="E231" s="148"/>
      <c r="F231" s="4">
        <v>0</v>
      </c>
      <c r="G231" s="4">
        <f t="shared" ref="G231:G233" si="6">D231*1.45+F231</f>
        <v>634.30099199999995</v>
      </c>
      <c r="H231" s="4" t="s">
        <v>85</v>
      </c>
      <c r="I231" s="153"/>
      <c r="J231" s="154"/>
      <c r="K231" s="12"/>
      <c r="L231" s="12"/>
    </row>
    <row r="232" spans="1:16" s="3" customFormat="1" x14ac:dyDescent="0.3">
      <c r="A232" s="147">
        <v>3</v>
      </c>
      <c r="B232" s="148"/>
      <c r="C232" s="4" t="s">
        <v>178</v>
      </c>
      <c r="D232" s="147">
        <f>(26.52+6.11)*10.764</f>
        <v>351.22932000000003</v>
      </c>
      <c r="E232" s="148"/>
      <c r="F232" s="4">
        <v>0</v>
      </c>
      <c r="G232" s="4">
        <f t="shared" si="6"/>
        <v>509.28251400000005</v>
      </c>
      <c r="H232" s="4" t="s">
        <v>85</v>
      </c>
      <c r="I232" s="153"/>
      <c r="J232" s="154"/>
      <c r="K232" s="12"/>
      <c r="L232" s="12"/>
    </row>
    <row r="233" spans="1:16" s="3" customFormat="1" x14ac:dyDescent="0.3">
      <c r="A233" s="147">
        <v>4</v>
      </c>
      <c r="B233" s="148"/>
      <c r="C233" s="4" t="s">
        <v>178</v>
      </c>
      <c r="D233" s="147">
        <f>(26.52+6.11)*10.764</f>
        <v>351.22932000000003</v>
      </c>
      <c r="E233" s="148"/>
      <c r="F233" s="4">
        <v>0</v>
      </c>
      <c r="G233" s="4">
        <f t="shared" si="6"/>
        <v>509.28251400000005</v>
      </c>
      <c r="H233" s="4" t="s">
        <v>85</v>
      </c>
      <c r="I233" s="155"/>
      <c r="J233" s="156"/>
      <c r="K233" s="12"/>
      <c r="L233" s="12"/>
    </row>
    <row r="234" spans="1:16" s="3" customFormat="1" x14ac:dyDescent="0.3">
      <c r="A234" s="112" t="s">
        <v>185</v>
      </c>
      <c r="B234" s="113"/>
      <c r="C234" s="113"/>
      <c r="D234" s="113"/>
      <c r="E234" s="113"/>
      <c r="F234" s="113"/>
      <c r="G234" s="113"/>
      <c r="H234" s="113"/>
      <c r="I234" s="113"/>
      <c r="J234" s="114"/>
      <c r="K234" s="12"/>
      <c r="L234" s="12"/>
    </row>
    <row r="235" spans="1:16" s="3" customFormat="1" x14ac:dyDescent="0.3">
      <c r="A235" s="112" t="s">
        <v>184</v>
      </c>
      <c r="B235" s="113"/>
      <c r="C235" s="113"/>
      <c r="D235" s="113"/>
      <c r="E235" s="113"/>
      <c r="F235" s="113"/>
      <c r="G235" s="113"/>
      <c r="H235" s="113"/>
      <c r="I235" s="113"/>
      <c r="J235" s="114"/>
      <c r="K235" s="12"/>
      <c r="L235" s="12"/>
    </row>
    <row r="236" spans="1:16" s="3" customFormat="1" x14ac:dyDescent="0.3">
      <c r="A236" s="147">
        <v>1</v>
      </c>
      <c r="B236" s="148"/>
      <c r="C236" s="4" t="s">
        <v>178</v>
      </c>
      <c r="D236" s="147">
        <f>(26.52+6.1)*10.764</f>
        <v>351.12167999999997</v>
      </c>
      <c r="E236" s="148"/>
      <c r="F236" s="4">
        <v>0</v>
      </c>
      <c r="G236" s="4">
        <f>D236*1.45+F236</f>
        <v>509.12643599999996</v>
      </c>
      <c r="H236" s="4" t="s">
        <v>85</v>
      </c>
      <c r="I236" s="151" t="s">
        <v>202</v>
      </c>
      <c r="J236" s="152"/>
      <c r="K236" s="12"/>
      <c r="L236" s="12"/>
    </row>
    <row r="237" spans="1:16" s="3" customFormat="1" x14ac:dyDescent="0.3">
      <c r="A237" s="147">
        <v>2</v>
      </c>
      <c r="B237" s="148"/>
      <c r="C237" s="4" t="s">
        <v>178</v>
      </c>
      <c r="D237" s="147">
        <f>(26.52+6.19)*10.764</f>
        <v>352.09044</v>
      </c>
      <c r="E237" s="148"/>
      <c r="F237" s="4">
        <v>0</v>
      </c>
      <c r="G237" s="4">
        <f>D237*1.45+F237</f>
        <v>510.531138</v>
      </c>
      <c r="H237" s="4" t="s">
        <v>85</v>
      </c>
      <c r="I237" s="155"/>
      <c r="J237" s="156"/>
      <c r="K237" s="149">
        <v>10.763999999999999</v>
      </c>
      <c r="L237" s="150"/>
    </row>
    <row r="238" spans="1:16" s="3" customFormat="1" x14ac:dyDescent="0.3">
      <c r="A238" s="112" t="s">
        <v>201</v>
      </c>
      <c r="B238" s="113"/>
      <c r="C238" s="113"/>
      <c r="D238" s="113"/>
      <c r="E238" s="113"/>
      <c r="F238" s="113"/>
      <c r="G238" s="113"/>
      <c r="H238" s="113"/>
      <c r="I238" s="113"/>
      <c r="J238" s="114"/>
      <c r="K238" s="12"/>
      <c r="L238" s="12"/>
    </row>
    <row r="239" spans="1:16" s="3" customFormat="1" x14ac:dyDescent="0.3">
      <c r="A239" s="147">
        <v>1</v>
      </c>
      <c r="B239" s="148"/>
      <c r="C239" s="4" t="s">
        <v>178</v>
      </c>
      <c r="D239" s="147">
        <f>(26.52+6.11)*10.764</f>
        <v>351.22932000000003</v>
      </c>
      <c r="E239" s="148"/>
      <c r="F239" s="4">
        <v>0</v>
      </c>
      <c r="G239" s="4">
        <f>D239*1.45+F239</f>
        <v>509.28251400000005</v>
      </c>
      <c r="H239" s="4" t="s">
        <v>85</v>
      </c>
      <c r="I239" s="151" t="str">
        <f>A238</f>
        <v>1st to 4th Floor</v>
      </c>
      <c r="J239" s="152"/>
      <c r="K239" s="12"/>
      <c r="L239" s="12" t="s">
        <v>299</v>
      </c>
    </row>
    <row r="240" spans="1:16" s="3" customFormat="1" x14ac:dyDescent="0.3">
      <c r="A240" s="147">
        <v>2</v>
      </c>
      <c r="B240" s="148"/>
      <c r="C240" s="4" t="s">
        <v>178</v>
      </c>
      <c r="D240" s="147">
        <f>(26.52+6.11)*10.764</f>
        <v>351.22932000000003</v>
      </c>
      <c r="E240" s="148"/>
      <c r="F240" s="4">
        <v>0</v>
      </c>
      <c r="G240" s="4">
        <f t="shared" ref="G240:G242" si="7">D240*1.45+F240</f>
        <v>509.28251400000005</v>
      </c>
      <c r="H240" s="4" t="s">
        <v>85</v>
      </c>
      <c r="I240" s="153"/>
      <c r="J240" s="154"/>
      <c r="K240" s="12">
        <f>2.9*4.5+1.45*2.25+2.3*2.1+2.9*2.9+2.9*3.15+2.55*2.9+1.8*1.2*2+4.5*0.9</f>
        <v>54.452499999999993</v>
      </c>
      <c r="L240" s="80">
        <f>49.91+7.39</f>
        <v>57.3</v>
      </c>
    </row>
    <row r="241" spans="1:12" s="3" customFormat="1" x14ac:dyDescent="0.3">
      <c r="A241" s="147">
        <v>3</v>
      </c>
      <c r="B241" s="148"/>
      <c r="C241" s="4" t="s">
        <v>180</v>
      </c>
      <c r="D241" s="147">
        <f>(33.77+6.19+0.68)*10.764</f>
        <v>437.44896</v>
      </c>
      <c r="E241" s="148"/>
      <c r="F241" s="4">
        <v>0</v>
      </c>
      <c r="G241" s="4">
        <f t="shared" si="7"/>
        <v>634.30099199999995</v>
      </c>
      <c r="H241" s="4" t="s">
        <v>85</v>
      </c>
      <c r="I241" s="153"/>
      <c r="J241" s="154"/>
      <c r="K241" s="12">
        <f>2.9*4.5+1.45*2.25+2.3*2.1+2.9*2.9+2.9*3.15+1.8*1.2*2+4.5*0.9</f>
        <v>47.057499999999997</v>
      </c>
      <c r="L241" s="80">
        <f>47.63+2.46</f>
        <v>50.09</v>
      </c>
    </row>
    <row r="242" spans="1:12" s="3" customFormat="1" x14ac:dyDescent="0.3">
      <c r="A242" s="147">
        <v>4</v>
      </c>
      <c r="B242" s="148"/>
      <c r="C242" s="4" t="s">
        <v>178</v>
      </c>
      <c r="D242" s="147">
        <f>(26.52+6.19+0.68)*10.764</f>
        <v>359.40996000000001</v>
      </c>
      <c r="E242" s="148"/>
      <c r="F242" s="4">
        <v>0</v>
      </c>
      <c r="G242" s="4">
        <f t="shared" si="7"/>
        <v>521.14444200000003</v>
      </c>
      <c r="H242" s="4" t="s">
        <v>85</v>
      </c>
      <c r="I242" s="155"/>
      <c r="J242" s="156"/>
      <c r="K242" s="12"/>
      <c r="L242" s="12"/>
    </row>
    <row r="243" spans="1:12" s="3" customFormat="1" ht="15.75" customHeight="1" x14ac:dyDescent="0.3">
      <c r="A243" s="157" t="s">
        <v>263</v>
      </c>
      <c r="B243" s="158"/>
      <c r="C243" s="158"/>
      <c r="D243" s="158"/>
      <c r="E243" s="158"/>
      <c r="F243" s="158"/>
      <c r="G243" s="158"/>
      <c r="H243" s="158"/>
      <c r="I243" s="158"/>
      <c r="J243" s="159"/>
    </row>
    <row r="244" spans="1:12" s="3" customFormat="1" ht="15.75" customHeight="1" x14ac:dyDescent="0.3">
      <c r="A244" s="112" t="s">
        <v>295</v>
      </c>
      <c r="B244" s="113"/>
      <c r="C244" s="113"/>
      <c r="D244" s="113"/>
      <c r="E244" s="113"/>
      <c r="F244" s="113"/>
      <c r="G244" s="113"/>
      <c r="H244" s="113"/>
      <c r="I244" s="113"/>
      <c r="J244" s="114"/>
    </row>
    <row r="245" spans="1:12" s="3" customFormat="1" x14ac:dyDescent="0.3">
      <c r="A245" s="112" t="s">
        <v>296</v>
      </c>
      <c r="B245" s="113"/>
      <c r="C245" s="113"/>
      <c r="D245" s="113"/>
      <c r="E245" s="113"/>
      <c r="F245" s="113"/>
      <c r="G245" s="113"/>
      <c r="H245" s="113"/>
      <c r="I245" s="113"/>
      <c r="J245" s="114"/>
    </row>
    <row r="246" spans="1:12" s="3" customFormat="1" x14ac:dyDescent="0.3">
      <c r="A246" s="112" t="s">
        <v>297</v>
      </c>
      <c r="B246" s="113"/>
      <c r="C246" s="113"/>
      <c r="D246" s="113"/>
      <c r="E246" s="113"/>
      <c r="F246" s="113"/>
      <c r="G246" s="113"/>
      <c r="H246" s="113"/>
      <c r="I246" s="113"/>
      <c r="J246" s="114"/>
    </row>
    <row r="247" spans="1:12" s="3" customFormat="1" x14ac:dyDescent="0.3">
      <c r="A247" s="112" t="s">
        <v>298</v>
      </c>
      <c r="B247" s="113"/>
      <c r="C247" s="113"/>
      <c r="D247" s="113"/>
      <c r="E247" s="113"/>
      <c r="F247" s="113"/>
      <c r="G247" s="113"/>
      <c r="H247" s="113"/>
      <c r="I247" s="113"/>
      <c r="J247" s="114"/>
    </row>
    <row r="248" spans="1:12" s="3" customFormat="1" x14ac:dyDescent="0.3">
      <c r="A248" s="147">
        <v>1</v>
      </c>
      <c r="B248" s="148"/>
      <c r="C248" s="4" t="s">
        <v>321</v>
      </c>
      <c r="D248" s="149">
        <f>(49.91+7.39+5.22+1.72)*10.764</f>
        <v>691.47935999999993</v>
      </c>
      <c r="E248" s="150"/>
      <c r="F248" s="4">
        <v>0</v>
      </c>
      <c r="G248" s="4">
        <f>D248*1.45+F248</f>
        <v>1002.6450719999999</v>
      </c>
      <c r="H248" s="4" t="s">
        <v>85</v>
      </c>
      <c r="I248" s="151" t="str">
        <f>A247</f>
        <v>1st to 7th Floor For Residential</v>
      </c>
      <c r="J248" s="152"/>
    </row>
    <row r="249" spans="1:12" s="3" customFormat="1" x14ac:dyDescent="0.3">
      <c r="A249" s="147">
        <v>2</v>
      </c>
      <c r="B249" s="148"/>
      <c r="C249" s="4" t="s">
        <v>180</v>
      </c>
      <c r="D249" s="149">
        <f>(47.63+2.46+1.74+5.2)*10.764</f>
        <v>613.87092000000007</v>
      </c>
      <c r="E249" s="150"/>
      <c r="F249" s="4">
        <v>0</v>
      </c>
      <c r="G249" s="4">
        <f t="shared" ref="G249:G251" si="8">D249*1.45+F249</f>
        <v>890.11283400000002</v>
      </c>
      <c r="H249" s="4" t="s">
        <v>85</v>
      </c>
      <c r="I249" s="153"/>
      <c r="J249" s="154"/>
    </row>
    <row r="250" spans="1:12" s="3" customFormat="1" x14ac:dyDescent="0.3">
      <c r="A250" s="147">
        <v>3</v>
      </c>
      <c r="B250" s="148"/>
      <c r="C250" s="4" t="s">
        <v>178</v>
      </c>
      <c r="D250" s="149">
        <f>(28.99+6.75+1.7+3.48)*10.764</f>
        <v>440.46287999999993</v>
      </c>
      <c r="E250" s="150"/>
      <c r="F250" s="4">
        <v>0</v>
      </c>
      <c r="G250" s="4">
        <f t="shared" si="8"/>
        <v>638.67117599999983</v>
      </c>
      <c r="H250" s="4" t="s">
        <v>85</v>
      </c>
      <c r="I250" s="153"/>
      <c r="J250" s="154"/>
    </row>
    <row r="251" spans="1:12" s="3" customFormat="1" x14ac:dyDescent="0.3">
      <c r="A251" s="147">
        <v>4</v>
      </c>
      <c r="B251" s="148"/>
      <c r="C251" s="4" t="s">
        <v>178</v>
      </c>
      <c r="D251" s="149">
        <f>(28.99+6.75+1.7+3.48)*10.764</f>
        <v>440.46287999999993</v>
      </c>
      <c r="E251" s="150"/>
      <c r="F251" s="4">
        <v>0</v>
      </c>
      <c r="G251" s="4">
        <f t="shared" si="8"/>
        <v>638.67117599999983</v>
      </c>
      <c r="H251" s="4" t="s">
        <v>85</v>
      </c>
      <c r="I251" s="155"/>
      <c r="J251" s="156"/>
    </row>
    <row r="252" spans="1:12" s="3" customFormat="1" x14ac:dyDescent="0.3">
      <c r="A252" s="112" t="s">
        <v>302</v>
      </c>
      <c r="B252" s="113"/>
      <c r="C252" s="113"/>
      <c r="D252" s="113"/>
      <c r="E252" s="113"/>
      <c r="F252" s="113"/>
      <c r="G252" s="113"/>
      <c r="H252" s="113"/>
      <c r="I252" s="113"/>
      <c r="J252" s="114"/>
    </row>
    <row r="253" spans="1:12" s="3" customFormat="1" x14ac:dyDescent="0.3">
      <c r="A253" s="112" t="s">
        <v>304</v>
      </c>
      <c r="B253" s="113"/>
      <c r="C253" s="113"/>
      <c r="D253" s="113"/>
      <c r="E253" s="113"/>
      <c r="F253" s="113"/>
      <c r="G253" s="113"/>
      <c r="H253" s="113"/>
      <c r="I253" s="113"/>
      <c r="J253" s="114"/>
      <c r="K253" s="3">
        <f>(2.9*2.75+1.4*0.9)*(10.764)</f>
        <v>99.405539999999988</v>
      </c>
      <c r="L253" s="3">
        <f>2.55*3.15*(10.764)</f>
        <v>86.461829999999978</v>
      </c>
    </row>
    <row r="254" spans="1:12" s="3" customFormat="1" x14ac:dyDescent="0.3">
      <c r="A254" s="112" t="s">
        <v>298</v>
      </c>
      <c r="B254" s="113"/>
      <c r="C254" s="113"/>
      <c r="D254" s="113"/>
      <c r="E254" s="113"/>
      <c r="F254" s="113"/>
      <c r="G254" s="113"/>
      <c r="H254" s="113"/>
      <c r="I254" s="113"/>
      <c r="J254" s="114"/>
    </row>
    <row r="255" spans="1:12" s="3" customFormat="1" x14ac:dyDescent="0.3">
      <c r="A255" s="147">
        <v>1</v>
      </c>
      <c r="B255" s="148"/>
      <c r="C255" s="4" t="s">
        <v>180</v>
      </c>
      <c r="D255" s="149">
        <f>(44.32+1.7+3.48)*10.764</f>
        <v>532.81799999999998</v>
      </c>
      <c r="E255" s="150"/>
      <c r="F255" s="4">
        <v>0</v>
      </c>
      <c r="G255" s="4">
        <f>D255*1.45+F255</f>
        <v>772.58609999999999</v>
      </c>
      <c r="H255" s="4" t="s">
        <v>85</v>
      </c>
      <c r="I255" s="151" t="str">
        <f>A254</f>
        <v>1st to 7th Floor For Residential</v>
      </c>
      <c r="J255" s="152"/>
    </row>
    <row r="256" spans="1:12" s="3" customFormat="1" x14ac:dyDescent="0.3">
      <c r="A256" s="147">
        <v>2</v>
      </c>
      <c r="B256" s="148"/>
      <c r="C256" s="4" t="s">
        <v>178</v>
      </c>
      <c r="D256" s="149">
        <f>(28.99+6.75+5.18)*10.764</f>
        <v>440.46287999999993</v>
      </c>
      <c r="E256" s="150"/>
      <c r="F256" s="4">
        <v>0</v>
      </c>
      <c r="G256" s="4">
        <f t="shared" ref="G256:G258" si="9">D256*1.45+F256</f>
        <v>638.67117599999983</v>
      </c>
      <c r="H256" s="4" t="s">
        <v>85</v>
      </c>
      <c r="I256" s="153"/>
      <c r="J256" s="154"/>
    </row>
    <row r="257" spans="1:12" s="3" customFormat="1" x14ac:dyDescent="0.3">
      <c r="A257" s="147">
        <v>3</v>
      </c>
      <c r="B257" s="148"/>
      <c r="C257" s="4" t="s">
        <v>180</v>
      </c>
      <c r="D257" s="149">
        <f>(49.28+6.72)*10.764</f>
        <v>602.78399999999999</v>
      </c>
      <c r="E257" s="150"/>
      <c r="F257" s="4">
        <v>0</v>
      </c>
      <c r="G257" s="4">
        <f t="shared" si="9"/>
        <v>874.03679999999997</v>
      </c>
      <c r="H257" s="4" t="s">
        <v>85</v>
      </c>
      <c r="I257" s="153"/>
      <c r="J257" s="154"/>
    </row>
    <row r="258" spans="1:12" x14ac:dyDescent="0.3">
      <c r="A258" s="147">
        <v>4</v>
      </c>
      <c r="B258" s="148"/>
      <c r="C258" s="4" t="s">
        <v>180</v>
      </c>
      <c r="D258" s="149">
        <f>(49.28+6.72)*10.764</f>
        <v>602.78399999999999</v>
      </c>
      <c r="E258" s="150"/>
      <c r="F258" s="4">
        <v>0</v>
      </c>
      <c r="G258" s="4">
        <f t="shared" si="9"/>
        <v>874.03679999999997</v>
      </c>
      <c r="H258" s="4" t="s">
        <v>85</v>
      </c>
      <c r="I258" s="155"/>
      <c r="J258" s="156"/>
      <c r="K258" s="3"/>
      <c r="L258" s="3"/>
    </row>
    <row r="259" spans="1:12" s="3" customFormat="1" x14ac:dyDescent="0.3">
      <c r="A259" s="112" t="s">
        <v>303</v>
      </c>
      <c r="B259" s="113"/>
      <c r="C259" s="113"/>
      <c r="D259" s="113"/>
      <c r="E259" s="113"/>
      <c r="F259" s="113"/>
      <c r="G259" s="113"/>
      <c r="H259" s="113"/>
      <c r="I259" s="113"/>
      <c r="J259" s="114"/>
    </row>
    <row r="260" spans="1:12" s="3" customFormat="1" x14ac:dyDescent="0.3">
      <c r="A260" s="112" t="s">
        <v>305</v>
      </c>
      <c r="B260" s="113"/>
      <c r="C260" s="113"/>
      <c r="D260" s="113"/>
      <c r="E260" s="113"/>
      <c r="F260" s="113"/>
      <c r="G260" s="113"/>
      <c r="H260" s="113"/>
      <c r="I260" s="113"/>
      <c r="J260" s="114"/>
    </row>
    <row r="261" spans="1:12" s="3" customFormat="1" x14ac:dyDescent="0.3">
      <c r="A261" s="147">
        <v>1</v>
      </c>
      <c r="B261" s="148"/>
      <c r="C261" s="4" t="s">
        <v>180</v>
      </c>
      <c r="D261" s="149">
        <f>(48.63+4.98)*10.764</f>
        <v>577.05804000000001</v>
      </c>
      <c r="E261" s="150"/>
      <c r="F261" s="4">
        <v>0</v>
      </c>
      <c r="G261" s="4">
        <f>D261*1.45+F261</f>
        <v>836.73415799999998</v>
      </c>
      <c r="H261" s="4" t="s">
        <v>85</v>
      </c>
      <c r="I261" s="151" t="str">
        <f>A260</f>
        <v>Ground Floor For Residential &amp; Parking</v>
      </c>
      <c r="J261" s="152"/>
    </row>
    <row r="262" spans="1:12" s="3" customFormat="1" x14ac:dyDescent="0.3">
      <c r="A262" s="147">
        <v>2</v>
      </c>
      <c r="B262" s="148"/>
      <c r="C262" s="4" t="s">
        <v>180</v>
      </c>
      <c r="D262" s="149">
        <f>(44.78+1.74)*10.764</f>
        <v>500.74128000000002</v>
      </c>
      <c r="E262" s="150"/>
      <c r="F262" s="4">
        <v>0</v>
      </c>
      <c r="G262" s="4">
        <f t="shared" ref="G262:G263" si="10">D262*1.45+F262</f>
        <v>726.07485599999995</v>
      </c>
      <c r="H262" s="4" t="s">
        <v>85</v>
      </c>
      <c r="I262" s="153"/>
      <c r="J262" s="154"/>
    </row>
    <row r="263" spans="1:12" s="3" customFormat="1" x14ac:dyDescent="0.3">
      <c r="A263" s="147">
        <v>3</v>
      </c>
      <c r="B263" s="148"/>
      <c r="C263" s="4" t="s">
        <v>306</v>
      </c>
      <c r="D263" s="149">
        <f>(23.07+1.74)*10.764</f>
        <v>267.05483999999996</v>
      </c>
      <c r="E263" s="150"/>
      <c r="F263" s="4">
        <v>0</v>
      </c>
      <c r="G263" s="4">
        <f t="shared" si="10"/>
        <v>387.22951799999993</v>
      </c>
      <c r="H263" s="4" t="s">
        <v>85</v>
      </c>
      <c r="I263" s="153"/>
      <c r="J263" s="154"/>
    </row>
    <row r="264" spans="1:12" s="3" customFormat="1" x14ac:dyDescent="0.3">
      <c r="A264" s="112" t="s">
        <v>298</v>
      </c>
      <c r="B264" s="113"/>
      <c r="C264" s="113"/>
      <c r="D264" s="113"/>
      <c r="E264" s="113"/>
      <c r="F264" s="113"/>
      <c r="G264" s="113"/>
      <c r="H264" s="113"/>
      <c r="I264" s="113"/>
      <c r="J264" s="114"/>
    </row>
    <row r="265" spans="1:12" s="3" customFormat="1" x14ac:dyDescent="0.3">
      <c r="A265" s="147">
        <v>1</v>
      </c>
      <c r="B265" s="148"/>
      <c r="C265" s="4" t="s">
        <v>180</v>
      </c>
      <c r="D265" s="149">
        <f>(49.28+6.72)*10.764</f>
        <v>602.78399999999999</v>
      </c>
      <c r="E265" s="150"/>
      <c r="F265" s="4">
        <v>0</v>
      </c>
      <c r="G265" s="4">
        <f>D265*1.45+F265</f>
        <v>874.03679999999997</v>
      </c>
      <c r="H265" s="4" t="s">
        <v>85</v>
      </c>
      <c r="I265" s="151" t="str">
        <f>A264</f>
        <v>1st to 7th Floor For Residential</v>
      </c>
      <c r="J265" s="152"/>
    </row>
    <row r="266" spans="1:12" s="3" customFormat="1" x14ac:dyDescent="0.3">
      <c r="A266" s="147">
        <v>2</v>
      </c>
      <c r="B266" s="148"/>
      <c r="C266" s="4" t="s">
        <v>180</v>
      </c>
      <c r="D266" s="149">
        <f>(49.28+6.72)*10.764</f>
        <v>602.78399999999999</v>
      </c>
      <c r="E266" s="150"/>
      <c r="F266" s="4">
        <v>0</v>
      </c>
      <c r="G266" s="4">
        <f t="shared" ref="G266:G268" si="11">D266*1.45+F266</f>
        <v>874.03679999999997</v>
      </c>
      <c r="H266" s="4" t="s">
        <v>85</v>
      </c>
      <c r="I266" s="153"/>
      <c r="J266" s="154"/>
    </row>
    <row r="267" spans="1:12" s="3" customFormat="1" x14ac:dyDescent="0.3">
      <c r="A267" s="147">
        <v>3</v>
      </c>
      <c r="B267" s="148"/>
      <c r="C267" s="4" t="s">
        <v>180</v>
      </c>
      <c r="D267" s="149">
        <f>(45.23+4.16+1.74)*10.764</f>
        <v>550.36332000000004</v>
      </c>
      <c r="E267" s="150"/>
      <c r="F267" s="4">
        <v>0</v>
      </c>
      <c r="G267" s="4">
        <f>D267*1.45+F267</f>
        <v>798.02681400000006</v>
      </c>
      <c r="H267" s="4" t="s">
        <v>85</v>
      </c>
      <c r="I267" s="153"/>
      <c r="J267" s="154"/>
    </row>
    <row r="268" spans="1:12" s="3" customFormat="1" x14ac:dyDescent="0.3">
      <c r="A268" s="147">
        <v>4</v>
      </c>
      <c r="B268" s="148"/>
      <c r="C268" s="4" t="s">
        <v>178</v>
      </c>
      <c r="D268" s="149">
        <f>(29.57+6.75+5.18)*10.764</f>
        <v>446.70599999999996</v>
      </c>
      <c r="E268" s="150"/>
      <c r="F268" s="4">
        <v>0</v>
      </c>
      <c r="G268" s="4">
        <f t="shared" si="11"/>
        <v>647.72369999999989</v>
      </c>
      <c r="H268" s="4" t="s">
        <v>85</v>
      </c>
      <c r="I268" s="153"/>
      <c r="J268" s="154"/>
    </row>
    <row r="269" spans="1:12" s="3" customFormat="1" x14ac:dyDescent="0.3">
      <c r="A269" s="147">
        <v>5</v>
      </c>
      <c r="B269" s="148"/>
      <c r="C269" s="4" t="s">
        <v>178</v>
      </c>
      <c r="D269" s="149">
        <f>(29.68+4.93)*10.764</f>
        <v>372.54203999999999</v>
      </c>
      <c r="E269" s="150"/>
      <c r="F269" s="4">
        <v>0</v>
      </c>
      <c r="G269" s="4">
        <f t="shared" ref="G269:G270" si="12">D269*1.45+F269</f>
        <v>540.18595799999991</v>
      </c>
      <c r="H269" s="4" t="s">
        <v>85</v>
      </c>
      <c r="I269" s="153"/>
      <c r="J269" s="154"/>
    </row>
    <row r="270" spans="1:12" s="3" customFormat="1" x14ac:dyDescent="0.3">
      <c r="A270" s="147">
        <v>6</v>
      </c>
      <c r="B270" s="148"/>
      <c r="C270" s="4" t="s">
        <v>178</v>
      </c>
      <c r="D270" s="149">
        <f>(29.91+5.22+5.18)*10.764</f>
        <v>433.89684</v>
      </c>
      <c r="E270" s="150"/>
      <c r="F270" s="4">
        <v>0</v>
      </c>
      <c r="G270" s="4">
        <f t="shared" si="12"/>
        <v>629.15041799999995</v>
      </c>
      <c r="H270" s="4" t="s">
        <v>85</v>
      </c>
      <c r="I270" s="155"/>
      <c r="J270" s="156"/>
    </row>
    <row r="271" spans="1:12" s="3" customFormat="1" x14ac:dyDescent="0.3">
      <c r="A271" s="112"/>
      <c r="B271" s="113"/>
      <c r="C271" s="113"/>
      <c r="D271" s="113"/>
      <c r="E271" s="113"/>
      <c r="F271" s="113"/>
      <c r="G271" s="113"/>
      <c r="H271" s="113"/>
      <c r="I271" s="113"/>
      <c r="J271" s="114"/>
    </row>
    <row r="272" spans="1:12" s="3" customFormat="1" x14ac:dyDescent="0.3">
      <c r="A272" s="289" t="s">
        <v>95</v>
      </c>
      <c r="B272" s="289"/>
      <c r="C272" s="289"/>
      <c r="D272" s="289"/>
      <c r="E272" s="289"/>
      <c r="F272" s="289"/>
      <c r="G272" s="289"/>
      <c r="H272" s="289"/>
      <c r="I272" s="289"/>
      <c r="J272" s="289"/>
    </row>
    <row r="273" spans="1:12" s="3" customFormat="1" ht="160.5" customHeight="1" x14ac:dyDescent="0.3">
      <c r="A273" s="290" t="s">
        <v>327</v>
      </c>
      <c r="B273" s="290"/>
      <c r="C273" s="290"/>
      <c r="D273" s="290"/>
      <c r="E273" s="290"/>
      <c r="F273" s="290"/>
      <c r="G273" s="290"/>
      <c r="H273" s="290"/>
      <c r="I273" s="290"/>
      <c r="J273" s="290"/>
    </row>
    <row r="274" spans="1:12" s="3" customFormat="1" x14ac:dyDescent="0.3">
      <c r="A274" s="286" t="s">
        <v>86</v>
      </c>
      <c r="B274" s="287"/>
      <c r="C274" s="287"/>
      <c r="D274" s="287"/>
      <c r="E274" s="287"/>
      <c r="F274" s="287"/>
      <c r="G274" s="287"/>
      <c r="H274" s="287"/>
      <c r="I274" s="287"/>
      <c r="J274" s="288"/>
    </row>
    <row r="275" spans="1:12" s="3" customFormat="1" x14ac:dyDescent="0.3">
      <c r="A275" s="201" t="s">
        <v>87</v>
      </c>
      <c r="B275" s="198"/>
      <c r="C275" s="198"/>
      <c r="D275" s="198"/>
      <c r="E275" s="198"/>
      <c r="F275" s="198"/>
      <c r="G275" s="198"/>
      <c r="H275" s="198"/>
      <c r="I275" s="198"/>
      <c r="J275" s="199"/>
    </row>
    <row r="276" spans="1:12" s="3" customFormat="1" x14ac:dyDescent="0.3">
      <c r="A276" s="286" t="s">
        <v>88</v>
      </c>
      <c r="B276" s="287"/>
      <c r="C276" s="287"/>
      <c r="D276" s="287"/>
      <c r="E276" s="287"/>
      <c r="F276" s="287"/>
      <c r="G276" s="287"/>
      <c r="H276" s="287"/>
      <c r="I276" s="287"/>
      <c r="J276" s="288"/>
    </row>
    <row r="277" spans="1:12" s="3" customFormat="1" x14ac:dyDescent="0.3">
      <c r="A277" s="201" t="s">
        <v>89</v>
      </c>
      <c r="B277" s="198"/>
      <c r="C277" s="198"/>
      <c r="D277" s="198"/>
      <c r="E277" s="198"/>
      <c r="F277" s="198"/>
      <c r="G277" s="198"/>
      <c r="H277" s="198"/>
      <c r="I277" s="198"/>
      <c r="J277" s="199"/>
    </row>
    <row r="278" spans="1:12" s="3" customFormat="1" x14ac:dyDescent="0.3">
      <c r="A278" s="201" t="s">
        <v>90</v>
      </c>
      <c r="B278" s="198"/>
      <c r="C278" s="198"/>
      <c r="D278" s="198"/>
      <c r="E278" s="198"/>
      <c r="F278" s="198"/>
      <c r="G278" s="198"/>
      <c r="H278" s="198"/>
      <c r="I278" s="198"/>
      <c r="J278" s="199"/>
    </row>
    <row r="279" spans="1:12" s="3" customFormat="1" x14ac:dyDescent="0.3">
      <c r="A279" s="201" t="s">
        <v>91</v>
      </c>
      <c r="B279" s="198"/>
      <c r="C279" s="198"/>
      <c r="D279" s="198"/>
      <c r="E279" s="198"/>
      <c r="F279" s="198"/>
      <c r="G279" s="198"/>
      <c r="H279" s="198"/>
      <c r="I279" s="198"/>
      <c r="J279" s="199"/>
    </row>
    <row r="280" spans="1:12" s="3" customFormat="1" x14ac:dyDescent="0.3">
      <c r="A280" s="190" t="s">
        <v>92</v>
      </c>
      <c r="B280" s="236"/>
      <c r="C280" s="236"/>
      <c r="D280" s="236"/>
      <c r="E280" s="236"/>
      <c r="F280" s="236"/>
      <c r="G280" s="236"/>
      <c r="H280" s="236"/>
      <c r="I280" s="236"/>
      <c r="J280" s="191"/>
    </row>
    <row r="281" spans="1:12" s="3" customFormat="1" x14ac:dyDescent="0.3">
      <c r="A281" s="247" t="s">
        <v>168</v>
      </c>
      <c r="B281" s="247"/>
      <c r="C281" s="247" t="s">
        <v>329</v>
      </c>
      <c r="D281" s="247"/>
      <c r="E281" s="247" t="s">
        <v>169</v>
      </c>
      <c r="F281" s="247"/>
      <c r="G281" s="247"/>
      <c r="H281" s="247" t="s">
        <v>328</v>
      </c>
      <c r="I281" s="247"/>
      <c r="J281" s="247"/>
    </row>
    <row r="282" spans="1:12" s="3" customFormat="1" x14ac:dyDescent="0.3">
      <c r="A282" s="238" t="s">
        <v>171</v>
      </c>
      <c r="B282" s="239"/>
      <c r="C282" s="239"/>
      <c r="D282" s="239"/>
      <c r="E282" s="239"/>
      <c r="F282" s="239"/>
      <c r="G282" s="239"/>
      <c r="H282" s="239"/>
      <c r="I282" s="239"/>
      <c r="J282" s="240"/>
    </row>
    <row r="283" spans="1:12" s="3" customFormat="1" x14ac:dyDescent="0.3">
      <c r="A283" s="241"/>
      <c r="B283" s="242"/>
      <c r="C283" s="242"/>
      <c r="D283" s="242"/>
      <c r="E283" s="242"/>
      <c r="F283" s="242"/>
      <c r="G283" s="242"/>
      <c r="H283" s="242"/>
      <c r="I283" s="242"/>
      <c r="J283" s="243"/>
    </row>
    <row r="284" spans="1:12" s="3" customFormat="1" x14ac:dyDescent="0.3">
      <c r="A284" s="241"/>
      <c r="B284" s="242"/>
      <c r="C284" s="242"/>
      <c r="D284" s="242"/>
      <c r="E284" s="242"/>
      <c r="F284" s="242"/>
      <c r="G284" s="242"/>
      <c r="H284" s="242"/>
      <c r="I284" s="242"/>
      <c r="J284" s="243"/>
    </row>
    <row r="285" spans="1:12" s="3" customFormat="1" x14ac:dyDescent="0.3">
      <c r="A285" s="244"/>
      <c r="B285" s="245"/>
      <c r="C285" s="245"/>
      <c r="D285" s="245"/>
      <c r="E285" s="245"/>
      <c r="F285" s="245"/>
      <c r="G285" s="245"/>
      <c r="H285" s="245"/>
      <c r="I285" s="245"/>
      <c r="J285" s="246"/>
    </row>
    <row r="286" spans="1:12" s="3" customFormat="1" x14ac:dyDescent="0.3">
      <c r="A286" s="17" t="s">
        <v>93</v>
      </c>
      <c r="B286" s="18"/>
      <c r="C286" s="18"/>
      <c r="D286" s="17" t="str">
        <f>F8</f>
        <v>Vrindavan Complex Phase II &amp; III</v>
      </c>
      <c r="E286" s="12"/>
      <c r="F286" s="12"/>
      <c r="G286" s="18"/>
      <c r="H286" s="36"/>
      <c r="I286" s="36"/>
      <c r="J286" s="36"/>
      <c r="K286" s="12"/>
      <c r="L286" s="12"/>
    </row>
    <row r="287" spans="1:12" s="3" customFormat="1" x14ac:dyDescent="0.3">
      <c r="A287" s="36"/>
      <c r="B287" s="36"/>
      <c r="C287" s="36"/>
      <c r="D287" s="36"/>
      <c r="E287" s="36"/>
      <c r="F287" s="36"/>
      <c r="G287" s="36"/>
      <c r="H287" s="36"/>
      <c r="I287" s="36"/>
      <c r="J287" s="36"/>
    </row>
    <row r="288" spans="1:12" s="3" customFormat="1" x14ac:dyDescent="0.3">
      <c r="A288" s="36"/>
      <c r="B288" s="36"/>
      <c r="C288" s="36"/>
      <c r="D288" s="36"/>
      <c r="E288" s="36"/>
      <c r="F288" s="36"/>
      <c r="G288" s="36"/>
      <c r="H288" s="36"/>
      <c r="I288" s="36"/>
      <c r="J288" s="36"/>
    </row>
    <row r="289" spans="1:10" s="3" customFormat="1" x14ac:dyDescent="0.3">
      <c r="A289" s="36"/>
      <c r="B289" s="36"/>
      <c r="C289" s="36"/>
      <c r="D289" s="36"/>
      <c r="E289" s="36"/>
      <c r="F289" s="36"/>
      <c r="G289" s="36"/>
      <c r="H289" s="36"/>
      <c r="I289" s="36"/>
      <c r="J289" s="36"/>
    </row>
    <row r="290" spans="1:10" s="3" customFormat="1" x14ac:dyDescent="0.3">
      <c r="A290" s="36"/>
      <c r="B290" s="36"/>
      <c r="C290" s="36"/>
      <c r="D290" s="36"/>
      <c r="E290" s="36"/>
      <c r="F290" s="36"/>
      <c r="G290" s="36"/>
      <c r="H290" s="36"/>
      <c r="I290" s="36"/>
      <c r="J290" s="36"/>
    </row>
    <row r="291" spans="1:10" s="3" customFormat="1" x14ac:dyDescent="0.3">
      <c r="A291" s="36"/>
      <c r="B291" s="36"/>
      <c r="C291" s="36"/>
      <c r="D291" s="36"/>
      <c r="E291" s="36"/>
      <c r="F291" s="36"/>
      <c r="G291" s="36"/>
      <c r="H291" s="36"/>
      <c r="I291" s="36"/>
      <c r="J291" s="36"/>
    </row>
    <row r="292" spans="1:10" s="3" customFormat="1" x14ac:dyDescent="0.3">
      <c r="A292" s="36"/>
      <c r="B292" s="36"/>
      <c r="C292" s="36"/>
      <c r="D292" s="36"/>
      <c r="E292" s="36"/>
      <c r="F292" s="36"/>
      <c r="G292" s="36"/>
      <c r="H292" s="36"/>
      <c r="I292" s="36"/>
      <c r="J292" s="36"/>
    </row>
    <row r="293" spans="1:10" s="3" customFormat="1" x14ac:dyDescent="0.3">
      <c r="A293" s="38"/>
      <c r="B293" s="38"/>
      <c r="C293" s="38"/>
      <c r="D293" s="38"/>
      <c r="E293" s="38"/>
      <c r="F293" s="38"/>
      <c r="G293" s="38"/>
      <c r="H293" s="38"/>
      <c r="I293" s="38"/>
      <c r="J293" s="38"/>
    </row>
    <row r="294" spans="1:10" s="3" customFormat="1" x14ac:dyDescent="0.3">
      <c r="A294" s="12"/>
      <c r="B294" s="12"/>
      <c r="C294" s="12"/>
      <c r="D294" s="12"/>
      <c r="E294" s="12"/>
      <c r="F294" s="12"/>
      <c r="G294" s="12"/>
      <c r="H294" s="18"/>
      <c r="I294" s="18"/>
      <c r="J294" s="18"/>
    </row>
    <row r="295" spans="1:10" s="3" customFormat="1" x14ac:dyDescent="0.3">
      <c r="A295" s="189"/>
      <c r="B295" s="189"/>
      <c r="C295" s="38"/>
      <c r="D295" s="189"/>
      <c r="E295" s="189"/>
      <c r="F295" s="38"/>
      <c r="G295" s="38"/>
      <c r="H295" s="38"/>
      <c r="I295" s="189"/>
      <c r="J295" s="189"/>
    </row>
    <row r="296" spans="1:10" s="3" customFormat="1" x14ac:dyDescent="0.3">
      <c r="A296" s="189"/>
      <c r="B296" s="189"/>
      <c r="C296" s="38"/>
      <c r="D296" s="189"/>
      <c r="E296" s="189"/>
      <c r="F296" s="38"/>
      <c r="G296" s="38"/>
      <c r="H296" s="38"/>
      <c r="I296" s="189"/>
      <c r="J296" s="189"/>
    </row>
    <row r="297" spans="1:10" s="3" customFormat="1" x14ac:dyDescent="0.3">
      <c r="A297" s="189"/>
      <c r="B297" s="189"/>
      <c r="C297" s="38"/>
      <c r="D297" s="189"/>
      <c r="E297" s="189"/>
      <c r="F297" s="38"/>
      <c r="G297" s="38"/>
      <c r="H297" s="38"/>
      <c r="I297" s="189"/>
      <c r="J297" s="189"/>
    </row>
    <row r="298" spans="1:10" s="3" customFormat="1" x14ac:dyDescent="0.3">
      <c r="A298" s="189"/>
      <c r="B298" s="189"/>
      <c r="C298" s="38"/>
      <c r="D298" s="189"/>
      <c r="E298" s="189"/>
      <c r="F298" s="38"/>
      <c r="G298" s="38"/>
      <c r="H298" s="38"/>
      <c r="I298" s="189"/>
      <c r="J298" s="189"/>
    </row>
    <row r="299" spans="1:10" s="3" customFormat="1" x14ac:dyDescent="0.3">
      <c r="A299" s="189"/>
      <c r="B299" s="189"/>
      <c r="C299" s="38"/>
      <c r="D299" s="189"/>
      <c r="E299" s="189"/>
      <c r="F299" s="38"/>
      <c r="G299" s="38"/>
      <c r="H299" s="38"/>
      <c r="I299" s="189"/>
      <c r="J299" s="189"/>
    </row>
    <row r="300" spans="1:10" s="3" customFormat="1" x14ac:dyDescent="0.3">
      <c r="A300" s="189"/>
      <c r="B300" s="189"/>
      <c r="C300" s="38"/>
      <c r="D300" s="189"/>
      <c r="E300" s="189"/>
      <c r="F300" s="38"/>
      <c r="G300" s="38"/>
      <c r="H300" s="38"/>
      <c r="I300" s="189"/>
      <c r="J300" s="189"/>
    </row>
    <row r="301" spans="1:10" s="3" customFormat="1" x14ac:dyDescent="0.3">
      <c r="A301" s="189"/>
      <c r="B301" s="189"/>
      <c r="C301" s="38"/>
      <c r="D301" s="189"/>
      <c r="E301" s="189"/>
      <c r="F301" s="38"/>
      <c r="G301" s="38"/>
      <c r="H301" s="38"/>
      <c r="I301" s="189"/>
      <c r="J301" s="189"/>
    </row>
    <row r="302" spans="1:10" s="3" customFormat="1" x14ac:dyDescent="0.3">
      <c r="A302" s="189"/>
      <c r="B302" s="189"/>
      <c r="C302" s="38"/>
      <c r="D302" s="189"/>
      <c r="E302" s="189"/>
      <c r="F302" s="38"/>
      <c r="G302" s="38"/>
      <c r="H302" s="38"/>
      <c r="I302" s="189"/>
      <c r="J302" s="189"/>
    </row>
    <row r="303" spans="1:10" s="3" customFormat="1" x14ac:dyDescent="0.3">
      <c r="A303" s="189"/>
      <c r="B303" s="189"/>
      <c r="C303" s="38"/>
      <c r="D303" s="189"/>
      <c r="E303" s="189"/>
      <c r="F303" s="38"/>
      <c r="G303" s="38"/>
      <c r="H303" s="38"/>
      <c r="I303" s="189"/>
      <c r="J303" s="189"/>
    </row>
    <row r="304" spans="1:10" s="3" customFormat="1" x14ac:dyDescent="0.3">
      <c r="A304" s="189"/>
      <c r="B304" s="189"/>
      <c r="C304" s="38"/>
      <c r="D304" s="189"/>
      <c r="E304" s="189"/>
      <c r="F304" s="189"/>
      <c r="G304" s="38"/>
      <c r="H304" s="38"/>
      <c r="I304" s="189"/>
      <c r="J304" s="189"/>
    </row>
    <row r="305" spans="1:12" s="3" customFormat="1" x14ac:dyDescent="0.3">
      <c r="A305" s="189"/>
      <c r="B305" s="189"/>
      <c r="C305" s="38"/>
      <c r="D305" s="189"/>
      <c r="E305" s="189"/>
      <c r="F305" s="38"/>
      <c r="G305" s="38"/>
      <c r="H305" s="38"/>
      <c r="I305" s="189"/>
      <c r="J305" s="189"/>
    </row>
    <row r="306" spans="1:12" s="3" customFormat="1" x14ac:dyDescent="0.3">
      <c r="A306" s="189"/>
      <c r="B306" s="189"/>
      <c r="C306" s="38"/>
      <c r="D306" s="189"/>
      <c r="E306" s="189"/>
      <c r="F306" s="38"/>
      <c r="G306" s="38"/>
      <c r="H306" s="38"/>
      <c r="I306" s="189"/>
      <c r="J306" s="189"/>
    </row>
    <row r="307" spans="1:12" s="3" customFormat="1" x14ac:dyDescent="0.3">
      <c r="A307" s="189"/>
      <c r="B307" s="189"/>
      <c r="C307" s="38"/>
      <c r="D307" s="189"/>
      <c r="E307" s="189"/>
      <c r="F307" s="38"/>
      <c r="G307" s="38"/>
      <c r="H307" s="38"/>
      <c r="I307" s="189"/>
      <c r="J307" s="189"/>
    </row>
    <row r="308" spans="1:12" s="3" customFormat="1" x14ac:dyDescent="0.3">
      <c r="A308" s="189"/>
      <c r="B308" s="189"/>
      <c r="C308" s="38"/>
      <c r="D308" s="189"/>
      <c r="E308" s="189"/>
      <c r="F308" s="38"/>
      <c r="G308" s="38"/>
      <c r="H308" s="38"/>
      <c r="I308" s="189"/>
      <c r="J308" s="189"/>
    </row>
    <row r="309" spans="1:12" s="3" customFormat="1" x14ac:dyDescent="0.3">
      <c r="A309" s="189"/>
      <c r="B309" s="189"/>
      <c r="C309" s="38"/>
      <c r="D309" s="189"/>
      <c r="E309" s="189"/>
      <c r="F309" s="38"/>
      <c r="G309" s="38"/>
      <c r="H309" s="38"/>
      <c r="I309" s="189"/>
      <c r="J309" s="189"/>
    </row>
    <row r="310" spans="1:12" ht="15" customHeight="1" x14ac:dyDescent="0.3">
      <c r="A310" s="189"/>
      <c r="B310" s="189"/>
      <c r="C310" s="38"/>
      <c r="D310" s="189"/>
      <c r="E310" s="189"/>
      <c r="F310" s="38"/>
      <c r="G310" s="38"/>
      <c r="H310" s="38"/>
      <c r="I310" s="189"/>
      <c r="J310" s="189"/>
      <c r="K310" s="3"/>
      <c r="L310" s="3"/>
    </row>
    <row r="311" spans="1:12" ht="15" customHeight="1" x14ac:dyDescent="0.3">
      <c r="A311" s="189"/>
      <c r="B311" s="189"/>
      <c r="C311" s="38"/>
      <c r="D311" s="189"/>
      <c r="E311" s="189"/>
      <c r="F311" s="38"/>
      <c r="G311" s="38"/>
      <c r="H311" s="38"/>
      <c r="I311" s="189"/>
      <c r="J311" s="189"/>
      <c r="K311" s="3"/>
      <c r="L311" s="3"/>
    </row>
    <row r="312" spans="1:12" x14ac:dyDescent="0.3">
      <c r="A312" s="189"/>
      <c r="B312" s="189"/>
      <c r="C312" s="38"/>
      <c r="D312" s="189"/>
      <c r="E312" s="189"/>
      <c r="F312" s="38"/>
      <c r="G312" s="38"/>
      <c r="H312" s="38"/>
      <c r="I312" s="189"/>
      <c r="J312" s="189"/>
      <c r="K312" s="3"/>
      <c r="L312" s="3"/>
    </row>
    <row r="313" spans="1:12" x14ac:dyDescent="0.3">
      <c r="A313" s="189"/>
      <c r="B313" s="189"/>
      <c r="C313" s="38"/>
      <c r="D313" s="189"/>
      <c r="E313" s="189"/>
      <c r="F313" s="38"/>
      <c r="G313" s="38"/>
      <c r="H313" s="38"/>
      <c r="I313" s="189"/>
      <c r="J313" s="189"/>
      <c r="K313" s="3"/>
      <c r="L313" s="3"/>
    </row>
    <row r="314" spans="1:12" ht="15" customHeight="1" x14ac:dyDescent="0.3">
      <c r="A314" s="189"/>
      <c r="B314" s="189"/>
      <c r="C314" s="38"/>
      <c r="D314" s="189"/>
      <c r="E314" s="189"/>
      <c r="F314" s="189"/>
      <c r="G314" s="189"/>
      <c r="H314" s="38"/>
      <c r="I314" s="189"/>
      <c r="J314" s="189"/>
      <c r="K314" s="3"/>
      <c r="L314" s="3"/>
    </row>
    <row r="315" spans="1:12" x14ac:dyDescent="0.3">
      <c r="A315" s="189"/>
      <c r="B315" s="189"/>
      <c r="C315" s="38"/>
      <c r="D315" s="189"/>
      <c r="E315" s="189"/>
      <c r="F315" s="38"/>
      <c r="G315" s="38"/>
      <c r="H315" s="38"/>
      <c r="I315" s="189"/>
      <c r="J315" s="189"/>
      <c r="K315" s="3"/>
      <c r="L315" s="3"/>
    </row>
    <row r="316" spans="1:12" x14ac:dyDescent="0.3">
      <c r="A316" s="189"/>
      <c r="B316" s="189"/>
      <c r="C316" s="38"/>
      <c r="D316" s="189"/>
      <c r="E316" s="189"/>
      <c r="F316" s="38"/>
      <c r="G316" s="38"/>
      <c r="H316" s="38"/>
      <c r="I316" s="189"/>
      <c r="J316" s="189"/>
      <c r="K316" s="3"/>
      <c r="L316" s="3"/>
    </row>
    <row r="317" spans="1:12" x14ac:dyDescent="0.3">
      <c r="A317" s="189"/>
      <c r="B317" s="189"/>
      <c r="C317" s="38"/>
      <c r="D317" s="189"/>
      <c r="E317" s="189"/>
      <c r="F317" s="38"/>
      <c r="G317" s="38"/>
      <c r="H317" s="38"/>
      <c r="I317" s="189"/>
      <c r="J317" s="189"/>
      <c r="K317" s="3"/>
      <c r="L317" s="3"/>
    </row>
    <row r="318" spans="1:12" x14ac:dyDescent="0.3">
      <c r="A318" s="189"/>
      <c r="B318" s="189"/>
      <c r="C318" s="38"/>
      <c r="D318" s="189"/>
      <c r="E318" s="189"/>
      <c r="F318" s="38"/>
      <c r="G318" s="38"/>
      <c r="H318" s="38"/>
      <c r="I318" s="189"/>
      <c r="J318" s="189"/>
      <c r="K318" s="3"/>
      <c r="L318" s="3"/>
    </row>
    <row r="319" spans="1:12" x14ac:dyDescent="0.3">
      <c r="A319" s="189"/>
      <c r="B319" s="189"/>
      <c r="C319" s="38"/>
      <c r="D319" s="189"/>
      <c r="E319" s="189"/>
      <c r="F319" s="38"/>
      <c r="G319" s="38"/>
      <c r="H319" s="38"/>
      <c r="I319" s="189"/>
      <c r="J319" s="189"/>
      <c r="K319" s="3"/>
      <c r="L319" s="3"/>
    </row>
    <row r="320" spans="1:12" x14ac:dyDescent="0.3">
      <c r="A320" s="189"/>
      <c r="B320" s="189"/>
      <c r="C320" s="38"/>
      <c r="D320" s="189"/>
      <c r="E320" s="189"/>
      <c r="F320" s="38"/>
      <c r="G320" s="38"/>
      <c r="H320" s="38"/>
      <c r="I320" s="189"/>
      <c r="J320" s="189"/>
      <c r="K320" s="3"/>
      <c r="L320" s="3"/>
    </row>
    <row r="321" spans="1:12" x14ac:dyDescent="0.3">
      <c r="A321" s="189"/>
      <c r="B321" s="189"/>
      <c r="C321" s="38"/>
      <c r="D321" s="189"/>
      <c r="E321" s="189"/>
      <c r="F321" s="38"/>
      <c r="G321" s="38"/>
      <c r="H321" s="38"/>
      <c r="I321" s="189"/>
      <c r="J321" s="189"/>
      <c r="K321" s="3"/>
      <c r="L321" s="3"/>
    </row>
    <row r="322" spans="1:12" x14ac:dyDescent="0.3">
      <c r="A322" s="189"/>
      <c r="B322" s="189"/>
      <c r="C322" s="38"/>
      <c r="D322" s="189"/>
      <c r="E322" s="189"/>
      <c r="F322" s="38"/>
      <c r="G322" s="38"/>
      <c r="H322" s="38"/>
      <c r="I322" s="189"/>
      <c r="J322" s="189"/>
      <c r="K322" s="3"/>
      <c r="L322" s="3"/>
    </row>
    <row r="323" spans="1:12" x14ac:dyDescent="0.3">
      <c r="A323" s="189"/>
      <c r="B323" s="189"/>
      <c r="C323" s="38"/>
      <c r="D323" s="189"/>
      <c r="E323" s="189"/>
      <c r="F323" s="38"/>
      <c r="G323" s="38"/>
      <c r="H323" s="38"/>
      <c r="I323" s="189"/>
      <c r="J323" s="189"/>
      <c r="K323" s="3"/>
      <c r="L323" s="3"/>
    </row>
    <row r="324" spans="1:12" x14ac:dyDescent="0.3">
      <c r="A324" s="189"/>
      <c r="B324" s="189"/>
      <c r="C324" s="38"/>
      <c r="D324" s="189"/>
      <c r="E324" s="189"/>
      <c r="F324" s="38"/>
      <c r="G324" s="38"/>
      <c r="H324" s="38"/>
      <c r="I324" s="189"/>
      <c r="J324" s="189"/>
      <c r="K324" s="3"/>
      <c r="L324" s="3"/>
    </row>
    <row r="325" spans="1:12" x14ac:dyDescent="0.3">
      <c r="A325" s="39"/>
      <c r="B325" s="189"/>
      <c r="C325" s="189"/>
      <c r="D325" s="189"/>
      <c r="E325" s="189"/>
      <c r="F325" s="38"/>
      <c r="G325" s="189"/>
      <c r="H325" s="189"/>
      <c r="I325" s="189"/>
      <c r="J325" s="189"/>
      <c r="K325" s="3"/>
      <c r="L325" s="3"/>
    </row>
    <row r="326" spans="1:12" x14ac:dyDescent="0.3">
      <c r="A326" s="189"/>
      <c r="B326" s="189"/>
      <c r="C326" s="38"/>
      <c r="D326" s="189"/>
      <c r="E326" s="189"/>
      <c r="F326" s="38"/>
      <c r="G326" s="38"/>
      <c r="H326" s="38"/>
      <c r="I326" s="189"/>
      <c r="J326" s="189"/>
      <c r="K326" s="3"/>
      <c r="L326" s="3"/>
    </row>
    <row r="327" spans="1:12" x14ac:dyDescent="0.3">
      <c r="A327" s="189"/>
      <c r="B327" s="189"/>
      <c r="C327" s="38"/>
      <c r="D327" s="189"/>
      <c r="E327" s="189"/>
      <c r="F327" s="38"/>
      <c r="G327" s="38"/>
      <c r="H327" s="38"/>
      <c r="I327" s="189"/>
      <c r="J327" s="189"/>
      <c r="K327" s="3"/>
      <c r="L327" s="3"/>
    </row>
    <row r="328" spans="1:12" x14ac:dyDescent="0.3">
      <c r="A328" s="38"/>
      <c r="B328" s="38"/>
      <c r="C328" s="38"/>
      <c r="D328" s="38"/>
      <c r="E328" s="38"/>
      <c r="F328" s="38"/>
      <c r="G328" s="38"/>
      <c r="H328" s="38"/>
      <c r="I328" s="38"/>
      <c r="J328" s="38"/>
      <c r="K328" s="3"/>
      <c r="L328" s="3"/>
    </row>
    <row r="329" spans="1:12" x14ac:dyDescent="0.3">
      <c r="A329" s="19" t="s">
        <v>272</v>
      </c>
      <c r="C329" s="38"/>
      <c r="D329" s="38"/>
      <c r="E329" s="38"/>
      <c r="F329" s="38"/>
      <c r="G329" s="38"/>
      <c r="H329" s="38"/>
      <c r="I329" s="38"/>
      <c r="J329" s="38"/>
      <c r="K329" s="3"/>
      <c r="L329" s="3"/>
    </row>
    <row r="330" spans="1:12" x14ac:dyDescent="0.3">
      <c r="A330" s="38"/>
      <c r="B330" s="38"/>
      <c r="C330" s="38"/>
      <c r="D330" s="38"/>
      <c r="E330" s="38"/>
      <c r="F330" s="38"/>
      <c r="G330" s="38"/>
      <c r="H330" s="38"/>
      <c r="I330" s="38"/>
      <c r="J330" s="38"/>
      <c r="K330" s="3"/>
      <c r="L330" s="3"/>
    </row>
    <row r="331" spans="1:12" x14ac:dyDescent="0.3">
      <c r="A331" s="38"/>
      <c r="B331" s="38"/>
      <c r="C331" s="38"/>
      <c r="D331" s="38"/>
      <c r="E331" s="38"/>
      <c r="F331" s="38"/>
      <c r="G331" s="38"/>
      <c r="H331" s="38"/>
      <c r="I331" s="38"/>
      <c r="J331" s="38"/>
      <c r="K331" s="3"/>
      <c r="L331" s="3"/>
    </row>
    <row r="332" spans="1:12" x14ac:dyDescent="0.3">
      <c r="A332" s="38"/>
      <c r="B332" s="38"/>
      <c r="C332" s="38"/>
      <c r="D332" s="38"/>
      <c r="E332" s="38"/>
      <c r="F332" s="38"/>
      <c r="G332" s="38"/>
      <c r="H332" s="38"/>
      <c r="I332" s="38"/>
      <c r="J332" s="38"/>
      <c r="K332" s="3"/>
      <c r="L332" s="3"/>
    </row>
    <row r="333" spans="1:12" x14ac:dyDescent="0.3">
      <c r="A333" s="38"/>
      <c r="B333" s="38"/>
      <c r="C333" s="38"/>
      <c r="D333" s="38"/>
      <c r="E333" s="38"/>
      <c r="F333" s="38"/>
      <c r="G333" s="38"/>
      <c r="H333" s="38"/>
      <c r="I333" s="38"/>
      <c r="J333" s="38"/>
      <c r="K333" s="3"/>
      <c r="L333" s="3"/>
    </row>
    <row r="334" spans="1:12" x14ac:dyDescent="0.3">
      <c r="A334" s="38"/>
      <c r="B334" s="38"/>
      <c r="C334" s="38"/>
      <c r="D334" s="38"/>
      <c r="E334" s="38"/>
      <c r="F334" s="38"/>
      <c r="G334" s="38"/>
      <c r="H334" s="38"/>
      <c r="I334" s="38"/>
      <c r="J334" s="38"/>
      <c r="K334" s="3"/>
      <c r="L334" s="3"/>
    </row>
    <row r="335" spans="1:12" x14ac:dyDescent="0.3">
      <c r="A335" s="38"/>
      <c r="B335" s="38"/>
      <c r="C335" s="38"/>
      <c r="D335" s="38"/>
      <c r="E335" s="38"/>
      <c r="F335" s="38"/>
      <c r="G335" s="38"/>
      <c r="H335" s="38"/>
      <c r="I335" s="38"/>
      <c r="J335" s="38"/>
      <c r="K335" s="3"/>
      <c r="L335" s="75"/>
    </row>
    <row r="336" spans="1:12" x14ac:dyDescent="0.3">
      <c r="A336" s="38"/>
      <c r="B336" s="38"/>
      <c r="C336" s="38"/>
      <c r="D336" s="38"/>
      <c r="E336" s="38"/>
      <c r="F336" s="38"/>
      <c r="G336" s="38"/>
      <c r="H336" s="38"/>
      <c r="I336" s="38"/>
      <c r="J336" s="38"/>
      <c r="K336" s="3"/>
      <c r="L336" s="3"/>
    </row>
    <row r="337" spans="1:12" x14ac:dyDescent="0.3">
      <c r="A337" s="38"/>
      <c r="B337" s="38"/>
      <c r="C337" s="38"/>
      <c r="D337" s="38"/>
      <c r="E337" s="38"/>
      <c r="F337" s="38"/>
      <c r="G337" s="38"/>
      <c r="H337" s="38"/>
      <c r="I337" s="38"/>
      <c r="J337" s="38"/>
      <c r="K337" s="3"/>
      <c r="L337" s="3"/>
    </row>
    <row r="338" spans="1:12" x14ac:dyDescent="0.3">
      <c r="A338" s="38"/>
      <c r="B338" s="38"/>
      <c r="C338" s="38"/>
      <c r="D338" s="38"/>
      <c r="E338" s="38"/>
      <c r="F338" s="38"/>
      <c r="G338" s="38"/>
      <c r="H338" s="38"/>
      <c r="I338" s="38"/>
      <c r="J338" s="38"/>
    </row>
    <row r="340" spans="1:12" x14ac:dyDescent="0.3">
      <c r="A340" s="189"/>
      <c r="B340" s="189"/>
      <c r="C340" s="38"/>
      <c r="D340" s="189"/>
      <c r="E340" s="189"/>
      <c r="F340" s="38"/>
      <c r="G340" s="38"/>
      <c r="H340" s="38"/>
      <c r="I340" s="189"/>
      <c r="J340" s="189"/>
    </row>
    <row r="341" spans="1:12" x14ac:dyDescent="0.3">
      <c r="A341" s="189"/>
      <c r="B341" s="189"/>
      <c r="C341" s="38"/>
      <c r="D341" s="189"/>
      <c r="E341" s="189"/>
      <c r="F341" s="38"/>
      <c r="G341" s="38"/>
      <c r="H341" s="38"/>
      <c r="I341" s="189"/>
      <c r="J341" s="189"/>
    </row>
    <row r="342" spans="1:12" x14ac:dyDescent="0.3">
      <c r="A342" s="189"/>
      <c r="B342" s="189"/>
      <c r="C342" s="38"/>
      <c r="D342" s="189"/>
      <c r="E342" s="189"/>
      <c r="F342" s="38"/>
      <c r="G342" s="38"/>
      <c r="H342" s="38"/>
      <c r="I342" s="189"/>
      <c r="J342" s="189"/>
    </row>
    <row r="343" spans="1:12" x14ac:dyDescent="0.3">
      <c r="A343" s="189"/>
      <c r="B343" s="189"/>
      <c r="C343" s="38"/>
      <c r="D343" s="189"/>
      <c r="E343" s="189"/>
      <c r="F343" s="38"/>
      <c r="G343" s="38"/>
      <c r="H343" s="38"/>
      <c r="I343" s="189"/>
      <c r="J343" s="189"/>
    </row>
    <row r="344" spans="1:12" x14ac:dyDescent="0.3">
      <c r="A344" s="189"/>
      <c r="B344" s="189"/>
      <c r="C344" s="38"/>
      <c r="D344" s="189"/>
      <c r="E344" s="189"/>
      <c r="F344" s="38"/>
      <c r="G344" s="38"/>
      <c r="H344" s="38"/>
      <c r="I344" s="189"/>
      <c r="J344" s="189"/>
    </row>
    <row r="345" spans="1:12" x14ac:dyDescent="0.3">
      <c r="A345" s="189"/>
      <c r="B345" s="189"/>
      <c r="C345" s="38"/>
      <c r="D345" s="189"/>
      <c r="E345" s="189"/>
      <c r="F345" s="38"/>
      <c r="G345" s="38"/>
      <c r="H345" s="38"/>
      <c r="I345" s="189"/>
      <c r="J345" s="189"/>
    </row>
    <row r="346" spans="1:12" x14ac:dyDescent="0.3">
      <c r="A346" s="189"/>
      <c r="B346" s="189"/>
      <c r="C346" s="38"/>
      <c r="D346" s="189"/>
      <c r="E346" s="189"/>
      <c r="F346" s="38"/>
      <c r="G346" s="38"/>
      <c r="H346" s="38"/>
      <c r="I346" s="189"/>
      <c r="J346" s="189"/>
    </row>
    <row r="347" spans="1:12" x14ac:dyDescent="0.3">
      <c r="A347" s="189"/>
      <c r="B347" s="189"/>
      <c r="C347" s="38"/>
      <c r="D347" s="189"/>
      <c r="E347" s="189"/>
      <c r="F347" s="38"/>
      <c r="G347" s="38"/>
      <c r="H347" s="38"/>
      <c r="I347" s="189"/>
      <c r="J347" s="189"/>
    </row>
    <row r="348" spans="1:12" x14ac:dyDescent="0.3">
      <c r="A348" s="189"/>
      <c r="B348" s="189"/>
      <c r="C348" s="38"/>
      <c r="D348" s="189"/>
      <c r="E348" s="189"/>
      <c r="F348" s="38"/>
      <c r="G348" s="38"/>
      <c r="H348" s="38"/>
      <c r="I348" s="189"/>
      <c r="J348" s="189"/>
    </row>
    <row r="349" spans="1:12" x14ac:dyDescent="0.3">
      <c r="A349" s="189"/>
      <c r="B349" s="189"/>
      <c r="C349" s="38"/>
      <c r="D349" s="189"/>
      <c r="E349" s="189"/>
      <c r="F349" s="38"/>
      <c r="G349" s="38"/>
      <c r="H349" s="38"/>
      <c r="I349" s="189"/>
      <c r="J349" s="189"/>
    </row>
    <row r="350" spans="1:12" x14ac:dyDescent="0.3">
      <c r="A350" s="189"/>
      <c r="B350" s="189"/>
      <c r="C350" s="38"/>
      <c r="D350" s="189"/>
      <c r="E350" s="189"/>
      <c r="F350" s="38"/>
      <c r="G350" s="38"/>
      <c r="H350" s="38"/>
      <c r="I350" s="189"/>
      <c r="J350" s="189"/>
    </row>
    <row r="351" spans="1:12" x14ac:dyDescent="0.3">
      <c r="A351" s="189"/>
      <c r="B351" s="189"/>
      <c r="C351" s="38"/>
      <c r="D351" s="189"/>
      <c r="E351" s="189"/>
      <c r="F351" s="38"/>
      <c r="G351" s="38"/>
      <c r="H351" s="38"/>
      <c r="I351" s="189"/>
      <c r="J351" s="189"/>
    </row>
    <row r="352" spans="1:12" x14ac:dyDescent="0.3">
      <c r="A352" s="189"/>
      <c r="B352" s="189"/>
      <c r="C352" s="38"/>
      <c r="D352" s="189"/>
      <c r="E352" s="189"/>
      <c r="F352" s="38"/>
      <c r="G352" s="38"/>
      <c r="H352" s="38"/>
      <c r="I352" s="189"/>
      <c r="J352" s="189"/>
    </row>
    <row r="353" spans="1:10" x14ac:dyDescent="0.3">
      <c r="A353" s="189"/>
      <c r="B353" s="189"/>
      <c r="C353" s="38"/>
      <c r="D353" s="189"/>
      <c r="E353" s="189"/>
      <c r="F353" s="38"/>
      <c r="G353" s="38"/>
      <c r="H353" s="38"/>
      <c r="I353" s="189"/>
      <c r="J353" s="189"/>
    </row>
    <row r="354" spans="1:10" x14ac:dyDescent="0.3">
      <c r="A354" s="189"/>
      <c r="B354" s="189"/>
      <c r="C354" s="38"/>
      <c r="D354" s="189"/>
      <c r="E354" s="189"/>
      <c r="F354" s="38"/>
      <c r="G354" s="38"/>
      <c r="H354" s="38"/>
      <c r="I354" s="189"/>
      <c r="J354" s="189"/>
    </row>
    <row r="355" spans="1:10" x14ac:dyDescent="0.3">
      <c r="A355" s="189"/>
      <c r="B355" s="189"/>
      <c r="C355" s="38"/>
      <c r="D355" s="189"/>
      <c r="E355" s="189"/>
      <c r="F355" s="38"/>
      <c r="G355" s="38"/>
      <c r="H355" s="38"/>
      <c r="I355" s="189"/>
      <c r="J355" s="189"/>
    </row>
    <row r="356" spans="1:10" x14ac:dyDescent="0.3">
      <c r="A356" s="189"/>
      <c r="B356" s="189"/>
      <c r="C356" s="38"/>
      <c r="D356" s="189"/>
      <c r="E356" s="189"/>
      <c r="F356" s="38"/>
      <c r="G356" s="38"/>
      <c r="H356" s="38"/>
      <c r="I356" s="189"/>
      <c r="J356" s="189"/>
    </row>
    <row r="357" spans="1:10" x14ac:dyDescent="0.3">
      <c r="A357" s="189"/>
      <c r="B357" s="189"/>
      <c r="C357" s="38"/>
      <c r="D357" s="189"/>
      <c r="E357" s="189"/>
      <c r="F357" s="38"/>
      <c r="G357" s="38"/>
      <c r="H357" s="38"/>
      <c r="I357" s="189"/>
      <c r="J357" s="189"/>
    </row>
    <row r="358" spans="1:10" x14ac:dyDescent="0.3">
      <c r="A358" s="38"/>
      <c r="B358" s="38"/>
      <c r="C358" s="38"/>
      <c r="D358" s="38"/>
      <c r="E358" s="38"/>
      <c r="F358" s="38"/>
      <c r="G358" s="38"/>
      <c r="H358" s="38"/>
      <c r="I358" s="38"/>
      <c r="J358" s="38"/>
    </row>
    <row r="359" spans="1:10" x14ac:dyDescent="0.3">
      <c r="A359" s="38"/>
      <c r="B359" s="38"/>
      <c r="C359" s="38"/>
      <c r="D359" s="38"/>
      <c r="E359" s="38"/>
      <c r="F359" s="38"/>
      <c r="G359" s="38"/>
      <c r="H359" s="38"/>
      <c r="I359" s="38"/>
      <c r="J359" s="38"/>
    </row>
    <row r="360" spans="1:10" x14ac:dyDescent="0.3">
      <c r="A360" s="38"/>
      <c r="B360" s="38"/>
      <c r="C360" s="38"/>
      <c r="D360" s="38"/>
      <c r="E360" s="38"/>
      <c r="F360" s="38"/>
      <c r="G360" s="38"/>
      <c r="H360" s="38"/>
      <c r="I360" s="38"/>
      <c r="J360" s="38"/>
    </row>
    <row r="361" spans="1:10" x14ac:dyDescent="0.3">
      <c r="A361" s="38"/>
      <c r="B361" s="38"/>
      <c r="C361" s="38"/>
      <c r="D361" s="38"/>
      <c r="E361" s="38"/>
      <c r="F361" s="38"/>
      <c r="G361" s="38"/>
      <c r="H361" s="38"/>
      <c r="I361" s="38"/>
      <c r="J361" s="38"/>
    </row>
    <row r="362" spans="1:10" x14ac:dyDescent="0.3">
      <c r="A362" s="38"/>
      <c r="B362" s="38"/>
      <c r="C362" s="38"/>
      <c r="D362" s="38"/>
      <c r="E362" s="38"/>
      <c r="F362" s="38"/>
      <c r="G362" s="38"/>
      <c r="H362" s="38"/>
      <c r="I362" s="38"/>
      <c r="J362" s="38"/>
    </row>
    <row r="363" spans="1:10" x14ac:dyDescent="0.3">
      <c r="A363" s="38"/>
      <c r="B363" s="38"/>
      <c r="C363" s="38"/>
      <c r="D363" s="38"/>
      <c r="E363" s="38"/>
      <c r="F363" s="38"/>
      <c r="G363" s="38"/>
      <c r="H363" s="38"/>
      <c r="I363" s="38"/>
      <c r="J363" s="38"/>
    </row>
    <row r="364" spans="1:10" x14ac:dyDescent="0.3">
      <c r="A364" s="189"/>
      <c r="B364" s="189"/>
      <c r="C364" s="38"/>
      <c r="D364" s="189"/>
      <c r="E364" s="189"/>
      <c r="F364" s="38"/>
      <c r="G364" s="38"/>
      <c r="H364" s="38"/>
      <c r="I364" s="189"/>
      <c r="J364" s="189"/>
    </row>
    <row r="365" spans="1:10" x14ac:dyDescent="0.3">
      <c r="A365" s="189"/>
      <c r="B365" s="189"/>
      <c r="C365" s="38"/>
      <c r="D365" s="189"/>
      <c r="E365" s="189"/>
      <c r="F365" s="38"/>
      <c r="G365" s="38"/>
      <c r="H365" s="38"/>
      <c r="I365" s="189"/>
      <c r="J365" s="189"/>
    </row>
    <row r="366" spans="1:10" x14ac:dyDescent="0.3">
      <c r="A366" s="189"/>
      <c r="B366" s="189"/>
      <c r="C366" s="38"/>
      <c r="D366" s="189"/>
      <c r="E366" s="189"/>
      <c r="F366" s="38"/>
      <c r="G366" s="38"/>
      <c r="H366" s="38"/>
      <c r="I366" s="189"/>
      <c r="J366" s="189"/>
    </row>
    <row r="367" spans="1:10" x14ac:dyDescent="0.3">
      <c r="A367" s="189"/>
      <c r="B367" s="189"/>
      <c r="C367" s="38"/>
      <c r="D367" s="189"/>
      <c r="E367" s="189"/>
      <c r="F367" s="38"/>
      <c r="G367" s="38"/>
      <c r="H367" s="38"/>
      <c r="I367" s="189"/>
      <c r="J367" s="189"/>
    </row>
    <row r="368" spans="1:10" x14ac:dyDescent="0.3">
      <c r="A368" s="38"/>
      <c r="B368" s="38"/>
      <c r="C368" s="38"/>
      <c r="D368" s="38"/>
      <c r="E368" s="38"/>
      <c r="F368" s="38"/>
      <c r="G368" s="38"/>
      <c r="H368" s="38"/>
      <c r="I368" s="38"/>
      <c r="J368" s="38"/>
    </row>
    <row r="369" spans="1:10" x14ac:dyDescent="0.3">
      <c r="A369" s="38"/>
      <c r="B369" s="38"/>
      <c r="C369" s="38"/>
      <c r="D369" s="38"/>
      <c r="E369" s="38"/>
      <c r="F369" s="38"/>
      <c r="G369" s="38"/>
      <c r="H369" s="38"/>
      <c r="I369" s="38"/>
      <c r="J369" s="38"/>
    </row>
    <row r="370" spans="1:10" x14ac:dyDescent="0.3">
      <c r="A370" s="19" t="s">
        <v>94</v>
      </c>
      <c r="C370" s="38"/>
      <c r="D370" s="38"/>
      <c r="E370" s="38"/>
      <c r="F370" s="38"/>
      <c r="G370" s="38"/>
      <c r="H370" s="38"/>
      <c r="I370" s="38"/>
      <c r="J370" s="38"/>
    </row>
    <row r="371" spans="1:10" x14ac:dyDescent="0.3">
      <c r="A371" s="38"/>
      <c r="B371" s="38"/>
      <c r="C371" s="38"/>
      <c r="D371" s="38"/>
      <c r="E371" s="38"/>
      <c r="F371" s="38"/>
      <c r="G371" s="38"/>
      <c r="H371" s="38"/>
      <c r="I371" s="38"/>
      <c r="J371" s="38"/>
    </row>
    <row r="372" spans="1:10" x14ac:dyDescent="0.3">
      <c r="A372" s="38"/>
      <c r="B372" s="38"/>
      <c r="C372" s="38"/>
      <c r="D372" s="38"/>
      <c r="E372" s="38"/>
      <c r="F372" s="38"/>
      <c r="G372" s="38"/>
      <c r="H372" s="38"/>
      <c r="I372" s="38"/>
      <c r="J372" s="38"/>
    </row>
    <row r="373" spans="1:10" x14ac:dyDescent="0.3">
      <c r="A373" s="38"/>
      <c r="B373" s="38"/>
      <c r="C373" s="38"/>
      <c r="D373" s="38"/>
      <c r="E373" s="38"/>
      <c r="F373" s="38"/>
      <c r="G373" s="38"/>
      <c r="H373" s="38"/>
      <c r="I373" s="38"/>
      <c r="J373" s="38"/>
    </row>
    <row r="374" spans="1:10" x14ac:dyDescent="0.3">
      <c r="A374" s="38"/>
      <c r="B374" s="38"/>
      <c r="C374" s="38"/>
      <c r="D374" s="38"/>
      <c r="E374" s="38"/>
      <c r="F374" s="38"/>
      <c r="G374" s="38"/>
      <c r="H374" s="38"/>
      <c r="I374" s="38"/>
      <c r="J374" s="38"/>
    </row>
    <row r="375" spans="1:10" x14ac:dyDescent="0.3">
      <c r="A375" s="38"/>
      <c r="B375" s="38"/>
      <c r="C375" s="38"/>
      <c r="D375" s="38"/>
      <c r="E375" s="38"/>
      <c r="F375" s="38"/>
      <c r="G375" s="38"/>
      <c r="H375" s="38"/>
      <c r="I375" s="38"/>
      <c r="J375" s="38"/>
    </row>
    <row r="376" spans="1:10" x14ac:dyDescent="0.3">
      <c r="A376" s="38"/>
      <c r="B376" s="38"/>
      <c r="C376" s="38"/>
      <c r="D376" s="38"/>
      <c r="E376" s="38"/>
      <c r="F376" s="38"/>
      <c r="G376" s="38"/>
      <c r="H376" s="38"/>
      <c r="I376" s="38"/>
      <c r="J376" s="38"/>
    </row>
    <row r="377" spans="1:10" x14ac:dyDescent="0.3">
      <c r="A377" s="38"/>
      <c r="B377" s="38"/>
      <c r="C377" s="38"/>
      <c r="D377" s="38"/>
      <c r="E377" s="38"/>
      <c r="F377" s="38"/>
      <c r="G377" s="38"/>
      <c r="H377" s="38"/>
      <c r="I377" s="38"/>
      <c r="J377" s="38"/>
    </row>
    <row r="378" spans="1:10" x14ac:dyDescent="0.3">
      <c r="A378" s="38"/>
      <c r="B378" s="38"/>
      <c r="C378" s="38"/>
      <c r="D378" s="38"/>
      <c r="E378" s="38"/>
      <c r="F378" s="38"/>
      <c r="G378" s="38"/>
      <c r="H378" s="38"/>
      <c r="I378" s="38"/>
      <c r="J378" s="38"/>
    </row>
    <row r="379" spans="1:10" x14ac:dyDescent="0.3">
      <c r="A379" s="38"/>
      <c r="B379" s="38"/>
      <c r="C379" s="38"/>
      <c r="D379" s="38"/>
      <c r="E379" s="38"/>
      <c r="F379" s="38"/>
      <c r="G379" s="38"/>
      <c r="H379" s="38"/>
      <c r="I379" s="38"/>
      <c r="J379" s="38"/>
    </row>
    <row r="381" spans="1:10" x14ac:dyDescent="0.3">
      <c r="A381" s="189"/>
      <c r="B381" s="189"/>
      <c r="C381" s="38"/>
      <c r="D381" s="189"/>
      <c r="E381" s="189"/>
      <c r="F381" s="38"/>
      <c r="G381" s="38"/>
      <c r="H381" s="38"/>
      <c r="I381" s="189"/>
      <c r="J381" s="189"/>
    </row>
    <row r="382" spans="1:10" x14ac:dyDescent="0.3">
      <c r="A382" s="189"/>
      <c r="B382" s="189"/>
      <c r="C382" s="38"/>
      <c r="D382" s="189"/>
      <c r="E382" s="189"/>
      <c r="F382" s="38"/>
      <c r="G382" s="38"/>
      <c r="H382" s="38"/>
      <c r="I382" s="189"/>
      <c r="J382" s="189"/>
    </row>
    <row r="383" spans="1:10" x14ac:dyDescent="0.3">
      <c r="A383" s="189"/>
      <c r="B383" s="189"/>
      <c r="C383" s="38"/>
      <c r="D383" s="189"/>
      <c r="E383" s="189"/>
      <c r="F383" s="38"/>
      <c r="G383" s="38"/>
      <c r="H383" s="38"/>
      <c r="I383" s="189"/>
      <c r="J383" s="189"/>
    </row>
    <row r="384" spans="1:10" x14ac:dyDescent="0.3">
      <c r="A384" s="189"/>
      <c r="B384" s="189"/>
      <c r="C384" s="38"/>
      <c r="D384" s="189"/>
      <c r="E384" s="189"/>
      <c r="F384" s="38"/>
      <c r="G384" s="38"/>
      <c r="H384" s="38"/>
      <c r="I384" s="189"/>
      <c r="J384" s="189"/>
    </row>
    <row r="385" spans="1:10" x14ac:dyDescent="0.3">
      <c r="A385" s="189"/>
      <c r="B385" s="189"/>
      <c r="C385" s="38"/>
      <c r="D385" s="189"/>
      <c r="E385" s="189"/>
      <c r="F385" s="38"/>
      <c r="G385" s="38"/>
      <c r="H385" s="38"/>
      <c r="I385" s="189"/>
      <c r="J385" s="189"/>
    </row>
    <row r="386" spans="1:10" x14ac:dyDescent="0.3">
      <c r="A386" s="189"/>
      <c r="B386" s="189"/>
      <c r="C386" s="38"/>
      <c r="D386" s="189"/>
      <c r="E386" s="189"/>
      <c r="F386" s="38"/>
      <c r="G386" s="38"/>
      <c r="H386" s="38"/>
      <c r="I386" s="189"/>
      <c r="J386" s="189"/>
    </row>
    <row r="387" spans="1:10" x14ac:dyDescent="0.3">
      <c r="A387" s="189"/>
      <c r="B387" s="189"/>
      <c r="C387" s="38"/>
      <c r="D387" s="189"/>
      <c r="E387" s="189"/>
      <c r="F387" s="38"/>
      <c r="G387" s="38"/>
      <c r="H387" s="38"/>
      <c r="I387" s="189"/>
      <c r="J387" s="189"/>
    </row>
    <row r="388" spans="1:10" x14ac:dyDescent="0.3">
      <c r="A388" s="189"/>
      <c r="B388" s="189"/>
      <c r="C388" s="38"/>
      <c r="D388" s="189"/>
      <c r="E388" s="189"/>
      <c r="F388" s="38"/>
      <c r="G388" s="38"/>
      <c r="H388" s="38"/>
      <c r="I388" s="189"/>
      <c r="J388" s="189"/>
    </row>
    <row r="389" spans="1:10" x14ac:dyDescent="0.3">
      <c r="A389" s="189"/>
      <c r="B389" s="189"/>
      <c r="C389" s="38"/>
      <c r="D389" s="189"/>
      <c r="E389" s="189"/>
      <c r="F389" s="38"/>
      <c r="G389" s="38"/>
      <c r="H389" s="38"/>
      <c r="I389" s="189"/>
      <c r="J389" s="189"/>
    </row>
    <row r="390" spans="1:10" x14ac:dyDescent="0.3">
      <c r="A390" s="189"/>
      <c r="B390" s="189"/>
      <c r="C390" s="38"/>
      <c r="D390" s="189"/>
      <c r="E390" s="189"/>
      <c r="F390" s="38"/>
      <c r="G390" s="38"/>
      <c r="H390" s="38"/>
      <c r="I390" s="189"/>
      <c r="J390" s="189"/>
    </row>
    <row r="391" spans="1:10" x14ac:dyDescent="0.3">
      <c r="A391" s="189"/>
      <c r="B391" s="189"/>
      <c r="C391" s="38"/>
      <c r="D391" s="189"/>
      <c r="E391" s="189"/>
      <c r="F391" s="38"/>
      <c r="G391" s="38"/>
      <c r="H391" s="38"/>
      <c r="I391" s="189"/>
      <c r="J391" s="189"/>
    </row>
    <row r="392" spans="1:10" x14ac:dyDescent="0.3">
      <c r="A392" s="189"/>
      <c r="B392" s="189"/>
      <c r="C392" s="38"/>
      <c r="D392" s="189"/>
      <c r="E392" s="189"/>
      <c r="F392" s="38"/>
      <c r="G392" s="38"/>
      <c r="H392" s="38"/>
      <c r="I392" s="189"/>
      <c r="J392" s="189"/>
    </row>
    <row r="393" spans="1:10" x14ac:dyDescent="0.3">
      <c r="A393" s="189"/>
      <c r="B393" s="189"/>
      <c r="C393" s="38"/>
      <c r="D393" s="189"/>
      <c r="E393" s="189"/>
      <c r="F393" s="38"/>
      <c r="G393" s="38"/>
      <c r="H393" s="38"/>
      <c r="I393" s="189"/>
      <c r="J393" s="189"/>
    </row>
    <row r="394" spans="1:10" x14ac:dyDescent="0.3">
      <c r="A394" s="189"/>
      <c r="B394" s="189"/>
      <c r="C394" s="38"/>
      <c r="D394" s="189"/>
      <c r="E394" s="189"/>
      <c r="F394" s="38"/>
      <c r="G394" s="38"/>
      <c r="H394" s="38"/>
      <c r="I394" s="189"/>
      <c r="J394" s="189"/>
    </row>
    <row r="395" spans="1:10" x14ac:dyDescent="0.3">
      <c r="A395" s="189"/>
      <c r="B395" s="189"/>
      <c r="C395" s="38"/>
      <c r="D395" s="189"/>
      <c r="E395" s="189"/>
      <c r="F395" s="38"/>
      <c r="G395" s="38"/>
      <c r="H395" s="38"/>
      <c r="I395" s="189"/>
      <c r="J395" s="189"/>
    </row>
    <row r="396" spans="1:10" x14ac:dyDescent="0.3">
      <c r="A396" s="189"/>
      <c r="B396" s="189"/>
      <c r="C396" s="38"/>
      <c r="D396" s="189"/>
      <c r="E396" s="189"/>
      <c r="F396" s="38"/>
      <c r="G396" s="38"/>
      <c r="H396" s="38"/>
      <c r="I396" s="189"/>
      <c r="J396" s="189"/>
    </row>
    <row r="397" spans="1:10" x14ac:dyDescent="0.3">
      <c r="A397" s="189"/>
      <c r="B397" s="189"/>
      <c r="C397" s="38"/>
      <c r="D397" s="189"/>
      <c r="E397" s="189"/>
      <c r="F397" s="38"/>
      <c r="G397" s="38"/>
      <c r="H397" s="38"/>
      <c r="I397" s="189"/>
      <c r="J397" s="189"/>
    </row>
    <row r="398" spans="1:10" x14ac:dyDescent="0.3">
      <c r="A398" s="189"/>
      <c r="B398" s="189"/>
      <c r="C398" s="38"/>
      <c r="D398" s="189"/>
      <c r="E398" s="189"/>
      <c r="F398" s="38"/>
      <c r="G398" s="38"/>
      <c r="H398" s="38"/>
      <c r="I398" s="189"/>
      <c r="J398" s="189"/>
    </row>
    <row r="399" spans="1:10" x14ac:dyDescent="0.3">
      <c r="A399" s="38"/>
      <c r="B399" s="38"/>
      <c r="C399" s="38"/>
      <c r="D399" s="38"/>
      <c r="E399" s="38"/>
      <c r="F399" s="38"/>
      <c r="G399" s="38"/>
      <c r="H399" s="38"/>
      <c r="I399" s="38"/>
      <c r="J399" s="38"/>
    </row>
    <row r="400" spans="1:10" x14ac:dyDescent="0.3">
      <c r="A400" s="38"/>
      <c r="B400" s="38"/>
      <c r="C400" s="38"/>
      <c r="D400" s="38"/>
      <c r="E400" s="38"/>
      <c r="F400" s="38"/>
      <c r="G400" s="38"/>
      <c r="H400" s="38"/>
      <c r="I400" s="38"/>
      <c r="J400" s="38"/>
    </row>
    <row r="401" spans="1:10" x14ac:dyDescent="0.3">
      <c r="A401" s="38"/>
      <c r="B401" s="38"/>
      <c r="C401" s="38"/>
      <c r="D401" s="38"/>
      <c r="E401" s="38"/>
      <c r="F401" s="38"/>
      <c r="G401" s="38"/>
      <c r="H401" s="38"/>
      <c r="I401" s="38"/>
      <c r="J401" s="38"/>
    </row>
    <row r="402" spans="1:10" x14ac:dyDescent="0.3">
      <c r="A402" s="38"/>
      <c r="B402" s="38"/>
      <c r="C402" s="38"/>
      <c r="D402" s="38"/>
      <c r="E402" s="38"/>
      <c r="F402" s="38"/>
      <c r="G402" s="38"/>
      <c r="H402" s="38"/>
      <c r="I402" s="38"/>
      <c r="J402" s="38"/>
    </row>
    <row r="403" spans="1:10" x14ac:dyDescent="0.3">
      <c r="A403" s="38"/>
      <c r="B403" s="38"/>
      <c r="C403" s="38"/>
      <c r="D403" s="38"/>
      <c r="E403" s="38"/>
      <c r="F403" s="38"/>
      <c r="G403" s="38"/>
      <c r="H403" s="38"/>
      <c r="I403" s="38"/>
      <c r="J403" s="38"/>
    </row>
    <row r="404" spans="1:10" x14ac:dyDescent="0.3">
      <c r="A404" s="38"/>
      <c r="B404" s="38"/>
      <c r="C404" s="38"/>
      <c r="D404" s="38"/>
      <c r="E404" s="38"/>
      <c r="F404" s="38"/>
      <c r="G404" s="38"/>
      <c r="H404" s="38"/>
      <c r="I404" s="38"/>
      <c r="J404" s="38"/>
    </row>
    <row r="405" spans="1:10" x14ac:dyDescent="0.3">
      <c r="A405" s="189"/>
      <c r="B405" s="189"/>
      <c r="C405" s="38"/>
      <c r="D405" s="189"/>
      <c r="E405" s="189"/>
      <c r="F405" s="38"/>
      <c r="G405" s="38"/>
      <c r="H405" s="38"/>
      <c r="I405" s="189"/>
      <c r="J405" s="189"/>
    </row>
    <row r="406" spans="1:10" x14ac:dyDescent="0.3">
      <c r="A406" s="189"/>
      <c r="B406" s="189"/>
      <c r="C406" s="38"/>
      <c r="D406" s="189"/>
      <c r="E406" s="189"/>
      <c r="F406" s="38"/>
      <c r="G406" s="38"/>
      <c r="H406" s="38"/>
      <c r="I406" s="189"/>
      <c r="J406" s="189"/>
    </row>
    <row r="407" spans="1:10" x14ac:dyDescent="0.3">
      <c r="A407" s="189"/>
      <c r="B407" s="189"/>
      <c r="C407" s="38"/>
      <c r="D407" s="189"/>
      <c r="E407" s="189"/>
      <c r="F407" s="38"/>
      <c r="G407" s="38"/>
      <c r="H407" s="38"/>
      <c r="I407" s="189"/>
      <c r="J407" s="189"/>
    </row>
    <row r="408" spans="1:10" x14ac:dyDescent="0.3">
      <c r="A408" s="189"/>
      <c r="B408" s="189"/>
      <c r="C408" s="38"/>
      <c r="D408" s="189"/>
      <c r="E408" s="189"/>
      <c r="F408" s="38"/>
      <c r="G408" s="38"/>
      <c r="H408" s="38"/>
      <c r="I408" s="189"/>
      <c r="J408" s="189"/>
    </row>
    <row r="409" spans="1:10" x14ac:dyDescent="0.3">
      <c r="A409" s="38"/>
      <c r="B409" s="38"/>
      <c r="C409" s="38"/>
      <c r="D409" s="38"/>
      <c r="E409" s="38"/>
      <c r="F409" s="38"/>
      <c r="G409" s="38"/>
      <c r="H409" s="38"/>
      <c r="I409" s="38"/>
      <c r="J409" s="38"/>
    </row>
    <row r="410" spans="1:10" x14ac:dyDescent="0.3">
      <c r="A410" s="38"/>
      <c r="B410" s="38"/>
      <c r="C410" s="38"/>
      <c r="D410" s="38"/>
      <c r="E410" s="38"/>
      <c r="F410" s="38"/>
      <c r="G410" s="38"/>
      <c r="H410" s="38"/>
      <c r="I410" s="38"/>
      <c r="J410" s="38"/>
    </row>
    <row r="411" spans="1:10" x14ac:dyDescent="0.3">
      <c r="A411" s="189"/>
      <c r="B411" s="189"/>
      <c r="C411" s="38"/>
      <c r="D411" s="189"/>
      <c r="E411" s="189"/>
      <c r="F411" s="38"/>
      <c r="G411" s="38"/>
      <c r="H411" s="38"/>
      <c r="I411" s="189"/>
      <c r="J411" s="189"/>
    </row>
    <row r="412" spans="1:10" x14ac:dyDescent="0.3">
      <c r="A412" s="189"/>
      <c r="B412" s="189"/>
      <c r="C412" s="38"/>
      <c r="D412" s="189"/>
      <c r="E412" s="189"/>
      <c r="F412" s="38"/>
      <c r="G412" s="38"/>
      <c r="H412" s="38"/>
      <c r="I412" s="189"/>
      <c r="J412" s="189"/>
    </row>
    <row r="413" spans="1:10" x14ac:dyDescent="0.3">
      <c r="A413" s="189"/>
      <c r="B413" s="189"/>
      <c r="C413" s="38"/>
      <c r="D413" s="189"/>
      <c r="E413" s="189"/>
      <c r="F413" s="38"/>
      <c r="G413" s="38"/>
      <c r="H413" s="38"/>
      <c r="I413" s="189"/>
      <c r="J413" s="189"/>
    </row>
    <row r="414" spans="1:10" x14ac:dyDescent="0.3">
      <c r="A414" s="189"/>
      <c r="B414" s="189"/>
      <c r="C414" s="38"/>
      <c r="D414" s="189"/>
      <c r="E414" s="189"/>
      <c r="F414" s="38"/>
      <c r="G414" s="38"/>
      <c r="H414" s="38"/>
      <c r="I414" s="189"/>
      <c r="J414" s="189"/>
    </row>
    <row r="415" spans="1:10" x14ac:dyDescent="0.3">
      <c r="A415" s="189"/>
      <c r="B415" s="189"/>
      <c r="C415" s="38"/>
      <c r="D415" s="189"/>
      <c r="E415" s="189"/>
      <c r="F415" s="38"/>
      <c r="G415" s="38"/>
      <c r="H415" s="38"/>
      <c r="I415" s="189"/>
      <c r="J415" s="189"/>
    </row>
    <row r="416" spans="1:10" x14ac:dyDescent="0.3">
      <c r="A416" s="189"/>
      <c r="B416" s="189"/>
      <c r="C416" s="38"/>
      <c r="D416" s="189"/>
      <c r="E416" s="189"/>
      <c r="F416" s="38"/>
      <c r="G416" s="38"/>
      <c r="H416" s="38"/>
      <c r="I416" s="189"/>
      <c r="J416" s="189"/>
    </row>
    <row r="417" spans="1:10" x14ac:dyDescent="0.3">
      <c r="A417" s="189"/>
      <c r="B417" s="189"/>
      <c r="C417" s="38"/>
      <c r="D417" s="189"/>
      <c r="E417" s="189"/>
      <c r="F417" s="38"/>
      <c r="G417" s="38"/>
      <c r="H417" s="38"/>
      <c r="I417" s="189"/>
      <c r="J417" s="189"/>
    </row>
    <row r="418" spans="1:10" x14ac:dyDescent="0.3">
      <c r="A418" s="189"/>
      <c r="B418" s="189"/>
      <c r="C418" s="38"/>
      <c r="D418" s="189"/>
      <c r="E418" s="189"/>
      <c r="F418" s="38"/>
      <c r="G418" s="38"/>
      <c r="H418" s="38"/>
      <c r="I418" s="189"/>
      <c r="J418" s="189"/>
    </row>
    <row r="419" spans="1:10" x14ac:dyDescent="0.3">
      <c r="A419" s="189"/>
      <c r="B419" s="189"/>
      <c r="C419" s="38"/>
      <c r="D419" s="189"/>
      <c r="E419" s="189"/>
      <c r="F419" s="38"/>
      <c r="G419" s="38"/>
      <c r="H419" s="38"/>
      <c r="I419" s="189"/>
      <c r="J419" s="189"/>
    </row>
    <row r="420" spans="1:10" x14ac:dyDescent="0.3">
      <c r="A420" s="189"/>
      <c r="B420" s="189"/>
      <c r="C420" s="38"/>
      <c r="D420" s="189"/>
      <c r="E420" s="189"/>
      <c r="F420" s="38"/>
      <c r="G420" s="38"/>
      <c r="H420" s="38"/>
      <c r="I420" s="189"/>
      <c r="J420" s="189"/>
    </row>
    <row r="421" spans="1:10" x14ac:dyDescent="0.3">
      <c r="A421" s="189"/>
      <c r="B421" s="189"/>
      <c r="C421" s="38"/>
      <c r="D421" s="189"/>
      <c r="E421" s="189"/>
      <c r="F421" s="38"/>
      <c r="G421" s="38"/>
      <c r="H421" s="38"/>
      <c r="I421" s="189"/>
      <c r="J421" s="189"/>
    </row>
    <row r="422" spans="1:10" x14ac:dyDescent="0.3">
      <c r="A422" s="189"/>
      <c r="B422" s="189"/>
      <c r="C422" s="38"/>
      <c r="D422" s="189"/>
      <c r="E422" s="189"/>
      <c r="F422" s="38"/>
      <c r="G422" s="38"/>
      <c r="H422" s="38"/>
      <c r="I422" s="189"/>
      <c r="J422" s="189"/>
    </row>
    <row r="423" spans="1:10" x14ac:dyDescent="0.3">
      <c r="A423" s="189"/>
      <c r="B423" s="189"/>
      <c r="C423" s="38"/>
      <c r="D423" s="189"/>
      <c r="E423" s="189"/>
      <c r="F423" s="38"/>
      <c r="G423" s="38"/>
      <c r="H423" s="38"/>
      <c r="I423" s="189"/>
      <c r="J423" s="189"/>
    </row>
    <row r="424" spans="1:10" x14ac:dyDescent="0.3">
      <c r="A424" s="189"/>
      <c r="B424" s="189"/>
      <c r="C424" s="38"/>
      <c r="D424" s="189"/>
      <c r="E424" s="189"/>
      <c r="F424" s="38"/>
      <c r="G424" s="38"/>
      <c r="H424" s="38"/>
      <c r="I424" s="189"/>
      <c r="J424" s="189"/>
    </row>
    <row r="425" spans="1:10" x14ac:dyDescent="0.3">
      <c r="A425" s="189"/>
      <c r="B425" s="189"/>
      <c r="C425" s="38"/>
      <c r="D425" s="189"/>
      <c r="E425" s="189"/>
      <c r="F425" s="38"/>
      <c r="G425" s="38"/>
      <c r="H425" s="38"/>
      <c r="I425" s="189"/>
      <c r="J425" s="189"/>
    </row>
    <row r="426" spans="1:10" x14ac:dyDescent="0.3">
      <c r="A426" s="189"/>
      <c r="B426" s="189"/>
      <c r="C426" s="38"/>
      <c r="D426" s="189"/>
      <c r="E426" s="189"/>
      <c r="F426" s="38"/>
      <c r="G426" s="38"/>
      <c r="H426" s="38"/>
      <c r="I426" s="189"/>
      <c r="J426" s="189"/>
    </row>
    <row r="427" spans="1:10" x14ac:dyDescent="0.3">
      <c r="A427" s="189"/>
      <c r="B427" s="189"/>
      <c r="C427" s="38"/>
      <c r="D427" s="189"/>
      <c r="E427" s="189"/>
      <c r="F427" s="38"/>
      <c r="G427" s="38"/>
      <c r="H427" s="38"/>
      <c r="I427" s="189"/>
      <c r="J427" s="189"/>
    </row>
    <row r="428" spans="1:10" x14ac:dyDescent="0.3">
      <c r="A428" s="189"/>
      <c r="B428" s="189"/>
      <c r="C428" s="38"/>
      <c r="D428" s="189"/>
      <c r="E428" s="189"/>
      <c r="F428" s="38"/>
      <c r="G428" s="38"/>
      <c r="H428" s="38"/>
      <c r="I428" s="189"/>
      <c r="J428" s="189"/>
    </row>
    <row r="429" spans="1:10" x14ac:dyDescent="0.3">
      <c r="A429" s="189"/>
      <c r="B429" s="189"/>
      <c r="C429" s="38"/>
      <c r="D429" s="189"/>
      <c r="E429" s="189"/>
      <c r="F429" s="38"/>
      <c r="G429" s="38"/>
      <c r="H429" s="38"/>
      <c r="I429" s="189"/>
      <c r="J429" s="189"/>
    </row>
    <row r="430" spans="1:10" x14ac:dyDescent="0.3">
      <c r="A430" s="189"/>
      <c r="B430" s="189"/>
      <c r="C430" s="38"/>
      <c r="D430" s="189"/>
      <c r="E430" s="189"/>
      <c r="F430" s="38"/>
      <c r="G430" s="38"/>
      <c r="H430" s="38"/>
      <c r="I430" s="189"/>
      <c r="J430" s="189"/>
    </row>
    <row r="431" spans="1:10" x14ac:dyDescent="0.3">
      <c r="A431" s="189"/>
      <c r="B431" s="189"/>
      <c r="C431" s="38"/>
      <c r="D431" s="189"/>
      <c r="E431" s="189"/>
      <c r="F431" s="38"/>
      <c r="G431" s="38"/>
      <c r="H431" s="38"/>
      <c r="I431" s="189"/>
      <c r="J431" s="189"/>
    </row>
    <row r="432" spans="1:10" x14ac:dyDescent="0.3">
      <c r="A432" s="17"/>
      <c r="B432" s="18"/>
      <c r="C432" s="18"/>
      <c r="D432" s="18"/>
      <c r="E432" s="18"/>
      <c r="F432" s="18"/>
      <c r="G432" s="18"/>
      <c r="H432" s="18"/>
      <c r="I432" s="18"/>
      <c r="J432" s="18"/>
    </row>
    <row r="433" spans="1:10" x14ac:dyDescent="0.3">
      <c r="A433" s="17"/>
      <c r="B433" s="18"/>
      <c r="C433" s="18"/>
      <c r="D433" s="18"/>
      <c r="E433" s="18"/>
      <c r="F433" s="18"/>
      <c r="G433" s="18"/>
      <c r="H433" s="18"/>
      <c r="I433" s="18"/>
      <c r="J433" s="18"/>
    </row>
    <row r="434" spans="1:10" x14ac:dyDescent="0.3">
      <c r="A434" s="18"/>
      <c r="B434" s="18"/>
      <c r="C434" s="18"/>
      <c r="D434" s="18"/>
      <c r="E434" s="18"/>
      <c r="F434" s="18"/>
      <c r="G434" s="18"/>
      <c r="H434" s="18"/>
      <c r="I434" s="18"/>
      <c r="J434" s="18"/>
    </row>
    <row r="435" spans="1:10" x14ac:dyDescent="0.3">
      <c r="A435" s="18"/>
      <c r="B435" s="18"/>
      <c r="C435" s="18"/>
      <c r="D435" s="18"/>
      <c r="E435" s="18"/>
      <c r="F435" s="18"/>
      <c r="G435" s="18"/>
      <c r="H435" s="18"/>
      <c r="I435" s="18"/>
      <c r="J435" s="18"/>
    </row>
  </sheetData>
  <mergeCells count="869">
    <mergeCell ref="A406:B406"/>
    <mergeCell ref="D406:E406"/>
    <mergeCell ref="I406:J406"/>
    <mergeCell ref="A407:B407"/>
    <mergeCell ref="D407:E407"/>
    <mergeCell ref="I407:J407"/>
    <mergeCell ref="A408:B408"/>
    <mergeCell ref="D408:E408"/>
    <mergeCell ref="I408:J408"/>
    <mergeCell ref="A397:B397"/>
    <mergeCell ref="D397:E397"/>
    <mergeCell ref="I397:J397"/>
    <mergeCell ref="A398:B398"/>
    <mergeCell ref="D398:E398"/>
    <mergeCell ref="I398:J398"/>
    <mergeCell ref="A405:B405"/>
    <mergeCell ref="D405:E405"/>
    <mergeCell ref="I405:J405"/>
    <mergeCell ref="A394:B394"/>
    <mergeCell ref="D394:E394"/>
    <mergeCell ref="I394:J394"/>
    <mergeCell ref="A395:B395"/>
    <mergeCell ref="D395:E395"/>
    <mergeCell ref="I395:J395"/>
    <mergeCell ref="A396:B396"/>
    <mergeCell ref="D396:E396"/>
    <mergeCell ref="I396:J396"/>
    <mergeCell ref="A391:B391"/>
    <mergeCell ref="D391:E391"/>
    <mergeCell ref="I391:J391"/>
    <mergeCell ref="A392:B392"/>
    <mergeCell ref="D392:E392"/>
    <mergeCell ref="I392:J392"/>
    <mergeCell ref="A393:B393"/>
    <mergeCell ref="D393:E393"/>
    <mergeCell ref="I393:J393"/>
    <mergeCell ref="A388:B388"/>
    <mergeCell ref="D388:E388"/>
    <mergeCell ref="I388:J388"/>
    <mergeCell ref="A389:B389"/>
    <mergeCell ref="D389:E389"/>
    <mergeCell ref="I389:J389"/>
    <mergeCell ref="A390:B390"/>
    <mergeCell ref="D390:E390"/>
    <mergeCell ref="I390:J390"/>
    <mergeCell ref="I385:J385"/>
    <mergeCell ref="A386:B386"/>
    <mergeCell ref="D386:E386"/>
    <mergeCell ref="I386:J386"/>
    <mergeCell ref="A381:B381"/>
    <mergeCell ref="D381:E381"/>
    <mergeCell ref="I381:J381"/>
    <mergeCell ref="A382:B382"/>
    <mergeCell ref="D382:E382"/>
    <mergeCell ref="I382:J382"/>
    <mergeCell ref="A383:B383"/>
    <mergeCell ref="D383:E383"/>
    <mergeCell ref="I383:J383"/>
    <mergeCell ref="A36:B36"/>
    <mergeCell ref="C36:J36"/>
    <mergeCell ref="C98:J98"/>
    <mergeCell ref="A99:B99"/>
    <mergeCell ref="D99:E99"/>
    <mergeCell ref="F99:G99"/>
    <mergeCell ref="H99:J99"/>
    <mergeCell ref="A100:B100"/>
    <mergeCell ref="D100:E100"/>
    <mergeCell ref="F100:G109"/>
    <mergeCell ref="H100:J109"/>
    <mergeCell ref="A101:B101"/>
    <mergeCell ref="D101:E101"/>
    <mergeCell ref="A102:B102"/>
    <mergeCell ref="D102:E102"/>
    <mergeCell ref="A103:B103"/>
    <mergeCell ref="D103:E103"/>
    <mergeCell ref="A104:B104"/>
    <mergeCell ref="D104:E104"/>
    <mergeCell ref="A105:B105"/>
    <mergeCell ref="D105:E105"/>
    <mergeCell ref="A56:J56"/>
    <mergeCell ref="A37:J37"/>
    <mergeCell ref="A39:E39"/>
    <mergeCell ref="I431:J431"/>
    <mergeCell ref="A428:B428"/>
    <mergeCell ref="D428:E428"/>
    <mergeCell ref="A278:J278"/>
    <mergeCell ref="A279:J279"/>
    <mergeCell ref="A280:J280"/>
    <mergeCell ref="A156:B156"/>
    <mergeCell ref="D156:F156"/>
    <mergeCell ref="G156:J156"/>
    <mergeCell ref="A272:J272"/>
    <mergeCell ref="A273:J273"/>
    <mergeCell ref="A274:J274"/>
    <mergeCell ref="A275:J275"/>
    <mergeCell ref="A431:B431"/>
    <mergeCell ref="D431:E431"/>
    <mergeCell ref="I428:J428"/>
    <mergeCell ref="A429:B429"/>
    <mergeCell ref="I211:J216"/>
    <mergeCell ref="I218:J223"/>
    <mergeCell ref="A421:B421"/>
    <mergeCell ref="D421:E421"/>
    <mergeCell ref="I421:J421"/>
    <mergeCell ref="A418:B418"/>
    <mergeCell ref="D418:E418"/>
    <mergeCell ref="A414:B414"/>
    <mergeCell ref="D414:E414"/>
    <mergeCell ref="I414:J414"/>
    <mergeCell ref="A415:B415"/>
    <mergeCell ref="D415:E415"/>
    <mergeCell ref="I415:J415"/>
    <mergeCell ref="A96:B96"/>
    <mergeCell ref="C96:J96"/>
    <mergeCell ref="E97:F97"/>
    <mergeCell ref="I97:J97"/>
    <mergeCell ref="A98:B98"/>
    <mergeCell ref="A106:B106"/>
    <mergeCell ref="D106:E106"/>
    <mergeCell ref="A107:B107"/>
    <mergeCell ref="D107:E107"/>
    <mergeCell ref="A387:B387"/>
    <mergeCell ref="D387:E387"/>
    <mergeCell ref="I387:J387"/>
    <mergeCell ref="A384:B384"/>
    <mergeCell ref="D384:E384"/>
    <mergeCell ref="I384:J384"/>
    <mergeCell ref="A385:B385"/>
    <mergeCell ref="D385:E385"/>
    <mergeCell ref="A276:J276"/>
    <mergeCell ref="I418:J418"/>
    <mergeCell ref="A419:B419"/>
    <mergeCell ref="D419:E419"/>
    <mergeCell ref="I419:J419"/>
    <mergeCell ref="A420:B420"/>
    <mergeCell ref="A416:B416"/>
    <mergeCell ref="D416:E416"/>
    <mergeCell ref="I416:J416"/>
    <mergeCell ref="A417:B417"/>
    <mergeCell ref="D417:E417"/>
    <mergeCell ref="I417:J417"/>
    <mergeCell ref="D420:E420"/>
    <mergeCell ref="I420:J420"/>
    <mergeCell ref="A424:B424"/>
    <mergeCell ref="D424:E424"/>
    <mergeCell ref="I424:J424"/>
    <mergeCell ref="A425:B425"/>
    <mergeCell ref="D425:E425"/>
    <mergeCell ref="I425:J425"/>
    <mergeCell ref="A422:B422"/>
    <mergeCell ref="D422:E422"/>
    <mergeCell ref="I422:J422"/>
    <mergeCell ref="A423:B423"/>
    <mergeCell ref="D423:E423"/>
    <mergeCell ref="I423:J423"/>
    <mergeCell ref="A277:J277"/>
    <mergeCell ref="A78:C78"/>
    <mergeCell ref="D78:J78"/>
    <mergeCell ref="A242:B242"/>
    <mergeCell ref="D242:E242"/>
    <mergeCell ref="A206:B206"/>
    <mergeCell ref="D206:E206"/>
    <mergeCell ref="A207:B207"/>
    <mergeCell ref="D207:E207"/>
    <mergeCell ref="A208:B208"/>
    <mergeCell ref="D208:E208"/>
    <mergeCell ref="A198:B198"/>
    <mergeCell ref="D198:E198"/>
    <mergeCell ref="A199:B199"/>
    <mergeCell ref="A200:J200"/>
    <mergeCell ref="A201:J201"/>
    <mergeCell ref="A202:B202"/>
    <mergeCell ref="D197:E197"/>
    <mergeCell ref="A186:J186"/>
    <mergeCell ref="I187:J192"/>
    <mergeCell ref="I194:J199"/>
    <mergeCell ref="A192:B192"/>
    <mergeCell ref="A187:B187"/>
    <mergeCell ref="D187:E187"/>
    <mergeCell ref="D429:E429"/>
    <mergeCell ref="I429:J429"/>
    <mergeCell ref="A426:B426"/>
    <mergeCell ref="D426:E426"/>
    <mergeCell ref="I426:J426"/>
    <mergeCell ref="A427:B427"/>
    <mergeCell ref="D427:E427"/>
    <mergeCell ref="I427:J427"/>
    <mergeCell ref="A430:B430"/>
    <mergeCell ref="D430:E430"/>
    <mergeCell ref="I430:J430"/>
    <mergeCell ref="A412:B412"/>
    <mergeCell ref="D412:E412"/>
    <mergeCell ref="I412:J412"/>
    <mergeCell ref="A413:B413"/>
    <mergeCell ref="D413:E413"/>
    <mergeCell ref="I413:J413"/>
    <mergeCell ref="A411:B411"/>
    <mergeCell ref="D411:E411"/>
    <mergeCell ref="I411:J411"/>
    <mergeCell ref="G325:J325"/>
    <mergeCell ref="B325:E325"/>
    <mergeCell ref="A327:B327"/>
    <mergeCell ref="D327:E327"/>
    <mergeCell ref="I327:J327"/>
    <mergeCell ref="A326:B326"/>
    <mergeCell ref="D326:E326"/>
    <mergeCell ref="I326:J326"/>
    <mergeCell ref="A341:B341"/>
    <mergeCell ref="D341:E341"/>
    <mergeCell ref="I341:J341"/>
    <mergeCell ref="A345:B345"/>
    <mergeCell ref="A323:B323"/>
    <mergeCell ref="D323:E323"/>
    <mergeCell ref="I323:J323"/>
    <mergeCell ref="A324:B324"/>
    <mergeCell ref="D324:E324"/>
    <mergeCell ref="I324:J324"/>
    <mergeCell ref="A321:B321"/>
    <mergeCell ref="D321:E321"/>
    <mergeCell ref="I321:J321"/>
    <mergeCell ref="A322:B322"/>
    <mergeCell ref="D322:E322"/>
    <mergeCell ref="I322:J322"/>
    <mergeCell ref="D345:E345"/>
    <mergeCell ref="I345:J345"/>
    <mergeCell ref="A342:B342"/>
    <mergeCell ref="D342:E342"/>
    <mergeCell ref="I342:J342"/>
    <mergeCell ref="A343:B343"/>
    <mergeCell ref="D343:E343"/>
    <mergeCell ref="I343:J343"/>
    <mergeCell ref="A344:B344"/>
    <mergeCell ref="D344:E344"/>
    <mergeCell ref="I344:J344"/>
    <mergeCell ref="A319:B319"/>
    <mergeCell ref="D319:E319"/>
    <mergeCell ref="I319:J319"/>
    <mergeCell ref="A320:B320"/>
    <mergeCell ref="D320:E320"/>
    <mergeCell ref="I320:J320"/>
    <mergeCell ref="A317:B317"/>
    <mergeCell ref="D317:E317"/>
    <mergeCell ref="I317:J317"/>
    <mergeCell ref="A318:B318"/>
    <mergeCell ref="D318:E318"/>
    <mergeCell ref="I318:J318"/>
    <mergeCell ref="A315:B315"/>
    <mergeCell ref="D315:E315"/>
    <mergeCell ref="I315:J315"/>
    <mergeCell ref="A316:B316"/>
    <mergeCell ref="D316:E316"/>
    <mergeCell ref="I316:J316"/>
    <mergeCell ref="A313:B313"/>
    <mergeCell ref="D313:E313"/>
    <mergeCell ref="I313:J313"/>
    <mergeCell ref="A314:B314"/>
    <mergeCell ref="D314:E314"/>
    <mergeCell ref="I314:J314"/>
    <mergeCell ref="F314:G314"/>
    <mergeCell ref="A311:B311"/>
    <mergeCell ref="D311:E311"/>
    <mergeCell ref="I311:J311"/>
    <mergeCell ref="A312:B312"/>
    <mergeCell ref="D312:E312"/>
    <mergeCell ref="I312:J312"/>
    <mergeCell ref="A309:B309"/>
    <mergeCell ref="D309:E309"/>
    <mergeCell ref="I309:J309"/>
    <mergeCell ref="A310:B310"/>
    <mergeCell ref="D310:E310"/>
    <mergeCell ref="I310:J310"/>
    <mergeCell ref="A307:B307"/>
    <mergeCell ref="D307:E307"/>
    <mergeCell ref="I307:J307"/>
    <mergeCell ref="A308:B308"/>
    <mergeCell ref="D308:E308"/>
    <mergeCell ref="I308:J308"/>
    <mergeCell ref="A305:B305"/>
    <mergeCell ref="D305:E305"/>
    <mergeCell ref="I305:J305"/>
    <mergeCell ref="A306:B306"/>
    <mergeCell ref="D306:E306"/>
    <mergeCell ref="I306:J306"/>
    <mergeCell ref="A303:B303"/>
    <mergeCell ref="D303:E303"/>
    <mergeCell ref="I303:J303"/>
    <mergeCell ref="A304:B304"/>
    <mergeCell ref="I304:J304"/>
    <mergeCell ref="A301:B301"/>
    <mergeCell ref="D301:E301"/>
    <mergeCell ref="I301:J301"/>
    <mergeCell ref="A302:B302"/>
    <mergeCell ref="D302:E302"/>
    <mergeCell ref="I302:J302"/>
    <mergeCell ref="D304:F304"/>
    <mergeCell ref="A299:B299"/>
    <mergeCell ref="D299:E299"/>
    <mergeCell ref="I299:J299"/>
    <mergeCell ref="A300:B300"/>
    <mergeCell ref="D300:E300"/>
    <mergeCell ref="I300:J300"/>
    <mergeCell ref="A297:B297"/>
    <mergeCell ref="D297:E297"/>
    <mergeCell ref="I297:J297"/>
    <mergeCell ref="A298:B298"/>
    <mergeCell ref="D298:E298"/>
    <mergeCell ref="I298:J298"/>
    <mergeCell ref="A295:B295"/>
    <mergeCell ref="D295:E295"/>
    <mergeCell ref="I295:J295"/>
    <mergeCell ref="A296:B296"/>
    <mergeCell ref="D296:E296"/>
    <mergeCell ref="I296:J296"/>
    <mergeCell ref="A204:B204"/>
    <mergeCell ref="D204:E204"/>
    <mergeCell ref="A205:B205"/>
    <mergeCell ref="A237:B237"/>
    <mergeCell ref="D237:E237"/>
    <mergeCell ref="A241:B241"/>
    <mergeCell ref="D241:E241"/>
    <mergeCell ref="A229:J229"/>
    <mergeCell ref="A230:B230"/>
    <mergeCell ref="D230:E230"/>
    <mergeCell ref="A231:B231"/>
    <mergeCell ref="D231:E231"/>
    <mergeCell ref="A238:J238"/>
    <mergeCell ref="A239:B239"/>
    <mergeCell ref="D239:E239"/>
    <mergeCell ref="A236:B236"/>
    <mergeCell ref="D236:E236"/>
    <mergeCell ref="D205:E205"/>
    <mergeCell ref="D199:E199"/>
    <mergeCell ref="A193:J193"/>
    <mergeCell ref="A194:B194"/>
    <mergeCell ref="D194:E194"/>
    <mergeCell ref="A195:B195"/>
    <mergeCell ref="D195:E195"/>
    <mergeCell ref="A196:B196"/>
    <mergeCell ref="D196:E196"/>
    <mergeCell ref="A197:B197"/>
    <mergeCell ref="D192:E192"/>
    <mergeCell ref="A190:B190"/>
    <mergeCell ref="D190:E190"/>
    <mergeCell ref="A191:B191"/>
    <mergeCell ref="D191:E191"/>
    <mergeCell ref="A188:B188"/>
    <mergeCell ref="D188:E188"/>
    <mergeCell ref="A189:B189"/>
    <mergeCell ref="D189:E189"/>
    <mergeCell ref="A176:J176"/>
    <mergeCell ref="A182:B182"/>
    <mergeCell ref="D182:E182"/>
    <mergeCell ref="A181:B181"/>
    <mergeCell ref="D181:E181"/>
    <mergeCell ref="A179:B179"/>
    <mergeCell ref="D179:E179"/>
    <mergeCell ref="A180:B180"/>
    <mergeCell ref="D180:E180"/>
    <mergeCell ref="A178:B178"/>
    <mergeCell ref="D178:E178"/>
    <mergeCell ref="A177:J177"/>
    <mergeCell ref="I178:J185"/>
    <mergeCell ref="A185:B185"/>
    <mergeCell ref="D185:E185"/>
    <mergeCell ref="A183:B183"/>
    <mergeCell ref="D183:E183"/>
    <mergeCell ref="A184:B184"/>
    <mergeCell ref="D184:E184"/>
    <mergeCell ref="A163:B163"/>
    <mergeCell ref="D163:F163"/>
    <mergeCell ref="G163:J163"/>
    <mergeCell ref="A172:J172"/>
    <mergeCell ref="A173:J173"/>
    <mergeCell ref="A162:B162"/>
    <mergeCell ref="A174:B174"/>
    <mergeCell ref="D174:E174"/>
    <mergeCell ref="I174:J174"/>
    <mergeCell ref="A164:B164"/>
    <mergeCell ref="D164:F164"/>
    <mergeCell ref="G164:J164"/>
    <mergeCell ref="A161:B161"/>
    <mergeCell ref="D161:F161"/>
    <mergeCell ref="G161:J161"/>
    <mergeCell ref="D162:F162"/>
    <mergeCell ref="G162:J162"/>
    <mergeCell ref="A154:B154"/>
    <mergeCell ref="D154:F154"/>
    <mergeCell ref="G154:J154"/>
    <mergeCell ref="A155:B155"/>
    <mergeCell ref="D155:F155"/>
    <mergeCell ref="G155:J155"/>
    <mergeCell ref="A158:J158"/>
    <mergeCell ref="A157:B157"/>
    <mergeCell ref="D157:F157"/>
    <mergeCell ref="G157:J157"/>
    <mergeCell ref="A160:B160"/>
    <mergeCell ref="A159:B159"/>
    <mergeCell ref="D159:F159"/>
    <mergeCell ref="G159:J159"/>
    <mergeCell ref="D160:F160"/>
    <mergeCell ref="G160:J160"/>
    <mergeCell ref="A153:J153"/>
    <mergeCell ref="A150:F150"/>
    <mergeCell ref="G150:J150"/>
    <mergeCell ref="A147:F147"/>
    <mergeCell ref="G147:J147"/>
    <mergeCell ref="A148:F148"/>
    <mergeCell ref="G148:J148"/>
    <mergeCell ref="A149:F149"/>
    <mergeCell ref="G149:J149"/>
    <mergeCell ref="A151:F151"/>
    <mergeCell ref="G151:J151"/>
    <mergeCell ref="A145:F145"/>
    <mergeCell ref="G145:J145"/>
    <mergeCell ref="A146:F146"/>
    <mergeCell ref="G146:J146"/>
    <mergeCell ref="A143:F143"/>
    <mergeCell ref="G143:J143"/>
    <mergeCell ref="A141:J141"/>
    <mergeCell ref="A142:F142"/>
    <mergeCell ref="G142:J142"/>
    <mergeCell ref="A139:J139"/>
    <mergeCell ref="A140:B140"/>
    <mergeCell ref="C140:J140"/>
    <mergeCell ref="A79:J79"/>
    <mergeCell ref="A138:J138"/>
    <mergeCell ref="A69:J69"/>
    <mergeCell ref="A70:C70"/>
    <mergeCell ref="D70:E70"/>
    <mergeCell ref="A144:F144"/>
    <mergeCell ref="G144:J144"/>
    <mergeCell ref="C73:C74"/>
    <mergeCell ref="D74:J74"/>
    <mergeCell ref="A75:B77"/>
    <mergeCell ref="D75:J75"/>
    <mergeCell ref="C76:C77"/>
    <mergeCell ref="D76:J76"/>
    <mergeCell ref="D77:J77"/>
    <mergeCell ref="A124:B124"/>
    <mergeCell ref="C124:J124"/>
    <mergeCell ref="A86:B86"/>
    <mergeCell ref="D86:E86"/>
    <mergeCell ref="F86:G95"/>
    <mergeCell ref="H86:J95"/>
    <mergeCell ref="A87:B87"/>
    <mergeCell ref="F39:J39"/>
    <mergeCell ref="A41:J41"/>
    <mergeCell ref="H66:J66"/>
    <mergeCell ref="A66:B66"/>
    <mergeCell ref="C66:F66"/>
    <mergeCell ref="A42:E42"/>
    <mergeCell ref="F42:J42"/>
    <mergeCell ref="H62:J62"/>
    <mergeCell ref="H59:J59"/>
    <mergeCell ref="A59:B59"/>
    <mergeCell ref="C59:F59"/>
    <mergeCell ref="C60:F60"/>
    <mergeCell ref="A62:B62"/>
    <mergeCell ref="C62:F62"/>
    <mergeCell ref="A44:E44"/>
    <mergeCell ref="F44:J44"/>
    <mergeCell ref="A45:E45"/>
    <mergeCell ref="F45:J45"/>
    <mergeCell ref="A46:E46"/>
    <mergeCell ref="F46:J46"/>
    <mergeCell ref="A47:E47"/>
    <mergeCell ref="F47:J47"/>
    <mergeCell ref="A40:J40"/>
    <mergeCell ref="A48:J48"/>
    <mergeCell ref="A35:B35"/>
    <mergeCell ref="C35:J35"/>
    <mergeCell ref="A18:B18"/>
    <mergeCell ref="C18:E18"/>
    <mergeCell ref="F18:G18"/>
    <mergeCell ref="H18:J18"/>
    <mergeCell ref="A27:E27"/>
    <mergeCell ref="A28:E28"/>
    <mergeCell ref="F28:J28"/>
    <mergeCell ref="F27:J27"/>
    <mergeCell ref="A29:E29"/>
    <mergeCell ref="F29:J29"/>
    <mergeCell ref="A26:E26"/>
    <mergeCell ref="F26:J26"/>
    <mergeCell ref="A20:B20"/>
    <mergeCell ref="C20:E20"/>
    <mergeCell ref="F20:G20"/>
    <mergeCell ref="H20:J20"/>
    <mergeCell ref="A22:E23"/>
    <mergeCell ref="F22:J23"/>
    <mergeCell ref="A24:E25"/>
    <mergeCell ref="F24:J25"/>
    <mergeCell ref="F13:J13"/>
    <mergeCell ref="A16:B16"/>
    <mergeCell ref="C16:J16"/>
    <mergeCell ref="C17:J17"/>
    <mergeCell ref="A21:B21"/>
    <mergeCell ref="C21:E21"/>
    <mergeCell ref="F21:G21"/>
    <mergeCell ref="H21:J21"/>
    <mergeCell ref="A34:J34"/>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282:J285"/>
    <mergeCell ref="A281:B281"/>
    <mergeCell ref="E281:G281"/>
    <mergeCell ref="C281:D281"/>
    <mergeCell ref="H281:J281"/>
    <mergeCell ref="A19:B19"/>
    <mergeCell ref="C19:E19"/>
    <mergeCell ref="F19:G19"/>
    <mergeCell ref="H19:J19"/>
    <mergeCell ref="A30:B30"/>
    <mergeCell ref="C30:D30"/>
    <mergeCell ref="E30:F30"/>
    <mergeCell ref="G30:H30"/>
    <mergeCell ref="I30:J30"/>
    <mergeCell ref="A31:B31"/>
    <mergeCell ref="C31:D31"/>
    <mergeCell ref="E31:F31"/>
    <mergeCell ref="G31:H31"/>
    <mergeCell ref="I31:J31"/>
    <mergeCell ref="A43:E43"/>
    <mergeCell ref="F43:J43"/>
    <mergeCell ref="A38:E38"/>
    <mergeCell ref="F38:J38"/>
    <mergeCell ref="A33:J33"/>
    <mergeCell ref="A209:B209"/>
    <mergeCell ref="D209:E209"/>
    <mergeCell ref="A210:J210"/>
    <mergeCell ref="A211:B211"/>
    <mergeCell ref="D211:E211"/>
    <mergeCell ref="A212:B212"/>
    <mergeCell ref="D212:E212"/>
    <mergeCell ref="A213:B213"/>
    <mergeCell ref="D213:E213"/>
    <mergeCell ref="I202:J209"/>
    <mergeCell ref="D202:E202"/>
    <mergeCell ref="A203:B203"/>
    <mergeCell ref="D203:E203"/>
    <mergeCell ref="A240:B240"/>
    <mergeCell ref="D240:E240"/>
    <mergeCell ref="A232:B232"/>
    <mergeCell ref="D232:E232"/>
    <mergeCell ref="A233:B233"/>
    <mergeCell ref="D233:E233"/>
    <mergeCell ref="A227:B227"/>
    <mergeCell ref="D227:E227"/>
    <mergeCell ref="A235:J235"/>
    <mergeCell ref="I227:J228"/>
    <mergeCell ref="I236:J237"/>
    <mergeCell ref="I230:J233"/>
    <mergeCell ref="I239:J242"/>
    <mergeCell ref="A214:B214"/>
    <mergeCell ref="D214:E214"/>
    <mergeCell ref="A215:B215"/>
    <mergeCell ref="D215:E215"/>
    <mergeCell ref="A216:B216"/>
    <mergeCell ref="A226:J226"/>
    <mergeCell ref="A234:J234"/>
    <mergeCell ref="A225:J225"/>
    <mergeCell ref="A228:B228"/>
    <mergeCell ref="D228:E228"/>
    <mergeCell ref="D216:E216"/>
    <mergeCell ref="A217:J217"/>
    <mergeCell ref="A218:B218"/>
    <mergeCell ref="D218:E218"/>
    <mergeCell ref="A49:J49"/>
    <mergeCell ref="A50:E50"/>
    <mergeCell ref="F50:J50"/>
    <mergeCell ref="A51:E51"/>
    <mergeCell ref="F51:J51"/>
    <mergeCell ref="A10:E10"/>
    <mergeCell ref="F10:J10"/>
    <mergeCell ref="A11:E12"/>
    <mergeCell ref="F11:G11"/>
    <mergeCell ref="H11:J11"/>
    <mergeCell ref="F12:G12"/>
    <mergeCell ref="H12:J12"/>
    <mergeCell ref="A14:E15"/>
    <mergeCell ref="F14:G14"/>
    <mergeCell ref="F15:G15"/>
    <mergeCell ref="H14:J14"/>
    <mergeCell ref="H15:J15"/>
    <mergeCell ref="A32:B32"/>
    <mergeCell ref="C32:D32"/>
    <mergeCell ref="E32:F32"/>
    <mergeCell ref="G32:H32"/>
    <mergeCell ref="I32:J32"/>
    <mergeCell ref="A17:B17"/>
    <mergeCell ref="A13:E13"/>
    <mergeCell ref="A52:E52"/>
    <mergeCell ref="F52:J52"/>
    <mergeCell ref="A53:E53"/>
    <mergeCell ref="F53:J53"/>
    <mergeCell ref="A54:E54"/>
    <mergeCell ref="F54:J54"/>
    <mergeCell ref="A55:E55"/>
    <mergeCell ref="F55:J55"/>
    <mergeCell ref="A340:B340"/>
    <mergeCell ref="D340:E340"/>
    <mergeCell ref="I340:J340"/>
    <mergeCell ref="B67:D68"/>
    <mergeCell ref="E67:F67"/>
    <mergeCell ref="E68:F68"/>
    <mergeCell ref="A64:B65"/>
    <mergeCell ref="C64:F64"/>
    <mergeCell ref="H64:J64"/>
    <mergeCell ref="C65:J65"/>
    <mergeCell ref="I68:J68"/>
    <mergeCell ref="G67:H68"/>
    <mergeCell ref="A72:B74"/>
    <mergeCell ref="A60:B61"/>
    <mergeCell ref="C61:J61"/>
    <mergeCell ref="H60:J60"/>
    <mergeCell ref="A346:B346"/>
    <mergeCell ref="D346:E346"/>
    <mergeCell ref="I346:J346"/>
    <mergeCell ref="A347:B347"/>
    <mergeCell ref="D347:E347"/>
    <mergeCell ref="I347:J347"/>
    <mergeCell ref="A348:B348"/>
    <mergeCell ref="D348:E348"/>
    <mergeCell ref="I348:J348"/>
    <mergeCell ref="A349:B349"/>
    <mergeCell ref="D349:E349"/>
    <mergeCell ref="I349:J349"/>
    <mergeCell ref="A350:B350"/>
    <mergeCell ref="D350:E350"/>
    <mergeCell ref="I350:J350"/>
    <mergeCell ref="A351:B351"/>
    <mergeCell ref="D351:E351"/>
    <mergeCell ref="I351:J351"/>
    <mergeCell ref="A352:B352"/>
    <mergeCell ref="D352:E352"/>
    <mergeCell ref="I352:J352"/>
    <mergeCell ref="A353:B353"/>
    <mergeCell ref="D353:E353"/>
    <mergeCell ref="I353:J353"/>
    <mergeCell ref="A354:B354"/>
    <mergeCell ref="D354:E354"/>
    <mergeCell ref="I354:J354"/>
    <mergeCell ref="A355:B355"/>
    <mergeCell ref="D355:E355"/>
    <mergeCell ref="I355:J355"/>
    <mergeCell ref="A356:B356"/>
    <mergeCell ref="D356:E356"/>
    <mergeCell ref="I356:J356"/>
    <mergeCell ref="A357:B357"/>
    <mergeCell ref="D357:E357"/>
    <mergeCell ref="I357:J357"/>
    <mergeCell ref="A367:B367"/>
    <mergeCell ref="D367:E367"/>
    <mergeCell ref="I367:J367"/>
    <mergeCell ref="A63:B63"/>
    <mergeCell ref="C63:F63"/>
    <mergeCell ref="H63:J63"/>
    <mergeCell ref="A58:B58"/>
    <mergeCell ref="C58:F58"/>
    <mergeCell ref="H58:J58"/>
    <mergeCell ref="A71:C71"/>
    <mergeCell ref="D71:E71"/>
    <mergeCell ref="F70:G71"/>
    <mergeCell ref="D72:J72"/>
    <mergeCell ref="D73:J73"/>
    <mergeCell ref="I67:J67"/>
    <mergeCell ref="A364:B364"/>
    <mergeCell ref="D364:E364"/>
    <mergeCell ref="I364:J364"/>
    <mergeCell ref="A365:B365"/>
    <mergeCell ref="D365:E365"/>
    <mergeCell ref="I365:J365"/>
    <mergeCell ref="A366:B366"/>
    <mergeCell ref="D366:E366"/>
    <mergeCell ref="I366:J366"/>
    <mergeCell ref="D87:E87"/>
    <mergeCell ref="A88:B88"/>
    <mergeCell ref="D88:E88"/>
    <mergeCell ref="A89:B89"/>
    <mergeCell ref="D89:E89"/>
    <mergeCell ref="A90:B90"/>
    <mergeCell ref="D90:E90"/>
    <mergeCell ref="A91:B91"/>
    <mergeCell ref="D91:E91"/>
    <mergeCell ref="A92:B92"/>
    <mergeCell ref="E125:F125"/>
    <mergeCell ref="I125:J125"/>
    <mergeCell ref="A126:B126"/>
    <mergeCell ref="C126:J126"/>
    <mergeCell ref="A127:B127"/>
    <mergeCell ref="D127:E127"/>
    <mergeCell ref="F127:G127"/>
    <mergeCell ref="H127:J127"/>
    <mergeCell ref="A108:B108"/>
    <mergeCell ref="D108:E108"/>
    <mergeCell ref="A109:B109"/>
    <mergeCell ref="D109:E109"/>
    <mergeCell ref="A110:B110"/>
    <mergeCell ref="C110:J110"/>
    <mergeCell ref="E111:F111"/>
    <mergeCell ref="I111:J111"/>
    <mergeCell ref="A112:B112"/>
    <mergeCell ref="C112:J112"/>
    <mergeCell ref="A113:B113"/>
    <mergeCell ref="D113:E113"/>
    <mergeCell ref="F113:G113"/>
    <mergeCell ref="H113:J113"/>
    <mergeCell ref="A114:B114"/>
    <mergeCell ref="A128:B128"/>
    <mergeCell ref="D128:E128"/>
    <mergeCell ref="F128:G137"/>
    <mergeCell ref="H128:J137"/>
    <mergeCell ref="A129:B129"/>
    <mergeCell ref="D129:E129"/>
    <mergeCell ref="A130:B130"/>
    <mergeCell ref="D130:E130"/>
    <mergeCell ref="A131:B131"/>
    <mergeCell ref="D131:E131"/>
    <mergeCell ref="A132:B132"/>
    <mergeCell ref="D132:E132"/>
    <mergeCell ref="A133:B133"/>
    <mergeCell ref="D133:E133"/>
    <mergeCell ref="A134:B134"/>
    <mergeCell ref="D134:E134"/>
    <mergeCell ref="A244:J244"/>
    <mergeCell ref="A245:J245"/>
    <mergeCell ref="A246:J246"/>
    <mergeCell ref="A247:J247"/>
    <mergeCell ref="A135:B135"/>
    <mergeCell ref="D135:E135"/>
    <mergeCell ref="A136:B136"/>
    <mergeCell ref="D136:E136"/>
    <mergeCell ref="A137:B137"/>
    <mergeCell ref="D137:E137"/>
    <mergeCell ref="A175:J175"/>
    <mergeCell ref="A152:J152"/>
    <mergeCell ref="A243:J243"/>
    <mergeCell ref="A224:J224"/>
    <mergeCell ref="A219:B219"/>
    <mergeCell ref="D219:E219"/>
    <mergeCell ref="A220:B220"/>
    <mergeCell ref="D220:E220"/>
    <mergeCell ref="A221:B221"/>
    <mergeCell ref="D221:E221"/>
    <mergeCell ref="A222:B222"/>
    <mergeCell ref="D222:E222"/>
    <mergeCell ref="A223:B223"/>
    <mergeCell ref="D223:E223"/>
    <mergeCell ref="A248:B248"/>
    <mergeCell ref="D248:E248"/>
    <mergeCell ref="I248:J251"/>
    <mergeCell ref="A249:B249"/>
    <mergeCell ref="D249:E249"/>
    <mergeCell ref="A250:B250"/>
    <mergeCell ref="D250:E250"/>
    <mergeCell ref="A251:B251"/>
    <mergeCell ref="D251:E251"/>
    <mergeCell ref="A252:J252"/>
    <mergeCell ref="A253:J253"/>
    <mergeCell ref="A254:J254"/>
    <mergeCell ref="A255:B255"/>
    <mergeCell ref="D255:E255"/>
    <mergeCell ref="I255:J258"/>
    <mergeCell ref="A256:B256"/>
    <mergeCell ref="D256:E256"/>
    <mergeCell ref="A257:B257"/>
    <mergeCell ref="D257:E257"/>
    <mergeCell ref="A258:B258"/>
    <mergeCell ref="D258:E258"/>
    <mergeCell ref="A268:B268"/>
    <mergeCell ref="D268:E268"/>
    <mergeCell ref="A261:B261"/>
    <mergeCell ref="D261:E261"/>
    <mergeCell ref="I261:J263"/>
    <mergeCell ref="A262:B262"/>
    <mergeCell ref="D262:E262"/>
    <mergeCell ref="A263:B263"/>
    <mergeCell ref="D263:E263"/>
    <mergeCell ref="A259:J259"/>
    <mergeCell ref="A260:J260"/>
    <mergeCell ref="A264:J264"/>
    <mergeCell ref="A265:B265"/>
    <mergeCell ref="D265:E265"/>
    <mergeCell ref="A266:B266"/>
    <mergeCell ref="D266:E266"/>
    <mergeCell ref="A267:B267"/>
    <mergeCell ref="D267:E267"/>
    <mergeCell ref="F83:G84"/>
    <mergeCell ref="H83:J84"/>
    <mergeCell ref="A269:B269"/>
    <mergeCell ref="D269:E269"/>
    <mergeCell ref="A270:B270"/>
    <mergeCell ref="D270:E270"/>
    <mergeCell ref="I265:J270"/>
    <mergeCell ref="K237:L237"/>
    <mergeCell ref="A165:J165"/>
    <mergeCell ref="A166:J166"/>
    <mergeCell ref="A167:B167"/>
    <mergeCell ref="D167:F167"/>
    <mergeCell ref="G167:J167"/>
    <mergeCell ref="D168:F168"/>
    <mergeCell ref="G168:J168"/>
    <mergeCell ref="A170:B170"/>
    <mergeCell ref="D170:F170"/>
    <mergeCell ref="G170:J170"/>
    <mergeCell ref="A171:B171"/>
    <mergeCell ref="D171:F171"/>
    <mergeCell ref="G171:J171"/>
    <mergeCell ref="A168:A169"/>
    <mergeCell ref="D169:F169"/>
    <mergeCell ref="G169:J169"/>
    <mergeCell ref="A271:J271"/>
    <mergeCell ref="A57:B57"/>
    <mergeCell ref="C57:J57"/>
    <mergeCell ref="D92:E92"/>
    <mergeCell ref="A93:B93"/>
    <mergeCell ref="D93:E93"/>
    <mergeCell ref="A94:B94"/>
    <mergeCell ref="D94:E94"/>
    <mergeCell ref="A95:B95"/>
    <mergeCell ref="D95:E95"/>
    <mergeCell ref="A83:B84"/>
    <mergeCell ref="C83:E84"/>
    <mergeCell ref="I70:J70"/>
    <mergeCell ref="I71:J71"/>
    <mergeCell ref="A80:B80"/>
    <mergeCell ref="C80:J80"/>
    <mergeCell ref="E81:F81"/>
    <mergeCell ref="I81:J81"/>
    <mergeCell ref="A82:B82"/>
    <mergeCell ref="C82:J82"/>
    <mergeCell ref="A85:B85"/>
    <mergeCell ref="D85:E85"/>
    <mergeCell ref="F85:G85"/>
    <mergeCell ref="H85:J85"/>
    <mergeCell ref="D114:E114"/>
    <mergeCell ref="F114:G123"/>
    <mergeCell ref="H114:J123"/>
    <mergeCell ref="A115:B115"/>
    <mergeCell ref="D115:E115"/>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23:B123"/>
    <mergeCell ref="D123:E123"/>
  </mergeCells>
  <hyperlinks>
    <hyperlink ref="C36" r:id="rId1" xr:uid="{00000000-0004-0000-0000-000000000000}"/>
  </hyperlinks>
  <pageMargins left="0.39370078740157483" right="0.39370078740157483" top="0.78740157480314965" bottom="0.78740157480314965" header="0.19685039370078741" footer="0.19685039370078741"/>
  <pageSetup paperSize="9" scale="91" fitToHeight="0" orientation="portrait" r:id="rId2"/>
  <headerFooter>
    <oddHeader>&amp;C&amp;G</oddHeader>
    <oddFooter>&amp;L&amp;"Times New Roman,Bold"&amp;12Ref No: &amp;F&amp;C&amp;G&amp;R&amp;"Times New Roman,Bold"&amp;12&amp;P</oddFooter>
  </headerFooter>
  <rowBreaks count="5" manualBreakCount="5">
    <brk id="109" max="16383" man="1"/>
    <brk id="151" max="16383" man="1"/>
    <brk id="285" max="9" man="1"/>
    <brk id="328" max="9" man="1"/>
    <brk id="369"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10" sqref="C10"/>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131</v>
      </c>
      <c r="B2" s="22" t="s">
        <v>132</v>
      </c>
      <c r="C2" s="22" t="s">
        <v>133</v>
      </c>
      <c r="D2" s="292" t="s">
        <v>134</v>
      </c>
      <c r="E2" s="292"/>
    </row>
    <row r="3" spans="1:13" x14ac:dyDescent="0.25">
      <c r="A3" s="25">
        <v>0</v>
      </c>
      <c r="B3" s="25">
        <v>0</v>
      </c>
      <c r="C3" s="25">
        <v>1</v>
      </c>
      <c r="D3" s="294">
        <v>4</v>
      </c>
      <c r="E3" s="294"/>
    </row>
    <row r="5" spans="1:13" hidden="1" x14ac:dyDescent="0.25">
      <c r="A5" s="21" t="s">
        <v>96</v>
      </c>
      <c r="B5" s="23" t="s">
        <v>148</v>
      </c>
      <c r="C5" s="23">
        <f>D3</f>
        <v>4</v>
      </c>
      <c r="D5" s="24"/>
    </row>
    <row r="6" spans="1:13" x14ac:dyDescent="0.25">
      <c r="A6" s="21" t="s">
        <v>97</v>
      </c>
      <c r="B6" s="26">
        <v>10</v>
      </c>
      <c r="C6" s="27">
        <v>10</v>
      </c>
      <c r="D6" s="28">
        <f>((100/B6)*C6)/100</f>
        <v>1</v>
      </c>
    </row>
    <row r="7" spans="1:13" x14ac:dyDescent="0.25">
      <c r="A7" s="21" t="s">
        <v>98</v>
      </c>
      <c r="B7" s="26">
        <f>A3+B3+C3+D3</f>
        <v>5</v>
      </c>
      <c r="C7" s="27">
        <v>5</v>
      </c>
      <c r="D7" s="28">
        <f t="shared" ref="D7:D12" si="0">((100/B7)*C7)/100</f>
        <v>1</v>
      </c>
      <c r="F7" s="295" t="s">
        <v>149</v>
      </c>
      <c r="G7" s="295"/>
      <c r="H7" s="29" t="s">
        <v>150</v>
      </c>
      <c r="J7" s="35"/>
    </row>
    <row r="8" spans="1:13" x14ac:dyDescent="0.25">
      <c r="A8" s="21" t="s">
        <v>103</v>
      </c>
      <c r="B8" s="26">
        <f>C5</f>
        <v>4</v>
      </c>
      <c r="C8" s="27">
        <v>4</v>
      </c>
      <c r="D8" s="28">
        <f t="shared" si="0"/>
        <v>1</v>
      </c>
      <c r="F8" s="293" t="s">
        <v>151</v>
      </c>
      <c r="G8" s="293"/>
      <c r="H8" s="26" t="s">
        <v>152</v>
      </c>
    </row>
    <row r="9" spans="1:13" x14ac:dyDescent="0.25">
      <c r="A9" s="21" t="s">
        <v>105</v>
      </c>
      <c r="B9" s="26">
        <f>C5</f>
        <v>4</v>
      </c>
      <c r="C9" s="27">
        <v>2</v>
      </c>
      <c r="D9" s="28">
        <f t="shared" si="0"/>
        <v>0.5</v>
      </c>
      <c r="F9" s="293" t="s">
        <v>153</v>
      </c>
      <c r="G9" s="293"/>
      <c r="H9" s="26" t="s">
        <v>154</v>
      </c>
    </row>
    <row r="10" spans="1:13" x14ac:dyDescent="0.25">
      <c r="A10" s="21" t="s">
        <v>62</v>
      </c>
      <c r="B10" s="26">
        <f>C5</f>
        <v>4</v>
      </c>
      <c r="C10" s="27">
        <v>0</v>
      </c>
      <c r="D10" s="28">
        <f t="shared" si="0"/>
        <v>0</v>
      </c>
      <c r="F10" s="293" t="s">
        <v>155</v>
      </c>
      <c r="G10" s="293"/>
      <c r="H10" s="26" t="s">
        <v>156</v>
      </c>
    </row>
    <row r="11" spans="1:13" x14ac:dyDescent="0.25">
      <c r="A11" s="30" t="s">
        <v>101</v>
      </c>
      <c r="B11" s="26">
        <f>C5</f>
        <v>4</v>
      </c>
      <c r="C11" s="27">
        <v>0</v>
      </c>
      <c r="D11" s="28">
        <f t="shared" si="0"/>
        <v>0</v>
      </c>
      <c r="F11" s="293" t="s">
        <v>157</v>
      </c>
      <c r="G11" s="293"/>
      <c r="H11" s="26" t="s">
        <v>158</v>
      </c>
    </row>
    <row r="12" spans="1:13" x14ac:dyDescent="0.25">
      <c r="A12" s="21" t="s">
        <v>63</v>
      </c>
      <c r="B12" s="26">
        <f>C5</f>
        <v>4</v>
      </c>
      <c r="C12" s="27">
        <v>0</v>
      </c>
      <c r="D12" s="28">
        <f t="shared" si="0"/>
        <v>0</v>
      </c>
      <c r="F12" s="293" t="s">
        <v>159</v>
      </c>
      <c r="G12" s="293"/>
      <c r="H12" s="26" t="s">
        <v>160</v>
      </c>
    </row>
    <row r="13" spans="1:13" x14ac:dyDescent="0.25">
      <c r="F13" s="293" t="s">
        <v>161</v>
      </c>
      <c r="G13" s="293"/>
      <c r="H13" s="26" t="s">
        <v>162</v>
      </c>
    </row>
    <row r="14" spans="1:13" hidden="1" x14ac:dyDescent="0.25">
      <c r="A14" s="22"/>
      <c r="B14" s="22" t="s">
        <v>102</v>
      </c>
      <c r="C14" s="22" t="s">
        <v>106</v>
      </c>
      <c r="G14" s="22" t="s">
        <v>97</v>
      </c>
      <c r="H14" s="22" t="s">
        <v>99</v>
      </c>
      <c r="I14" s="22" t="s">
        <v>100</v>
      </c>
      <c r="J14" s="22" t="s">
        <v>61</v>
      </c>
      <c r="K14" s="22" t="s">
        <v>62</v>
      </c>
      <c r="L14" s="22" t="s">
        <v>101</v>
      </c>
      <c r="M14" s="22" t="s">
        <v>63</v>
      </c>
    </row>
    <row r="15" spans="1:13" hidden="1" x14ac:dyDescent="0.25">
      <c r="A15" s="22" t="s">
        <v>59</v>
      </c>
      <c r="B15" s="22">
        <f>G15</f>
        <v>10</v>
      </c>
      <c r="C15" s="22">
        <f>G16</f>
        <v>30</v>
      </c>
      <c r="E15" s="292" t="s">
        <v>102</v>
      </c>
      <c r="F15" s="292"/>
      <c r="G15" s="31">
        <f>C6</f>
        <v>10</v>
      </c>
      <c r="H15" s="31">
        <f>40/B7*C7</f>
        <v>40</v>
      </c>
      <c r="I15" s="31">
        <f>15/B8*C8</f>
        <v>15</v>
      </c>
      <c r="J15" s="31">
        <f>10/B9*C9</f>
        <v>5</v>
      </c>
      <c r="K15" s="31">
        <f>10/B10*C10</f>
        <v>0</v>
      </c>
      <c r="L15" s="31">
        <f>5/B11*C11</f>
        <v>0</v>
      </c>
      <c r="M15" s="31">
        <f>5/B12*C12</f>
        <v>0</v>
      </c>
    </row>
    <row r="16" spans="1:13" hidden="1" x14ac:dyDescent="0.25">
      <c r="A16" s="22" t="s">
        <v>60</v>
      </c>
      <c r="B16" s="22">
        <f>H15</f>
        <v>40</v>
      </c>
      <c r="C16" s="22">
        <f>H16</f>
        <v>30</v>
      </c>
      <c r="E16" s="292" t="s">
        <v>104</v>
      </c>
      <c r="F16" s="292"/>
      <c r="G16" s="22">
        <f>G15+20</f>
        <v>30</v>
      </c>
      <c r="H16" s="22">
        <f>30/B7*C7</f>
        <v>30</v>
      </c>
      <c r="I16" s="22">
        <f>15/B8*C8</f>
        <v>15</v>
      </c>
      <c r="J16" s="22">
        <f>10/B9*C9</f>
        <v>5</v>
      </c>
      <c r="K16" s="22">
        <f>5/B10*C10</f>
        <v>0</v>
      </c>
      <c r="L16" s="22">
        <f>5/B11*C11</f>
        <v>0</v>
      </c>
      <c r="M16" s="22">
        <f>5/B12*C12</f>
        <v>0</v>
      </c>
    </row>
    <row r="17" spans="1:8" hidden="1" x14ac:dyDescent="0.25">
      <c r="A17" s="22" t="s">
        <v>100</v>
      </c>
      <c r="B17" s="22">
        <f>I15</f>
        <v>15</v>
      </c>
      <c r="C17" s="22">
        <f>I16</f>
        <v>15</v>
      </c>
    </row>
    <row r="18" spans="1:8" hidden="1" x14ac:dyDescent="0.25">
      <c r="A18" s="22" t="s">
        <v>61</v>
      </c>
      <c r="B18" s="22">
        <f>J15</f>
        <v>5</v>
      </c>
      <c r="C18" s="22">
        <f>J16</f>
        <v>5</v>
      </c>
    </row>
    <row r="19" spans="1:8" hidden="1" x14ac:dyDescent="0.25">
      <c r="A19" s="22" t="s">
        <v>62</v>
      </c>
      <c r="B19" s="22">
        <f>K15</f>
        <v>0</v>
      </c>
      <c r="C19" s="22">
        <f>K16</f>
        <v>0</v>
      </c>
    </row>
    <row r="20" spans="1:8" hidden="1" x14ac:dyDescent="0.25">
      <c r="A20" s="32" t="s">
        <v>101</v>
      </c>
      <c r="B20" s="22">
        <f>L15</f>
        <v>0</v>
      </c>
      <c r="C20" s="22">
        <f>L16</f>
        <v>0</v>
      </c>
    </row>
    <row r="21" spans="1:8" hidden="1" x14ac:dyDescent="0.25">
      <c r="A21" s="22" t="s">
        <v>63</v>
      </c>
      <c r="B21" s="22">
        <f>M15</f>
        <v>0</v>
      </c>
      <c r="C21" s="22">
        <f>M16</f>
        <v>0</v>
      </c>
    </row>
    <row r="22" spans="1:8" x14ac:dyDescent="0.25">
      <c r="A22" s="22" t="s">
        <v>107</v>
      </c>
      <c r="B22" s="33">
        <f>(B15+B16+B17+B18+B19+B20+B21)/100</f>
        <v>0.7</v>
      </c>
      <c r="C22" s="33">
        <f>(C15+C16+C17+C18+C19+C20+C21)/100</f>
        <v>0.8</v>
      </c>
      <c r="F22" s="293" t="s">
        <v>163</v>
      </c>
      <c r="G22" s="293"/>
      <c r="H22" s="26" t="s">
        <v>154</v>
      </c>
    </row>
    <row r="23" spans="1:8" x14ac:dyDescent="0.25">
      <c r="F23" s="293" t="s">
        <v>164</v>
      </c>
      <c r="G23" s="293"/>
      <c r="H23" s="26" t="s">
        <v>165</v>
      </c>
    </row>
    <row r="24" spans="1:8" x14ac:dyDescent="0.25">
      <c r="A24" s="21" t="s">
        <v>137</v>
      </c>
      <c r="B24" s="34">
        <v>0.01</v>
      </c>
      <c r="C24" s="34">
        <v>0.02</v>
      </c>
      <c r="F24" s="293" t="s">
        <v>166</v>
      </c>
      <c r="G24" s="293"/>
      <c r="H24" s="26" t="s">
        <v>167</v>
      </c>
    </row>
    <row r="25" spans="1:8" x14ac:dyDescent="0.25">
      <c r="A25" s="21" t="s">
        <v>138</v>
      </c>
      <c r="B25" s="34">
        <v>0.01</v>
      </c>
      <c r="C25" s="34">
        <v>0.03</v>
      </c>
    </row>
    <row r="26" spans="1:8" x14ac:dyDescent="0.25">
      <c r="A26" s="21" t="s">
        <v>139</v>
      </c>
      <c r="B26" s="34">
        <v>0.03</v>
      </c>
      <c r="C26" s="34">
        <v>0.08</v>
      </c>
    </row>
    <row r="27" spans="1:8" x14ac:dyDescent="0.25">
      <c r="A27" s="21" t="s">
        <v>140</v>
      </c>
      <c r="B27" s="34">
        <v>0.05</v>
      </c>
      <c r="C27" s="34">
        <v>0.15</v>
      </c>
    </row>
    <row r="28" spans="1:8" x14ac:dyDescent="0.25">
      <c r="A28" s="21" t="s">
        <v>141</v>
      </c>
      <c r="B28" s="34">
        <v>7.0000000000000007E-2</v>
      </c>
      <c r="C28" s="34">
        <v>0.2</v>
      </c>
    </row>
    <row r="29" spans="1:8" x14ac:dyDescent="0.25">
      <c r="A29" s="21" t="s">
        <v>142</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8" sqref="C8"/>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131</v>
      </c>
      <c r="B2" s="22" t="s">
        <v>132</v>
      </c>
      <c r="C2" s="22" t="s">
        <v>133</v>
      </c>
      <c r="D2" s="292" t="s">
        <v>134</v>
      </c>
      <c r="E2" s="292"/>
    </row>
    <row r="3" spans="1:13" x14ac:dyDescent="0.25">
      <c r="A3" s="25">
        <v>0</v>
      </c>
      <c r="B3" s="25">
        <v>0</v>
      </c>
      <c r="C3" s="25">
        <v>1</v>
      </c>
      <c r="D3" s="294">
        <v>4</v>
      </c>
      <c r="E3" s="294"/>
    </row>
    <row r="5" spans="1:13" hidden="1" x14ac:dyDescent="0.25">
      <c r="A5" s="21" t="s">
        <v>96</v>
      </c>
      <c r="B5" s="23" t="s">
        <v>148</v>
      </c>
      <c r="C5" s="23">
        <f>D3</f>
        <v>4</v>
      </c>
      <c r="D5" s="24"/>
    </row>
    <row r="6" spans="1:13" x14ac:dyDescent="0.25">
      <c r="A6" s="21" t="s">
        <v>97</v>
      </c>
      <c r="B6" s="26">
        <v>10</v>
      </c>
      <c r="C6" s="27">
        <v>10</v>
      </c>
      <c r="D6" s="28">
        <f>((100/B6)*C6)/100</f>
        <v>1</v>
      </c>
    </row>
    <row r="7" spans="1:13" x14ac:dyDescent="0.25">
      <c r="A7" s="21" t="s">
        <v>98</v>
      </c>
      <c r="B7" s="26">
        <f>A3+B3+C3+D3</f>
        <v>5</v>
      </c>
      <c r="C7" s="27">
        <v>2</v>
      </c>
      <c r="D7" s="28">
        <f t="shared" ref="D7:D12" si="0">((100/B7)*C7)/100</f>
        <v>0.4</v>
      </c>
      <c r="F7" s="295" t="s">
        <v>149</v>
      </c>
      <c r="G7" s="295"/>
      <c r="H7" s="29" t="s">
        <v>150</v>
      </c>
      <c r="J7" s="35"/>
    </row>
    <row r="8" spans="1:13" x14ac:dyDescent="0.25">
      <c r="A8" s="21" t="s">
        <v>103</v>
      </c>
      <c r="B8" s="26">
        <f>C5</f>
        <v>4</v>
      </c>
      <c r="C8" s="27">
        <v>0</v>
      </c>
      <c r="D8" s="28">
        <f t="shared" si="0"/>
        <v>0</v>
      </c>
      <c r="F8" s="293" t="s">
        <v>151</v>
      </c>
      <c r="G8" s="293"/>
      <c r="H8" s="26" t="s">
        <v>152</v>
      </c>
    </row>
    <row r="9" spans="1:13" x14ac:dyDescent="0.25">
      <c r="A9" s="21" t="s">
        <v>105</v>
      </c>
      <c r="B9" s="26">
        <f>C5</f>
        <v>4</v>
      </c>
      <c r="C9" s="27">
        <v>0</v>
      </c>
      <c r="D9" s="28">
        <f t="shared" si="0"/>
        <v>0</v>
      </c>
      <c r="F9" s="293" t="s">
        <v>153</v>
      </c>
      <c r="G9" s="293"/>
      <c r="H9" s="26" t="s">
        <v>154</v>
      </c>
    </row>
    <row r="10" spans="1:13" x14ac:dyDescent="0.25">
      <c r="A10" s="21" t="s">
        <v>62</v>
      </c>
      <c r="B10" s="26">
        <f>C5</f>
        <v>4</v>
      </c>
      <c r="C10" s="27">
        <v>0</v>
      </c>
      <c r="D10" s="28">
        <f t="shared" si="0"/>
        <v>0</v>
      </c>
      <c r="F10" s="293" t="s">
        <v>155</v>
      </c>
      <c r="G10" s="293"/>
      <c r="H10" s="26" t="s">
        <v>156</v>
      </c>
    </row>
    <row r="11" spans="1:13" x14ac:dyDescent="0.25">
      <c r="A11" s="30" t="s">
        <v>101</v>
      </c>
      <c r="B11" s="26">
        <f>C5</f>
        <v>4</v>
      </c>
      <c r="C11" s="27">
        <v>0</v>
      </c>
      <c r="D11" s="28">
        <f t="shared" si="0"/>
        <v>0</v>
      </c>
      <c r="F11" s="293" t="s">
        <v>157</v>
      </c>
      <c r="G11" s="293"/>
      <c r="H11" s="26" t="s">
        <v>158</v>
      </c>
    </row>
    <row r="12" spans="1:13" x14ac:dyDescent="0.25">
      <c r="A12" s="21" t="s">
        <v>63</v>
      </c>
      <c r="B12" s="26">
        <f>C5</f>
        <v>4</v>
      </c>
      <c r="C12" s="27">
        <v>0</v>
      </c>
      <c r="D12" s="28">
        <f t="shared" si="0"/>
        <v>0</v>
      </c>
      <c r="F12" s="293" t="s">
        <v>159</v>
      </c>
      <c r="G12" s="293"/>
      <c r="H12" s="26" t="s">
        <v>160</v>
      </c>
    </row>
    <row r="13" spans="1:13" x14ac:dyDescent="0.25">
      <c r="F13" s="293" t="s">
        <v>161</v>
      </c>
      <c r="G13" s="293"/>
      <c r="H13" s="26" t="s">
        <v>162</v>
      </c>
    </row>
    <row r="14" spans="1:13" hidden="1" x14ac:dyDescent="0.25">
      <c r="A14" s="22"/>
      <c r="B14" s="22" t="s">
        <v>102</v>
      </c>
      <c r="C14" s="22" t="s">
        <v>106</v>
      </c>
      <c r="G14" s="22" t="s">
        <v>97</v>
      </c>
      <c r="H14" s="22" t="s">
        <v>99</v>
      </c>
      <c r="I14" s="22" t="s">
        <v>100</v>
      </c>
      <c r="J14" s="22" t="s">
        <v>61</v>
      </c>
      <c r="K14" s="22" t="s">
        <v>62</v>
      </c>
      <c r="L14" s="22" t="s">
        <v>101</v>
      </c>
      <c r="M14" s="22" t="s">
        <v>63</v>
      </c>
    </row>
    <row r="15" spans="1:13" hidden="1" x14ac:dyDescent="0.25">
      <c r="A15" s="22" t="s">
        <v>59</v>
      </c>
      <c r="B15" s="22">
        <f>G15</f>
        <v>10</v>
      </c>
      <c r="C15" s="22">
        <f>G16</f>
        <v>30</v>
      </c>
      <c r="E15" s="292" t="s">
        <v>102</v>
      </c>
      <c r="F15" s="292"/>
      <c r="G15" s="31">
        <f>C6</f>
        <v>10</v>
      </c>
      <c r="H15" s="31">
        <f>40/B7*C7</f>
        <v>16</v>
      </c>
      <c r="I15" s="31">
        <f>15/B8*C8</f>
        <v>0</v>
      </c>
      <c r="J15" s="31">
        <f>10/B9*C9</f>
        <v>0</v>
      </c>
      <c r="K15" s="31">
        <f>10/B10*C10</f>
        <v>0</v>
      </c>
      <c r="L15" s="31">
        <f>5/B11*C11</f>
        <v>0</v>
      </c>
      <c r="M15" s="31">
        <f>5/B12*C12</f>
        <v>0</v>
      </c>
    </row>
    <row r="16" spans="1:13" hidden="1" x14ac:dyDescent="0.25">
      <c r="A16" s="22" t="s">
        <v>60</v>
      </c>
      <c r="B16" s="22">
        <f>H15</f>
        <v>16</v>
      </c>
      <c r="C16" s="22">
        <f>H16</f>
        <v>12</v>
      </c>
      <c r="E16" s="292" t="s">
        <v>104</v>
      </c>
      <c r="F16" s="292"/>
      <c r="G16" s="22">
        <f>G15+20</f>
        <v>30</v>
      </c>
      <c r="H16" s="22">
        <f>30/B7*C7</f>
        <v>12</v>
      </c>
      <c r="I16" s="22">
        <f>15/B8*C8</f>
        <v>0</v>
      </c>
      <c r="J16" s="22">
        <f>10/B9*C9</f>
        <v>0</v>
      </c>
      <c r="K16" s="22">
        <f>5/B10*C10</f>
        <v>0</v>
      </c>
      <c r="L16" s="22">
        <f>5/B11*C11</f>
        <v>0</v>
      </c>
      <c r="M16" s="22">
        <f>5/B12*C12</f>
        <v>0</v>
      </c>
    </row>
    <row r="17" spans="1:8" hidden="1" x14ac:dyDescent="0.25">
      <c r="A17" s="22" t="s">
        <v>100</v>
      </c>
      <c r="B17" s="22">
        <f>I15</f>
        <v>0</v>
      </c>
      <c r="C17" s="22">
        <f>I16</f>
        <v>0</v>
      </c>
    </row>
    <row r="18" spans="1:8" hidden="1" x14ac:dyDescent="0.25">
      <c r="A18" s="22" t="s">
        <v>61</v>
      </c>
      <c r="B18" s="22">
        <f>J15</f>
        <v>0</v>
      </c>
      <c r="C18" s="22">
        <f>J16</f>
        <v>0</v>
      </c>
    </row>
    <row r="19" spans="1:8" hidden="1" x14ac:dyDescent="0.25">
      <c r="A19" s="22" t="s">
        <v>62</v>
      </c>
      <c r="B19" s="22">
        <f>K15</f>
        <v>0</v>
      </c>
      <c r="C19" s="22">
        <f>K16</f>
        <v>0</v>
      </c>
    </row>
    <row r="20" spans="1:8" hidden="1" x14ac:dyDescent="0.25">
      <c r="A20" s="32" t="s">
        <v>101</v>
      </c>
      <c r="B20" s="22">
        <f>L15</f>
        <v>0</v>
      </c>
      <c r="C20" s="22">
        <f>L16</f>
        <v>0</v>
      </c>
    </row>
    <row r="21" spans="1:8" hidden="1" x14ac:dyDescent="0.25">
      <c r="A21" s="22" t="s">
        <v>63</v>
      </c>
      <c r="B21" s="22">
        <f>M15</f>
        <v>0</v>
      </c>
      <c r="C21" s="22">
        <f>M16</f>
        <v>0</v>
      </c>
    </row>
    <row r="22" spans="1:8" x14ac:dyDescent="0.25">
      <c r="A22" s="22" t="s">
        <v>107</v>
      </c>
      <c r="B22" s="33">
        <f>(B15+B16+B17+B18+B19+B20+B21)/100</f>
        <v>0.26</v>
      </c>
      <c r="C22" s="33">
        <f>(C15+C16+C17+C18+C19+C20+C21)/100</f>
        <v>0.42</v>
      </c>
      <c r="F22" s="293" t="s">
        <v>163</v>
      </c>
      <c r="G22" s="293"/>
      <c r="H22" s="26" t="s">
        <v>154</v>
      </c>
    </row>
    <row r="23" spans="1:8" x14ac:dyDescent="0.25">
      <c r="F23" s="293" t="s">
        <v>164</v>
      </c>
      <c r="G23" s="293"/>
      <c r="H23" s="26" t="s">
        <v>165</v>
      </c>
    </row>
    <row r="24" spans="1:8" x14ac:dyDescent="0.25">
      <c r="A24" s="21" t="s">
        <v>137</v>
      </c>
      <c r="B24" s="34">
        <v>0.01</v>
      </c>
      <c r="C24" s="34">
        <v>0.02</v>
      </c>
      <c r="F24" s="293" t="s">
        <v>166</v>
      </c>
      <c r="G24" s="293"/>
      <c r="H24" s="26" t="s">
        <v>167</v>
      </c>
    </row>
    <row r="25" spans="1:8" x14ac:dyDescent="0.25">
      <c r="A25" s="21" t="s">
        <v>138</v>
      </c>
      <c r="B25" s="34">
        <v>0.01</v>
      </c>
      <c r="C25" s="34">
        <v>0.03</v>
      </c>
    </row>
    <row r="26" spans="1:8" x14ac:dyDescent="0.25">
      <c r="A26" s="21" t="s">
        <v>139</v>
      </c>
      <c r="B26" s="34">
        <v>0.03</v>
      </c>
      <c r="C26" s="34">
        <v>0.08</v>
      </c>
    </row>
    <row r="27" spans="1:8" x14ac:dyDescent="0.25">
      <c r="A27" s="21" t="s">
        <v>140</v>
      </c>
      <c r="B27" s="34">
        <v>0.05</v>
      </c>
      <c r="C27" s="34">
        <v>0.15</v>
      </c>
    </row>
    <row r="28" spans="1:8" x14ac:dyDescent="0.25">
      <c r="A28" s="21" t="s">
        <v>141</v>
      </c>
      <c r="B28" s="34">
        <v>7.0000000000000007E-2</v>
      </c>
      <c r="C28" s="34">
        <v>0.2</v>
      </c>
    </row>
    <row r="29" spans="1:8" x14ac:dyDescent="0.25">
      <c r="A29" s="21" t="s">
        <v>142</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13" sqref="C13"/>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131</v>
      </c>
      <c r="B2" s="22" t="s">
        <v>132</v>
      </c>
      <c r="C2" s="22" t="s">
        <v>133</v>
      </c>
      <c r="D2" s="292" t="s">
        <v>134</v>
      </c>
      <c r="E2" s="292"/>
    </row>
    <row r="3" spans="1:13" x14ac:dyDescent="0.25">
      <c r="A3" s="25">
        <v>0</v>
      </c>
      <c r="B3" s="25">
        <v>0</v>
      </c>
      <c r="C3" s="25">
        <v>1</v>
      </c>
      <c r="D3" s="294">
        <v>4</v>
      </c>
      <c r="E3" s="294"/>
    </row>
    <row r="5" spans="1:13" hidden="1" x14ac:dyDescent="0.25">
      <c r="A5" s="21" t="s">
        <v>96</v>
      </c>
      <c r="B5" s="23" t="s">
        <v>148</v>
      </c>
      <c r="C5" s="23">
        <f>D3</f>
        <v>4</v>
      </c>
      <c r="D5" s="24"/>
    </row>
    <row r="6" spans="1:13" x14ac:dyDescent="0.25">
      <c r="A6" s="21" t="s">
        <v>97</v>
      </c>
      <c r="B6" s="26">
        <v>10</v>
      </c>
      <c r="C6" s="27">
        <v>10</v>
      </c>
      <c r="D6" s="28">
        <f>((100/B6)*C6)/100</f>
        <v>1</v>
      </c>
    </row>
    <row r="7" spans="1:13" x14ac:dyDescent="0.25">
      <c r="A7" s="21" t="s">
        <v>98</v>
      </c>
      <c r="B7" s="26">
        <f>A3+B3+C3+D3</f>
        <v>5</v>
      </c>
      <c r="C7" s="27">
        <v>5</v>
      </c>
      <c r="D7" s="28">
        <f t="shared" ref="D7:D12" si="0">((100/B7)*C7)/100</f>
        <v>1</v>
      </c>
      <c r="F7" s="295" t="s">
        <v>149</v>
      </c>
      <c r="G7" s="295"/>
      <c r="H7" s="29" t="s">
        <v>150</v>
      </c>
      <c r="J7" s="35"/>
    </row>
    <row r="8" spans="1:13" x14ac:dyDescent="0.25">
      <c r="A8" s="21" t="s">
        <v>103</v>
      </c>
      <c r="B8" s="26">
        <f>C5</f>
        <v>4</v>
      </c>
      <c r="C8" s="27">
        <v>4</v>
      </c>
      <c r="D8" s="28">
        <f t="shared" si="0"/>
        <v>1</v>
      </c>
      <c r="F8" s="293" t="s">
        <v>151</v>
      </c>
      <c r="G8" s="293"/>
      <c r="H8" s="26" t="s">
        <v>152</v>
      </c>
    </row>
    <row r="9" spans="1:13" x14ac:dyDescent="0.25">
      <c r="A9" s="21" t="s">
        <v>105</v>
      </c>
      <c r="B9" s="26">
        <f>C5</f>
        <v>4</v>
      </c>
      <c r="C9" s="27">
        <v>4</v>
      </c>
      <c r="D9" s="28">
        <f t="shared" si="0"/>
        <v>1</v>
      </c>
      <c r="F9" s="293" t="s">
        <v>153</v>
      </c>
      <c r="G9" s="293"/>
      <c r="H9" s="26" t="s">
        <v>154</v>
      </c>
    </row>
    <row r="10" spans="1:13" x14ac:dyDescent="0.25">
      <c r="A10" s="21" t="s">
        <v>62</v>
      </c>
      <c r="B10" s="26">
        <f>C5</f>
        <v>4</v>
      </c>
      <c r="C10" s="27">
        <v>4</v>
      </c>
      <c r="D10" s="28">
        <f t="shared" si="0"/>
        <v>1</v>
      </c>
      <c r="F10" s="293" t="s">
        <v>155</v>
      </c>
      <c r="G10" s="293"/>
      <c r="H10" s="26" t="s">
        <v>156</v>
      </c>
    </row>
    <row r="11" spans="1:13" x14ac:dyDescent="0.25">
      <c r="A11" s="30" t="s">
        <v>101</v>
      </c>
      <c r="B11" s="26">
        <f>C5</f>
        <v>4</v>
      </c>
      <c r="C11" s="27">
        <v>4</v>
      </c>
      <c r="D11" s="28">
        <f t="shared" si="0"/>
        <v>1</v>
      </c>
      <c r="F11" s="293" t="s">
        <v>157</v>
      </c>
      <c r="G11" s="293"/>
      <c r="H11" s="26" t="s">
        <v>158</v>
      </c>
    </row>
    <row r="12" spans="1:13" x14ac:dyDescent="0.25">
      <c r="A12" s="21" t="s">
        <v>63</v>
      </c>
      <c r="B12" s="26">
        <f>C5</f>
        <v>4</v>
      </c>
      <c r="C12" s="27">
        <v>1</v>
      </c>
      <c r="D12" s="28">
        <f t="shared" si="0"/>
        <v>0.25</v>
      </c>
      <c r="F12" s="293" t="s">
        <v>159</v>
      </c>
      <c r="G12" s="293"/>
      <c r="H12" s="26" t="s">
        <v>160</v>
      </c>
    </row>
    <row r="13" spans="1:13" x14ac:dyDescent="0.25">
      <c r="F13" s="293" t="s">
        <v>161</v>
      </c>
      <c r="G13" s="293"/>
      <c r="H13" s="26" t="s">
        <v>162</v>
      </c>
    </row>
    <row r="14" spans="1:13" hidden="1" x14ac:dyDescent="0.25">
      <c r="A14" s="22"/>
      <c r="B14" s="22" t="s">
        <v>102</v>
      </c>
      <c r="C14" s="22" t="s">
        <v>106</v>
      </c>
      <c r="G14" s="22" t="s">
        <v>97</v>
      </c>
      <c r="H14" s="22" t="s">
        <v>99</v>
      </c>
      <c r="I14" s="22" t="s">
        <v>100</v>
      </c>
      <c r="J14" s="22" t="s">
        <v>61</v>
      </c>
      <c r="K14" s="22" t="s">
        <v>62</v>
      </c>
      <c r="L14" s="22" t="s">
        <v>101</v>
      </c>
      <c r="M14" s="22" t="s">
        <v>63</v>
      </c>
    </row>
    <row r="15" spans="1:13" hidden="1" x14ac:dyDescent="0.25">
      <c r="A15" s="22" t="s">
        <v>59</v>
      </c>
      <c r="B15" s="22">
        <f>G15</f>
        <v>10</v>
      </c>
      <c r="C15" s="22">
        <f>G16</f>
        <v>30</v>
      </c>
      <c r="E15" s="292" t="s">
        <v>102</v>
      </c>
      <c r="F15" s="292"/>
      <c r="G15" s="31">
        <f>C6</f>
        <v>10</v>
      </c>
      <c r="H15" s="31">
        <f>40/B7*C7</f>
        <v>40</v>
      </c>
      <c r="I15" s="31">
        <f>15/B8*C8</f>
        <v>15</v>
      </c>
      <c r="J15" s="31">
        <f>10/B9*C9</f>
        <v>10</v>
      </c>
      <c r="K15" s="31">
        <f>10/B10*C10</f>
        <v>10</v>
      </c>
      <c r="L15" s="31">
        <f>5/B11*C11</f>
        <v>5</v>
      </c>
      <c r="M15" s="31">
        <f>5/B12*C12</f>
        <v>1.25</v>
      </c>
    </row>
    <row r="16" spans="1:13" hidden="1" x14ac:dyDescent="0.25">
      <c r="A16" s="22" t="s">
        <v>60</v>
      </c>
      <c r="B16" s="22">
        <f>H15</f>
        <v>40</v>
      </c>
      <c r="C16" s="22">
        <f>H16</f>
        <v>30</v>
      </c>
      <c r="E16" s="292" t="s">
        <v>104</v>
      </c>
      <c r="F16" s="292"/>
      <c r="G16" s="22">
        <f>G15+20</f>
        <v>30</v>
      </c>
      <c r="H16" s="22">
        <f>30/B7*C7</f>
        <v>30</v>
      </c>
      <c r="I16" s="22">
        <f>15/B8*C8</f>
        <v>15</v>
      </c>
      <c r="J16" s="22">
        <f>10/B9*C9</f>
        <v>10</v>
      </c>
      <c r="K16" s="22">
        <f>5/B10*C10</f>
        <v>5</v>
      </c>
      <c r="L16" s="22">
        <f>5/B11*C11</f>
        <v>5</v>
      </c>
      <c r="M16" s="22">
        <f>5/B12*C12</f>
        <v>1.25</v>
      </c>
    </row>
    <row r="17" spans="1:8" hidden="1" x14ac:dyDescent="0.25">
      <c r="A17" s="22" t="s">
        <v>100</v>
      </c>
      <c r="B17" s="22">
        <f>I15</f>
        <v>15</v>
      </c>
      <c r="C17" s="22">
        <f>I16</f>
        <v>15</v>
      </c>
    </row>
    <row r="18" spans="1:8" hidden="1" x14ac:dyDescent="0.25">
      <c r="A18" s="22" t="s">
        <v>61</v>
      </c>
      <c r="B18" s="22">
        <f>J15</f>
        <v>10</v>
      </c>
      <c r="C18" s="22">
        <f>J16</f>
        <v>10</v>
      </c>
    </row>
    <row r="19" spans="1:8" hidden="1" x14ac:dyDescent="0.25">
      <c r="A19" s="22" t="s">
        <v>62</v>
      </c>
      <c r="B19" s="22">
        <f>K15</f>
        <v>10</v>
      </c>
      <c r="C19" s="22">
        <f>K16</f>
        <v>5</v>
      </c>
    </row>
    <row r="20" spans="1:8" hidden="1" x14ac:dyDescent="0.25">
      <c r="A20" s="32" t="s">
        <v>101</v>
      </c>
      <c r="B20" s="22">
        <f>L15</f>
        <v>5</v>
      </c>
      <c r="C20" s="22">
        <f>L16</f>
        <v>5</v>
      </c>
    </row>
    <row r="21" spans="1:8" hidden="1" x14ac:dyDescent="0.25">
      <c r="A21" s="22" t="s">
        <v>63</v>
      </c>
      <c r="B21" s="22">
        <f>M15</f>
        <v>1.25</v>
      </c>
      <c r="C21" s="22">
        <f>M16</f>
        <v>1.25</v>
      </c>
    </row>
    <row r="22" spans="1:8" x14ac:dyDescent="0.25">
      <c r="A22" s="22" t="s">
        <v>107</v>
      </c>
      <c r="B22" s="33">
        <f>(B15+B16+B17+B18+B19+B20+B21)/100</f>
        <v>0.91249999999999998</v>
      </c>
      <c r="C22" s="33">
        <f>(C15+C16+C17+C18+C19+C20+C21)/100</f>
        <v>0.96250000000000002</v>
      </c>
      <c r="F22" s="293" t="s">
        <v>163</v>
      </c>
      <c r="G22" s="293"/>
      <c r="H22" s="26" t="s">
        <v>154</v>
      </c>
    </row>
    <row r="23" spans="1:8" x14ac:dyDescent="0.25">
      <c r="F23" s="293" t="s">
        <v>164</v>
      </c>
      <c r="G23" s="293"/>
      <c r="H23" s="26" t="s">
        <v>165</v>
      </c>
    </row>
    <row r="24" spans="1:8" x14ac:dyDescent="0.25">
      <c r="A24" s="21" t="s">
        <v>137</v>
      </c>
      <c r="B24" s="34">
        <v>0.01</v>
      </c>
      <c r="C24" s="34">
        <v>0.02</v>
      </c>
      <c r="F24" s="293" t="s">
        <v>166</v>
      </c>
      <c r="G24" s="293"/>
      <c r="H24" s="26" t="s">
        <v>167</v>
      </c>
    </row>
    <row r="25" spans="1:8" x14ac:dyDescent="0.25">
      <c r="A25" s="21" t="s">
        <v>138</v>
      </c>
      <c r="B25" s="34">
        <v>0.01</v>
      </c>
      <c r="C25" s="34">
        <v>0.03</v>
      </c>
    </row>
    <row r="26" spans="1:8" x14ac:dyDescent="0.25">
      <c r="A26" s="21" t="s">
        <v>139</v>
      </c>
      <c r="B26" s="34">
        <v>0.03</v>
      </c>
      <c r="C26" s="34">
        <v>0.08</v>
      </c>
    </row>
    <row r="27" spans="1:8" x14ac:dyDescent="0.25">
      <c r="A27" s="21" t="s">
        <v>140</v>
      </c>
      <c r="B27" s="34">
        <v>0.05</v>
      </c>
      <c r="C27" s="34">
        <v>0.15</v>
      </c>
    </row>
    <row r="28" spans="1:8" x14ac:dyDescent="0.25">
      <c r="A28" s="21" t="s">
        <v>141</v>
      </c>
      <c r="B28" s="34">
        <v>7.0000000000000007E-2</v>
      </c>
      <c r="C28" s="34">
        <v>0.2</v>
      </c>
    </row>
    <row r="29" spans="1:8" x14ac:dyDescent="0.25">
      <c r="A29" s="21" t="s">
        <v>142</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25"/>
  <sheetViews>
    <sheetView topLeftCell="A19" workbookViewId="0">
      <selection activeCell="C25" sqref="C25"/>
    </sheetView>
  </sheetViews>
  <sheetFormatPr defaultRowHeight="14.4" x14ac:dyDescent="0.3"/>
  <cols>
    <col min="1" max="1" width="10.33203125" bestFit="1" customWidth="1"/>
  </cols>
  <sheetData>
    <row r="2" spans="1:2" x14ac:dyDescent="0.3">
      <c r="A2" s="40">
        <v>44123</v>
      </c>
      <c r="B2" t="s">
        <v>203</v>
      </c>
    </row>
    <row r="25" spans="1:2" x14ac:dyDescent="0.3">
      <c r="A25" s="40">
        <v>44201</v>
      </c>
      <c r="B25" t="s">
        <v>203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workbookViewId="0">
      <selection activeCell="C21" sqref="C21"/>
    </sheetView>
  </sheetViews>
  <sheetFormatPr defaultColWidth="8.6640625" defaultRowHeight="14.4" x14ac:dyDescent="0.3"/>
  <cols>
    <col min="1" max="1" width="10.33203125" style="42" bestFit="1" customWidth="1"/>
    <col min="2" max="2" width="22.109375" style="42" customWidth="1"/>
    <col min="3" max="3" width="37" style="42" customWidth="1"/>
    <col min="4" max="5" width="11.44140625" style="42" customWidth="1"/>
    <col min="6" max="6" width="14" style="42" customWidth="1"/>
    <col min="7" max="7" width="20" style="42" customWidth="1"/>
    <col min="8" max="8" width="16.44140625" style="42" customWidth="1"/>
    <col min="9" max="256" width="8.6640625" style="42"/>
    <col min="257" max="257" width="10.33203125" style="42" bestFit="1" customWidth="1"/>
    <col min="258" max="258" width="22.109375" style="42" customWidth="1"/>
    <col min="259" max="259" width="37" style="42" customWidth="1"/>
    <col min="260" max="261" width="11.44140625" style="42" customWidth="1"/>
    <col min="262" max="262" width="14" style="42" customWidth="1"/>
    <col min="263" max="263" width="20" style="42" customWidth="1"/>
    <col min="264" max="264" width="16.44140625" style="42" customWidth="1"/>
    <col min="265" max="512" width="8.6640625" style="42"/>
    <col min="513" max="513" width="10.33203125" style="42" bestFit="1" customWidth="1"/>
    <col min="514" max="514" width="22.109375" style="42" customWidth="1"/>
    <col min="515" max="515" width="37" style="42" customWidth="1"/>
    <col min="516" max="517" width="11.44140625" style="42" customWidth="1"/>
    <col min="518" max="518" width="14" style="42" customWidth="1"/>
    <col min="519" max="519" width="20" style="42" customWidth="1"/>
    <col min="520" max="520" width="16.44140625" style="42" customWidth="1"/>
    <col min="521" max="768" width="8.6640625" style="42"/>
    <col min="769" max="769" width="10.33203125" style="42" bestFit="1" customWidth="1"/>
    <col min="770" max="770" width="22.109375" style="42" customWidth="1"/>
    <col min="771" max="771" width="37" style="42" customWidth="1"/>
    <col min="772" max="773" width="11.44140625" style="42" customWidth="1"/>
    <col min="774" max="774" width="14" style="42" customWidth="1"/>
    <col min="775" max="775" width="20" style="42" customWidth="1"/>
    <col min="776" max="776" width="16.44140625" style="42" customWidth="1"/>
    <col min="777" max="1024" width="8.6640625" style="42"/>
    <col min="1025" max="1025" width="10.33203125" style="42" bestFit="1" customWidth="1"/>
    <col min="1026" max="1026" width="22.109375" style="42" customWidth="1"/>
    <col min="1027" max="1027" width="37" style="42" customWidth="1"/>
    <col min="1028" max="1029" width="11.44140625" style="42" customWidth="1"/>
    <col min="1030" max="1030" width="14" style="42" customWidth="1"/>
    <col min="1031" max="1031" width="20" style="42" customWidth="1"/>
    <col min="1032" max="1032" width="16.44140625" style="42" customWidth="1"/>
    <col min="1033" max="1280" width="8.6640625" style="42"/>
    <col min="1281" max="1281" width="10.33203125" style="42" bestFit="1" customWidth="1"/>
    <col min="1282" max="1282" width="22.109375" style="42" customWidth="1"/>
    <col min="1283" max="1283" width="37" style="42" customWidth="1"/>
    <col min="1284" max="1285" width="11.44140625" style="42" customWidth="1"/>
    <col min="1286" max="1286" width="14" style="42" customWidth="1"/>
    <col min="1287" max="1287" width="20" style="42" customWidth="1"/>
    <col min="1288" max="1288" width="16.44140625" style="42" customWidth="1"/>
    <col min="1289" max="1536" width="8.6640625" style="42"/>
    <col min="1537" max="1537" width="10.33203125" style="42" bestFit="1" customWidth="1"/>
    <col min="1538" max="1538" width="22.109375" style="42" customWidth="1"/>
    <col min="1539" max="1539" width="37" style="42" customWidth="1"/>
    <col min="1540" max="1541" width="11.44140625" style="42" customWidth="1"/>
    <col min="1542" max="1542" width="14" style="42" customWidth="1"/>
    <col min="1543" max="1543" width="20" style="42" customWidth="1"/>
    <col min="1544" max="1544" width="16.44140625" style="42" customWidth="1"/>
    <col min="1545" max="1792" width="8.6640625" style="42"/>
    <col min="1793" max="1793" width="10.33203125" style="42" bestFit="1" customWidth="1"/>
    <col min="1794" max="1794" width="22.109375" style="42" customWidth="1"/>
    <col min="1795" max="1795" width="37" style="42" customWidth="1"/>
    <col min="1796" max="1797" width="11.44140625" style="42" customWidth="1"/>
    <col min="1798" max="1798" width="14" style="42" customWidth="1"/>
    <col min="1799" max="1799" width="20" style="42" customWidth="1"/>
    <col min="1800" max="1800" width="16.44140625" style="42" customWidth="1"/>
    <col min="1801" max="2048" width="8.6640625" style="42"/>
    <col min="2049" max="2049" width="10.33203125" style="42" bestFit="1" customWidth="1"/>
    <col min="2050" max="2050" width="22.109375" style="42" customWidth="1"/>
    <col min="2051" max="2051" width="37" style="42" customWidth="1"/>
    <col min="2052" max="2053" width="11.44140625" style="42" customWidth="1"/>
    <col min="2054" max="2054" width="14" style="42" customWidth="1"/>
    <col min="2055" max="2055" width="20" style="42" customWidth="1"/>
    <col min="2056" max="2056" width="16.44140625" style="42" customWidth="1"/>
    <col min="2057" max="2304" width="8.6640625" style="42"/>
    <col min="2305" max="2305" width="10.33203125" style="42" bestFit="1" customWidth="1"/>
    <col min="2306" max="2306" width="22.109375" style="42" customWidth="1"/>
    <col min="2307" max="2307" width="37" style="42" customWidth="1"/>
    <col min="2308" max="2309" width="11.44140625" style="42" customWidth="1"/>
    <col min="2310" max="2310" width="14" style="42" customWidth="1"/>
    <col min="2311" max="2311" width="20" style="42" customWidth="1"/>
    <col min="2312" max="2312" width="16.44140625" style="42" customWidth="1"/>
    <col min="2313" max="2560" width="8.6640625" style="42"/>
    <col min="2561" max="2561" width="10.33203125" style="42" bestFit="1" customWidth="1"/>
    <col min="2562" max="2562" width="22.109375" style="42" customWidth="1"/>
    <col min="2563" max="2563" width="37" style="42" customWidth="1"/>
    <col min="2564" max="2565" width="11.44140625" style="42" customWidth="1"/>
    <col min="2566" max="2566" width="14" style="42" customWidth="1"/>
    <col min="2567" max="2567" width="20" style="42" customWidth="1"/>
    <col min="2568" max="2568" width="16.44140625" style="42" customWidth="1"/>
    <col min="2569" max="2816" width="8.6640625" style="42"/>
    <col min="2817" max="2817" width="10.33203125" style="42" bestFit="1" customWidth="1"/>
    <col min="2818" max="2818" width="22.109375" style="42" customWidth="1"/>
    <col min="2819" max="2819" width="37" style="42" customWidth="1"/>
    <col min="2820" max="2821" width="11.44140625" style="42" customWidth="1"/>
    <col min="2822" max="2822" width="14" style="42" customWidth="1"/>
    <col min="2823" max="2823" width="20" style="42" customWidth="1"/>
    <col min="2824" max="2824" width="16.44140625" style="42" customWidth="1"/>
    <col min="2825" max="3072" width="8.6640625" style="42"/>
    <col min="3073" max="3073" width="10.33203125" style="42" bestFit="1" customWidth="1"/>
    <col min="3074" max="3074" width="22.109375" style="42" customWidth="1"/>
    <col min="3075" max="3075" width="37" style="42" customWidth="1"/>
    <col min="3076" max="3077" width="11.44140625" style="42" customWidth="1"/>
    <col min="3078" max="3078" width="14" style="42" customWidth="1"/>
    <col min="3079" max="3079" width="20" style="42" customWidth="1"/>
    <col min="3080" max="3080" width="16.44140625" style="42" customWidth="1"/>
    <col min="3081" max="3328" width="8.6640625" style="42"/>
    <col min="3329" max="3329" width="10.33203125" style="42" bestFit="1" customWidth="1"/>
    <col min="3330" max="3330" width="22.109375" style="42" customWidth="1"/>
    <col min="3331" max="3331" width="37" style="42" customWidth="1"/>
    <col min="3332" max="3333" width="11.44140625" style="42" customWidth="1"/>
    <col min="3334" max="3334" width="14" style="42" customWidth="1"/>
    <col min="3335" max="3335" width="20" style="42" customWidth="1"/>
    <col min="3336" max="3336" width="16.44140625" style="42" customWidth="1"/>
    <col min="3337" max="3584" width="8.6640625" style="42"/>
    <col min="3585" max="3585" width="10.33203125" style="42" bestFit="1" customWidth="1"/>
    <col min="3586" max="3586" width="22.109375" style="42" customWidth="1"/>
    <col min="3587" max="3587" width="37" style="42" customWidth="1"/>
    <col min="3588" max="3589" width="11.44140625" style="42" customWidth="1"/>
    <col min="3590" max="3590" width="14" style="42" customWidth="1"/>
    <col min="3591" max="3591" width="20" style="42" customWidth="1"/>
    <col min="3592" max="3592" width="16.44140625" style="42" customWidth="1"/>
    <col min="3593" max="3840" width="8.6640625" style="42"/>
    <col min="3841" max="3841" width="10.33203125" style="42" bestFit="1" customWidth="1"/>
    <col min="3842" max="3842" width="22.109375" style="42" customWidth="1"/>
    <col min="3843" max="3843" width="37" style="42" customWidth="1"/>
    <col min="3844" max="3845" width="11.44140625" style="42" customWidth="1"/>
    <col min="3846" max="3846" width="14" style="42" customWidth="1"/>
    <col min="3847" max="3847" width="20" style="42" customWidth="1"/>
    <col min="3848" max="3848" width="16.44140625" style="42" customWidth="1"/>
    <col min="3849" max="4096" width="8.6640625" style="42"/>
    <col min="4097" max="4097" width="10.33203125" style="42" bestFit="1" customWidth="1"/>
    <col min="4098" max="4098" width="22.109375" style="42" customWidth="1"/>
    <col min="4099" max="4099" width="37" style="42" customWidth="1"/>
    <col min="4100" max="4101" width="11.44140625" style="42" customWidth="1"/>
    <col min="4102" max="4102" width="14" style="42" customWidth="1"/>
    <col min="4103" max="4103" width="20" style="42" customWidth="1"/>
    <col min="4104" max="4104" width="16.44140625" style="42" customWidth="1"/>
    <col min="4105" max="4352" width="8.6640625" style="42"/>
    <col min="4353" max="4353" width="10.33203125" style="42" bestFit="1" customWidth="1"/>
    <col min="4354" max="4354" width="22.109375" style="42" customWidth="1"/>
    <col min="4355" max="4355" width="37" style="42" customWidth="1"/>
    <col min="4356" max="4357" width="11.44140625" style="42" customWidth="1"/>
    <col min="4358" max="4358" width="14" style="42" customWidth="1"/>
    <col min="4359" max="4359" width="20" style="42" customWidth="1"/>
    <col min="4360" max="4360" width="16.44140625" style="42" customWidth="1"/>
    <col min="4361" max="4608" width="8.6640625" style="42"/>
    <col min="4609" max="4609" width="10.33203125" style="42" bestFit="1" customWidth="1"/>
    <col min="4610" max="4610" width="22.109375" style="42" customWidth="1"/>
    <col min="4611" max="4611" width="37" style="42" customWidth="1"/>
    <col min="4612" max="4613" width="11.44140625" style="42" customWidth="1"/>
    <col min="4614" max="4614" width="14" style="42" customWidth="1"/>
    <col min="4615" max="4615" width="20" style="42" customWidth="1"/>
    <col min="4616" max="4616" width="16.44140625" style="42" customWidth="1"/>
    <col min="4617" max="4864" width="8.6640625" style="42"/>
    <col min="4865" max="4865" width="10.33203125" style="42" bestFit="1" customWidth="1"/>
    <col min="4866" max="4866" width="22.109375" style="42" customWidth="1"/>
    <col min="4867" max="4867" width="37" style="42" customWidth="1"/>
    <col min="4868" max="4869" width="11.44140625" style="42" customWidth="1"/>
    <col min="4870" max="4870" width="14" style="42" customWidth="1"/>
    <col min="4871" max="4871" width="20" style="42" customWidth="1"/>
    <col min="4872" max="4872" width="16.44140625" style="42" customWidth="1"/>
    <col min="4873" max="5120" width="8.6640625" style="42"/>
    <col min="5121" max="5121" width="10.33203125" style="42" bestFit="1" customWidth="1"/>
    <col min="5122" max="5122" width="22.109375" style="42" customWidth="1"/>
    <col min="5123" max="5123" width="37" style="42" customWidth="1"/>
    <col min="5124" max="5125" width="11.44140625" style="42" customWidth="1"/>
    <col min="5126" max="5126" width="14" style="42" customWidth="1"/>
    <col min="5127" max="5127" width="20" style="42" customWidth="1"/>
    <col min="5128" max="5128" width="16.44140625" style="42" customWidth="1"/>
    <col min="5129" max="5376" width="8.6640625" style="42"/>
    <col min="5377" max="5377" width="10.33203125" style="42" bestFit="1" customWidth="1"/>
    <col min="5378" max="5378" width="22.109375" style="42" customWidth="1"/>
    <col min="5379" max="5379" width="37" style="42" customWidth="1"/>
    <col min="5380" max="5381" width="11.44140625" style="42" customWidth="1"/>
    <col min="5382" max="5382" width="14" style="42" customWidth="1"/>
    <col min="5383" max="5383" width="20" style="42" customWidth="1"/>
    <col min="5384" max="5384" width="16.44140625" style="42" customWidth="1"/>
    <col min="5385" max="5632" width="8.6640625" style="42"/>
    <col min="5633" max="5633" width="10.33203125" style="42" bestFit="1" customWidth="1"/>
    <col min="5634" max="5634" width="22.109375" style="42" customWidth="1"/>
    <col min="5635" max="5635" width="37" style="42" customWidth="1"/>
    <col min="5636" max="5637" width="11.44140625" style="42" customWidth="1"/>
    <col min="5638" max="5638" width="14" style="42" customWidth="1"/>
    <col min="5639" max="5639" width="20" style="42" customWidth="1"/>
    <col min="5640" max="5640" width="16.44140625" style="42" customWidth="1"/>
    <col min="5641" max="5888" width="8.6640625" style="42"/>
    <col min="5889" max="5889" width="10.33203125" style="42" bestFit="1" customWidth="1"/>
    <col min="5890" max="5890" width="22.109375" style="42" customWidth="1"/>
    <col min="5891" max="5891" width="37" style="42" customWidth="1"/>
    <col min="5892" max="5893" width="11.44140625" style="42" customWidth="1"/>
    <col min="5894" max="5894" width="14" style="42" customWidth="1"/>
    <col min="5895" max="5895" width="20" style="42" customWidth="1"/>
    <col min="5896" max="5896" width="16.44140625" style="42" customWidth="1"/>
    <col min="5897" max="6144" width="8.6640625" style="42"/>
    <col min="6145" max="6145" width="10.33203125" style="42" bestFit="1" customWidth="1"/>
    <col min="6146" max="6146" width="22.109375" style="42" customWidth="1"/>
    <col min="6147" max="6147" width="37" style="42" customWidth="1"/>
    <col min="6148" max="6149" width="11.44140625" style="42" customWidth="1"/>
    <col min="6150" max="6150" width="14" style="42" customWidth="1"/>
    <col min="6151" max="6151" width="20" style="42" customWidth="1"/>
    <col min="6152" max="6152" width="16.44140625" style="42" customWidth="1"/>
    <col min="6153" max="6400" width="8.6640625" style="42"/>
    <col min="6401" max="6401" width="10.33203125" style="42" bestFit="1" customWidth="1"/>
    <col min="6402" max="6402" width="22.109375" style="42" customWidth="1"/>
    <col min="6403" max="6403" width="37" style="42" customWidth="1"/>
    <col min="6404" max="6405" width="11.44140625" style="42" customWidth="1"/>
    <col min="6406" max="6406" width="14" style="42" customWidth="1"/>
    <col min="6407" max="6407" width="20" style="42" customWidth="1"/>
    <col min="6408" max="6408" width="16.44140625" style="42" customWidth="1"/>
    <col min="6409" max="6656" width="8.6640625" style="42"/>
    <col min="6657" max="6657" width="10.33203125" style="42" bestFit="1" customWidth="1"/>
    <col min="6658" max="6658" width="22.109375" style="42" customWidth="1"/>
    <col min="6659" max="6659" width="37" style="42" customWidth="1"/>
    <col min="6660" max="6661" width="11.44140625" style="42" customWidth="1"/>
    <col min="6662" max="6662" width="14" style="42" customWidth="1"/>
    <col min="6663" max="6663" width="20" style="42" customWidth="1"/>
    <col min="6664" max="6664" width="16.44140625" style="42" customWidth="1"/>
    <col min="6665" max="6912" width="8.6640625" style="42"/>
    <col min="6913" max="6913" width="10.33203125" style="42" bestFit="1" customWidth="1"/>
    <col min="6914" max="6914" width="22.109375" style="42" customWidth="1"/>
    <col min="6915" max="6915" width="37" style="42" customWidth="1"/>
    <col min="6916" max="6917" width="11.44140625" style="42" customWidth="1"/>
    <col min="6918" max="6918" width="14" style="42" customWidth="1"/>
    <col min="6919" max="6919" width="20" style="42" customWidth="1"/>
    <col min="6920" max="6920" width="16.44140625" style="42" customWidth="1"/>
    <col min="6921" max="7168" width="8.6640625" style="42"/>
    <col min="7169" max="7169" width="10.33203125" style="42" bestFit="1" customWidth="1"/>
    <col min="7170" max="7170" width="22.109375" style="42" customWidth="1"/>
    <col min="7171" max="7171" width="37" style="42" customWidth="1"/>
    <col min="7172" max="7173" width="11.44140625" style="42" customWidth="1"/>
    <col min="7174" max="7174" width="14" style="42" customWidth="1"/>
    <col min="7175" max="7175" width="20" style="42" customWidth="1"/>
    <col min="7176" max="7176" width="16.44140625" style="42" customWidth="1"/>
    <col min="7177" max="7424" width="8.6640625" style="42"/>
    <col min="7425" max="7425" width="10.33203125" style="42" bestFit="1" customWidth="1"/>
    <col min="7426" max="7426" width="22.109375" style="42" customWidth="1"/>
    <col min="7427" max="7427" width="37" style="42" customWidth="1"/>
    <col min="7428" max="7429" width="11.44140625" style="42" customWidth="1"/>
    <col min="7430" max="7430" width="14" style="42" customWidth="1"/>
    <col min="7431" max="7431" width="20" style="42" customWidth="1"/>
    <col min="7432" max="7432" width="16.44140625" style="42" customWidth="1"/>
    <col min="7433" max="7680" width="8.6640625" style="42"/>
    <col min="7681" max="7681" width="10.33203125" style="42" bestFit="1" customWidth="1"/>
    <col min="7682" max="7682" width="22.109375" style="42" customWidth="1"/>
    <col min="7683" max="7683" width="37" style="42" customWidth="1"/>
    <col min="7684" max="7685" width="11.44140625" style="42" customWidth="1"/>
    <col min="7686" max="7686" width="14" style="42" customWidth="1"/>
    <col min="7687" max="7687" width="20" style="42" customWidth="1"/>
    <col min="7688" max="7688" width="16.44140625" style="42" customWidth="1"/>
    <col min="7689" max="7936" width="8.6640625" style="42"/>
    <col min="7937" max="7937" width="10.33203125" style="42" bestFit="1" customWidth="1"/>
    <col min="7938" max="7938" width="22.109375" style="42" customWidth="1"/>
    <col min="7939" max="7939" width="37" style="42" customWidth="1"/>
    <col min="7940" max="7941" width="11.44140625" style="42" customWidth="1"/>
    <col min="7942" max="7942" width="14" style="42" customWidth="1"/>
    <col min="7943" max="7943" width="20" style="42" customWidth="1"/>
    <col min="7944" max="7944" width="16.44140625" style="42" customWidth="1"/>
    <col min="7945" max="8192" width="8.6640625" style="42"/>
    <col min="8193" max="8193" width="10.33203125" style="42" bestFit="1" customWidth="1"/>
    <col min="8194" max="8194" width="22.109375" style="42" customWidth="1"/>
    <col min="8195" max="8195" width="37" style="42" customWidth="1"/>
    <col min="8196" max="8197" width="11.44140625" style="42" customWidth="1"/>
    <col min="8198" max="8198" width="14" style="42" customWidth="1"/>
    <col min="8199" max="8199" width="20" style="42" customWidth="1"/>
    <col min="8200" max="8200" width="16.44140625" style="42" customWidth="1"/>
    <col min="8201" max="8448" width="8.6640625" style="42"/>
    <col min="8449" max="8449" width="10.33203125" style="42" bestFit="1" customWidth="1"/>
    <col min="8450" max="8450" width="22.109375" style="42" customWidth="1"/>
    <col min="8451" max="8451" width="37" style="42" customWidth="1"/>
    <col min="8452" max="8453" width="11.44140625" style="42" customWidth="1"/>
    <col min="8454" max="8454" width="14" style="42" customWidth="1"/>
    <col min="8455" max="8455" width="20" style="42" customWidth="1"/>
    <col min="8456" max="8456" width="16.44140625" style="42" customWidth="1"/>
    <col min="8457" max="8704" width="8.6640625" style="42"/>
    <col min="8705" max="8705" width="10.33203125" style="42" bestFit="1" customWidth="1"/>
    <col min="8706" max="8706" width="22.109375" style="42" customWidth="1"/>
    <col min="8707" max="8707" width="37" style="42" customWidth="1"/>
    <col min="8708" max="8709" width="11.44140625" style="42" customWidth="1"/>
    <col min="8710" max="8710" width="14" style="42" customWidth="1"/>
    <col min="8711" max="8711" width="20" style="42" customWidth="1"/>
    <col min="8712" max="8712" width="16.44140625" style="42" customWidth="1"/>
    <col min="8713" max="8960" width="8.6640625" style="42"/>
    <col min="8961" max="8961" width="10.33203125" style="42" bestFit="1" customWidth="1"/>
    <col min="8962" max="8962" width="22.109375" style="42" customWidth="1"/>
    <col min="8963" max="8963" width="37" style="42" customWidth="1"/>
    <col min="8964" max="8965" width="11.44140625" style="42" customWidth="1"/>
    <col min="8966" max="8966" width="14" style="42" customWidth="1"/>
    <col min="8967" max="8967" width="20" style="42" customWidth="1"/>
    <col min="8968" max="8968" width="16.44140625" style="42" customWidth="1"/>
    <col min="8969" max="9216" width="8.6640625" style="42"/>
    <col min="9217" max="9217" width="10.33203125" style="42" bestFit="1" customWidth="1"/>
    <col min="9218" max="9218" width="22.109375" style="42" customWidth="1"/>
    <col min="9219" max="9219" width="37" style="42" customWidth="1"/>
    <col min="9220" max="9221" width="11.44140625" style="42" customWidth="1"/>
    <col min="9222" max="9222" width="14" style="42" customWidth="1"/>
    <col min="9223" max="9223" width="20" style="42" customWidth="1"/>
    <col min="9224" max="9224" width="16.44140625" style="42" customWidth="1"/>
    <col min="9225" max="9472" width="8.6640625" style="42"/>
    <col min="9473" max="9473" width="10.33203125" style="42" bestFit="1" customWidth="1"/>
    <col min="9474" max="9474" width="22.109375" style="42" customWidth="1"/>
    <col min="9475" max="9475" width="37" style="42" customWidth="1"/>
    <col min="9476" max="9477" width="11.44140625" style="42" customWidth="1"/>
    <col min="9478" max="9478" width="14" style="42" customWidth="1"/>
    <col min="9479" max="9479" width="20" style="42" customWidth="1"/>
    <col min="9480" max="9480" width="16.44140625" style="42" customWidth="1"/>
    <col min="9481" max="9728" width="8.6640625" style="42"/>
    <col min="9729" max="9729" width="10.33203125" style="42" bestFit="1" customWidth="1"/>
    <col min="9730" max="9730" width="22.109375" style="42" customWidth="1"/>
    <col min="9731" max="9731" width="37" style="42" customWidth="1"/>
    <col min="9732" max="9733" width="11.44140625" style="42" customWidth="1"/>
    <col min="9734" max="9734" width="14" style="42" customWidth="1"/>
    <col min="9735" max="9735" width="20" style="42" customWidth="1"/>
    <col min="9736" max="9736" width="16.44140625" style="42" customWidth="1"/>
    <col min="9737" max="9984" width="8.6640625" style="42"/>
    <col min="9985" max="9985" width="10.33203125" style="42" bestFit="1" customWidth="1"/>
    <col min="9986" max="9986" width="22.109375" style="42" customWidth="1"/>
    <col min="9987" max="9987" width="37" style="42" customWidth="1"/>
    <col min="9988" max="9989" width="11.44140625" style="42" customWidth="1"/>
    <col min="9990" max="9990" width="14" style="42" customWidth="1"/>
    <col min="9991" max="9991" width="20" style="42" customWidth="1"/>
    <col min="9992" max="9992" width="16.44140625" style="42" customWidth="1"/>
    <col min="9993" max="10240" width="8.6640625" style="42"/>
    <col min="10241" max="10241" width="10.33203125" style="42" bestFit="1" customWidth="1"/>
    <col min="10242" max="10242" width="22.109375" style="42" customWidth="1"/>
    <col min="10243" max="10243" width="37" style="42" customWidth="1"/>
    <col min="10244" max="10245" width="11.44140625" style="42" customWidth="1"/>
    <col min="10246" max="10246" width="14" style="42" customWidth="1"/>
    <col min="10247" max="10247" width="20" style="42" customWidth="1"/>
    <col min="10248" max="10248" width="16.44140625" style="42" customWidth="1"/>
    <col min="10249" max="10496" width="8.6640625" style="42"/>
    <col min="10497" max="10497" width="10.33203125" style="42" bestFit="1" customWidth="1"/>
    <col min="10498" max="10498" width="22.109375" style="42" customWidth="1"/>
    <col min="10499" max="10499" width="37" style="42" customWidth="1"/>
    <col min="10500" max="10501" width="11.44140625" style="42" customWidth="1"/>
    <col min="10502" max="10502" width="14" style="42" customWidth="1"/>
    <col min="10503" max="10503" width="20" style="42" customWidth="1"/>
    <col min="10504" max="10504" width="16.44140625" style="42" customWidth="1"/>
    <col min="10505" max="10752" width="8.6640625" style="42"/>
    <col min="10753" max="10753" width="10.33203125" style="42" bestFit="1" customWidth="1"/>
    <col min="10754" max="10754" width="22.109375" style="42" customWidth="1"/>
    <col min="10755" max="10755" width="37" style="42" customWidth="1"/>
    <col min="10756" max="10757" width="11.44140625" style="42" customWidth="1"/>
    <col min="10758" max="10758" width="14" style="42" customWidth="1"/>
    <col min="10759" max="10759" width="20" style="42" customWidth="1"/>
    <col min="10760" max="10760" width="16.44140625" style="42" customWidth="1"/>
    <col min="10761" max="11008" width="8.6640625" style="42"/>
    <col min="11009" max="11009" width="10.33203125" style="42" bestFit="1" customWidth="1"/>
    <col min="11010" max="11010" width="22.109375" style="42" customWidth="1"/>
    <col min="11011" max="11011" width="37" style="42" customWidth="1"/>
    <col min="11012" max="11013" width="11.44140625" style="42" customWidth="1"/>
    <col min="11014" max="11014" width="14" style="42" customWidth="1"/>
    <col min="11015" max="11015" width="20" style="42" customWidth="1"/>
    <col min="11016" max="11016" width="16.44140625" style="42" customWidth="1"/>
    <col min="11017" max="11264" width="8.6640625" style="42"/>
    <col min="11265" max="11265" width="10.33203125" style="42" bestFit="1" customWidth="1"/>
    <col min="11266" max="11266" width="22.109375" style="42" customWidth="1"/>
    <col min="11267" max="11267" width="37" style="42" customWidth="1"/>
    <col min="11268" max="11269" width="11.44140625" style="42" customWidth="1"/>
    <col min="11270" max="11270" width="14" style="42" customWidth="1"/>
    <col min="11271" max="11271" width="20" style="42" customWidth="1"/>
    <col min="11272" max="11272" width="16.44140625" style="42" customWidth="1"/>
    <col min="11273" max="11520" width="8.6640625" style="42"/>
    <col min="11521" max="11521" width="10.33203125" style="42" bestFit="1" customWidth="1"/>
    <col min="11522" max="11522" width="22.109375" style="42" customWidth="1"/>
    <col min="11523" max="11523" width="37" style="42" customWidth="1"/>
    <col min="11524" max="11525" width="11.44140625" style="42" customWidth="1"/>
    <col min="11526" max="11526" width="14" style="42" customWidth="1"/>
    <col min="11527" max="11527" width="20" style="42" customWidth="1"/>
    <col min="11528" max="11528" width="16.44140625" style="42" customWidth="1"/>
    <col min="11529" max="11776" width="8.6640625" style="42"/>
    <col min="11777" max="11777" width="10.33203125" style="42" bestFit="1" customWidth="1"/>
    <col min="11778" max="11778" width="22.109375" style="42" customWidth="1"/>
    <col min="11779" max="11779" width="37" style="42" customWidth="1"/>
    <col min="11780" max="11781" width="11.44140625" style="42" customWidth="1"/>
    <col min="11782" max="11782" width="14" style="42" customWidth="1"/>
    <col min="11783" max="11783" width="20" style="42" customWidth="1"/>
    <col min="11784" max="11784" width="16.44140625" style="42" customWidth="1"/>
    <col min="11785" max="12032" width="8.6640625" style="42"/>
    <col min="12033" max="12033" width="10.33203125" style="42" bestFit="1" customWidth="1"/>
    <col min="12034" max="12034" width="22.109375" style="42" customWidth="1"/>
    <col min="12035" max="12035" width="37" style="42" customWidth="1"/>
    <col min="12036" max="12037" width="11.44140625" style="42" customWidth="1"/>
    <col min="12038" max="12038" width="14" style="42" customWidth="1"/>
    <col min="12039" max="12039" width="20" style="42" customWidth="1"/>
    <col min="12040" max="12040" width="16.44140625" style="42" customWidth="1"/>
    <col min="12041" max="12288" width="8.6640625" style="42"/>
    <col min="12289" max="12289" width="10.33203125" style="42" bestFit="1" customWidth="1"/>
    <col min="12290" max="12290" width="22.109375" style="42" customWidth="1"/>
    <col min="12291" max="12291" width="37" style="42" customWidth="1"/>
    <col min="12292" max="12293" width="11.44140625" style="42" customWidth="1"/>
    <col min="12294" max="12294" width="14" style="42" customWidth="1"/>
    <col min="12295" max="12295" width="20" style="42" customWidth="1"/>
    <col min="12296" max="12296" width="16.44140625" style="42" customWidth="1"/>
    <col min="12297" max="12544" width="8.6640625" style="42"/>
    <col min="12545" max="12545" width="10.33203125" style="42" bestFit="1" customWidth="1"/>
    <col min="12546" max="12546" width="22.109375" style="42" customWidth="1"/>
    <col min="12547" max="12547" width="37" style="42" customWidth="1"/>
    <col min="12548" max="12549" width="11.44140625" style="42" customWidth="1"/>
    <col min="12550" max="12550" width="14" style="42" customWidth="1"/>
    <col min="12551" max="12551" width="20" style="42" customWidth="1"/>
    <col min="12552" max="12552" width="16.44140625" style="42" customWidth="1"/>
    <col min="12553" max="12800" width="8.6640625" style="42"/>
    <col min="12801" max="12801" width="10.33203125" style="42" bestFit="1" customWidth="1"/>
    <col min="12802" max="12802" width="22.109375" style="42" customWidth="1"/>
    <col min="12803" max="12803" width="37" style="42" customWidth="1"/>
    <col min="12804" max="12805" width="11.44140625" style="42" customWidth="1"/>
    <col min="12806" max="12806" width="14" style="42" customWidth="1"/>
    <col min="12807" max="12807" width="20" style="42" customWidth="1"/>
    <col min="12808" max="12808" width="16.44140625" style="42" customWidth="1"/>
    <col min="12809" max="13056" width="8.6640625" style="42"/>
    <col min="13057" max="13057" width="10.33203125" style="42" bestFit="1" customWidth="1"/>
    <col min="13058" max="13058" width="22.109375" style="42" customWidth="1"/>
    <col min="13059" max="13059" width="37" style="42" customWidth="1"/>
    <col min="13060" max="13061" width="11.44140625" style="42" customWidth="1"/>
    <col min="13062" max="13062" width="14" style="42" customWidth="1"/>
    <col min="13063" max="13063" width="20" style="42" customWidth="1"/>
    <col min="13064" max="13064" width="16.44140625" style="42" customWidth="1"/>
    <col min="13065" max="13312" width="8.6640625" style="42"/>
    <col min="13313" max="13313" width="10.33203125" style="42" bestFit="1" customWidth="1"/>
    <col min="13314" max="13314" width="22.109375" style="42" customWidth="1"/>
    <col min="13315" max="13315" width="37" style="42" customWidth="1"/>
    <col min="13316" max="13317" width="11.44140625" style="42" customWidth="1"/>
    <col min="13318" max="13318" width="14" style="42" customWidth="1"/>
    <col min="13319" max="13319" width="20" style="42" customWidth="1"/>
    <col min="13320" max="13320" width="16.44140625" style="42" customWidth="1"/>
    <col min="13321" max="13568" width="8.6640625" style="42"/>
    <col min="13569" max="13569" width="10.33203125" style="42" bestFit="1" customWidth="1"/>
    <col min="13570" max="13570" width="22.109375" style="42" customWidth="1"/>
    <col min="13571" max="13571" width="37" style="42" customWidth="1"/>
    <col min="13572" max="13573" width="11.44140625" style="42" customWidth="1"/>
    <col min="13574" max="13574" width="14" style="42" customWidth="1"/>
    <col min="13575" max="13575" width="20" style="42" customWidth="1"/>
    <col min="13576" max="13576" width="16.44140625" style="42" customWidth="1"/>
    <col min="13577" max="13824" width="8.6640625" style="42"/>
    <col min="13825" max="13825" width="10.33203125" style="42" bestFit="1" customWidth="1"/>
    <col min="13826" max="13826" width="22.109375" style="42" customWidth="1"/>
    <col min="13827" max="13827" width="37" style="42" customWidth="1"/>
    <col min="13828" max="13829" width="11.44140625" style="42" customWidth="1"/>
    <col min="13830" max="13830" width="14" style="42" customWidth="1"/>
    <col min="13831" max="13831" width="20" style="42" customWidth="1"/>
    <col min="13832" max="13832" width="16.44140625" style="42" customWidth="1"/>
    <col min="13833" max="14080" width="8.6640625" style="42"/>
    <col min="14081" max="14081" width="10.33203125" style="42" bestFit="1" customWidth="1"/>
    <col min="14082" max="14082" width="22.109375" style="42" customWidth="1"/>
    <col min="14083" max="14083" width="37" style="42" customWidth="1"/>
    <col min="14084" max="14085" width="11.44140625" style="42" customWidth="1"/>
    <col min="14086" max="14086" width="14" style="42" customWidth="1"/>
    <col min="14087" max="14087" width="20" style="42" customWidth="1"/>
    <col min="14088" max="14088" width="16.44140625" style="42" customWidth="1"/>
    <col min="14089" max="14336" width="8.6640625" style="42"/>
    <col min="14337" max="14337" width="10.33203125" style="42" bestFit="1" customWidth="1"/>
    <col min="14338" max="14338" width="22.109375" style="42" customWidth="1"/>
    <col min="14339" max="14339" width="37" style="42" customWidth="1"/>
    <col min="14340" max="14341" width="11.44140625" style="42" customWidth="1"/>
    <col min="14342" max="14342" width="14" style="42" customWidth="1"/>
    <col min="14343" max="14343" width="20" style="42" customWidth="1"/>
    <col min="14344" max="14344" width="16.44140625" style="42" customWidth="1"/>
    <col min="14345" max="14592" width="8.6640625" style="42"/>
    <col min="14593" max="14593" width="10.33203125" style="42" bestFit="1" customWidth="1"/>
    <col min="14594" max="14594" width="22.109375" style="42" customWidth="1"/>
    <col min="14595" max="14595" width="37" style="42" customWidth="1"/>
    <col min="14596" max="14597" width="11.44140625" style="42" customWidth="1"/>
    <col min="14598" max="14598" width="14" style="42" customWidth="1"/>
    <col min="14599" max="14599" width="20" style="42" customWidth="1"/>
    <col min="14600" max="14600" width="16.44140625" style="42" customWidth="1"/>
    <col min="14601" max="14848" width="8.6640625" style="42"/>
    <col min="14849" max="14849" width="10.33203125" style="42" bestFit="1" customWidth="1"/>
    <col min="14850" max="14850" width="22.109375" style="42" customWidth="1"/>
    <col min="14851" max="14851" width="37" style="42" customWidth="1"/>
    <col min="14852" max="14853" width="11.44140625" style="42" customWidth="1"/>
    <col min="14854" max="14854" width="14" style="42" customWidth="1"/>
    <col min="14855" max="14855" width="20" style="42" customWidth="1"/>
    <col min="14856" max="14856" width="16.44140625" style="42" customWidth="1"/>
    <col min="14857" max="15104" width="8.6640625" style="42"/>
    <col min="15105" max="15105" width="10.33203125" style="42" bestFit="1" customWidth="1"/>
    <col min="15106" max="15106" width="22.109375" style="42" customWidth="1"/>
    <col min="15107" max="15107" width="37" style="42" customWidth="1"/>
    <col min="15108" max="15109" width="11.44140625" style="42" customWidth="1"/>
    <col min="15110" max="15110" width="14" style="42" customWidth="1"/>
    <col min="15111" max="15111" width="20" style="42" customWidth="1"/>
    <col min="15112" max="15112" width="16.44140625" style="42" customWidth="1"/>
    <col min="15113" max="15360" width="8.6640625" style="42"/>
    <col min="15361" max="15361" width="10.33203125" style="42" bestFit="1" customWidth="1"/>
    <col min="15362" max="15362" width="22.109375" style="42" customWidth="1"/>
    <col min="15363" max="15363" width="37" style="42" customWidth="1"/>
    <col min="15364" max="15365" width="11.44140625" style="42" customWidth="1"/>
    <col min="15366" max="15366" width="14" style="42" customWidth="1"/>
    <col min="15367" max="15367" width="20" style="42" customWidth="1"/>
    <col min="15368" max="15368" width="16.44140625" style="42" customWidth="1"/>
    <col min="15369" max="15616" width="8.6640625" style="42"/>
    <col min="15617" max="15617" width="10.33203125" style="42" bestFit="1" customWidth="1"/>
    <col min="15618" max="15618" width="22.109375" style="42" customWidth="1"/>
    <col min="15619" max="15619" width="37" style="42" customWidth="1"/>
    <col min="15620" max="15621" width="11.44140625" style="42" customWidth="1"/>
    <col min="15622" max="15622" width="14" style="42" customWidth="1"/>
    <col min="15623" max="15623" width="20" style="42" customWidth="1"/>
    <col min="15624" max="15624" width="16.44140625" style="42" customWidth="1"/>
    <col min="15625" max="15872" width="8.6640625" style="42"/>
    <col min="15873" max="15873" width="10.33203125" style="42" bestFit="1" customWidth="1"/>
    <col min="15874" max="15874" width="22.109375" style="42" customWidth="1"/>
    <col min="15875" max="15875" width="37" style="42" customWidth="1"/>
    <col min="15876" max="15877" width="11.44140625" style="42" customWidth="1"/>
    <col min="15878" max="15878" width="14" style="42" customWidth="1"/>
    <col min="15879" max="15879" width="20" style="42" customWidth="1"/>
    <col min="15880" max="15880" width="16.44140625" style="42" customWidth="1"/>
    <col min="15881" max="16128" width="8.6640625" style="42"/>
    <col min="16129" max="16129" width="10.33203125" style="42" bestFit="1" customWidth="1"/>
    <col min="16130" max="16130" width="22.109375" style="42" customWidth="1"/>
    <col min="16131" max="16131" width="37" style="42" customWidth="1"/>
    <col min="16132" max="16133" width="11.44140625" style="42" customWidth="1"/>
    <col min="16134" max="16134" width="14" style="42" customWidth="1"/>
    <col min="16135" max="16135" width="20" style="42" customWidth="1"/>
    <col min="16136" max="16136" width="16.44140625" style="42" customWidth="1"/>
    <col min="16137" max="16384" width="8.6640625" style="42"/>
  </cols>
  <sheetData>
    <row r="1" spans="1:9" ht="15" customHeight="1" x14ac:dyDescent="0.3">
      <c r="A1" s="41">
        <v>44121</v>
      </c>
      <c r="B1" s="42" t="s">
        <v>203</v>
      </c>
    </row>
    <row r="2" spans="1:9" ht="15" customHeight="1" x14ac:dyDescent="0.3">
      <c r="A2" s="43"/>
      <c r="B2" s="43"/>
      <c r="C2" s="43"/>
      <c r="D2" s="43"/>
      <c r="E2" s="43"/>
      <c r="F2" s="43"/>
      <c r="G2" s="43"/>
      <c r="H2" s="43"/>
    </row>
    <row r="3" spans="1:9" ht="15.75" customHeight="1" x14ac:dyDescent="0.3">
      <c r="A3" s="43"/>
      <c r="B3" s="296" t="s">
        <v>204</v>
      </c>
      <c r="C3" s="296"/>
      <c r="D3" s="296"/>
      <c r="E3" s="296"/>
      <c r="F3" s="296"/>
      <c r="G3" s="296"/>
      <c r="H3" s="296"/>
    </row>
    <row r="4" spans="1:9" x14ac:dyDescent="0.3">
      <c r="A4" s="43"/>
      <c r="B4" s="44" t="s">
        <v>205</v>
      </c>
      <c r="C4" s="44" t="s">
        <v>206</v>
      </c>
      <c r="D4" s="44" t="s">
        <v>109</v>
      </c>
      <c r="E4" s="44" t="s">
        <v>207</v>
      </c>
      <c r="F4" s="44" t="s">
        <v>208</v>
      </c>
      <c r="G4" s="44" t="s">
        <v>209</v>
      </c>
      <c r="H4" s="44" t="s">
        <v>210</v>
      </c>
    </row>
    <row r="5" spans="1:9" ht="15" customHeight="1" x14ac:dyDescent="0.3">
      <c r="A5" s="43"/>
      <c r="B5" s="45" t="s">
        <v>211</v>
      </c>
      <c r="C5" s="46"/>
      <c r="D5" s="45"/>
      <c r="E5" s="45"/>
      <c r="F5" s="47"/>
      <c r="G5" s="47"/>
      <c r="H5" s="48">
        <v>55800000</v>
      </c>
    </row>
    <row r="6" spans="1:9" x14ac:dyDescent="0.3">
      <c r="A6" s="43"/>
      <c r="B6" s="45" t="s">
        <v>211</v>
      </c>
      <c r="C6" s="49"/>
      <c r="D6" s="45"/>
      <c r="E6" s="45"/>
      <c r="F6" s="47"/>
      <c r="G6" s="47"/>
      <c r="H6" s="48">
        <v>120000000</v>
      </c>
    </row>
    <row r="7" spans="1:9" ht="15" customHeight="1" x14ac:dyDescent="0.3">
      <c r="A7" s="43"/>
      <c r="B7" s="45" t="s">
        <v>211</v>
      </c>
      <c r="C7" s="46"/>
      <c r="D7" s="45"/>
      <c r="E7" s="45"/>
      <c r="F7" s="47"/>
      <c r="G7" s="47"/>
      <c r="H7" s="48">
        <v>76300000</v>
      </c>
    </row>
    <row r="8" spans="1:9" x14ac:dyDescent="0.3">
      <c r="A8" s="43"/>
      <c r="B8" s="45" t="s">
        <v>211</v>
      </c>
      <c r="C8" s="49"/>
      <c r="D8" s="45"/>
      <c r="E8" s="45"/>
      <c r="F8" s="47"/>
      <c r="G8" s="47"/>
      <c r="H8" s="48">
        <v>118500000</v>
      </c>
    </row>
    <row r="9" spans="1:9" ht="15" customHeight="1" x14ac:dyDescent="0.3">
      <c r="A9" s="43"/>
      <c r="B9" s="45" t="s">
        <v>211</v>
      </c>
      <c r="C9" s="49"/>
      <c r="D9" s="45"/>
      <c r="E9" s="45"/>
      <c r="F9" s="47"/>
      <c r="G9" s="47"/>
      <c r="H9" s="48">
        <v>139000000</v>
      </c>
    </row>
    <row r="10" spans="1:9" ht="15" customHeight="1" x14ac:dyDescent="0.3">
      <c r="A10" s="43"/>
      <c r="B10" s="45" t="s">
        <v>212</v>
      </c>
      <c r="C10" s="46"/>
      <c r="D10" s="45"/>
      <c r="E10" s="45"/>
      <c r="F10" s="47"/>
      <c r="G10" s="47"/>
      <c r="H10" s="48">
        <v>77400000</v>
      </c>
    </row>
    <row r="11" spans="1:9" ht="15" customHeight="1" x14ac:dyDescent="0.3">
      <c r="A11" s="43"/>
      <c r="B11" s="45" t="s">
        <v>212</v>
      </c>
      <c r="C11" s="46"/>
      <c r="D11" s="45"/>
      <c r="E11" s="45"/>
      <c r="F11" s="47"/>
      <c r="G11" s="47"/>
      <c r="H11" s="48">
        <v>86300000</v>
      </c>
    </row>
    <row r="12" spans="1:9" ht="15" customHeight="1" x14ac:dyDescent="0.3">
      <c r="A12" s="43"/>
      <c r="B12" s="50" t="s">
        <v>213</v>
      </c>
      <c r="C12" s="45"/>
      <c r="D12" s="45"/>
      <c r="E12" s="45"/>
      <c r="F12" s="45"/>
      <c r="G12" s="51" t="e">
        <f>AVERAGE(G5:G11)</f>
        <v>#DIV/0!</v>
      </c>
      <c r="H12" s="45"/>
    </row>
    <row r="13" spans="1:9" ht="15" customHeight="1" x14ac:dyDescent="0.3">
      <c r="B13" s="50" t="s">
        <v>214</v>
      </c>
      <c r="C13" s="45"/>
      <c r="D13" s="45"/>
      <c r="E13" s="45"/>
      <c r="F13" s="52"/>
      <c r="G13" s="50">
        <v>32000</v>
      </c>
      <c r="H13" s="50"/>
      <c r="I13" s="53"/>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6"/>
  <sheetViews>
    <sheetView workbookViewId="0">
      <selection sqref="A1:XFD1048576"/>
    </sheetView>
  </sheetViews>
  <sheetFormatPr defaultRowHeight="14.4" x14ac:dyDescent="0.3"/>
  <cols>
    <col min="2" max="2" width="12.33203125" customWidth="1"/>
  </cols>
  <sheetData>
    <row r="2" spans="1:12" x14ac:dyDescent="0.3">
      <c r="B2" s="5" t="s">
        <v>108</v>
      </c>
      <c r="C2" s="297"/>
      <c r="D2" s="297"/>
    </row>
    <row r="3" spans="1:12" x14ac:dyDescent="0.3">
      <c r="D3" s="6"/>
      <c r="E3" s="6"/>
      <c r="F3" s="6"/>
      <c r="G3" s="6"/>
      <c r="H3" s="6"/>
      <c r="I3" s="6"/>
    </row>
    <row r="4" spans="1:12" x14ac:dyDescent="0.3">
      <c r="A4" s="5" t="s">
        <v>109</v>
      </c>
      <c r="B4" s="7" t="s">
        <v>110</v>
      </c>
      <c r="C4" s="298" t="s">
        <v>111</v>
      </c>
      <c r="D4" s="298"/>
      <c r="E4" s="298"/>
      <c r="F4" s="8"/>
      <c r="G4" s="298" t="s">
        <v>112</v>
      </c>
      <c r="H4" s="298"/>
      <c r="I4" s="298"/>
      <c r="J4" s="298" t="s">
        <v>113</v>
      </c>
      <c r="K4" s="298"/>
      <c r="L4" s="298"/>
    </row>
    <row r="5" spans="1:12" x14ac:dyDescent="0.3">
      <c r="A5" s="5">
        <v>1</v>
      </c>
      <c r="B5" s="7"/>
      <c r="C5" s="7" t="s">
        <v>114</v>
      </c>
      <c r="D5" s="7" t="s">
        <v>115</v>
      </c>
      <c r="E5" s="7" t="s">
        <v>76</v>
      </c>
      <c r="F5" s="7"/>
      <c r="G5" s="7" t="s">
        <v>114</v>
      </c>
      <c r="H5" s="7" t="s">
        <v>115</v>
      </c>
      <c r="I5" s="7" t="s">
        <v>76</v>
      </c>
      <c r="J5" s="7" t="s">
        <v>114</v>
      </c>
      <c r="K5" s="7" t="s">
        <v>115</v>
      </c>
      <c r="L5" s="7" t="s">
        <v>76</v>
      </c>
    </row>
    <row r="6" spans="1:12" x14ac:dyDescent="0.3">
      <c r="B6" s="9" t="s">
        <v>116</v>
      </c>
      <c r="C6" s="9"/>
      <c r="D6" s="9"/>
      <c r="E6" s="9">
        <f>C6*D6</f>
        <v>0</v>
      </c>
      <c r="F6" s="9" t="s">
        <v>117</v>
      </c>
      <c r="G6" s="9"/>
      <c r="H6" s="9"/>
      <c r="I6" s="9">
        <f>G6*H6</f>
        <v>0</v>
      </c>
      <c r="J6" s="9"/>
      <c r="K6" s="9"/>
      <c r="L6" s="9">
        <f>J6*K6</f>
        <v>0</v>
      </c>
    </row>
    <row r="7" spans="1:12" x14ac:dyDescent="0.3">
      <c r="B7" s="9"/>
      <c r="C7" s="9"/>
      <c r="D7" s="9"/>
      <c r="E7" s="9">
        <f t="shared" ref="E7:E33" si="0">C7*D7</f>
        <v>0</v>
      </c>
      <c r="F7" s="9" t="s">
        <v>118</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119</v>
      </c>
      <c r="C9" s="9"/>
      <c r="D9" s="9"/>
      <c r="E9" s="9">
        <f t="shared" si="0"/>
        <v>0</v>
      </c>
      <c r="F9" s="9" t="s">
        <v>117</v>
      </c>
      <c r="G9" s="9"/>
      <c r="H9" s="9"/>
      <c r="I9" s="9">
        <f t="shared" si="1"/>
        <v>0</v>
      </c>
      <c r="J9" s="9"/>
      <c r="K9" s="9"/>
      <c r="L9" s="9">
        <f t="shared" si="2"/>
        <v>0</v>
      </c>
    </row>
    <row r="10" spans="1:12" x14ac:dyDescent="0.3">
      <c r="B10" s="9"/>
      <c r="C10" s="9"/>
      <c r="D10" s="9"/>
      <c r="E10" s="9">
        <f t="shared" si="0"/>
        <v>0</v>
      </c>
      <c r="F10" s="9" t="s">
        <v>118</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120</v>
      </c>
      <c r="C13" s="9"/>
      <c r="D13" s="9"/>
      <c r="E13" s="9">
        <f t="shared" si="0"/>
        <v>0</v>
      </c>
      <c r="F13" s="9" t="s">
        <v>117</v>
      </c>
      <c r="G13" s="9"/>
      <c r="H13" s="9"/>
      <c r="I13" s="9">
        <f t="shared" si="1"/>
        <v>0</v>
      </c>
      <c r="J13" s="9"/>
      <c r="K13" s="9"/>
      <c r="L13" s="9">
        <f t="shared" si="2"/>
        <v>0</v>
      </c>
    </row>
    <row r="14" spans="1:12" x14ac:dyDescent="0.3">
      <c r="B14" s="9"/>
      <c r="C14" s="9"/>
      <c r="D14" s="9"/>
      <c r="E14" s="9">
        <f t="shared" si="0"/>
        <v>0</v>
      </c>
      <c r="F14" s="9" t="s">
        <v>118</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121</v>
      </c>
      <c r="C17" s="9"/>
      <c r="D17" s="9"/>
      <c r="E17" s="9">
        <f t="shared" si="0"/>
        <v>0</v>
      </c>
      <c r="F17" s="9" t="s">
        <v>117</v>
      </c>
      <c r="G17" s="9"/>
      <c r="H17" s="9"/>
      <c r="I17" s="9">
        <f t="shared" si="1"/>
        <v>0</v>
      </c>
      <c r="J17" s="9"/>
      <c r="K17" s="9"/>
      <c r="L17" s="9">
        <f t="shared" si="2"/>
        <v>0</v>
      </c>
    </row>
    <row r="18" spans="2:12" x14ac:dyDescent="0.3">
      <c r="B18" s="9"/>
      <c r="C18" s="9"/>
      <c r="D18" s="9"/>
      <c r="E18" s="9">
        <f t="shared" si="0"/>
        <v>0</v>
      </c>
      <c r="F18" s="9" t="s">
        <v>118</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121</v>
      </c>
      <c r="C20" s="9"/>
      <c r="D20" s="9"/>
      <c r="E20" s="9">
        <f t="shared" si="0"/>
        <v>0</v>
      </c>
      <c r="F20" s="9" t="s">
        <v>117</v>
      </c>
      <c r="G20" s="9"/>
      <c r="H20" s="9"/>
      <c r="I20" s="9">
        <f t="shared" si="1"/>
        <v>0</v>
      </c>
      <c r="J20" s="9"/>
      <c r="K20" s="9"/>
      <c r="L20" s="9">
        <f t="shared" si="2"/>
        <v>0</v>
      </c>
    </row>
    <row r="21" spans="2:12" x14ac:dyDescent="0.3">
      <c r="B21" s="9"/>
      <c r="C21" s="9"/>
      <c r="D21" s="9"/>
      <c r="E21" s="9">
        <f t="shared" si="0"/>
        <v>0</v>
      </c>
      <c r="F21" s="9" t="s">
        <v>118</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122</v>
      </c>
      <c r="C23" s="9"/>
      <c r="D23" s="9"/>
      <c r="E23" s="9">
        <f t="shared" si="0"/>
        <v>0</v>
      </c>
      <c r="F23" s="9" t="s">
        <v>123</v>
      </c>
      <c r="G23" s="9"/>
      <c r="H23" s="9"/>
      <c r="I23" s="9">
        <f t="shared" si="1"/>
        <v>0</v>
      </c>
      <c r="J23" s="9"/>
      <c r="K23" s="9"/>
      <c r="L23" s="9">
        <f t="shared" si="2"/>
        <v>0</v>
      </c>
    </row>
    <row r="24" spans="2:12" x14ac:dyDescent="0.3">
      <c r="B24" s="9" t="s">
        <v>124</v>
      </c>
      <c r="C24" s="9"/>
      <c r="D24" s="9"/>
      <c r="E24" s="9">
        <f t="shared" si="0"/>
        <v>0</v>
      </c>
      <c r="F24" s="9" t="s">
        <v>123</v>
      </c>
      <c r="G24" s="9"/>
      <c r="H24" s="9"/>
      <c r="I24" s="9">
        <f t="shared" si="1"/>
        <v>0</v>
      </c>
      <c r="J24" s="9"/>
      <c r="K24" s="9"/>
      <c r="L24" s="9">
        <f t="shared" si="2"/>
        <v>0</v>
      </c>
    </row>
    <row r="25" spans="2:12" x14ac:dyDescent="0.3">
      <c r="B25" s="9" t="s">
        <v>125</v>
      </c>
      <c r="C25" s="9"/>
      <c r="D25" s="9"/>
      <c r="E25" s="9">
        <f t="shared" si="0"/>
        <v>0</v>
      </c>
      <c r="F25" s="9" t="s">
        <v>123</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126</v>
      </c>
      <c r="C27" s="9"/>
      <c r="D27" s="9"/>
      <c r="E27" s="9">
        <f t="shared" si="0"/>
        <v>0</v>
      </c>
      <c r="F27" s="9"/>
      <c r="G27" s="9"/>
      <c r="H27" s="9"/>
      <c r="I27" s="9">
        <f t="shared" si="1"/>
        <v>0</v>
      </c>
      <c r="J27" s="9"/>
      <c r="K27" s="9"/>
      <c r="L27" s="9">
        <f t="shared" si="2"/>
        <v>0</v>
      </c>
    </row>
    <row r="28" spans="2:12" x14ac:dyDescent="0.3">
      <c r="B28" s="9" t="s">
        <v>127</v>
      </c>
      <c r="C28" s="9"/>
      <c r="D28" s="9"/>
      <c r="E28" s="9">
        <f t="shared" si="0"/>
        <v>0</v>
      </c>
      <c r="F28" s="9"/>
      <c r="G28" s="9"/>
      <c r="H28" s="9"/>
      <c r="I28" s="9">
        <f t="shared" si="1"/>
        <v>0</v>
      </c>
      <c r="J28" s="9"/>
      <c r="K28" s="9"/>
      <c r="L28" s="9">
        <f t="shared" si="2"/>
        <v>0</v>
      </c>
    </row>
    <row r="29" spans="2:12" x14ac:dyDescent="0.3">
      <c r="B29" s="9" t="s">
        <v>128</v>
      </c>
      <c r="C29" s="9"/>
      <c r="D29" s="9"/>
      <c r="E29" s="9">
        <f t="shared" si="0"/>
        <v>0</v>
      </c>
      <c r="F29" s="9"/>
      <c r="G29" s="9"/>
      <c r="H29" s="9"/>
      <c r="I29" s="9">
        <f t="shared" si="1"/>
        <v>0</v>
      </c>
      <c r="J29" s="9"/>
      <c r="K29" s="9"/>
      <c r="L29" s="9">
        <f t="shared" si="2"/>
        <v>0</v>
      </c>
    </row>
    <row r="30" spans="2:12" x14ac:dyDescent="0.3">
      <c r="B30" s="9" t="s">
        <v>129</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77</v>
      </c>
      <c r="C34" s="9"/>
      <c r="D34" s="9">
        <f>E34*10.764</f>
        <v>0</v>
      </c>
      <c r="E34" s="9">
        <f>SUM(E6:E33)</f>
        <v>0</v>
      </c>
      <c r="F34" s="9"/>
      <c r="G34" s="9"/>
      <c r="H34" s="9">
        <f>I34*10.764</f>
        <v>0</v>
      </c>
      <c r="I34" s="9">
        <f>SUM(I6:I33)</f>
        <v>0</v>
      </c>
      <c r="J34" s="9"/>
      <c r="K34" s="9">
        <f>L34*10.764</f>
        <v>0</v>
      </c>
      <c r="L34" s="9">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1%</vt:lpstr>
      <vt:lpstr>4%</vt:lpstr>
      <vt:lpstr>5%</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2025-08-12T07:59:21Z</cp:lastPrinted>
  <dcterms:created xsi:type="dcterms:W3CDTF">2019-07-16T09:29:46Z</dcterms:created>
  <dcterms:modified xsi:type="dcterms:W3CDTF">2025-08-12T08:00:12Z</dcterms:modified>
</cp:coreProperties>
</file>