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"/>
    </mc:Choice>
  </mc:AlternateContent>
  <xr:revisionPtr revIDLastSave="0" documentId="13_ncr:1_{708CECF4-A63B-4AA3-A2F6-43A5C0FD277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4" i="1" l="1"/>
  <c r="A165" i="1" s="1"/>
  <c r="A166" i="1" s="1"/>
  <c r="A167" i="1" s="1"/>
  <c r="A168" i="1" s="1"/>
  <c r="A169" i="1" s="1"/>
  <c r="A170" i="1" s="1"/>
  <c r="A171" i="1" s="1"/>
  <c r="J140" i="1"/>
  <c r="A174" i="1" l="1"/>
  <c r="A175" i="1" s="1"/>
  <c r="A176" i="1" s="1"/>
  <c r="A172" i="1"/>
  <c r="D161" i="1"/>
  <c r="F161" i="1" s="1"/>
  <c r="I161" i="1" s="1"/>
  <c r="D160" i="1"/>
  <c r="F160" i="1" s="1"/>
  <c r="I160" i="1" s="1"/>
  <c r="D159" i="1"/>
  <c r="F159" i="1" s="1"/>
  <c r="I159" i="1" s="1"/>
  <c r="D158" i="1"/>
  <c r="F158" i="1" s="1"/>
  <c r="I158" i="1" s="1"/>
  <c r="A158" i="1"/>
  <c r="A159" i="1" s="1"/>
  <c r="A160" i="1" s="1"/>
  <c r="A161" i="1" s="1"/>
  <c r="G157" i="1"/>
  <c r="D157" i="1"/>
  <c r="F157" i="1" s="1"/>
  <c r="I157" i="1" s="1"/>
  <c r="D155" i="1"/>
  <c r="F155" i="1" s="1"/>
  <c r="I155" i="1" s="1"/>
  <c r="D154" i="1"/>
  <c r="F154" i="1" s="1"/>
  <c r="I154" i="1" s="1"/>
  <c r="F151" i="1"/>
  <c r="I151" i="1" s="1"/>
  <c r="D153" i="1"/>
  <c r="F153" i="1" s="1"/>
  <c r="I153" i="1" s="1"/>
  <c r="D152" i="1"/>
  <c r="F152" i="1" s="1"/>
  <c r="I152" i="1" s="1"/>
  <c r="A152" i="1"/>
  <c r="A153" i="1" s="1"/>
  <c r="A154" i="1" s="1"/>
  <c r="A155" i="1" s="1"/>
  <c r="G151" i="1"/>
  <c r="D148" i="1"/>
  <c r="D147" i="1"/>
  <c r="D146" i="1"/>
  <c r="D143" i="1"/>
  <c r="D142" i="1"/>
  <c r="D141" i="1"/>
  <c r="E138" i="1"/>
  <c r="D137" i="1"/>
  <c r="E136" i="1"/>
  <c r="I136" i="1"/>
  <c r="D135" i="1" l="1"/>
  <c r="I135" i="1"/>
  <c r="D124" i="1"/>
  <c r="I121" i="1"/>
  <c r="D117" i="1"/>
  <c r="D116" i="1"/>
  <c r="D136" i="1" l="1"/>
  <c r="G50" i="1"/>
  <c r="E137" i="1" l="1"/>
  <c r="E13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9" i="1"/>
  <c r="B165" i="1"/>
  <c r="B164" i="1"/>
  <c r="F148" i="1"/>
  <c r="F147" i="1"/>
  <c r="F146" i="1"/>
  <c r="A146" i="1"/>
  <c r="A147" i="1" s="1"/>
  <c r="A148" i="1" s="1"/>
  <c r="G145" i="1"/>
  <c r="F143" i="1"/>
  <c r="I143" i="1" s="1"/>
  <c r="F142" i="1"/>
  <c r="I142" i="1" s="1"/>
  <c r="F141" i="1"/>
  <c r="I141" i="1" s="1"/>
  <c r="A141" i="1"/>
  <c r="A142" i="1" s="1"/>
  <c r="A143" i="1" s="1"/>
  <c r="G140" i="1"/>
  <c r="F140" i="1"/>
  <c r="I140" i="1" s="1"/>
  <c r="D138" i="1"/>
  <c r="F136" i="1"/>
  <c r="A136" i="1"/>
  <c r="A137" i="1" s="1"/>
  <c r="A138" i="1" s="1"/>
  <c r="G135" i="1"/>
  <c r="F135" i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F125" i="1" s="1"/>
  <c r="A125" i="1"/>
  <c r="A126" i="1" s="1"/>
  <c r="A127" i="1" s="1"/>
  <c r="A128" i="1" s="1"/>
  <c r="A129" i="1" s="1"/>
  <c r="A130" i="1" s="1"/>
  <c r="G124" i="1"/>
  <c r="F124" i="1"/>
  <c r="D122" i="1"/>
  <c r="F122" i="1" s="1"/>
  <c r="D121" i="1"/>
  <c r="F121" i="1" s="1"/>
  <c r="D120" i="1"/>
  <c r="F120" i="1" s="1"/>
  <c r="D119" i="1"/>
  <c r="F119" i="1" s="1"/>
  <c r="D118" i="1"/>
  <c r="F118" i="1" s="1"/>
  <c r="F117" i="1"/>
  <c r="A117" i="1"/>
  <c r="A118" i="1" s="1"/>
  <c r="A119" i="1" s="1"/>
  <c r="A120" i="1" s="1"/>
  <c r="A121" i="1" s="1"/>
  <c r="A122" i="1" s="1"/>
  <c r="G116" i="1"/>
  <c r="F116" i="1"/>
  <c r="D114" i="1"/>
  <c r="F114" i="1" s="1"/>
  <c r="E113" i="1"/>
  <c r="D113" i="1"/>
  <c r="E112" i="1"/>
  <c r="D112" i="1"/>
  <c r="E111" i="1"/>
  <c r="D111" i="1"/>
  <c r="E110" i="1"/>
  <c r="D110" i="1"/>
  <c r="E109" i="1"/>
  <c r="D109" i="1"/>
  <c r="A109" i="1"/>
  <c r="A110" i="1" s="1"/>
  <c r="A111" i="1" s="1"/>
  <c r="A112" i="1" s="1"/>
  <c r="A113" i="1" s="1"/>
  <c r="A114" i="1" s="1"/>
  <c r="G108" i="1"/>
  <c r="E108" i="1"/>
  <c r="D108" i="1"/>
  <c r="F94" i="1"/>
  <c r="J78" i="1"/>
  <c r="J77" i="1"/>
  <c r="J76" i="1"/>
  <c r="J75" i="1"/>
  <c r="C67" i="1"/>
  <c r="D61" i="1"/>
  <c r="D56" i="1"/>
  <c r="G51" i="1"/>
  <c r="C50" i="1"/>
  <c r="C51" i="1" s="1"/>
  <c r="E43" i="1"/>
  <c r="E44" i="1" s="1"/>
  <c r="E30" i="1"/>
  <c r="E27" i="1"/>
  <c r="E25" i="1"/>
  <c r="C15" i="1"/>
  <c r="E7" i="1"/>
  <c r="E3" i="1"/>
  <c r="H68" i="1"/>
  <c r="F109" i="1" l="1"/>
  <c r="F110" i="1"/>
  <c r="F111" i="1"/>
  <c r="F138" i="1"/>
  <c r="C102" i="1"/>
  <c r="E102" i="1"/>
  <c r="C98" i="1"/>
  <c r="C97" i="1"/>
  <c r="F108" i="1"/>
  <c r="E97" i="1"/>
  <c r="F113" i="1"/>
  <c r="D80" i="1"/>
  <c r="D79" i="1"/>
  <c r="D78" i="1"/>
  <c r="D77" i="1"/>
  <c r="D76" i="1"/>
  <c r="D75" i="1"/>
  <c r="D74" i="1"/>
  <c r="D73" i="1"/>
  <c r="J71" i="1"/>
  <c r="J67" i="1"/>
  <c r="J69" i="1" s="1"/>
  <c r="J73" i="1"/>
  <c r="J74" i="1" s="1"/>
  <c r="J79" i="1" s="1"/>
  <c r="J72" i="1"/>
  <c r="C71" i="1" s="1"/>
  <c r="D71" i="1" s="1"/>
  <c r="J70" i="1"/>
  <c r="G98" i="1"/>
  <c r="F112" i="1"/>
  <c r="F137" i="1"/>
  <c r="E98" i="1"/>
  <c r="G102" i="1" l="1"/>
  <c r="C99" i="1"/>
  <c r="E99" i="1"/>
  <c r="G97" i="1"/>
  <c r="G99" i="1" s="1"/>
  <c r="J80" i="1"/>
  <c r="C72" i="1" l="1"/>
  <c r="G71" i="1" s="1"/>
  <c r="D65" i="1" s="1"/>
  <c r="D66" i="1" s="1"/>
  <c r="D72" i="1" l="1"/>
  <c r="I68" i="1" s="1"/>
  <c r="I69" i="1" s="1"/>
  <c r="F66" i="1"/>
  <c r="E71" i="1"/>
  <c r="J68" i="1"/>
  <c r="I67" i="1" l="1"/>
  <c r="C69" i="1" s="1"/>
</calcChain>
</file>

<file path=xl/sharedStrings.xml><?xml version="1.0" encoding="utf-8"?>
<sst xmlns="http://schemas.openxmlformats.org/spreadsheetml/2006/main" count="294" uniqueCount="237">
  <si>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</si>
  <si>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</si>
  <si>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</si>
  <si>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</si>
  <si>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</si>
  <si>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</si>
  <si>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</si>
  <si>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</si>
  <si>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</si>
  <si>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</si>
  <si>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</si>
  <si>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</si>
  <si>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</si>
  <si>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</si>
  <si>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</si>
  <si>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</si>
  <si>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</si>
  <si>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</si>
  <si>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</si>
  <si>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</si>
  <si>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</si>
  <si>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</si>
  <si>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</si>
  <si>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</si>
  <si>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</si>
  <si>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</si>
  <si>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</si>
  <si>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</si>
  <si>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</si>
  <si>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</si>
  <si>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</si>
  <si>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</si>
  <si>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</si>
  <si>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</si>
  <si>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</si>
  <si>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</si>
  <si>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</si>
  <si>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</si>
  <si>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</si>
  <si>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</si>
  <si>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</si>
  <si>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</si>
  <si>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</si>
  <si>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</si>
  <si>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</si>
  <si>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</si>
  <si>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</si>
  <si>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</si>
  <si>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</si>
  <si>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</si>
  <si>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</si>
  <si>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</si>
  <si>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</si>
  <si>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</si>
  <si>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</si>
  <si>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</si>
  <si>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</si>
  <si>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</si>
  <si>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</si>
  <si>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</si>
  <si>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</si>
  <si>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</si>
  <si>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</si>
  <si>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</si>
  <si>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</si>
  <si>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</si>
  <si>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</si>
  <si>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</si>
  <si>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</si>
  <si>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</si>
  <si>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</si>
  <si>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</si>
  <si>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</si>
  <si>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</si>
  <si>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</si>
  <si>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</si>
  <si>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</si>
  <si>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</si>
  <si>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</si>
  <si>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</si>
  <si>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</si>
  <si>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</si>
  <si>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</si>
  <si>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</si>
  <si>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</si>
  <si>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</si>
  <si>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</si>
  <si>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</si>
  <si>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</si>
  <si>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</si>
  <si>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</si>
  <si>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</si>
  <si>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</si>
  <si>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</si>
  <si>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</si>
  <si>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</si>
  <si>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</si>
  <si>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</si>
  <si>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</si>
  <si>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</si>
  <si>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</si>
  <si>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</si>
  <si>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</si>
  <si>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</si>
  <si>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</si>
  <si>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</si>
  <si>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</si>
  <si>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</si>
  <si>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</si>
  <si>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</si>
  <si>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</si>
  <si>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</si>
  <si>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</si>
  <si>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</si>
  <si>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</si>
  <si>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</si>
  <si>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</si>
  <si>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</si>
  <si>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</si>
  <si>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</si>
  <si>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</si>
  <si>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</si>
  <si>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</si>
  <si>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</si>
  <si>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</si>
  <si>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</si>
  <si>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</si>
  <si>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</si>
  <si>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</si>
  <si>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</si>
  <si>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</si>
  <si>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</si>
  <si>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</si>
  <si>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</si>
  <si>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</si>
  <si>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</si>
  <si>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</si>
  <si>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</si>
  <si>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</si>
  <si>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</si>
  <si>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</si>
  <si>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</si>
  <si>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</si>
  <si>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</si>
  <si>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</si>
  <si>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</si>
  <si>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</si>
  <si>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</si>
  <si>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</si>
  <si>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</si>
  <si>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</si>
  <si>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</si>
  <si>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</si>
  <si>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</si>
  <si>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</si>
  <si>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</si>
  <si>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</si>
  <si>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</si>
  <si>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</si>
  <si>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</si>
  <si>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</si>
  <si>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</si>
  <si>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</si>
  <si>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</si>
  <si>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</si>
  <si>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</si>
  <si>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</si>
  <si>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</si>
  <si>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</si>
  <si>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</si>
  <si>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</si>
  <si>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La Homes</t>
  </si>
  <si>
    <t>Chetan Malda - 9323285402 / 9699285402</t>
  </si>
  <si>
    <t>1 Building</t>
  </si>
  <si>
    <t>Survey No</t>
  </si>
  <si>
    <t>74, H.No.2</t>
  </si>
  <si>
    <t>Golavali</t>
  </si>
  <si>
    <t>Thane</t>
  </si>
  <si>
    <t>Kalyan</t>
  </si>
  <si>
    <t>Manpada Road</t>
  </si>
  <si>
    <t>Kalyan-Dombivli Municipal Corporation</t>
  </si>
  <si>
    <t>Axis Thane</t>
  </si>
  <si>
    <t>Dombivli (East)</t>
  </si>
  <si>
    <t>As per RERA - 31/05/2026</t>
  </si>
  <si>
    <t>https://goo.gl/maps/BQb7RcRz1CqouKoF8</t>
  </si>
  <si>
    <t>Open Plot</t>
  </si>
  <si>
    <t>Kalyan Shilphata Road</t>
  </si>
  <si>
    <t>Nekni Pada</t>
  </si>
  <si>
    <t>Phase 1 Uma Complex
Apartment building</t>
  </si>
  <si>
    <t>3.8 KM from Dombivli Railway Station</t>
  </si>
  <si>
    <t>Ground Floor for Commercial &amp; Parking</t>
  </si>
  <si>
    <t>Shop</t>
  </si>
  <si>
    <t>Office</t>
  </si>
  <si>
    <t>1st Floor</t>
  </si>
  <si>
    <t>3rd Floor for Residential</t>
  </si>
  <si>
    <t>Refuge Area</t>
  </si>
  <si>
    <t>Approved Plans, CC, Sale Plans</t>
  </si>
  <si>
    <t>We considered Gross carpet area = Net carpet + Enclose balcony.</t>
  </si>
  <si>
    <t>La Grandeure Tower 1 = P51700034532</t>
  </si>
  <si>
    <t>La Grandeur</t>
  </si>
  <si>
    <t>RERA Name &amp; No.</t>
  </si>
  <si>
    <t>KDMC/TPD/BP/27 Village/2021-22/25/345</t>
  </si>
  <si>
    <t>Gr/Stilt + 1st to 9th + 10th (Recreational floor) + 11th to 21st Floor</t>
  </si>
  <si>
    <t>4th to 6th, 8th, 9th, 11th &amp; 13th to 15th Floor</t>
  </si>
  <si>
    <t>7th &amp; 12th Floor (Part Refuge Area)</t>
  </si>
  <si>
    <t>10th Floor (Recreational floor)</t>
  </si>
  <si>
    <t>Kids play area, Walking Track, Fitness center.</t>
  </si>
  <si>
    <t>16th, 18th to 21st Floor</t>
  </si>
  <si>
    <t>17th Floor (Part Refuge Area)</t>
  </si>
  <si>
    <t>Flats - 75, Shops - 6, Offices - 15</t>
  </si>
  <si>
    <t>We have updated revised approved floor plan &amp; C.C (on 27/03/2023).</t>
  </si>
  <si>
    <t>6500 TO 7300</t>
  </si>
  <si>
    <t>Rushikesh</t>
  </si>
  <si>
    <t>Cost sheet</t>
  </si>
  <si>
    <t>Site Meet Person Contact Details ( Name &amp; Contact No.)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</si>
  <si>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</si>
  <si>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Flats</t>
  </si>
  <si>
    <t>Shops</t>
  </si>
  <si>
    <t>Offices</t>
  </si>
  <si>
    <t>Flat No. 1</t>
  </si>
  <si>
    <t>Carpet Area taken from index 2</t>
  </si>
  <si>
    <t>Because of rate adjustment</t>
  </si>
  <si>
    <t>Read note before any rate revision</t>
  </si>
  <si>
    <t>Remark No. 12</t>
  </si>
  <si>
    <t xml:space="preserve">Parking &amp; OC </t>
  </si>
  <si>
    <t>Verbal</t>
  </si>
  <si>
    <t>On Site, we meet Sunita Roy - 7208623277.</t>
  </si>
  <si>
    <t>Carpet Area of Flat No. 1 on Floor No. 4th to 6th, 8th, 9th, 11th &amp; 13th to 15th, 16th, 18th to 21st Floor is considered for index 2 provided by bank.</t>
  </si>
  <si>
    <t>Recommended Rates of the Property/ Other charges have been revised on 07/11/2023.</t>
  </si>
  <si>
    <t>Name of the Project As per Builder</t>
  </si>
  <si>
    <t>Name of the Project As per Rera</t>
  </si>
  <si>
    <t xml:space="preserve">La Grandeure Tower 1 </t>
  </si>
  <si>
    <t>Please provide revised approved CC &amp; Plans.</t>
  </si>
  <si>
    <t>Construction work is in process at the time of Visit.</t>
  </si>
  <si>
    <t>Mr. Alwyn : 8591288875</t>
  </si>
  <si>
    <t>Kunal Kadam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</si>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</sst>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0" fontId="27" fillId="0" borderId="0" xfId="1" applyFont="1"/>
    <xf numFmtId="1" fontId="27" fillId="0" borderId="0" xfId="1" applyNumberFormat="1" applyFont="1"/>
    <xf numFmtId="0" fontId="7" fillId="2" borderId="0" xfId="1" applyFont="1" applyFill="1"/>
    <xf numFmtId="14" fontId="7" fillId="2" borderId="0" xfId="1" applyNumberFormat="1" applyFont="1" applyFill="1"/>
    <xf numFmtId="0" fontId="0" fillId="3" borderId="0" xfId="0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0" borderId="6" xfId="0" applyFont="1" applyBorder="1"/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8" fillId="0" borderId="5" xfId="1" applyNumberFormat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68" fontId="6" fillId="0" borderId="5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6" fillId="0" borderId="5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270</xdr:row>
      <xdr:rowOff>0</xdr:rowOff>
    </xdr:from>
    <xdr:to>
      <xdr:col>7</xdr:col>
      <xdr:colOff>187875</xdr:colOff>
      <xdr:row>286</xdr:row>
      <xdr:rowOff>16401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48196500"/>
          <a:ext cx="5760000" cy="32168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533400</xdr:colOff>
      <xdr:row>287</xdr:row>
      <xdr:rowOff>174879</xdr:rowOff>
    </xdr:from>
    <xdr:to>
      <xdr:col>7</xdr:col>
      <xdr:colOff>187875</xdr:colOff>
      <xdr:row>303</xdr:row>
      <xdr:rowOff>163788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51771804"/>
          <a:ext cx="5760000" cy="31893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941195</xdr:colOff>
      <xdr:row>231</xdr:row>
      <xdr:rowOff>190500</xdr:rowOff>
    </xdr:from>
    <xdr:to>
      <xdr:col>7</xdr:col>
      <xdr:colOff>539399</xdr:colOff>
      <xdr:row>246</xdr:row>
      <xdr:rowOff>83113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48422" y="47425841"/>
          <a:ext cx="28800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363682</xdr:colOff>
      <xdr:row>231</xdr:row>
      <xdr:rowOff>190500</xdr:rowOff>
    </xdr:from>
    <xdr:to>
      <xdr:col>3</xdr:col>
      <xdr:colOff>744093</xdr:colOff>
      <xdr:row>246</xdr:row>
      <xdr:rowOff>83113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82" y="47425841"/>
          <a:ext cx="278763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941195</xdr:colOff>
      <xdr:row>247</xdr:row>
      <xdr:rowOff>32438</xdr:rowOff>
    </xdr:from>
    <xdr:to>
      <xdr:col>7</xdr:col>
      <xdr:colOff>399113</xdr:colOff>
      <xdr:row>261</xdr:row>
      <xdr:rowOff>124211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48422" y="50454324"/>
          <a:ext cx="273971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363682</xdr:colOff>
      <xdr:row>247</xdr:row>
      <xdr:rowOff>32438</xdr:rowOff>
    </xdr:from>
    <xdr:to>
      <xdr:col>3</xdr:col>
      <xdr:colOff>776276</xdr:colOff>
      <xdr:row>261</xdr:row>
      <xdr:rowOff>124211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82" y="50454324"/>
          <a:ext cx="281982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1155700</xdr:colOff>
      <xdr:row>194</xdr:row>
      <xdr:rowOff>190500</xdr:rowOff>
    </xdr:from>
    <xdr:ext cx="785408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80325" y="39995475"/>
          <a:ext cx="7854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ysClr val="windowText" lastClr="000000"/>
              </a:solidFill>
            </a:rPr>
            <a:t>10th Floor</a:t>
          </a:r>
        </a:p>
      </xdr:txBody>
    </xdr:sp>
    <xdr:clientData/>
  </xdr:oneCellAnchor>
  <xdr:twoCellAnchor>
    <xdr:from>
      <xdr:col>9</xdr:col>
      <xdr:colOff>740958</xdr:colOff>
      <xdr:row>195</xdr:row>
      <xdr:rowOff>95250</xdr:rowOff>
    </xdr:from>
    <xdr:to>
      <xdr:col>10</xdr:col>
      <xdr:colOff>546100</xdr:colOff>
      <xdr:row>195</xdr:row>
      <xdr:rowOff>125930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3"/>
        </xdr:cNvCxnSpPr>
      </xdr:nvCxnSpPr>
      <xdr:spPr>
        <a:xfrm flipV="1">
          <a:off x="8427633" y="40100250"/>
          <a:ext cx="567142" cy="306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398780</xdr:colOff>
      <xdr:row>188</xdr:row>
      <xdr:rowOff>8890</xdr:rowOff>
    </xdr:from>
    <xdr:to>
      <xdr:col>16</xdr:col>
      <xdr:colOff>261994</xdr:colOff>
      <xdr:row>219</xdr:row>
      <xdr:rowOff>134084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134860" y="38489890"/>
          <a:ext cx="6523094" cy="6259294"/>
          <a:chOff x="101600" y="38315900"/>
          <a:chExt cx="6615804" cy="6221194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217" y="4237709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120" y="38315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1440" y="38315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4237709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2834" y="4237709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00202" y="42377094"/>
            <a:ext cx="141720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388620</xdr:colOff>
      <xdr:row>190</xdr:row>
      <xdr:rowOff>22860</xdr:rowOff>
    </xdr:from>
    <xdr:to>
      <xdr:col>7</xdr:col>
      <xdr:colOff>456461</xdr:colOff>
      <xdr:row>228</xdr:row>
      <xdr:rowOff>81909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3E408BE-9CE3-F935-7581-0DBA4D4AA8B7}"/>
            </a:ext>
          </a:extLst>
        </xdr:cNvPr>
        <xdr:cNvGrpSpPr/>
      </xdr:nvGrpSpPr>
      <xdr:grpSpPr>
        <a:xfrm>
          <a:off x="388620" y="38900100"/>
          <a:ext cx="5950481" cy="7579989"/>
          <a:chOff x="205361" y="119917"/>
          <a:chExt cx="5950481" cy="7579989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5CE29E8-5D46-15DE-CAF6-CA13545FCF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5361" y="11991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D725A99-831C-7205-0709-6551B29655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842" y="11991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968165C-279F-7A51-A1CE-C5CF8E6671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39323" y="415089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F653E89F-972D-3E9A-5520-979E2BF077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07248" y="413792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FE4EF87A-E482-78BD-A486-D8FD63A399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3285" y="415089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8E20ED5-A372-CB3C-F4C3-9193E2832D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5361" y="412485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213282E2-DE7A-0CA1-CB0B-9E9EDDD5DA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29468" y="6079906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C84C44DF-219D-0F3B-06CB-CB12EFB11A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7561" y="6079906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BFAEA9F0-1AE2-E99E-BEDA-C12BD342F9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25641" y="6079906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Qb7RcRz1CqouKoF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9"/>
  <sheetViews>
    <sheetView tabSelected="1" view="pageBreakPreview" topLeftCell="A66" zoomScaleNormal="100" zoomScaleSheetLayoutView="100" workbookViewId="0">
      <selection activeCell="L74" sqref="L74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7" width="11.77734375" style="38" customWidth="1"/>
    <col min="8" max="8" width="12.44140625" style="38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1.77734375" style="20" bestFit="1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8" ht="46.5" customHeight="1" x14ac:dyDescent="0.3">
      <c r="A1" s="133" t="s">
        <v>215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">
      <c r="A2" s="106" t="s">
        <v>0</v>
      </c>
      <c r="B2" s="106"/>
      <c r="C2" s="106"/>
      <c r="D2" s="106"/>
      <c r="E2" s="106"/>
      <c r="F2" s="106"/>
      <c r="G2" s="106"/>
      <c r="H2" s="106"/>
    </row>
    <row r="3" spans="1:8" x14ac:dyDescent="0.3">
      <c r="A3" s="67" t="s">
        <v>1</v>
      </c>
      <c r="B3" s="67"/>
      <c r="C3" s="67"/>
      <c r="D3" s="67"/>
      <c r="E3" s="67" t="str">
        <f ca="1">TEXT(TODAY(),"DD/MM/YYYY")</f>
        <v>12/08/2025</v>
      </c>
      <c r="F3" s="67"/>
      <c r="G3" s="67"/>
      <c r="H3" s="67"/>
    </row>
    <row r="4" spans="1:8" ht="15" customHeight="1" x14ac:dyDescent="0.3">
      <c r="A4" s="67" t="s">
        <v>2</v>
      </c>
      <c r="B4" s="67"/>
      <c r="C4" s="67"/>
      <c r="D4" s="67"/>
      <c r="E4" s="67" t="s">
        <v>181</v>
      </c>
      <c r="F4" s="67"/>
      <c r="G4" s="67"/>
      <c r="H4" s="67"/>
    </row>
    <row r="5" spans="1:8" x14ac:dyDescent="0.3">
      <c r="A5" s="67" t="s">
        <v>3</v>
      </c>
      <c r="B5" s="67"/>
      <c r="C5" s="67"/>
      <c r="D5" s="67"/>
      <c r="E5" s="131">
        <v>45880</v>
      </c>
      <c r="F5" s="67"/>
      <c r="G5" s="67"/>
      <c r="H5" s="67"/>
    </row>
    <row r="6" spans="1:8" ht="16.5" customHeight="1" x14ac:dyDescent="0.3">
      <c r="A6" s="67" t="s">
        <v>4</v>
      </c>
      <c r="B6" s="67"/>
      <c r="C6" s="67"/>
      <c r="D6" s="67"/>
      <c r="E6" s="67" t="s">
        <v>171</v>
      </c>
      <c r="F6" s="67"/>
      <c r="G6" s="67"/>
      <c r="H6" s="67"/>
    </row>
    <row r="7" spans="1:8" ht="15" customHeight="1" x14ac:dyDescent="0.3">
      <c r="A7" s="67" t="s">
        <v>5</v>
      </c>
      <c r="B7" s="67"/>
      <c r="C7" s="67"/>
      <c r="D7" s="67"/>
      <c r="E7" s="67" t="str">
        <f>E6</f>
        <v>La Homes</v>
      </c>
      <c r="F7" s="67"/>
      <c r="G7" s="67"/>
      <c r="H7" s="67"/>
    </row>
    <row r="8" spans="1:8" x14ac:dyDescent="0.3">
      <c r="A8" s="67" t="s">
        <v>229</v>
      </c>
      <c r="B8" s="67"/>
      <c r="C8" s="67"/>
      <c r="D8" s="67"/>
      <c r="E8" s="68" t="s">
        <v>199</v>
      </c>
      <c r="F8" s="68"/>
      <c r="G8" s="68"/>
      <c r="H8" s="68"/>
    </row>
    <row r="9" spans="1:8" x14ac:dyDescent="0.3">
      <c r="A9" s="67" t="s">
        <v>230</v>
      </c>
      <c r="B9" s="67"/>
      <c r="C9" s="67"/>
      <c r="D9" s="67"/>
      <c r="E9" s="68" t="s">
        <v>231</v>
      </c>
      <c r="F9" s="68"/>
      <c r="G9" s="68"/>
      <c r="H9" s="68"/>
    </row>
    <row r="10" spans="1:8" x14ac:dyDescent="0.3">
      <c r="A10" s="67" t="s">
        <v>125</v>
      </c>
      <c r="B10" s="67"/>
      <c r="C10" s="67"/>
      <c r="D10" s="67"/>
      <c r="E10" s="67" t="s">
        <v>172</v>
      </c>
      <c r="F10" s="67"/>
      <c r="G10" s="67"/>
      <c r="H10" s="67"/>
    </row>
    <row r="11" spans="1:8" x14ac:dyDescent="0.3">
      <c r="A11" s="67" t="s">
        <v>214</v>
      </c>
      <c r="B11" s="67"/>
      <c r="C11" s="67"/>
      <c r="D11" s="67"/>
      <c r="E11" s="67" t="s">
        <v>234</v>
      </c>
      <c r="F11" s="67"/>
      <c r="G11" s="67"/>
      <c r="H11" s="67"/>
    </row>
    <row r="12" spans="1:8" x14ac:dyDescent="0.3">
      <c r="A12" s="67" t="s">
        <v>6</v>
      </c>
      <c r="B12" s="67"/>
      <c r="C12" s="67"/>
      <c r="D12" s="67"/>
      <c r="E12" s="67" t="s">
        <v>173</v>
      </c>
      <c r="F12" s="67"/>
      <c r="G12" s="67"/>
      <c r="H12" s="67"/>
    </row>
    <row r="13" spans="1:8" x14ac:dyDescent="0.3">
      <c r="A13" s="79" t="s">
        <v>7</v>
      </c>
      <c r="B13" s="79"/>
      <c r="C13" s="79"/>
      <c r="D13" s="79"/>
      <c r="E13" s="112" t="s">
        <v>196</v>
      </c>
      <c r="F13" s="132"/>
      <c r="G13" s="132"/>
      <c r="H13" s="132"/>
    </row>
    <row r="14" spans="1:8" x14ac:dyDescent="0.3">
      <c r="A14" s="79" t="s">
        <v>200</v>
      </c>
      <c r="B14" s="79"/>
      <c r="C14" s="79"/>
      <c r="D14" s="79"/>
      <c r="E14" s="112" t="s">
        <v>198</v>
      </c>
      <c r="F14" s="67"/>
      <c r="G14" s="67"/>
      <c r="H14" s="67"/>
    </row>
    <row r="15" spans="1:8" ht="48.75" customHeight="1" x14ac:dyDescent="0.3">
      <c r="A15" s="111" t="s">
        <v>8</v>
      </c>
      <c r="B15" s="111"/>
      <c r="C15" s="111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La Grandeure Tower 1 , Survey No.74, H.No.2, near Phase 1 Uma Complex
Apartment building, Manpada Road, Nekni Pada, Golavali, Dombivli (East), Kalyan, Thane - 421203.</v>
      </c>
      <c r="D15" s="111"/>
      <c r="E15" s="111"/>
      <c r="F15" s="111"/>
      <c r="G15" s="111"/>
      <c r="H15" s="111"/>
    </row>
    <row r="16" spans="1:8" x14ac:dyDescent="0.3">
      <c r="A16" s="112" t="s">
        <v>174</v>
      </c>
      <c r="B16" s="112"/>
      <c r="C16" s="112" t="s">
        <v>175</v>
      </c>
      <c r="D16" s="112"/>
      <c r="E16" s="112"/>
      <c r="F16" s="112"/>
      <c r="G16" s="112"/>
      <c r="H16" s="112"/>
    </row>
    <row r="17" spans="1:8" ht="15.75" customHeight="1" x14ac:dyDescent="0.3">
      <c r="A17" s="171" t="s">
        <v>168</v>
      </c>
      <c r="B17" s="172"/>
      <c r="C17" s="171" t="s">
        <v>187</v>
      </c>
      <c r="D17" s="173"/>
      <c r="E17" s="173"/>
      <c r="F17" s="173"/>
      <c r="G17" s="173"/>
      <c r="H17" s="172"/>
    </row>
    <row r="18" spans="1:8" ht="15.75" customHeight="1" x14ac:dyDescent="0.3">
      <c r="A18" s="111" t="s">
        <v>9</v>
      </c>
      <c r="B18" s="111"/>
      <c r="C18" s="67" t="s">
        <v>179</v>
      </c>
      <c r="D18" s="67"/>
      <c r="E18" s="111" t="s">
        <v>169</v>
      </c>
      <c r="F18" s="111"/>
      <c r="G18" s="112" t="s">
        <v>176</v>
      </c>
      <c r="H18" s="112"/>
    </row>
    <row r="19" spans="1:8" x14ac:dyDescent="0.3">
      <c r="A19" s="79" t="s">
        <v>11</v>
      </c>
      <c r="B19" s="79"/>
      <c r="C19" s="112" t="s">
        <v>182</v>
      </c>
      <c r="D19" s="112"/>
      <c r="E19" s="111" t="s">
        <v>10</v>
      </c>
      <c r="F19" s="111"/>
      <c r="G19" s="134" t="s">
        <v>177</v>
      </c>
      <c r="H19" s="134"/>
    </row>
    <row r="20" spans="1:8" x14ac:dyDescent="0.3">
      <c r="A20" s="79" t="s">
        <v>74</v>
      </c>
      <c r="B20" s="79"/>
      <c r="C20" s="112" t="s">
        <v>178</v>
      </c>
      <c r="D20" s="112"/>
      <c r="E20" s="111" t="s">
        <v>12</v>
      </c>
      <c r="F20" s="111"/>
      <c r="G20" s="112">
        <v>421203</v>
      </c>
      <c r="H20" s="112"/>
    </row>
    <row r="21" spans="1:8" ht="32.25" customHeight="1" x14ac:dyDescent="0.3">
      <c r="A21" s="79" t="s">
        <v>126</v>
      </c>
      <c r="B21" s="79"/>
      <c r="C21" s="135" t="s">
        <v>188</v>
      </c>
      <c r="D21" s="135"/>
      <c r="E21" s="111" t="s">
        <v>13</v>
      </c>
      <c r="F21" s="111"/>
      <c r="G21" s="112" t="s">
        <v>189</v>
      </c>
      <c r="H21" s="112"/>
    </row>
    <row r="22" spans="1:8" ht="15" customHeight="1" x14ac:dyDescent="0.3">
      <c r="A22" s="111" t="s">
        <v>77</v>
      </c>
      <c r="B22" s="111"/>
      <c r="C22" s="111"/>
      <c r="D22" s="111"/>
      <c r="E22" s="67" t="s">
        <v>14</v>
      </c>
      <c r="F22" s="67"/>
      <c r="G22" s="67"/>
      <c r="H22" s="67"/>
    </row>
    <row r="23" spans="1:8" ht="18.75" customHeight="1" x14ac:dyDescent="0.3">
      <c r="A23" s="111"/>
      <c r="B23" s="111"/>
      <c r="C23" s="111"/>
      <c r="D23" s="111"/>
      <c r="E23" s="67"/>
      <c r="F23" s="67"/>
      <c r="G23" s="67"/>
      <c r="H23" s="67"/>
    </row>
    <row r="24" spans="1:8" ht="15" customHeight="1" x14ac:dyDescent="0.3">
      <c r="A24" s="111" t="s">
        <v>15</v>
      </c>
      <c r="B24" s="111"/>
      <c r="C24" s="111"/>
      <c r="D24" s="111"/>
      <c r="E24" s="112" t="s">
        <v>16</v>
      </c>
      <c r="F24" s="112"/>
      <c r="G24" s="112"/>
      <c r="H24" s="112"/>
    </row>
    <row r="25" spans="1:8" ht="15" customHeight="1" x14ac:dyDescent="0.3">
      <c r="A25" s="79" t="s">
        <v>17</v>
      </c>
      <c r="B25" s="79"/>
      <c r="C25" s="79"/>
      <c r="D25" s="79"/>
      <c r="E25" s="112" t="str">
        <f>IF(AND(G19="Mumbai"),"Upper Class","Middle Class")</f>
        <v>Middle Class</v>
      </c>
      <c r="F25" s="112"/>
      <c r="G25" s="112"/>
      <c r="H25" s="112"/>
    </row>
    <row r="26" spans="1:8" x14ac:dyDescent="0.3">
      <c r="A26" s="79" t="s">
        <v>18</v>
      </c>
      <c r="B26" s="79"/>
      <c r="C26" s="79"/>
      <c r="D26" s="79"/>
      <c r="E26" s="112" t="s">
        <v>19</v>
      </c>
      <c r="F26" s="112"/>
      <c r="G26" s="112"/>
      <c r="H26" s="112"/>
    </row>
    <row r="27" spans="1:8" ht="15.75" customHeight="1" x14ac:dyDescent="0.3">
      <c r="A27" s="79" t="s">
        <v>20</v>
      </c>
      <c r="B27" s="79"/>
      <c r="C27" s="79"/>
      <c r="D27" s="79"/>
      <c r="E27" s="112" t="str">
        <f>IF(AND(G19="Mumbai"),"Developed","Developing")</f>
        <v>Developing</v>
      </c>
      <c r="F27" s="112"/>
      <c r="G27" s="112"/>
      <c r="H27" s="112"/>
    </row>
    <row r="28" spans="1:8" x14ac:dyDescent="0.3">
      <c r="A28" s="79" t="s">
        <v>21</v>
      </c>
      <c r="B28" s="79"/>
      <c r="C28" s="79"/>
      <c r="D28" s="79"/>
      <c r="E28" s="112" t="s">
        <v>22</v>
      </c>
      <c r="F28" s="112"/>
      <c r="G28" s="112"/>
      <c r="H28" s="112"/>
    </row>
    <row r="29" spans="1:8" ht="15.75" customHeight="1" x14ac:dyDescent="0.3">
      <c r="A29" s="79" t="s">
        <v>82</v>
      </c>
      <c r="B29" s="79"/>
      <c r="C29" s="79"/>
      <c r="D29" s="79"/>
      <c r="E29" s="112" t="s">
        <v>83</v>
      </c>
      <c r="F29" s="112"/>
      <c r="G29" s="112"/>
      <c r="H29" s="112"/>
    </row>
    <row r="30" spans="1:8" ht="15" customHeight="1" x14ac:dyDescent="0.3">
      <c r="A30" s="79" t="s">
        <v>33</v>
      </c>
      <c r="B30" s="79"/>
      <c r="C30" s="79"/>
      <c r="D30" s="79"/>
      <c r="E30" s="112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112"/>
      <c r="G30" s="112"/>
      <c r="H30" s="112"/>
    </row>
    <row r="31" spans="1:8" ht="15.75" customHeight="1" x14ac:dyDescent="0.3">
      <c r="A31" s="79" t="s">
        <v>94</v>
      </c>
      <c r="B31" s="79"/>
      <c r="C31" s="79"/>
      <c r="D31" s="79"/>
      <c r="E31" s="112" t="s">
        <v>34</v>
      </c>
      <c r="F31" s="112"/>
      <c r="G31" s="112"/>
      <c r="H31" s="112"/>
    </row>
    <row r="32" spans="1:8" s="21" customFormat="1" x14ac:dyDescent="0.3">
      <c r="A32" s="139" t="s">
        <v>95</v>
      </c>
      <c r="B32" s="139"/>
      <c r="C32" s="138" t="s">
        <v>27</v>
      </c>
      <c r="D32" s="138"/>
      <c r="E32" s="138"/>
      <c r="F32" s="138" t="s">
        <v>29</v>
      </c>
      <c r="G32" s="138"/>
      <c r="H32" s="138"/>
    </row>
    <row r="33" spans="1:8" s="21" customFormat="1" x14ac:dyDescent="0.3">
      <c r="A33" s="136" t="s">
        <v>23</v>
      </c>
      <c r="B33" s="136" t="s">
        <v>28</v>
      </c>
      <c r="C33" s="137" t="s">
        <v>28</v>
      </c>
      <c r="D33" s="137"/>
      <c r="E33" s="137"/>
      <c r="F33" s="137" t="s">
        <v>185</v>
      </c>
      <c r="G33" s="137"/>
      <c r="H33" s="137"/>
    </row>
    <row r="34" spans="1:8" x14ac:dyDescent="0.3">
      <c r="A34" s="136" t="s">
        <v>24</v>
      </c>
      <c r="B34" s="136" t="s">
        <v>28</v>
      </c>
      <c r="C34" s="137" t="s">
        <v>28</v>
      </c>
      <c r="D34" s="137"/>
      <c r="E34" s="137"/>
      <c r="F34" s="137" t="s">
        <v>185</v>
      </c>
      <c r="G34" s="137"/>
      <c r="H34" s="137"/>
    </row>
    <row r="35" spans="1:8" s="21" customFormat="1" x14ac:dyDescent="0.3">
      <c r="A35" s="136" t="s">
        <v>26</v>
      </c>
      <c r="B35" s="136" t="s">
        <v>28</v>
      </c>
      <c r="C35" s="137" t="s">
        <v>28</v>
      </c>
      <c r="D35" s="137"/>
      <c r="E35" s="137"/>
      <c r="F35" s="137" t="s">
        <v>186</v>
      </c>
      <c r="G35" s="137"/>
      <c r="H35" s="137"/>
    </row>
    <row r="36" spans="1:8" x14ac:dyDescent="0.3">
      <c r="A36" s="136" t="s">
        <v>25</v>
      </c>
      <c r="B36" s="136" t="s">
        <v>28</v>
      </c>
      <c r="C36" s="137" t="s">
        <v>28</v>
      </c>
      <c r="D36" s="137"/>
      <c r="E36" s="137"/>
      <c r="F36" s="137" t="s">
        <v>185</v>
      </c>
      <c r="G36" s="137"/>
      <c r="H36" s="137"/>
    </row>
    <row r="37" spans="1:8" x14ac:dyDescent="0.3">
      <c r="A37" s="79" t="s">
        <v>30</v>
      </c>
      <c r="B37" s="79"/>
      <c r="C37" s="79"/>
      <c r="D37" s="79"/>
      <c r="E37" s="79"/>
      <c r="F37" s="79"/>
      <c r="G37" s="79"/>
      <c r="H37" s="79"/>
    </row>
    <row r="38" spans="1:8" ht="15.75" customHeight="1" x14ac:dyDescent="0.3">
      <c r="A38" s="106" t="s">
        <v>31</v>
      </c>
      <c r="B38" s="106"/>
      <c r="C38" s="142">
        <v>19.203310999999999</v>
      </c>
      <c r="D38" s="142"/>
      <c r="E38" s="106" t="s">
        <v>32</v>
      </c>
      <c r="F38" s="106"/>
      <c r="G38" s="143">
        <v>73.105164799999997</v>
      </c>
      <c r="H38" s="143"/>
    </row>
    <row r="39" spans="1:8" x14ac:dyDescent="0.3">
      <c r="A39" s="106" t="s">
        <v>167</v>
      </c>
      <c r="B39" s="106"/>
      <c r="C39" s="174" t="s">
        <v>184</v>
      </c>
      <c r="D39" s="175"/>
      <c r="E39" s="175"/>
      <c r="F39" s="175"/>
      <c r="G39" s="175"/>
      <c r="H39" s="175"/>
    </row>
    <row r="40" spans="1:8" x14ac:dyDescent="0.3">
      <c r="A40" s="125" t="s">
        <v>35</v>
      </c>
      <c r="B40" s="125"/>
      <c r="C40" s="125"/>
      <c r="D40" s="125"/>
      <c r="E40" s="125"/>
      <c r="F40" s="125"/>
      <c r="G40" s="125"/>
      <c r="H40" s="125"/>
    </row>
    <row r="41" spans="1:8" x14ac:dyDescent="0.3">
      <c r="A41" s="79" t="s">
        <v>36</v>
      </c>
      <c r="B41" s="79"/>
      <c r="C41" s="79"/>
      <c r="D41" s="79"/>
      <c r="E41" s="140">
        <v>1190</v>
      </c>
      <c r="F41" s="140"/>
      <c r="G41" s="140"/>
      <c r="H41" s="140"/>
    </row>
    <row r="42" spans="1:8" x14ac:dyDescent="0.3">
      <c r="A42" s="79" t="s">
        <v>37</v>
      </c>
      <c r="B42" s="79"/>
      <c r="C42" s="79"/>
      <c r="D42" s="79"/>
      <c r="E42" s="153">
        <v>1.1000000000000001</v>
      </c>
      <c r="F42" s="153"/>
      <c r="G42" s="153"/>
      <c r="H42" s="153"/>
    </row>
    <row r="43" spans="1:8" x14ac:dyDescent="0.3">
      <c r="A43" s="79" t="s">
        <v>38</v>
      </c>
      <c r="B43" s="79"/>
      <c r="C43" s="79"/>
      <c r="D43" s="79"/>
      <c r="E43" s="153">
        <f>E45/E41-E42</f>
        <v>4.2347899159663864</v>
      </c>
      <c r="F43" s="153"/>
      <c r="G43" s="153"/>
      <c r="H43" s="153"/>
    </row>
    <row r="44" spans="1:8" x14ac:dyDescent="0.3">
      <c r="A44" s="79" t="s">
        <v>39</v>
      </c>
      <c r="B44" s="79"/>
      <c r="C44" s="79"/>
      <c r="D44" s="79"/>
      <c r="E44" s="153">
        <f>E42+E43</f>
        <v>5.3347899159663861</v>
      </c>
      <c r="F44" s="153"/>
      <c r="G44" s="153"/>
      <c r="H44" s="153"/>
    </row>
    <row r="45" spans="1:8" x14ac:dyDescent="0.3">
      <c r="A45" s="79" t="s">
        <v>93</v>
      </c>
      <c r="B45" s="79"/>
      <c r="C45" s="79"/>
      <c r="D45" s="79"/>
      <c r="E45" s="155">
        <v>6348.4</v>
      </c>
      <c r="F45" s="155"/>
      <c r="G45" s="155"/>
      <c r="H45" s="155"/>
    </row>
    <row r="46" spans="1:8" x14ac:dyDescent="0.3">
      <c r="A46" s="67" t="s">
        <v>40</v>
      </c>
      <c r="B46" s="67"/>
      <c r="C46" s="67"/>
      <c r="D46" s="67"/>
      <c r="E46" s="67" t="s">
        <v>173</v>
      </c>
      <c r="F46" s="67"/>
      <c r="G46" s="67"/>
      <c r="H46" s="67"/>
    </row>
    <row r="47" spans="1:8" x14ac:dyDescent="0.3">
      <c r="A47" s="125" t="s">
        <v>41</v>
      </c>
      <c r="B47" s="125"/>
      <c r="C47" s="125"/>
      <c r="D47" s="125"/>
      <c r="E47" s="125"/>
      <c r="F47" s="125"/>
      <c r="G47" s="125"/>
      <c r="H47" s="125"/>
    </row>
    <row r="48" spans="1:8" ht="33.75" customHeight="1" x14ac:dyDescent="0.3">
      <c r="A48" s="94" t="s">
        <v>155</v>
      </c>
      <c r="B48" s="95"/>
      <c r="C48" s="177" t="s">
        <v>180</v>
      </c>
      <c r="D48" s="178"/>
      <c r="E48" s="178"/>
      <c r="F48" s="178"/>
      <c r="G48" s="178"/>
      <c r="H48" s="179"/>
    </row>
    <row r="49" spans="1:14" ht="15.75" customHeight="1" x14ac:dyDescent="0.3">
      <c r="A49" s="94" t="s">
        <v>42</v>
      </c>
      <c r="B49" s="95"/>
      <c r="C49" s="190" t="s">
        <v>201</v>
      </c>
      <c r="D49" s="191"/>
      <c r="E49" s="192"/>
      <c r="F49" s="18" t="s">
        <v>43</v>
      </c>
      <c r="G49" s="102">
        <v>44923</v>
      </c>
      <c r="H49" s="95"/>
    </row>
    <row r="50" spans="1:14" x14ac:dyDescent="0.3">
      <c r="A50" s="94" t="s">
        <v>44</v>
      </c>
      <c r="B50" s="95"/>
      <c r="C50" s="190" t="str">
        <f>C49</f>
        <v>KDMC/TPD/BP/27 Village/2021-22/25/345</v>
      </c>
      <c r="D50" s="191"/>
      <c r="E50" s="192"/>
      <c r="F50" s="18" t="s">
        <v>43</v>
      </c>
      <c r="G50" s="102">
        <f>G49</f>
        <v>44923</v>
      </c>
      <c r="H50" s="103"/>
    </row>
    <row r="51" spans="1:14" s="22" customFormat="1" ht="15.75" customHeight="1" x14ac:dyDescent="0.3">
      <c r="A51" s="146" t="s">
        <v>158</v>
      </c>
      <c r="B51" s="147"/>
      <c r="C51" s="190" t="str">
        <f>C50</f>
        <v>KDMC/TPD/BP/27 Village/2021-22/25/345</v>
      </c>
      <c r="D51" s="191"/>
      <c r="E51" s="192"/>
      <c r="F51" s="18" t="s">
        <v>43</v>
      </c>
      <c r="G51" s="102">
        <f>G50</f>
        <v>44923</v>
      </c>
      <c r="H51" s="103"/>
    </row>
    <row r="52" spans="1:14" s="22" customFormat="1" ht="15.75" customHeight="1" x14ac:dyDescent="0.3">
      <c r="A52" s="148"/>
      <c r="B52" s="149"/>
      <c r="C52" s="94" t="s">
        <v>202</v>
      </c>
      <c r="D52" s="96"/>
      <c r="E52" s="96"/>
      <c r="F52" s="96"/>
      <c r="G52" s="96"/>
      <c r="H52" s="95"/>
    </row>
    <row r="53" spans="1:14" x14ac:dyDescent="0.3">
      <c r="A53" s="115" t="s">
        <v>170</v>
      </c>
      <c r="B53" s="116"/>
      <c r="C53" s="107" t="s">
        <v>28</v>
      </c>
      <c r="D53" s="108"/>
      <c r="E53" s="109"/>
      <c r="F53" s="48" t="s">
        <v>43</v>
      </c>
      <c r="G53" s="113" t="s">
        <v>28</v>
      </c>
      <c r="H53" s="114"/>
    </row>
    <row r="54" spans="1:14" hidden="1" x14ac:dyDescent="0.3">
      <c r="A54" s="117"/>
      <c r="B54" s="118"/>
      <c r="C54" s="107" t="s">
        <v>28</v>
      </c>
      <c r="D54" s="108"/>
      <c r="E54" s="108"/>
      <c r="F54" s="108"/>
      <c r="G54" s="108"/>
      <c r="H54" s="109"/>
    </row>
    <row r="55" spans="1:14" x14ac:dyDescent="0.3">
      <c r="A55" s="110" t="s">
        <v>46</v>
      </c>
      <c r="B55" s="110"/>
      <c r="C55" s="110"/>
      <c r="D55" s="110"/>
      <c r="E55" s="110"/>
      <c r="F55" s="110"/>
      <c r="G55" s="110"/>
      <c r="H55" s="110"/>
    </row>
    <row r="56" spans="1:14" x14ac:dyDescent="0.3">
      <c r="A56" s="111" t="s">
        <v>92</v>
      </c>
      <c r="B56" s="111"/>
      <c r="C56" s="111"/>
      <c r="D56" s="79">
        <f>E45</f>
        <v>6348.4</v>
      </c>
      <c r="E56" s="79"/>
      <c r="F56" s="79"/>
      <c r="G56" s="79"/>
      <c r="H56" s="79"/>
    </row>
    <row r="57" spans="1:14" x14ac:dyDescent="0.3">
      <c r="A57" s="112" t="s">
        <v>47</v>
      </c>
      <c r="B57" s="67"/>
      <c r="C57" s="67"/>
      <c r="D57" s="67" t="s">
        <v>209</v>
      </c>
      <c r="E57" s="67"/>
      <c r="F57" s="67"/>
      <c r="G57" s="67"/>
      <c r="H57" s="67"/>
      <c r="I57" s="23"/>
    </row>
    <row r="58" spans="1:14" x14ac:dyDescent="0.3">
      <c r="A58" s="104" t="s">
        <v>48</v>
      </c>
      <c r="B58" s="105"/>
      <c r="C58" s="145"/>
      <c r="D58" s="120" t="s">
        <v>202</v>
      </c>
      <c r="E58" s="144"/>
      <c r="F58" s="144"/>
      <c r="G58" s="144"/>
      <c r="H58" s="144"/>
    </row>
    <row r="59" spans="1:14" ht="15.75" customHeight="1" x14ac:dyDescent="0.3">
      <c r="A59" s="104" t="s">
        <v>90</v>
      </c>
      <c r="B59" s="105"/>
      <c r="C59" s="105"/>
      <c r="D59" s="150" t="s">
        <v>202</v>
      </c>
      <c r="E59" s="151"/>
      <c r="F59" s="151"/>
      <c r="G59" s="151"/>
      <c r="H59" s="152"/>
    </row>
    <row r="60" spans="1:14" ht="15.75" customHeight="1" x14ac:dyDescent="0.3">
      <c r="A60" s="79" t="s">
        <v>45</v>
      </c>
      <c r="B60" s="79"/>
      <c r="C60" s="79"/>
      <c r="D60" s="141" t="s">
        <v>183</v>
      </c>
      <c r="E60" s="141"/>
      <c r="F60" s="141"/>
      <c r="G60" s="141"/>
      <c r="H60" s="141"/>
      <c r="J60" s="24"/>
      <c r="K60" s="23"/>
      <c r="N60" s="23"/>
    </row>
    <row r="61" spans="1:14" ht="15.75" customHeight="1" x14ac:dyDescent="0.3">
      <c r="A61" s="79" t="s">
        <v>88</v>
      </c>
      <c r="B61" s="79"/>
      <c r="C61" s="79"/>
      <c r="D61" s="154" t="str">
        <f>(IF(G53="NA","60 Years After Completion",IF(G53&lt;&gt;"NA",""&amp;60-ROUNDDOWN((E3-G53)/360,0)&amp;" Years"," ")))</f>
        <v>60 Years After Completion</v>
      </c>
      <c r="E61" s="154"/>
      <c r="F61" s="154"/>
      <c r="G61" s="154"/>
      <c r="H61" s="154"/>
      <c r="N61" s="23"/>
    </row>
    <row r="62" spans="1:14" ht="15.75" customHeight="1" x14ac:dyDescent="0.3">
      <c r="A62" s="79" t="s">
        <v>89</v>
      </c>
      <c r="B62" s="79"/>
      <c r="C62" s="79"/>
      <c r="D62" s="111" t="s">
        <v>22</v>
      </c>
      <c r="E62" s="111"/>
      <c r="F62" s="111"/>
      <c r="G62" s="111"/>
      <c r="H62" s="111"/>
      <c r="J62" s="25"/>
      <c r="K62" s="25"/>
    </row>
    <row r="63" spans="1:14" ht="15" customHeight="1" x14ac:dyDescent="0.3">
      <c r="A63" s="79" t="s">
        <v>75</v>
      </c>
      <c r="B63" s="79"/>
      <c r="C63" s="79"/>
      <c r="D63" s="112" t="s">
        <v>206</v>
      </c>
      <c r="E63" s="111"/>
      <c r="F63" s="111"/>
      <c r="G63" s="111"/>
      <c r="H63" s="111"/>
    </row>
    <row r="64" spans="1:14" x14ac:dyDescent="0.3">
      <c r="A64" s="111" t="s">
        <v>152</v>
      </c>
      <c r="B64" s="111"/>
      <c r="C64" s="111"/>
      <c r="D64" s="111" t="s">
        <v>28</v>
      </c>
      <c r="E64" s="111"/>
      <c r="F64" s="111"/>
      <c r="G64" s="111"/>
      <c r="H64" s="111"/>
      <c r="I64" s="26"/>
      <c r="J64" s="26"/>
      <c r="K64" s="26"/>
      <c r="L64" s="26"/>
      <c r="M64" s="26"/>
      <c r="N64" s="26"/>
    </row>
    <row r="65" spans="1:10" ht="15.75" customHeight="1" x14ac:dyDescent="0.3">
      <c r="A65" s="119" t="s">
        <v>87</v>
      </c>
      <c r="B65" s="119"/>
      <c r="C65" s="119"/>
      <c r="D65" s="120" t="str">
        <f ca="1">(IF(G71&gt;95%,"Nothing",IF(G71&gt;0%,"Cement, Aggregate, Steel, etc",IF(G71=0%,"Work not yet Started"))))</f>
        <v>Cement, Aggregate, Steel, etc</v>
      </c>
      <c r="E65" s="120"/>
      <c r="F65" s="120"/>
      <c r="G65" s="120"/>
      <c r="H65" s="120"/>
      <c r="J65" s="25"/>
    </row>
    <row r="66" spans="1:10" ht="33.75" customHeight="1" thickBot="1" x14ac:dyDescent="0.35">
      <c r="A66" s="78" t="s">
        <v>119</v>
      </c>
      <c r="B66" s="78"/>
      <c r="C66" s="78"/>
      <c r="D66" s="120" t="str">
        <f ca="1">(IF(D65="Nothing","Yes",IF(D65="Cement, Aggregate, Steel, etc","Under Construction",IF(D65="Work not yet Started","Work not yet Started"))))</f>
        <v>Under Construction</v>
      </c>
      <c r="E66" s="120"/>
      <c r="F66" s="120" t="str">
        <f ca="1">(IF(D65="Nothing","Yes",IF(D65="Cement, Aggregate, Steel, etc","Under Construction",IF(D65="Work not yet Started","Work not yet Started"))))</f>
        <v>Under Construction</v>
      </c>
      <c r="G66" s="120"/>
      <c r="H66" s="120"/>
    </row>
    <row r="67" spans="1:10" ht="15.75" customHeight="1" x14ac:dyDescent="0.3">
      <c r="A67" s="156" t="s">
        <v>144</v>
      </c>
      <c r="B67" s="157"/>
      <c r="C67" s="158" t="str">
        <f>D59</f>
        <v>Gr/Stilt + 1st to 9th + 10th (Recreational floor) + 11th to 21st Floor</v>
      </c>
      <c r="D67" s="159"/>
      <c r="E67" s="159"/>
      <c r="F67" s="159"/>
      <c r="G67" s="159"/>
      <c r="H67" s="160"/>
      <c r="I67" s="44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18 Floor, Painting upto 16 Floor, Finishing upto 10 Floor Completed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18 Floor, Painting upto 16 Floor, Finishing upto 10 Floor</v>
      </c>
    </row>
    <row r="68" spans="1:10" x14ac:dyDescent="0.3">
      <c r="A68" s="16" t="s">
        <v>146</v>
      </c>
      <c r="B68" s="50">
        <v>0</v>
      </c>
      <c r="C68" s="50" t="s">
        <v>73</v>
      </c>
      <c r="D68" s="50">
        <v>1</v>
      </c>
      <c r="E68" s="50" t="s">
        <v>72</v>
      </c>
      <c r="F68" s="50">
        <v>0</v>
      </c>
      <c r="G68" s="50" t="s">
        <v>81</v>
      </c>
      <c r="H68" s="17">
        <f ca="1">--TRIM(RIGHT(SUBSTITUTE(LEFT(C67,_xlfn.AGGREGATE(16,6,FIND({0,1,2,3,4,5,6,7,8,9},C67,ROW(INDIRECT("1:"&amp;LEN(C67)))),1))," ",REPT(" ",LEN(C67))),LEN(C67)))</f>
        <v>21</v>
      </c>
      <c r="I68" s="4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7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53.4" customHeight="1" x14ac:dyDescent="0.3">
      <c r="A69" s="68" t="s">
        <v>91</v>
      </c>
      <c r="B69" s="68"/>
      <c r="C69" s="161" t="str">
        <f ca="1">(IF($C$54=C67,"All work Completed. OC Received.",I67))</f>
        <v>Excavation, Plinth, RCC Slab, Brickwork, Internal Plaster, External Plaster Completed, Flooring upto 18 Floor, Painting upto 16 Floor, Finishing upto 10 Floor Completed</v>
      </c>
      <c r="D69" s="161"/>
      <c r="E69" s="161"/>
      <c r="F69" s="161"/>
      <c r="G69" s="161"/>
      <c r="H69" s="161"/>
      <c r="I69" s="63" t="str">
        <f ca="1">IF(I68&lt;&gt;""," Completed","")</f>
        <v xml:space="preserve"> Completed</v>
      </c>
      <c r="J69" s="47" t="str">
        <f ca="1">IF(J67&lt;&gt;"","Completed","")</f>
        <v>Completed</v>
      </c>
    </row>
    <row r="70" spans="1:10" ht="15.75" customHeight="1" x14ac:dyDescent="0.3">
      <c r="A70" s="90" t="s">
        <v>49</v>
      </c>
      <c r="B70" s="90"/>
      <c r="C70" s="62" t="s">
        <v>143</v>
      </c>
      <c r="D70" s="62" t="s">
        <v>84</v>
      </c>
      <c r="E70" s="90" t="s">
        <v>86</v>
      </c>
      <c r="F70" s="90"/>
      <c r="G70" s="90" t="s">
        <v>85</v>
      </c>
      <c r="H70" s="90"/>
      <c r="I70" s="14" t="s">
        <v>145</v>
      </c>
      <c r="J70" s="27">
        <f ca="1">H68*25%</f>
        <v>5.25</v>
      </c>
    </row>
    <row r="71" spans="1:10" x14ac:dyDescent="0.3">
      <c r="A71" s="90" t="s">
        <v>132</v>
      </c>
      <c r="B71" s="90"/>
      <c r="C71" s="62">
        <f ca="1">J72</f>
        <v>21</v>
      </c>
      <c r="D71" s="19">
        <f ca="1">((100/H68)*C71)/100</f>
        <v>1</v>
      </c>
      <c r="E71" s="121">
        <f ca="1">(((C72/H68*10)+(40/(D68+F68+H68)*C73)+(7.5/(H68)*C74)+(7.5/(H68)*C75)+(10/H68*C76)+(10/H68*C77)+(5/H68*C78)+(5/H68*C79)+(5/H68*C80))/100)</f>
        <v>0.89761904761904754</v>
      </c>
      <c r="F71" s="121"/>
      <c r="G71" s="121">
        <f ca="1">((((C71/H68)*20)+((C72/H68)*25)+(30/(H68+F68+D68)*C73)+(5/H68*C74)+(5/H68*C75)+(5/H68*C76)+(5/H68*C77)+(0/H68*C78)+(0/H68*C79)+(5/H68*C80))/100)</f>
        <v>0.94285714285714295</v>
      </c>
      <c r="H71" s="121"/>
      <c r="I71" s="14" t="s">
        <v>102</v>
      </c>
      <c r="J71" s="28">
        <f ca="1">H68*50%</f>
        <v>10.5</v>
      </c>
    </row>
    <row r="72" spans="1:10" x14ac:dyDescent="0.3">
      <c r="A72" s="90" t="s">
        <v>50</v>
      </c>
      <c r="B72" s="90"/>
      <c r="C72" s="51">
        <f ca="1">J80</f>
        <v>21</v>
      </c>
      <c r="D72" s="19">
        <f ca="1">((100/H68)*C72)/100</f>
        <v>1</v>
      </c>
      <c r="E72" s="121"/>
      <c r="F72" s="121"/>
      <c r="G72" s="121"/>
      <c r="H72" s="121"/>
      <c r="I72" s="14" t="s">
        <v>103</v>
      </c>
      <c r="J72" s="28">
        <f ca="1">H68</f>
        <v>21</v>
      </c>
    </row>
    <row r="73" spans="1:10" ht="15.75" customHeight="1" x14ac:dyDescent="0.3">
      <c r="A73" s="90" t="s">
        <v>133</v>
      </c>
      <c r="B73" s="90"/>
      <c r="C73" s="62">
        <v>22</v>
      </c>
      <c r="D73" s="19">
        <f ca="1">((100/(D68+F68+H68))*C73)/100</f>
        <v>1.0000000000000002</v>
      </c>
      <c r="E73" s="121"/>
      <c r="F73" s="121"/>
      <c r="G73" s="121"/>
      <c r="H73" s="121"/>
      <c r="I73" s="14" t="s">
        <v>104</v>
      </c>
      <c r="J73" s="29">
        <f ca="1">(IF(B68&gt;1,(H68/(B68+2)),H68/4))</f>
        <v>5.25</v>
      </c>
    </row>
    <row r="74" spans="1:10" ht="15.75" customHeight="1" x14ac:dyDescent="0.3">
      <c r="A74" s="90" t="s">
        <v>140</v>
      </c>
      <c r="B74" s="90" t="s">
        <v>134</v>
      </c>
      <c r="C74" s="62">
        <v>21</v>
      </c>
      <c r="D74" s="19">
        <f ca="1">((100/H68)*C74)/100</f>
        <v>1</v>
      </c>
      <c r="E74" s="121"/>
      <c r="F74" s="121"/>
      <c r="G74" s="121"/>
      <c r="H74" s="121"/>
      <c r="I74" s="14" t="s">
        <v>105</v>
      </c>
      <c r="J74" s="29">
        <f ca="1">(IF(B68&gt;1,(H68/(B68+2)+J73),H68/4+J73))</f>
        <v>10.5</v>
      </c>
    </row>
    <row r="75" spans="1:10" ht="15.75" customHeight="1" x14ac:dyDescent="0.3">
      <c r="A75" s="90" t="s">
        <v>141</v>
      </c>
      <c r="B75" s="90" t="s">
        <v>134</v>
      </c>
      <c r="C75" s="62">
        <v>21</v>
      </c>
      <c r="D75" s="19">
        <f ca="1">((100/H68)*C75)/100</f>
        <v>1</v>
      </c>
      <c r="E75" s="121"/>
      <c r="F75" s="121"/>
      <c r="G75" s="121"/>
      <c r="H75" s="121"/>
      <c r="I75" s="14" t="s">
        <v>150</v>
      </c>
      <c r="J75" s="29">
        <f>(IF(B68&gt;1,(H68/(B68+2)+J74),0))</f>
        <v>0</v>
      </c>
    </row>
    <row r="76" spans="1:10" ht="15" customHeight="1" x14ac:dyDescent="0.3">
      <c r="A76" s="90" t="s">
        <v>139</v>
      </c>
      <c r="B76" s="90" t="s">
        <v>136</v>
      </c>
      <c r="C76" s="62">
        <v>21</v>
      </c>
      <c r="D76" s="19">
        <f ca="1">((100/(H68))*C76)/100</f>
        <v>1</v>
      </c>
      <c r="E76" s="121"/>
      <c r="F76" s="121"/>
      <c r="G76" s="121"/>
      <c r="H76" s="121"/>
      <c r="I76" s="14" t="s">
        <v>147</v>
      </c>
      <c r="J76" s="29">
        <f>(IF(B68&gt;2,(H68/(B68+2)+J75),0))</f>
        <v>0</v>
      </c>
    </row>
    <row r="77" spans="1:10" ht="15.75" customHeight="1" x14ac:dyDescent="0.3">
      <c r="A77" s="90" t="s">
        <v>135</v>
      </c>
      <c r="B77" s="90" t="s">
        <v>135</v>
      </c>
      <c r="C77" s="62">
        <v>18</v>
      </c>
      <c r="D77" s="19">
        <f ca="1">((100/H68)*C77)/100</f>
        <v>0.8571428571428571</v>
      </c>
      <c r="E77" s="121"/>
      <c r="F77" s="121"/>
      <c r="G77" s="121"/>
      <c r="H77" s="121"/>
      <c r="I77" s="14" t="s">
        <v>148</v>
      </c>
      <c r="J77" s="30">
        <f>(IF(B68&gt;3,(H68/(B68+2)+J76),0))</f>
        <v>0</v>
      </c>
    </row>
    <row r="78" spans="1:10" ht="15.75" customHeight="1" x14ac:dyDescent="0.3">
      <c r="A78" s="90" t="s">
        <v>142</v>
      </c>
      <c r="B78" s="90"/>
      <c r="C78" s="62">
        <v>16</v>
      </c>
      <c r="D78" s="19">
        <f ca="1">((100/H68)*C78)/100</f>
        <v>0.76190476190476186</v>
      </c>
      <c r="E78" s="121"/>
      <c r="F78" s="121"/>
      <c r="G78" s="121"/>
      <c r="H78" s="121"/>
      <c r="I78" s="14" t="s">
        <v>149</v>
      </c>
      <c r="J78" s="29">
        <f>(IF(B68&gt;4,(H68/(B68+2)+J77),0))</f>
        <v>0</v>
      </c>
    </row>
    <row r="79" spans="1:10" ht="15.75" customHeight="1" x14ac:dyDescent="0.3">
      <c r="A79" s="90" t="s">
        <v>137</v>
      </c>
      <c r="B79" s="90" t="s">
        <v>137</v>
      </c>
      <c r="C79" s="62">
        <v>10</v>
      </c>
      <c r="D79" s="19">
        <f ca="1">((100/(H68))*C79)/100</f>
        <v>0.47619047619047622</v>
      </c>
      <c r="E79" s="121"/>
      <c r="F79" s="121"/>
      <c r="G79" s="121"/>
      <c r="H79" s="121"/>
      <c r="I79" s="14" t="s">
        <v>151</v>
      </c>
      <c r="J79" s="29">
        <f ca="1">(IF(B68=1,(H68/(B68+3)+J74),IF(B68=0,(H68/4+J74),IF(B68&gt;1,0))))</f>
        <v>15.75</v>
      </c>
    </row>
    <row r="80" spans="1:10" ht="16.2" thickBot="1" x14ac:dyDescent="0.35">
      <c r="A80" s="90" t="s">
        <v>138</v>
      </c>
      <c r="B80" s="90"/>
      <c r="C80" s="62">
        <v>0</v>
      </c>
      <c r="D80" s="19">
        <f ca="1">((100/(H68))*C80)/100</f>
        <v>0</v>
      </c>
      <c r="E80" s="121"/>
      <c r="F80" s="121"/>
      <c r="G80" s="121"/>
      <c r="H80" s="121"/>
      <c r="I80" s="15" t="s">
        <v>106</v>
      </c>
      <c r="J80" s="31">
        <f ca="1">(IF(B68&gt;1.5,(H68/(B68+2)+J74+MAX(0,J75-J74)+MAX(0,J76-J75)+MAX(0,J77-J76)+MAX(0,J78-J77)+MAX(0,J79-J78)),IF(B68=1,(H68/(B68+3)+J79),IF(B68=0,H68/4+J79))))</f>
        <v>21</v>
      </c>
    </row>
    <row r="81" spans="1:14" x14ac:dyDescent="0.3">
      <c r="A81" s="170" t="s">
        <v>160</v>
      </c>
      <c r="B81" s="170"/>
      <c r="C81" s="170"/>
      <c r="D81" s="170"/>
      <c r="E81" s="170"/>
      <c r="F81" s="163" t="s">
        <v>165</v>
      </c>
      <c r="G81" s="163"/>
      <c r="H81" s="163"/>
    </row>
    <row r="82" spans="1:14" ht="17.25" customHeight="1" x14ac:dyDescent="0.3">
      <c r="A82" s="79" t="s">
        <v>163</v>
      </c>
      <c r="B82" s="79"/>
      <c r="C82" s="79"/>
      <c r="D82" s="79"/>
      <c r="E82" s="79"/>
      <c r="F82" s="91">
        <v>7300</v>
      </c>
      <c r="G82" s="91"/>
      <c r="H82" s="91"/>
      <c r="I82" s="59" t="s">
        <v>211</v>
      </c>
      <c r="J82" s="59" t="s">
        <v>212</v>
      </c>
      <c r="K82" s="59" t="s">
        <v>213</v>
      </c>
      <c r="L82" s="60">
        <v>45152</v>
      </c>
      <c r="M82" s="21"/>
      <c r="N82" s="21"/>
    </row>
    <row r="83" spans="1:14" x14ac:dyDescent="0.3">
      <c r="A83" s="79" t="s">
        <v>162</v>
      </c>
      <c r="B83" s="79"/>
      <c r="C83" s="79"/>
      <c r="D83" s="79"/>
      <c r="E83" s="79"/>
      <c r="F83" s="91">
        <v>16000</v>
      </c>
      <c r="G83" s="91"/>
      <c r="H83" s="91"/>
      <c r="I83" s="69" t="s">
        <v>222</v>
      </c>
      <c r="J83" s="70"/>
      <c r="K83" s="70"/>
      <c r="L83" s="21"/>
      <c r="M83" s="21"/>
      <c r="N83" s="21"/>
    </row>
    <row r="84" spans="1:14" x14ac:dyDescent="0.3">
      <c r="A84" s="79" t="s">
        <v>164</v>
      </c>
      <c r="B84" s="79"/>
      <c r="C84" s="79"/>
      <c r="D84" s="79"/>
      <c r="E84" s="79"/>
      <c r="F84" s="91">
        <v>10000</v>
      </c>
      <c r="G84" s="91"/>
      <c r="H84" s="91"/>
      <c r="I84" s="59" t="s">
        <v>224</v>
      </c>
      <c r="J84" s="59" t="s">
        <v>212</v>
      </c>
      <c r="K84" s="59" t="s">
        <v>225</v>
      </c>
      <c r="L84" s="60">
        <v>45237</v>
      </c>
      <c r="M84" s="21"/>
      <c r="N84" s="21"/>
    </row>
    <row r="85" spans="1:14" s="32" customFormat="1" hidden="1" x14ac:dyDescent="0.25">
      <c r="A85" s="79" t="s">
        <v>161</v>
      </c>
      <c r="B85" s="79"/>
      <c r="C85" s="79"/>
      <c r="D85" s="79"/>
      <c r="E85" s="79"/>
      <c r="F85" s="91"/>
      <c r="G85" s="91"/>
      <c r="H85" s="91"/>
      <c r="J85" s="57"/>
      <c r="K85" s="57"/>
      <c r="L85" s="57"/>
      <c r="M85" s="57"/>
      <c r="N85" s="57"/>
    </row>
    <row r="86" spans="1:14" s="32" customFormat="1" x14ac:dyDescent="0.25">
      <c r="A86" s="79" t="s">
        <v>96</v>
      </c>
      <c r="B86" s="79"/>
      <c r="C86" s="79"/>
      <c r="D86" s="79"/>
      <c r="E86" s="79"/>
      <c r="F86" s="91">
        <v>100000</v>
      </c>
      <c r="G86" s="91"/>
      <c r="H86" s="91"/>
      <c r="J86" s="57"/>
      <c r="L86" s="57"/>
      <c r="M86" s="57"/>
      <c r="N86" s="57"/>
    </row>
    <row r="87" spans="1:14" s="32" customFormat="1" hidden="1" x14ac:dyDescent="0.25">
      <c r="A87" s="79" t="s">
        <v>97</v>
      </c>
      <c r="B87" s="79"/>
      <c r="C87" s="79"/>
      <c r="D87" s="79"/>
      <c r="E87" s="79"/>
      <c r="F87" s="91"/>
      <c r="G87" s="91"/>
      <c r="H87" s="91"/>
    </row>
    <row r="88" spans="1:14" s="32" customFormat="1" hidden="1" x14ac:dyDescent="0.25">
      <c r="A88" s="79" t="s">
        <v>166</v>
      </c>
      <c r="B88" s="79"/>
      <c r="C88" s="79"/>
      <c r="D88" s="79"/>
      <c r="E88" s="79"/>
      <c r="F88" s="91"/>
      <c r="G88" s="91"/>
      <c r="H88" s="91"/>
      <c r="L88" s="58"/>
    </row>
    <row r="89" spans="1:14" s="32" customFormat="1" hidden="1" x14ac:dyDescent="0.25">
      <c r="A89" s="79" t="s">
        <v>98</v>
      </c>
      <c r="B89" s="79"/>
      <c r="C89" s="79"/>
      <c r="D89" s="79"/>
      <c r="E89" s="79"/>
      <c r="F89" s="91"/>
      <c r="G89" s="91"/>
      <c r="H89" s="91"/>
    </row>
    <row r="90" spans="1:14" s="32" customFormat="1" hidden="1" x14ac:dyDescent="0.25">
      <c r="A90" s="79" t="s">
        <v>99</v>
      </c>
      <c r="B90" s="79"/>
      <c r="C90" s="79"/>
      <c r="D90" s="79"/>
      <c r="E90" s="79"/>
      <c r="F90" s="91"/>
      <c r="G90" s="91"/>
      <c r="H90" s="91"/>
    </row>
    <row r="91" spans="1:14" s="32" customFormat="1" hidden="1" x14ac:dyDescent="0.25">
      <c r="A91" s="79" t="s">
        <v>100</v>
      </c>
      <c r="B91" s="79"/>
      <c r="C91" s="79"/>
      <c r="D91" s="79"/>
      <c r="E91" s="79"/>
      <c r="F91" s="91"/>
      <c r="G91" s="91"/>
      <c r="H91" s="91"/>
    </row>
    <row r="92" spans="1:14" s="32" customFormat="1" hidden="1" x14ac:dyDescent="0.25">
      <c r="A92" s="79" t="s">
        <v>101</v>
      </c>
      <c r="B92" s="79"/>
      <c r="C92" s="79"/>
      <c r="D92" s="79"/>
      <c r="E92" s="79"/>
      <c r="F92" s="91"/>
      <c r="G92" s="91"/>
      <c r="H92" s="91"/>
    </row>
    <row r="93" spans="1:14" x14ac:dyDescent="0.3">
      <c r="A93" s="79" t="s">
        <v>51</v>
      </c>
      <c r="B93" s="79"/>
      <c r="C93" s="79"/>
      <c r="D93" s="79"/>
      <c r="E93" s="79"/>
      <c r="F93" s="91">
        <v>400000</v>
      </c>
      <c r="G93" s="91"/>
      <c r="H93" s="91"/>
    </row>
    <row r="94" spans="1:14" s="33" customFormat="1" x14ac:dyDescent="0.3">
      <c r="A94" s="125" t="s">
        <v>52</v>
      </c>
      <c r="B94" s="125"/>
      <c r="C94" s="125"/>
      <c r="D94" s="125"/>
      <c r="E94" s="125"/>
      <c r="F94" s="91">
        <f>F82*0.8</f>
        <v>5840</v>
      </c>
      <c r="G94" s="91"/>
      <c r="H94" s="91"/>
    </row>
    <row r="95" spans="1:14" s="34" customFormat="1" ht="15.75" customHeight="1" x14ac:dyDescent="0.3">
      <c r="A95" s="124" t="s">
        <v>76</v>
      </c>
      <c r="B95" s="124"/>
      <c r="C95" s="124"/>
      <c r="D95" s="124"/>
      <c r="E95" s="124"/>
      <c r="F95" s="124"/>
      <c r="G95" s="124"/>
      <c r="H95" s="124"/>
    </row>
    <row r="96" spans="1:14" s="34" customFormat="1" ht="15.75" customHeight="1" x14ac:dyDescent="0.3">
      <c r="A96" s="81" t="s">
        <v>53</v>
      </c>
      <c r="B96" s="81"/>
      <c r="C96" s="165" t="s">
        <v>79</v>
      </c>
      <c r="D96" s="165"/>
      <c r="E96" s="164" t="s">
        <v>54</v>
      </c>
      <c r="F96" s="164"/>
      <c r="G96" s="81" t="s">
        <v>55</v>
      </c>
      <c r="H96" s="81"/>
    </row>
    <row r="97" spans="1:14" s="34" customFormat="1" x14ac:dyDescent="0.3">
      <c r="A97" s="126" t="s">
        <v>217</v>
      </c>
      <c r="B97" s="126"/>
      <c r="C97" s="166">
        <f>COUNT(D108:D113)</f>
        <v>6</v>
      </c>
      <c r="D97" s="162"/>
      <c r="E97" s="92">
        <f>SUM(D108:D113)</f>
        <v>1864.0018799999998</v>
      </c>
      <c r="F97" s="93"/>
      <c r="G97" s="92">
        <f>SUM(F108:F113)</f>
        <v>4372.1094643200004</v>
      </c>
      <c r="H97" s="93"/>
    </row>
    <row r="98" spans="1:14" s="34" customFormat="1" x14ac:dyDescent="0.3">
      <c r="A98" s="126" t="s">
        <v>218</v>
      </c>
      <c r="B98" s="126"/>
      <c r="C98" s="166">
        <f>COUNT(D114)+COUNT(D116:D122)+COUNT(D124:D130)</f>
        <v>15</v>
      </c>
      <c r="D98" s="162"/>
      <c r="E98" s="92">
        <f>SUM(D114)+SUM(D116:D122)+SUM(D124:D130)</f>
        <v>5024.0162700000001</v>
      </c>
      <c r="F98" s="93"/>
      <c r="G98" s="92">
        <f>SUM(F114)+SUM(F116:F122)+SUM(F124:F130)</f>
        <v>8038.4260320000003</v>
      </c>
      <c r="H98" s="93"/>
    </row>
    <row r="99" spans="1:14" s="34" customFormat="1" x14ac:dyDescent="0.3">
      <c r="A99" s="124" t="s">
        <v>154</v>
      </c>
      <c r="B99" s="124"/>
      <c r="C99" s="168">
        <f>SUM(C97:C98)</f>
        <v>21</v>
      </c>
      <c r="D99" s="165"/>
      <c r="E99" s="169">
        <f>SUM(E97:E98)</f>
        <v>6888.0181499999999</v>
      </c>
      <c r="F99" s="164"/>
      <c r="G99" s="81">
        <f>SUM(G97:G98)</f>
        <v>12410.535496320001</v>
      </c>
      <c r="H99" s="81"/>
    </row>
    <row r="100" spans="1:14" s="34" customFormat="1" x14ac:dyDescent="0.3">
      <c r="A100" s="124" t="s">
        <v>71</v>
      </c>
      <c r="B100" s="124"/>
      <c r="C100" s="124"/>
      <c r="D100" s="124"/>
      <c r="E100" s="124"/>
      <c r="F100" s="124"/>
      <c r="G100" s="124"/>
      <c r="H100" s="124"/>
    </row>
    <row r="101" spans="1:14" s="34" customFormat="1" ht="15.75" customHeight="1" x14ac:dyDescent="0.3">
      <c r="A101" s="81" t="s">
        <v>53</v>
      </c>
      <c r="B101" s="81"/>
      <c r="C101" s="165" t="s">
        <v>79</v>
      </c>
      <c r="D101" s="165"/>
      <c r="E101" s="164" t="s">
        <v>54</v>
      </c>
      <c r="F101" s="164"/>
      <c r="G101" s="81" t="s">
        <v>55</v>
      </c>
      <c r="H101" s="81"/>
    </row>
    <row r="102" spans="1:14" s="34" customFormat="1" x14ac:dyDescent="0.3">
      <c r="A102" s="126" t="s">
        <v>216</v>
      </c>
      <c r="B102" s="126"/>
      <c r="C102" s="162">
        <f>COUNT(D135:D138)+COUNT(D140:D143)*9+COUNT(D146:D148)*2+COUNT(D151:D155)*5+COUNT(D158:D161)</f>
        <v>75</v>
      </c>
      <c r="D102" s="162"/>
      <c r="E102" s="92">
        <f>SUM(D135:D138)+SUM(D140:D143)*9+SUM(D146:D148)*2+SUM(D151:D155)*5+SUM(D158:D161)</f>
        <v>39503.186167999993</v>
      </c>
      <c r="F102" s="92"/>
      <c r="G102" s="92">
        <f>SUM(F135:F138)+SUM(F140:F143)*9+SUM(F146:F148)*2+SUM(F151:F155)*5+SUM(F158:F161)</f>
        <v>59559.988883999991</v>
      </c>
      <c r="H102" s="92"/>
    </row>
    <row r="103" spans="1:14" s="33" customFormat="1" x14ac:dyDescent="0.3">
      <c r="A103" s="106" t="s">
        <v>56</v>
      </c>
      <c r="B103" s="106"/>
      <c r="C103" s="106"/>
      <c r="D103" s="106"/>
      <c r="E103" s="106"/>
      <c r="F103" s="106"/>
      <c r="G103" s="106"/>
      <c r="H103" s="106"/>
    </row>
    <row r="104" spans="1:14" x14ac:dyDescent="0.3">
      <c r="A104" s="106" t="s">
        <v>57</v>
      </c>
      <c r="B104" s="106"/>
      <c r="C104" s="106"/>
      <c r="D104" s="106"/>
      <c r="E104" s="106"/>
      <c r="F104" s="106"/>
      <c r="G104" s="106"/>
      <c r="H104" s="106"/>
    </row>
    <row r="105" spans="1:14" ht="47.25" customHeight="1" x14ac:dyDescent="0.3">
      <c r="A105" s="82" t="s">
        <v>122</v>
      </c>
      <c r="B105" s="82" t="s">
        <v>121</v>
      </c>
      <c r="C105" s="82" t="s">
        <v>58</v>
      </c>
      <c r="D105" s="82" t="s">
        <v>59</v>
      </c>
      <c r="E105" s="84" t="s">
        <v>159</v>
      </c>
      <c r="F105" s="41" t="s">
        <v>153</v>
      </c>
      <c r="G105" s="86" t="s">
        <v>61</v>
      </c>
      <c r="H105" s="87"/>
    </row>
    <row r="106" spans="1:14" s="43" customFormat="1" x14ac:dyDescent="0.3">
      <c r="A106" s="83"/>
      <c r="B106" s="83"/>
      <c r="C106" s="83"/>
      <c r="D106" s="83"/>
      <c r="E106" s="85"/>
      <c r="F106" s="13">
        <v>0.6</v>
      </c>
      <c r="G106" s="88"/>
      <c r="H106" s="89"/>
    </row>
    <row r="107" spans="1:14" s="43" customFormat="1" x14ac:dyDescent="0.3">
      <c r="A107" s="75" t="s">
        <v>190</v>
      </c>
      <c r="B107" s="76"/>
      <c r="C107" s="76"/>
      <c r="D107" s="76"/>
      <c r="E107" s="76"/>
      <c r="F107" s="76"/>
      <c r="G107" s="76"/>
      <c r="H107" s="77"/>
      <c r="J107" s="35"/>
    </row>
    <row r="108" spans="1:14" s="43" customFormat="1" ht="15.75" customHeight="1" x14ac:dyDescent="0.3">
      <c r="A108" s="72">
        <v>1</v>
      </c>
      <c r="B108" s="73"/>
      <c r="C108" s="40" t="s">
        <v>191</v>
      </c>
      <c r="D108" s="53">
        <f>(23.09)*10.764</f>
        <v>248.54075999999998</v>
      </c>
      <c r="E108" s="53">
        <f>(2.9*2.28)*10.764</f>
        <v>71.171567999999994</v>
      </c>
      <c r="F108" s="40">
        <f t="shared" ref="F108:F114" si="0">(D108+E108)*(($F$106)+1)</f>
        <v>511.53972479999993</v>
      </c>
      <c r="G108" s="97" t="str">
        <f>A107</f>
        <v>Ground Floor for Commercial &amp; Parking</v>
      </c>
      <c r="H108" s="98"/>
      <c r="I108" s="35"/>
      <c r="J108" s="35"/>
      <c r="L108" s="74"/>
      <c r="M108" s="74"/>
      <c r="N108" s="35"/>
    </row>
    <row r="109" spans="1:14" s="43" customFormat="1" x14ac:dyDescent="0.3">
      <c r="A109" s="72">
        <f t="shared" ref="A109:A114" si="1">A108+1</f>
        <v>2</v>
      </c>
      <c r="B109" s="73"/>
      <c r="C109" s="40" t="s">
        <v>191</v>
      </c>
      <c r="D109" s="53">
        <f>(20.93)*10.764</f>
        <v>225.29051999999999</v>
      </c>
      <c r="E109" s="53">
        <f>(3.05*2.28)*10.764</f>
        <v>74.852855999999989</v>
      </c>
      <c r="F109" s="40">
        <f t="shared" si="0"/>
        <v>480.22940160000002</v>
      </c>
      <c r="G109" s="99"/>
      <c r="H109" s="100"/>
      <c r="I109" s="35"/>
      <c r="L109" s="74"/>
      <c r="M109" s="74"/>
      <c r="N109" s="35"/>
    </row>
    <row r="110" spans="1:14" s="43" customFormat="1" x14ac:dyDescent="0.3">
      <c r="A110" s="72">
        <f t="shared" si="1"/>
        <v>3</v>
      </c>
      <c r="B110" s="73"/>
      <c r="C110" s="40" t="s">
        <v>191</v>
      </c>
      <c r="D110" s="53">
        <f>(16.5)*10.764</f>
        <v>177.60599999999999</v>
      </c>
      <c r="E110" s="53">
        <f>(3.05*2.15)*10.764</f>
        <v>70.584929999999986</v>
      </c>
      <c r="F110" s="40">
        <f t="shared" si="0"/>
        <v>397.10548799999998</v>
      </c>
      <c r="G110" s="99"/>
      <c r="H110" s="100"/>
      <c r="I110" s="35"/>
      <c r="L110" s="74"/>
      <c r="M110" s="74"/>
      <c r="N110" s="35"/>
    </row>
    <row r="111" spans="1:14" s="43" customFormat="1" x14ac:dyDescent="0.3">
      <c r="A111" s="72">
        <f t="shared" si="1"/>
        <v>4</v>
      </c>
      <c r="B111" s="73"/>
      <c r="C111" s="40" t="s">
        <v>191</v>
      </c>
      <c r="D111" s="53">
        <f>(33.29)*10.764</f>
        <v>358.33355999999998</v>
      </c>
      <c r="E111" s="53">
        <f>(2.05*3.05+2.67*4.15)*10.764</f>
        <v>186.57241199999999</v>
      </c>
      <c r="F111" s="40">
        <f t="shared" si="0"/>
        <v>871.84955520000005</v>
      </c>
      <c r="G111" s="99"/>
      <c r="H111" s="100"/>
      <c r="I111" s="35"/>
      <c r="L111" s="74"/>
      <c r="M111" s="74"/>
      <c r="N111" s="35"/>
    </row>
    <row r="112" spans="1:14" s="43" customFormat="1" x14ac:dyDescent="0.3">
      <c r="A112" s="72">
        <f t="shared" si="1"/>
        <v>5</v>
      </c>
      <c r="B112" s="73"/>
      <c r="C112" s="40" t="s">
        <v>191</v>
      </c>
      <c r="D112" s="53">
        <f>(29.82)*10.764</f>
        <v>320.98248000000001</v>
      </c>
      <c r="E112" s="53">
        <f>(2.25*3.05+2.67*3.3)*10.764</f>
        <v>168.709554</v>
      </c>
      <c r="F112" s="40">
        <f t="shared" si="0"/>
        <v>783.50725440000008</v>
      </c>
      <c r="G112" s="99"/>
      <c r="H112" s="100"/>
      <c r="I112" s="35"/>
      <c r="L112" s="74"/>
      <c r="M112" s="74"/>
      <c r="N112" s="35"/>
    </row>
    <row r="113" spans="1:14" s="43" customFormat="1" x14ac:dyDescent="0.3">
      <c r="A113" s="72">
        <f t="shared" si="1"/>
        <v>6</v>
      </c>
      <c r="B113" s="73"/>
      <c r="C113" s="40" t="s">
        <v>191</v>
      </c>
      <c r="D113" s="53">
        <f>(49.54)*10.764</f>
        <v>533.24856</v>
      </c>
      <c r="E113" s="53">
        <f>(7.65*2.93+2.17*1.37+3.02*0.72)*10.764</f>
        <v>296.67521520000003</v>
      </c>
      <c r="F113" s="40">
        <f t="shared" si="0"/>
        <v>1327.8780403200001</v>
      </c>
      <c r="G113" s="99"/>
      <c r="H113" s="100"/>
      <c r="I113" s="35"/>
      <c r="L113" s="74"/>
      <c r="M113" s="74"/>
      <c r="N113" s="35"/>
    </row>
    <row r="114" spans="1:14" s="43" customFormat="1" x14ac:dyDescent="0.3">
      <c r="A114" s="72">
        <f t="shared" si="1"/>
        <v>7</v>
      </c>
      <c r="B114" s="73"/>
      <c r="C114" s="40" t="s">
        <v>192</v>
      </c>
      <c r="D114" s="53">
        <f>(18.48)*10.764</f>
        <v>198.91871999999998</v>
      </c>
      <c r="E114" s="53">
        <v>0</v>
      </c>
      <c r="F114" s="40">
        <f t="shared" si="0"/>
        <v>318.26995199999999</v>
      </c>
      <c r="G114" s="99"/>
      <c r="H114" s="100"/>
      <c r="I114" s="52"/>
      <c r="L114" s="74"/>
      <c r="M114" s="74"/>
      <c r="N114" s="35"/>
    </row>
    <row r="115" spans="1:14" s="43" customFormat="1" x14ac:dyDescent="0.3">
      <c r="A115" s="101" t="s">
        <v>193</v>
      </c>
      <c r="B115" s="101"/>
      <c r="C115" s="101"/>
      <c r="D115" s="101"/>
      <c r="E115" s="101"/>
      <c r="F115" s="101"/>
      <c r="G115" s="101"/>
      <c r="H115" s="101"/>
      <c r="J115" s="35"/>
    </row>
    <row r="116" spans="1:14" s="43" customFormat="1" ht="15.75" customHeight="1" x14ac:dyDescent="0.3">
      <c r="A116" s="71">
        <v>1</v>
      </c>
      <c r="B116" s="71"/>
      <c r="C116" s="40" t="s">
        <v>192</v>
      </c>
      <c r="D116" s="53">
        <f>(25.71)*10.764</f>
        <v>276.74243999999999</v>
      </c>
      <c r="E116" s="53">
        <v>0</v>
      </c>
      <c r="F116" s="40">
        <f>(D116+E116)*(($F$106)+1)</f>
        <v>442.78790400000003</v>
      </c>
      <c r="G116" s="71" t="str">
        <f>A115</f>
        <v>1st Floor</v>
      </c>
      <c r="H116" s="71"/>
      <c r="I116" s="52"/>
      <c r="J116" s="35"/>
      <c r="L116" s="74"/>
      <c r="M116" s="74"/>
      <c r="N116" s="35"/>
    </row>
    <row r="117" spans="1:14" s="43" customFormat="1" x14ac:dyDescent="0.3">
      <c r="A117" s="71">
        <f t="shared" ref="A117:A122" si="2">A116+1</f>
        <v>2</v>
      </c>
      <c r="B117" s="71"/>
      <c r="C117" s="40" t="s">
        <v>192</v>
      </c>
      <c r="D117" s="53">
        <f>(20.94+1.5*3.35)*10.764</f>
        <v>279.48725999999999</v>
      </c>
      <c r="E117" s="53">
        <v>0</v>
      </c>
      <c r="F117" s="40">
        <f t="shared" ref="F117:F122" si="3">(D117+E117)*(($F$106)+1)</f>
        <v>447.17961600000001</v>
      </c>
      <c r="G117" s="71"/>
      <c r="H117" s="71"/>
      <c r="I117" s="52"/>
      <c r="L117" s="74"/>
      <c r="M117" s="74"/>
      <c r="N117" s="35"/>
    </row>
    <row r="118" spans="1:14" s="43" customFormat="1" x14ac:dyDescent="0.3">
      <c r="A118" s="71">
        <f t="shared" si="2"/>
        <v>3</v>
      </c>
      <c r="B118" s="71"/>
      <c r="C118" s="40" t="s">
        <v>192</v>
      </c>
      <c r="D118" s="53">
        <f>(13.6+1.5*3.05)*10.764</f>
        <v>195.63569999999996</v>
      </c>
      <c r="E118" s="53">
        <v>0</v>
      </c>
      <c r="F118" s="40">
        <f t="shared" si="3"/>
        <v>313.01711999999998</v>
      </c>
      <c r="G118" s="71"/>
      <c r="H118" s="71"/>
      <c r="I118" s="52"/>
      <c r="L118" s="74"/>
      <c r="M118" s="74"/>
      <c r="N118" s="35"/>
    </row>
    <row r="119" spans="1:14" s="43" customFormat="1" x14ac:dyDescent="0.3">
      <c r="A119" s="71">
        <f t="shared" si="2"/>
        <v>4</v>
      </c>
      <c r="B119" s="71"/>
      <c r="C119" s="40" t="s">
        <v>192</v>
      </c>
      <c r="D119" s="53">
        <f>(16.53+1.5*3.05)*10.764</f>
        <v>227.17421999999999</v>
      </c>
      <c r="E119" s="53">
        <v>0</v>
      </c>
      <c r="F119" s="40">
        <f t="shared" si="3"/>
        <v>363.47875199999999</v>
      </c>
      <c r="G119" s="71"/>
      <c r="H119" s="71"/>
      <c r="I119" s="35"/>
      <c r="L119" s="74"/>
      <c r="M119" s="74"/>
      <c r="N119" s="35"/>
    </row>
    <row r="120" spans="1:14" s="43" customFormat="1" x14ac:dyDescent="0.3">
      <c r="A120" s="71">
        <f t="shared" si="2"/>
        <v>5</v>
      </c>
      <c r="B120" s="71"/>
      <c r="C120" s="40" t="s">
        <v>192</v>
      </c>
      <c r="D120" s="53">
        <f>(31+1.5*5.05)*10.764</f>
        <v>415.22129999999999</v>
      </c>
      <c r="E120" s="53">
        <v>0</v>
      </c>
      <c r="F120" s="40">
        <f t="shared" si="3"/>
        <v>664.35408000000007</v>
      </c>
      <c r="G120" s="71"/>
      <c r="H120" s="71"/>
      <c r="I120" s="35"/>
      <c r="L120" s="74"/>
      <c r="M120" s="74"/>
      <c r="N120" s="35"/>
    </row>
    <row r="121" spans="1:14" s="43" customFormat="1" x14ac:dyDescent="0.3">
      <c r="A121" s="71">
        <f t="shared" si="2"/>
        <v>6</v>
      </c>
      <c r="B121" s="71"/>
      <c r="C121" s="40" t="s">
        <v>192</v>
      </c>
      <c r="D121" s="53">
        <f>(46.64+1.5*2.85)*10.764</f>
        <v>548.04905999999994</v>
      </c>
      <c r="E121" s="53">
        <v>0</v>
      </c>
      <c r="F121" s="40">
        <f t="shared" si="3"/>
        <v>876.87849599999993</v>
      </c>
      <c r="G121" s="71"/>
      <c r="H121" s="71"/>
      <c r="I121" s="35">
        <f>5.54*2.85+1.53*1.81+5.99*4.47</f>
        <v>45.333600000000004</v>
      </c>
      <c r="L121" s="74"/>
      <c r="M121" s="74"/>
      <c r="N121" s="35"/>
    </row>
    <row r="122" spans="1:14" s="43" customFormat="1" x14ac:dyDescent="0.3">
      <c r="A122" s="71">
        <f t="shared" si="2"/>
        <v>7</v>
      </c>
      <c r="B122" s="71"/>
      <c r="C122" s="40" t="s">
        <v>192</v>
      </c>
      <c r="D122" s="53">
        <f>(33.63)*10.764</f>
        <v>361.99331999999998</v>
      </c>
      <c r="E122" s="53">
        <v>0</v>
      </c>
      <c r="F122" s="40">
        <f t="shared" si="3"/>
        <v>579.18931199999997</v>
      </c>
      <c r="G122" s="71"/>
      <c r="H122" s="71"/>
      <c r="I122" s="52"/>
      <c r="L122" s="74"/>
      <c r="M122" s="74"/>
      <c r="N122" s="35"/>
    </row>
    <row r="123" spans="1:14" s="43" customFormat="1" x14ac:dyDescent="0.3">
      <c r="A123" s="101" t="s">
        <v>120</v>
      </c>
      <c r="B123" s="101"/>
      <c r="C123" s="101"/>
      <c r="D123" s="101"/>
      <c r="E123" s="101"/>
      <c r="F123" s="101"/>
      <c r="G123" s="101"/>
      <c r="H123" s="101"/>
      <c r="J123" s="35"/>
    </row>
    <row r="124" spans="1:14" s="43" customFormat="1" ht="15.75" customHeight="1" x14ac:dyDescent="0.3">
      <c r="A124" s="71">
        <v>1</v>
      </c>
      <c r="B124" s="71"/>
      <c r="C124" s="40" t="s">
        <v>192</v>
      </c>
      <c r="D124" s="53">
        <f>(25.71+8.23*1.45)*10.764</f>
        <v>405.19463400000001</v>
      </c>
      <c r="E124" s="53">
        <v>0</v>
      </c>
      <c r="F124" s="40">
        <f>(D124+E124)*(($F$106)+1)</f>
        <v>648.3114144000001</v>
      </c>
      <c r="G124" s="71" t="str">
        <f>A123</f>
        <v>2nd Floor</v>
      </c>
      <c r="H124" s="71"/>
      <c r="I124" s="35"/>
      <c r="J124" s="35"/>
      <c r="L124" s="74"/>
      <c r="M124" s="74"/>
      <c r="N124" s="35"/>
    </row>
    <row r="125" spans="1:14" s="43" customFormat="1" x14ac:dyDescent="0.3">
      <c r="A125" s="71">
        <f t="shared" ref="A125:A130" si="4">A124+1</f>
        <v>2</v>
      </c>
      <c r="B125" s="71"/>
      <c r="C125" s="40" t="s">
        <v>192</v>
      </c>
      <c r="D125" s="53">
        <f>(20.94+5.02*1.45+1.5*3.35)*10.764</f>
        <v>357.838416</v>
      </c>
      <c r="E125" s="53">
        <v>0</v>
      </c>
      <c r="F125" s="40">
        <f t="shared" ref="F125:F130" si="5">(D125+E125)*(($F$106)+1)</f>
        <v>572.54146560000004</v>
      </c>
      <c r="G125" s="71"/>
      <c r="H125" s="71"/>
      <c r="I125" s="35"/>
      <c r="L125" s="74"/>
      <c r="M125" s="74"/>
      <c r="N125" s="35"/>
    </row>
    <row r="126" spans="1:14" s="43" customFormat="1" x14ac:dyDescent="0.3">
      <c r="A126" s="71">
        <f t="shared" si="4"/>
        <v>3</v>
      </c>
      <c r="B126" s="71"/>
      <c r="C126" s="40" t="s">
        <v>192</v>
      </c>
      <c r="D126" s="53">
        <f>(13.6+1.5*3.65)*10.764</f>
        <v>205.32329999999999</v>
      </c>
      <c r="E126" s="53">
        <v>0</v>
      </c>
      <c r="F126" s="40">
        <f t="shared" si="5"/>
        <v>328.51728000000003</v>
      </c>
      <c r="G126" s="71"/>
      <c r="H126" s="71"/>
      <c r="I126" s="35"/>
      <c r="L126" s="74"/>
      <c r="M126" s="74"/>
      <c r="N126" s="35"/>
    </row>
    <row r="127" spans="1:14" s="43" customFormat="1" x14ac:dyDescent="0.3">
      <c r="A127" s="71">
        <f t="shared" si="4"/>
        <v>4</v>
      </c>
      <c r="B127" s="71"/>
      <c r="C127" s="40" t="s">
        <v>192</v>
      </c>
      <c r="D127" s="53">
        <f>(16.53+1.5*3.05)*10.764</f>
        <v>227.17421999999999</v>
      </c>
      <c r="E127" s="53">
        <v>0</v>
      </c>
      <c r="F127" s="40">
        <f t="shared" si="5"/>
        <v>363.47875199999999</v>
      </c>
      <c r="G127" s="71"/>
      <c r="H127" s="71"/>
      <c r="I127" s="35"/>
      <c r="L127" s="74"/>
      <c r="M127" s="74"/>
      <c r="N127" s="35"/>
    </row>
    <row r="128" spans="1:14" s="43" customFormat="1" x14ac:dyDescent="0.3">
      <c r="A128" s="71">
        <f t="shared" si="4"/>
        <v>5</v>
      </c>
      <c r="B128" s="71"/>
      <c r="C128" s="40" t="s">
        <v>192</v>
      </c>
      <c r="D128" s="53">
        <f>(31+1.5*5.05)*10.764</f>
        <v>415.22129999999999</v>
      </c>
      <c r="E128" s="53">
        <v>0</v>
      </c>
      <c r="F128" s="40">
        <f t="shared" si="5"/>
        <v>664.35408000000007</v>
      </c>
      <c r="G128" s="71"/>
      <c r="H128" s="71"/>
      <c r="I128" s="35"/>
      <c r="L128" s="74"/>
      <c r="M128" s="74"/>
      <c r="N128" s="35"/>
    </row>
    <row r="129" spans="1:14" s="43" customFormat="1" x14ac:dyDescent="0.3">
      <c r="A129" s="71">
        <f t="shared" si="4"/>
        <v>6</v>
      </c>
      <c r="B129" s="71"/>
      <c r="C129" s="40" t="s">
        <v>192</v>
      </c>
      <c r="D129" s="53">
        <f>(46.64+1.5*2.85)*10.764</f>
        <v>548.04905999999994</v>
      </c>
      <c r="E129" s="53">
        <v>0</v>
      </c>
      <c r="F129" s="40">
        <f t="shared" si="5"/>
        <v>876.87849599999993</v>
      </c>
      <c r="G129" s="71"/>
      <c r="H129" s="71"/>
      <c r="I129" s="35"/>
      <c r="L129" s="74"/>
      <c r="M129" s="74"/>
      <c r="N129" s="35"/>
    </row>
    <row r="130" spans="1:14" s="43" customFormat="1" x14ac:dyDescent="0.3">
      <c r="A130" s="71">
        <f t="shared" si="4"/>
        <v>7</v>
      </c>
      <c r="B130" s="71"/>
      <c r="C130" s="40" t="s">
        <v>192</v>
      </c>
      <c r="D130" s="53">
        <f>(33.63)*10.764</f>
        <v>361.99331999999998</v>
      </c>
      <c r="E130" s="53">
        <v>0</v>
      </c>
      <c r="F130" s="40">
        <f t="shared" si="5"/>
        <v>579.18931199999997</v>
      </c>
      <c r="G130" s="71"/>
      <c r="H130" s="71"/>
      <c r="I130" s="52"/>
      <c r="L130" s="74"/>
      <c r="M130" s="74"/>
      <c r="N130" s="35"/>
    </row>
    <row r="131" spans="1:14" s="43" customFormat="1" x14ac:dyDescent="0.3">
      <c r="A131" s="72"/>
      <c r="B131" s="167"/>
      <c r="C131" s="167"/>
      <c r="D131" s="167"/>
      <c r="E131" s="167"/>
      <c r="F131" s="167"/>
      <c r="G131" s="167"/>
      <c r="H131" s="73"/>
      <c r="I131" s="35"/>
      <c r="N131" s="35"/>
    </row>
    <row r="132" spans="1:14" ht="47.25" customHeight="1" x14ac:dyDescent="0.3">
      <c r="A132" s="86" t="s">
        <v>123</v>
      </c>
      <c r="B132" s="86" t="s">
        <v>124</v>
      </c>
      <c r="C132" s="82" t="s">
        <v>58</v>
      </c>
      <c r="D132" s="82" t="s">
        <v>59</v>
      </c>
      <c r="E132" s="84" t="s">
        <v>60</v>
      </c>
      <c r="F132" s="41" t="s">
        <v>153</v>
      </c>
      <c r="G132" s="86" t="s">
        <v>61</v>
      </c>
      <c r="H132" s="87"/>
      <c r="I132" s="35"/>
    </row>
    <row r="133" spans="1:14" s="43" customFormat="1" x14ac:dyDescent="0.3">
      <c r="A133" s="88"/>
      <c r="B133" s="88"/>
      <c r="C133" s="83"/>
      <c r="D133" s="83"/>
      <c r="E133" s="85"/>
      <c r="F133" s="13">
        <v>0.5</v>
      </c>
      <c r="G133" s="88"/>
      <c r="H133" s="89"/>
      <c r="I133" s="35"/>
    </row>
    <row r="134" spans="1:14" s="43" customFormat="1" x14ac:dyDescent="0.3">
      <c r="A134" s="75" t="s">
        <v>194</v>
      </c>
      <c r="B134" s="76"/>
      <c r="C134" s="76"/>
      <c r="D134" s="76"/>
      <c r="E134" s="76"/>
      <c r="F134" s="76"/>
      <c r="G134" s="76"/>
      <c r="H134" s="77"/>
      <c r="J134" s="35"/>
    </row>
    <row r="135" spans="1:14" s="43" customFormat="1" ht="15.75" customHeight="1" x14ac:dyDescent="0.3">
      <c r="A135" s="72">
        <v>1</v>
      </c>
      <c r="B135" s="73"/>
      <c r="C135" s="49">
        <v>1</v>
      </c>
      <c r="D135" s="53">
        <f>(29.44+1.9*1+1*2.2+2.83*1)*10.764</f>
        <v>391.48667999999992</v>
      </c>
      <c r="E135" s="40">
        <f>(3.05*1.1+2.43*0.35+2.9*0.7)*10.764</f>
        <v>67.118921999999998</v>
      </c>
      <c r="F135" s="40">
        <f>D135*(($F$133)+1)+(IF(E135&lt;101,E135,IF(E135&lt;201,E135/2,IF(E135&lt;=301,E135/3,E135/4))))</f>
        <v>654.34894199999985</v>
      </c>
      <c r="G135" s="97" t="str">
        <f>A134</f>
        <v>3rd Floor for Residential</v>
      </c>
      <c r="H135" s="98"/>
      <c r="I135" s="35">
        <f>3.05*4.86+2.2*2+1.22*0.91+1.65*1.22+2.93*2.65</f>
        <v>30.110699999999994</v>
      </c>
      <c r="J135" s="35"/>
      <c r="L135" s="74"/>
      <c r="M135" s="74"/>
      <c r="N135" s="35"/>
    </row>
    <row r="136" spans="1:14" s="43" customFormat="1" x14ac:dyDescent="0.3">
      <c r="A136" s="72">
        <f>A135+1</f>
        <v>2</v>
      </c>
      <c r="B136" s="73"/>
      <c r="C136" s="49">
        <v>2</v>
      </c>
      <c r="D136" s="53">
        <f>(45.95+2.9*1+3.05*1.65)*10.764</f>
        <v>579.99122999999997</v>
      </c>
      <c r="E136" s="40">
        <f>(5.09+0.55*3.2+1.4*3.5+6.75*1.4+3.05*0.75)*10.764</f>
        <v>252.81944999999996</v>
      </c>
      <c r="F136" s="40">
        <f>D136*(($F$133)+1)+(IF(E137&lt;101,E137,IF(E137&lt;201,E137/2,IF(E137&lt;=301,E137/3,E137/4))))</f>
        <v>993.04627499999992</v>
      </c>
      <c r="G136" s="99"/>
      <c r="H136" s="100"/>
      <c r="I136" s="52">
        <f>1.37*1.2+3.84*3.05+2.75*3.35+2.34*2.93+2.9*2.65+2.17*1.22+1.22*2.12+0.9*1.9</f>
        <v>44.0535</v>
      </c>
      <c r="J136" s="35"/>
      <c r="L136" s="74"/>
      <c r="M136" s="74"/>
      <c r="N136" s="35"/>
    </row>
    <row r="137" spans="1:14" s="43" customFormat="1" x14ac:dyDescent="0.3">
      <c r="A137" s="72">
        <f>A136+1</f>
        <v>3</v>
      </c>
      <c r="B137" s="73"/>
      <c r="C137" s="49">
        <v>2</v>
      </c>
      <c r="D137" s="53">
        <f>(55.16+3.05*1.65)*10.764</f>
        <v>647.91206999999986</v>
      </c>
      <c r="E137" s="40">
        <f>(1.95*3.2+2.9*2.15+1.7*3.05+5.5*1.9+6.41+11.21)*10.764</f>
        <v>492.23771999999991</v>
      </c>
      <c r="F137" s="40">
        <f>D137*(($F$133)+1)+(IF(E136&lt;101,E136,IF(E136&lt;201,E136/2,IF(E136&lt;=301,E136/3,E136/4))))</f>
        <v>1056.1412549999998</v>
      </c>
      <c r="G137" s="99"/>
      <c r="H137" s="100"/>
      <c r="I137" s="52"/>
      <c r="J137" s="35"/>
      <c r="K137" s="35"/>
      <c r="L137" s="74"/>
      <c r="M137" s="74"/>
      <c r="N137" s="35"/>
    </row>
    <row r="138" spans="1:14" s="43" customFormat="1" x14ac:dyDescent="0.3">
      <c r="A138" s="72">
        <f>A137+1</f>
        <v>4</v>
      </c>
      <c r="B138" s="73"/>
      <c r="C138" s="49">
        <v>1</v>
      </c>
      <c r="D138" s="53">
        <f>(29.84+3.05*2+2.58*1.05+2.9*1.25)*10.764</f>
        <v>455.03733599999998</v>
      </c>
      <c r="E138" s="40">
        <f>(0.5*1.27*4.5)*10.764</f>
        <v>30.758129999999998</v>
      </c>
      <c r="F138" s="40">
        <f>D138*(($F$133)+1)+(IF(E138&lt;101,E138,IF(E138&lt;201,E138/2,IF(E138&lt;=301,E138/3,E138/4))))</f>
        <v>713.31413400000008</v>
      </c>
      <c r="G138" s="99"/>
      <c r="H138" s="100"/>
      <c r="I138" s="56"/>
      <c r="J138" s="35"/>
      <c r="L138" s="74"/>
      <c r="M138" s="74"/>
      <c r="N138" s="35"/>
    </row>
    <row r="139" spans="1:14" s="43" customFormat="1" x14ac:dyDescent="0.3">
      <c r="A139" s="75" t="s">
        <v>203</v>
      </c>
      <c r="B139" s="76"/>
      <c r="C139" s="76"/>
      <c r="D139" s="76"/>
      <c r="E139" s="76"/>
      <c r="F139" s="76"/>
      <c r="G139" s="76"/>
      <c r="H139" s="77"/>
      <c r="J139" s="35"/>
    </row>
    <row r="140" spans="1:14" s="43" customFormat="1" ht="15.75" customHeight="1" x14ac:dyDescent="0.3">
      <c r="A140" s="72">
        <v>1</v>
      </c>
      <c r="B140" s="73"/>
      <c r="C140" s="49">
        <v>1</v>
      </c>
      <c r="D140" s="53">
        <v>433</v>
      </c>
      <c r="E140" s="40">
        <v>0</v>
      </c>
      <c r="F140" s="40">
        <f>D140*(($F$133)+1)+(IF(E140&lt;101,E140,IF(E140&lt;201,E140/2,IF(E140&lt;=301,E140/3,E140/4))))</f>
        <v>649.5</v>
      </c>
      <c r="G140" s="97" t="str">
        <f>A139</f>
        <v>4th to 6th, 8th, 9th, 11th &amp; 13th to 15th Floor</v>
      </c>
      <c r="H140" s="98"/>
      <c r="I140" s="35">
        <f>4800000/F140</f>
        <v>7390.300230946882</v>
      </c>
      <c r="J140" s="43">
        <f>(29.44+1.9*1+1*2.2+2.83*1)*10.764</f>
        <v>391.48667999999992</v>
      </c>
      <c r="L140" s="74"/>
      <c r="M140" s="74"/>
      <c r="N140" s="35"/>
    </row>
    <row r="141" spans="1:14" s="43" customFormat="1" x14ac:dyDescent="0.3">
      <c r="A141" s="72">
        <f>A140+1</f>
        <v>2</v>
      </c>
      <c r="B141" s="73"/>
      <c r="C141" s="49">
        <v>2</v>
      </c>
      <c r="D141" s="53">
        <f>(45.95+2.9*1+3.05*1.65)*10.764</f>
        <v>579.99122999999997</v>
      </c>
      <c r="E141" s="40">
        <v>0</v>
      </c>
      <c r="F141" s="40">
        <f>D141*(($F$133)+1)+(IF(E142&lt;101,E142,IF(E142&lt;201,E142/2,IF(E142&lt;=301,E142/3,E142/4))))</f>
        <v>869.9868449999999</v>
      </c>
      <c r="G141" s="99"/>
      <c r="H141" s="100"/>
      <c r="I141" s="35">
        <f>5800000/F141</f>
        <v>6666.7674727886269</v>
      </c>
      <c r="J141" s="52"/>
      <c r="L141" s="74"/>
      <c r="M141" s="74"/>
      <c r="N141" s="35"/>
    </row>
    <row r="142" spans="1:14" s="43" customFormat="1" x14ac:dyDescent="0.3">
      <c r="A142" s="72">
        <f>A141+1</f>
        <v>3</v>
      </c>
      <c r="B142" s="73"/>
      <c r="C142" s="49">
        <v>2</v>
      </c>
      <c r="D142" s="53">
        <f>(55.16+3.05*1.65)*10.764</f>
        <v>647.91206999999986</v>
      </c>
      <c r="E142" s="40">
        <v>0</v>
      </c>
      <c r="F142" s="40">
        <f>D142*(($F$133)+1)+(IF(E141&lt;101,E141,IF(E141&lt;201,E141/2,IF(E141&lt;=301,E141/3,E141/4))))</f>
        <v>971.86810499999979</v>
      </c>
      <c r="G142" s="99"/>
      <c r="H142" s="100"/>
      <c r="I142" s="35">
        <f>5800000/F142</f>
        <v>5967.887998546882</v>
      </c>
      <c r="L142" s="74"/>
      <c r="M142" s="74"/>
      <c r="N142" s="35"/>
    </row>
    <row r="143" spans="1:14" s="43" customFormat="1" x14ac:dyDescent="0.3">
      <c r="A143" s="72">
        <f>A142+1</f>
        <v>4</v>
      </c>
      <c r="B143" s="73"/>
      <c r="C143" s="49">
        <v>1</v>
      </c>
      <c r="D143" s="53">
        <f>(29.84+3.05*2+2.58*1.05+2.9*1.25)*10.764</f>
        <v>455.03733599999998</v>
      </c>
      <c r="E143" s="40">
        <v>0</v>
      </c>
      <c r="F143" s="40">
        <f>D143*(($F$133)+1)+(IF(E143&lt;101,E143,IF(E143&lt;201,E143/2,IF(E143&lt;=301,E143/3,E143/4))))</f>
        <v>682.55600400000003</v>
      </c>
      <c r="G143" s="99"/>
      <c r="H143" s="100"/>
      <c r="I143" s="35">
        <f>4800000/F143</f>
        <v>7032.389975138216</v>
      </c>
      <c r="L143" s="74"/>
      <c r="M143" s="74"/>
      <c r="N143" s="35"/>
    </row>
    <row r="144" spans="1:14" s="43" customFormat="1" x14ac:dyDescent="0.3">
      <c r="A144" s="75" t="s">
        <v>204</v>
      </c>
      <c r="B144" s="76"/>
      <c r="C144" s="76"/>
      <c r="D144" s="76"/>
      <c r="E144" s="76"/>
      <c r="F144" s="76"/>
      <c r="G144" s="76"/>
      <c r="H144" s="77"/>
      <c r="J144" s="35"/>
    </row>
    <row r="145" spans="1:14" s="43" customFormat="1" ht="15.75" customHeight="1" x14ac:dyDescent="0.3">
      <c r="A145" s="72">
        <v>1</v>
      </c>
      <c r="B145" s="73"/>
      <c r="C145" s="180" t="s">
        <v>195</v>
      </c>
      <c r="D145" s="181"/>
      <c r="E145" s="181"/>
      <c r="F145" s="182"/>
      <c r="G145" s="97" t="str">
        <f>A144</f>
        <v>7th &amp; 12th Floor (Part Refuge Area)</v>
      </c>
      <c r="H145" s="98"/>
      <c r="I145" s="35"/>
      <c r="L145" s="74"/>
      <c r="M145" s="74"/>
      <c r="N145" s="35"/>
    </row>
    <row r="146" spans="1:14" s="43" customFormat="1" x14ac:dyDescent="0.3">
      <c r="A146" s="72">
        <f>A145+1</f>
        <v>2</v>
      </c>
      <c r="B146" s="73"/>
      <c r="C146" s="49">
        <v>2</v>
      </c>
      <c r="D146" s="53">
        <f>(45.95+2.9*1+3.05*1.65)*10.764</f>
        <v>579.99122999999997</v>
      </c>
      <c r="E146" s="40">
        <v>0</v>
      </c>
      <c r="F146" s="40">
        <f>D146*(($F$133)+1)+(IF(E147&lt;101,E147,IF(E147&lt;201,E147/2,IF(E147&lt;=301,E147/3,E147/4))))</f>
        <v>869.9868449999999</v>
      </c>
      <c r="G146" s="99"/>
      <c r="H146" s="100"/>
      <c r="I146" s="52"/>
      <c r="J146" s="52"/>
      <c r="L146" s="74"/>
      <c r="M146" s="74"/>
      <c r="N146" s="35"/>
    </row>
    <row r="147" spans="1:14" s="43" customFormat="1" x14ac:dyDescent="0.3">
      <c r="A147" s="72">
        <f>A146+1</f>
        <v>3</v>
      </c>
      <c r="B147" s="73"/>
      <c r="C147" s="49">
        <v>2</v>
      </c>
      <c r="D147" s="53">
        <f>(55.16+3.05*1.65)*10.764</f>
        <v>647.91206999999986</v>
      </c>
      <c r="E147" s="40">
        <v>0</v>
      </c>
      <c r="F147" s="40">
        <f>D147*(($F$133)+1)+(IF(E146&lt;101,E146,IF(E146&lt;201,E146/2,IF(E146&lt;=301,E146/3,E146/4))))</f>
        <v>971.86810499999979</v>
      </c>
      <c r="G147" s="99"/>
      <c r="H147" s="100"/>
      <c r="I147" s="52"/>
      <c r="L147" s="74"/>
      <c r="M147" s="74"/>
      <c r="N147" s="35"/>
    </row>
    <row r="148" spans="1:14" s="43" customFormat="1" x14ac:dyDescent="0.3">
      <c r="A148" s="72">
        <f>A147+1</f>
        <v>4</v>
      </c>
      <c r="B148" s="73"/>
      <c r="C148" s="49">
        <v>1</v>
      </c>
      <c r="D148" s="53">
        <f>(29.84+3.05*2+2.58*1.05+2.9*1.25)*10.764</f>
        <v>455.03733599999998</v>
      </c>
      <c r="E148" s="40">
        <v>0</v>
      </c>
      <c r="F148" s="40">
        <f>D148*(($F$133)+1)+(IF(E148&lt;101,E148,IF(E148&lt;201,E148/2,IF(E148&lt;=301,E148/3,E148/4))))</f>
        <v>682.55600400000003</v>
      </c>
      <c r="G148" s="99"/>
      <c r="H148" s="100"/>
      <c r="I148" s="56"/>
      <c r="L148" s="74"/>
      <c r="M148" s="74"/>
      <c r="N148" s="35"/>
    </row>
    <row r="149" spans="1:14" s="43" customFormat="1" x14ac:dyDescent="0.3">
      <c r="A149" s="75" t="s">
        <v>205</v>
      </c>
      <c r="B149" s="76"/>
      <c r="C149" s="76"/>
      <c r="D149" s="76"/>
      <c r="E149" s="76"/>
      <c r="F149" s="76"/>
      <c r="G149" s="76"/>
      <c r="H149" s="77"/>
      <c r="J149" s="35"/>
    </row>
    <row r="150" spans="1:14" s="43" customFormat="1" x14ac:dyDescent="0.3">
      <c r="A150" s="75" t="s">
        <v>207</v>
      </c>
      <c r="B150" s="76"/>
      <c r="C150" s="76"/>
      <c r="D150" s="76"/>
      <c r="E150" s="76"/>
      <c r="F150" s="76"/>
      <c r="G150" s="76"/>
      <c r="H150" s="77"/>
      <c r="J150" s="35"/>
    </row>
    <row r="151" spans="1:14" s="43" customFormat="1" ht="15.75" customHeight="1" x14ac:dyDescent="0.3">
      <c r="A151" s="72">
        <v>1</v>
      </c>
      <c r="B151" s="73"/>
      <c r="C151" s="49">
        <v>1</v>
      </c>
      <c r="D151" s="53">
        <v>433</v>
      </c>
      <c r="E151" s="40">
        <v>0</v>
      </c>
      <c r="F151" s="40">
        <f>D151*(($F$133)+1)+(IF(E151&lt;101,E151,IF(E151&lt;201,E151/2,IF(E151&lt;=301,E151/3,E151/4))))</f>
        <v>649.5</v>
      </c>
      <c r="G151" s="97" t="str">
        <f>A150</f>
        <v>16th, 18th to 21st Floor</v>
      </c>
      <c r="H151" s="98"/>
      <c r="I151" s="35">
        <f>4800000/F151</f>
        <v>7390.300230946882</v>
      </c>
      <c r="L151" s="74"/>
      <c r="M151" s="74"/>
      <c r="N151" s="35"/>
    </row>
    <row r="152" spans="1:14" s="43" customFormat="1" x14ac:dyDescent="0.3">
      <c r="A152" s="72">
        <f>A151+1</f>
        <v>2</v>
      </c>
      <c r="B152" s="73"/>
      <c r="C152" s="49">
        <v>2</v>
      </c>
      <c r="D152" s="53">
        <f>(45.95+2.9*1+3.05*1.65)*10.764</f>
        <v>579.99122999999997</v>
      </c>
      <c r="E152" s="40">
        <v>0</v>
      </c>
      <c r="F152" s="40">
        <f>D152*(($F$133)+1)+(IF(E153&lt;101,E153,IF(E153&lt;201,E153/2,IF(E153&lt;=301,E153/3,E153/4))))</f>
        <v>869.9868449999999</v>
      </c>
      <c r="G152" s="99"/>
      <c r="H152" s="100"/>
      <c r="I152" s="35">
        <f>5800000/F152</f>
        <v>6666.7674727886269</v>
      </c>
      <c r="J152" s="52"/>
      <c r="L152" s="74"/>
      <c r="M152" s="74"/>
      <c r="N152" s="35"/>
    </row>
    <row r="153" spans="1:14" s="43" customFormat="1" x14ac:dyDescent="0.3">
      <c r="A153" s="72">
        <f>A152+1</f>
        <v>3</v>
      </c>
      <c r="B153" s="73"/>
      <c r="C153" s="49">
        <v>2</v>
      </c>
      <c r="D153" s="53">
        <f>(55.16+3.05*1.65)*10.764</f>
        <v>647.91206999999986</v>
      </c>
      <c r="E153" s="40">
        <v>0</v>
      </c>
      <c r="F153" s="40">
        <f>D153*(($F$133)+1)+(IF(E152&lt;101,E152,IF(E152&lt;201,E152/2,IF(E152&lt;=301,E152/3,E152/4))))</f>
        <v>971.86810499999979</v>
      </c>
      <c r="G153" s="99"/>
      <c r="H153" s="100"/>
      <c r="I153" s="35">
        <f>5800000/F153</f>
        <v>5967.887998546882</v>
      </c>
      <c r="L153" s="74"/>
      <c r="M153" s="74"/>
      <c r="N153" s="35"/>
    </row>
    <row r="154" spans="1:14" s="43" customFormat="1" x14ac:dyDescent="0.3">
      <c r="A154" s="72">
        <f>A153+1</f>
        <v>4</v>
      </c>
      <c r="B154" s="73"/>
      <c r="C154" s="49">
        <v>1</v>
      </c>
      <c r="D154" s="53">
        <f>(29.84+3.05*2+2.58*1.05+2.9*1.25)*10.764</f>
        <v>455.03733599999998</v>
      </c>
      <c r="E154" s="40">
        <v>0</v>
      </c>
      <c r="F154" s="40">
        <f>D154*(($F$133)+1)+(IF(E154&lt;101,E154,IF(E154&lt;201,E154/2,IF(E154&lt;=301,E154/3,E154/4))))</f>
        <v>682.55600400000003</v>
      </c>
      <c r="G154" s="99"/>
      <c r="H154" s="100"/>
      <c r="I154" s="35">
        <f>4800000/F154</f>
        <v>7032.389975138216</v>
      </c>
      <c r="L154" s="74"/>
      <c r="M154" s="74"/>
      <c r="N154" s="35"/>
    </row>
    <row r="155" spans="1:14" s="43" customFormat="1" x14ac:dyDescent="0.3">
      <c r="A155" s="72">
        <f>A154+1</f>
        <v>5</v>
      </c>
      <c r="B155" s="73"/>
      <c r="C155" s="49">
        <v>1</v>
      </c>
      <c r="D155" s="53">
        <f>(38.16+2.9*0.75+2.35*1)*10.764</f>
        <v>459.46133999999989</v>
      </c>
      <c r="E155" s="40">
        <v>0</v>
      </c>
      <c r="F155" s="40">
        <f>D155*(($F$133)+1)+(IF(E155&lt;101,E155,IF(E155&lt;201,E155/2,IF(E155&lt;=301,E155/3,E155/4))))</f>
        <v>689.19200999999987</v>
      </c>
      <c r="G155" s="129"/>
      <c r="H155" s="130"/>
      <c r="I155" s="35">
        <f>4800000/F155</f>
        <v>6964.6773763381279</v>
      </c>
      <c r="L155" s="74"/>
      <c r="M155" s="74"/>
      <c r="N155" s="35"/>
    </row>
    <row r="156" spans="1:14" s="43" customFormat="1" x14ac:dyDescent="0.3">
      <c r="A156" s="75" t="s">
        <v>208</v>
      </c>
      <c r="B156" s="76"/>
      <c r="C156" s="76"/>
      <c r="D156" s="76"/>
      <c r="E156" s="76"/>
      <c r="F156" s="76"/>
      <c r="G156" s="76"/>
      <c r="H156" s="77"/>
      <c r="J156" s="35"/>
    </row>
    <row r="157" spans="1:14" s="43" customFormat="1" ht="15.75" customHeight="1" x14ac:dyDescent="0.3">
      <c r="A157" s="71">
        <v>1</v>
      </c>
      <c r="B157" s="71"/>
      <c r="C157" s="128" t="s">
        <v>195</v>
      </c>
      <c r="D157" s="128">
        <f>(29.44+1.9*1+1*2.2+2.83*1)*10.764</f>
        <v>391.48667999999992</v>
      </c>
      <c r="E157" s="128">
        <v>0</v>
      </c>
      <c r="F157" s="128">
        <f>D157*(($F$133)+1)+(IF(E157&lt;101,E157,IF(E157&lt;201,E157/2,IF(E157&lt;=301,E157/3,E157/4))))</f>
        <v>587.23001999999985</v>
      </c>
      <c r="G157" s="71" t="str">
        <f>A156</f>
        <v>17th Floor (Part Refuge Area)</v>
      </c>
      <c r="H157" s="71"/>
      <c r="I157" s="35">
        <f>4800000/F157</f>
        <v>8173.9690351661538</v>
      </c>
      <c r="L157" s="74"/>
      <c r="M157" s="74"/>
      <c r="N157" s="35"/>
    </row>
    <row r="158" spans="1:14" s="43" customFormat="1" x14ac:dyDescent="0.3">
      <c r="A158" s="71">
        <f>A157+1</f>
        <v>2</v>
      </c>
      <c r="B158" s="71"/>
      <c r="C158" s="49">
        <v>2</v>
      </c>
      <c r="D158" s="53">
        <f>(45.95+2.9*1+3.05*1.65)*10.764</f>
        <v>579.99122999999997</v>
      </c>
      <c r="E158" s="40">
        <v>0</v>
      </c>
      <c r="F158" s="40">
        <f>D158*(($F$133)+1)+(IF(E159&lt;101,E159,IF(E159&lt;201,E159/2,IF(E159&lt;=301,E159/3,E159/4))))</f>
        <v>869.9868449999999</v>
      </c>
      <c r="G158" s="71"/>
      <c r="H158" s="71"/>
      <c r="I158" s="35">
        <f>5800000/F158</f>
        <v>6666.7674727886269</v>
      </c>
      <c r="J158" s="52"/>
      <c r="L158" s="74"/>
      <c r="M158" s="74"/>
      <c r="N158" s="35"/>
    </row>
    <row r="159" spans="1:14" s="43" customFormat="1" x14ac:dyDescent="0.3">
      <c r="A159" s="71">
        <f>A158+1</f>
        <v>3</v>
      </c>
      <c r="B159" s="71"/>
      <c r="C159" s="49">
        <v>2</v>
      </c>
      <c r="D159" s="53">
        <f>(55.16+3.05*1.65)*10.764</f>
        <v>647.91206999999986</v>
      </c>
      <c r="E159" s="40">
        <v>0</v>
      </c>
      <c r="F159" s="40">
        <f>D159*(($F$133)+1)+(IF(E158&lt;101,E158,IF(E158&lt;201,E158/2,IF(E158&lt;=301,E158/3,E158/4))))</f>
        <v>971.86810499999979</v>
      </c>
      <c r="G159" s="71"/>
      <c r="H159" s="71"/>
      <c r="I159" s="35">
        <f>5800000/F159</f>
        <v>5967.887998546882</v>
      </c>
      <c r="L159" s="74"/>
      <c r="M159" s="74"/>
      <c r="N159" s="35"/>
    </row>
    <row r="160" spans="1:14" s="43" customFormat="1" x14ac:dyDescent="0.3">
      <c r="A160" s="71">
        <f>A159+1</f>
        <v>4</v>
      </c>
      <c r="B160" s="71"/>
      <c r="C160" s="49">
        <v>1</v>
      </c>
      <c r="D160" s="53">
        <f>(29.84+3.05*2+2.58*1.05+2.9*1.25)*10.764</f>
        <v>455.03733599999998</v>
      </c>
      <c r="E160" s="40">
        <v>0</v>
      </c>
      <c r="F160" s="40">
        <f>D160*(($F$133)+1)+(IF(E160&lt;101,E160,IF(E160&lt;201,E160/2,IF(E160&lt;=301,E160/3,E160/4))))</f>
        <v>682.55600400000003</v>
      </c>
      <c r="G160" s="71"/>
      <c r="H160" s="71"/>
      <c r="I160" s="35">
        <f>4800000/F160</f>
        <v>7032.389975138216</v>
      </c>
      <c r="L160" s="74"/>
      <c r="M160" s="74"/>
      <c r="N160" s="35"/>
    </row>
    <row r="161" spans="1:14" s="43" customFormat="1" x14ac:dyDescent="0.3">
      <c r="A161" s="71">
        <f>A160+1</f>
        <v>5</v>
      </c>
      <c r="B161" s="71"/>
      <c r="C161" s="49">
        <v>1</v>
      </c>
      <c r="D161" s="53">
        <f>(38.16+2.9*0.75+2.35*1)*10.764</f>
        <v>459.46133999999989</v>
      </c>
      <c r="E161" s="40">
        <v>0</v>
      </c>
      <c r="F161" s="40">
        <f>D161*(($F$133)+1)+(IF(E161&lt;101,E161,IF(E161&lt;201,E161/2,IF(E161&lt;=301,E161/3,E161/4))))</f>
        <v>689.19200999999987</v>
      </c>
      <c r="G161" s="71"/>
      <c r="H161" s="71"/>
      <c r="I161" s="35">
        <f>4800000/F161</f>
        <v>6964.6773763381279</v>
      </c>
      <c r="L161" s="74"/>
      <c r="M161" s="74"/>
      <c r="N161" s="35"/>
    </row>
    <row r="162" spans="1:14" s="34" customFormat="1" x14ac:dyDescent="0.3">
      <c r="A162" s="186" t="s">
        <v>69</v>
      </c>
      <c r="B162" s="186"/>
      <c r="C162" s="186"/>
      <c r="D162" s="186"/>
      <c r="E162" s="186"/>
      <c r="F162" s="186"/>
      <c r="G162" s="186"/>
      <c r="H162" s="186"/>
    </row>
    <row r="163" spans="1:14" s="55" customFormat="1" x14ac:dyDescent="0.3">
      <c r="A163" s="54">
        <v>1</v>
      </c>
      <c r="B163" s="127" t="s">
        <v>233</v>
      </c>
      <c r="C163" s="127"/>
      <c r="D163" s="127"/>
      <c r="E163" s="127"/>
      <c r="F163" s="127"/>
      <c r="G163" s="127"/>
      <c r="H163" s="127"/>
    </row>
    <row r="164" spans="1:14" s="34" customFormat="1" x14ac:dyDescent="0.3">
      <c r="A164" s="42">
        <f>A163+1</f>
        <v>2</v>
      </c>
      <c r="B164" s="127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164" s="127"/>
      <c r="D164" s="127"/>
      <c r="E164" s="127"/>
      <c r="F164" s="127"/>
      <c r="G164" s="127"/>
      <c r="H164" s="127"/>
    </row>
    <row r="165" spans="1:14" s="34" customFormat="1" x14ac:dyDescent="0.3">
      <c r="A165" s="42">
        <f t="shared" ref="A165:A176" si="6">A164+1</f>
        <v>3</v>
      </c>
      <c r="B165" s="127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5" s="127"/>
      <c r="D165" s="127"/>
      <c r="E165" s="127"/>
      <c r="F165" s="127"/>
      <c r="G165" s="127"/>
      <c r="H165" s="127"/>
    </row>
    <row r="166" spans="1:14" s="34" customFormat="1" x14ac:dyDescent="0.3">
      <c r="A166" s="42">
        <f t="shared" si="6"/>
        <v>4</v>
      </c>
      <c r="B166" s="176" t="s">
        <v>127</v>
      </c>
      <c r="C166" s="176"/>
      <c r="D166" s="176"/>
      <c r="E166" s="176"/>
      <c r="F166" s="176"/>
      <c r="G166" s="176"/>
      <c r="H166" s="176"/>
    </row>
    <row r="167" spans="1:14" s="34" customFormat="1" x14ac:dyDescent="0.3">
      <c r="A167" s="42">
        <f t="shared" si="6"/>
        <v>5</v>
      </c>
      <c r="B167" s="176" t="s">
        <v>197</v>
      </c>
      <c r="C167" s="176"/>
      <c r="D167" s="176"/>
      <c r="E167" s="176"/>
      <c r="F167" s="176"/>
      <c r="G167" s="176"/>
      <c r="H167" s="176"/>
    </row>
    <row r="168" spans="1:14" s="34" customFormat="1" x14ac:dyDescent="0.3">
      <c r="A168" s="42">
        <f t="shared" si="6"/>
        <v>6</v>
      </c>
      <c r="B168" s="176" t="s">
        <v>156</v>
      </c>
      <c r="C168" s="176"/>
      <c r="D168" s="176"/>
      <c r="E168" s="176"/>
      <c r="F168" s="176"/>
      <c r="G168" s="176"/>
      <c r="H168" s="176"/>
    </row>
    <row r="169" spans="1:14" s="34" customFormat="1" x14ac:dyDescent="0.3">
      <c r="A169" s="42">
        <f t="shared" si="6"/>
        <v>7</v>
      </c>
      <c r="B169" s="176" t="s">
        <v>128</v>
      </c>
      <c r="C169" s="176"/>
      <c r="D169" s="176"/>
      <c r="E169" s="176"/>
      <c r="F169" s="176"/>
      <c r="G169" s="176"/>
      <c r="H169" s="176"/>
    </row>
    <row r="170" spans="1:14" s="34" customFormat="1" ht="34.5" customHeight="1" x14ac:dyDescent="0.3">
      <c r="A170" s="42">
        <f t="shared" si="6"/>
        <v>8</v>
      </c>
      <c r="B170" s="176" t="s">
        <v>157</v>
      </c>
      <c r="C170" s="176"/>
      <c r="D170" s="176"/>
      <c r="E170" s="176"/>
      <c r="F170" s="176"/>
      <c r="G170" s="176"/>
      <c r="H170" s="176"/>
    </row>
    <row r="171" spans="1:14" s="34" customFormat="1" x14ac:dyDescent="0.3">
      <c r="A171" s="42">
        <f t="shared" si="6"/>
        <v>9</v>
      </c>
      <c r="B171" s="183" t="s">
        <v>129</v>
      </c>
      <c r="C171" s="184"/>
      <c r="D171" s="184"/>
      <c r="E171" s="184"/>
      <c r="F171" s="184"/>
      <c r="G171" s="184"/>
      <c r="H171" s="185"/>
    </row>
    <row r="172" spans="1:14" s="34" customFormat="1" hidden="1" x14ac:dyDescent="0.3">
      <c r="A172" s="42">
        <f t="shared" si="6"/>
        <v>10</v>
      </c>
      <c r="B172" s="64" t="s">
        <v>226</v>
      </c>
      <c r="C172" s="65"/>
      <c r="D172" s="65"/>
      <c r="E172" s="65"/>
      <c r="F172" s="65"/>
      <c r="G172" s="65"/>
      <c r="H172" s="66"/>
    </row>
    <row r="173" spans="1:14" s="34" customFormat="1" x14ac:dyDescent="0.3">
      <c r="A173" s="42">
        <v>10</v>
      </c>
      <c r="B173" s="64" t="s">
        <v>210</v>
      </c>
      <c r="C173" s="65"/>
      <c r="D173" s="65"/>
      <c r="E173" s="65"/>
      <c r="F173" s="65"/>
      <c r="G173" s="65"/>
      <c r="H173" s="66"/>
    </row>
    <row r="174" spans="1:14" s="34" customFormat="1" ht="33" customHeight="1" x14ac:dyDescent="0.3">
      <c r="A174" s="42">
        <f t="shared" si="6"/>
        <v>11</v>
      </c>
      <c r="B174" s="64" t="s">
        <v>227</v>
      </c>
      <c r="C174" s="65"/>
      <c r="D174" s="65"/>
      <c r="E174" s="65"/>
      <c r="F174" s="65"/>
      <c r="G174" s="65"/>
      <c r="H174" s="66"/>
    </row>
    <row r="175" spans="1:14" s="34" customFormat="1" x14ac:dyDescent="0.3">
      <c r="A175" s="42">
        <f t="shared" si="6"/>
        <v>12</v>
      </c>
      <c r="B175" s="64" t="s">
        <v>228</v>
      </c>
      <c r="C175" s="65"/>
      <c r="D175" s="65"/>
      <c r="E175" s="65"/>
      <c r="F175" s="65"/>
      <c r="G175" s="65"/>
      <c r="H175" s="66"/>
    </row>
    <row r="176" spans="1:14" s="34" customFormat="1" hidden="1" x14ac:dyDescent="0.3">
      <c r="A176" s="42">
        <f t="shared" si="6"/>
        <v>13</v>
      </c>
      <c r="B176" s="64" t="s">
        <v>232</v>
      </c>
      <c r="C176" s="65"/>
      <c r="D176" s="65"/>
      <c r="E176" s="65"/>
      <c r="F176" s="65"/>
      <c r="G176" s="65"/>
      <c r="H176" s="66"/>
    </row>
    <row r="177" spans="1:8" x14ac:dyDescent="0.3">
      <c r="A177" s="110" t="s">
        <v>62</v>
      </c>
      <c r="B177" s="110"/>
      <c r="C177" s="110"/>
      <c r="D177" s="110"/>
      <c r="E177" s="110"/>
      <c r="F177" s="110"/>
      <c r="G177" s="110"/>
      <c r="H177" s="110"/>
    </row>
    <row r="178" spans="1:8" x14ac:dyDescent="0.3">
      <c r="A178" s="79" t="s">
        <v>63</v>
      </c>
      <c r="B178" s="79"/>
      <c r="C178" s="79"/>
      <c r="D178" s="79"/>
      <c r="E178" s="79"/>
      <c r="F178" s="79"/>
      <c r="G178" s="79"/>
      <c r="H178" s="79"/>
    </row>
    <row r="179" spans="1:8" ht="15.75" customHeight="1" x14ac:dyDescent="0.3">
      <c r="A179" s="80" t="s">
        <v>64</v>
      </c>
      <c r="B179" s="80"/>
      <c r="C179" s="80"/>
      <c r="D179" s="80"/>
      <c r="E179" s="80"/>
      <c r="F179" s="80"/>
      <c r="G179" s="80"/>
      <c r="H179" s="80"/>
    </row>
    <row r="180" spans="1:8" x14ac:dyDescent="0.3">
      <c r="A180" s="79" t="s">
        <v>65</v>
      </c>
      <c r="B180" s="79"/>
      <c r="C180" s="79"/>
      <c r="D180" s="79"/>
      <c r="E180" s="79"/>
      <c r="F180" s="79"/>
      <c r="G180" s="79"/>
      <c r="H180" s="79"/>
    </row>
    <row r="181" spans="1:8" x14ac:dyDescent="0.3">
      <c r="A181" s="79" t="s">
        <v>66</v>
      </c>
      <c r="B181" s="79"/>
      <c r="C181" s="79"/>
      <c r="D181" s="79"/>
      <c r="E181" s="79"/>
      <c r="F181" s="79"/>
      <c r="G181" s="79"/>
      <c r="H181" s="79"/>
    </row>
    <row r="182" spans="1:8" x14ac:dyDescent="0.3">
      <c r="A182" s="79" t="s">
        <v>130</v>
      </c>
      <c r="B182" s="79"/>
      <c r="C182" s="79"/>
      <c r="D182" s="79"/>
      <c r="E182" s="79"/>
      <c r="F182" s="79"/>
      <c r="G182" s="79"/>
      <c r="H182" s="79"/>
    </row>
    <row r="183" spans="1:8" x14ac:dyDescent="0.3">
      <c r="A183" s="111" t="s">
        <v>131</v>
      </c>
      <c r="B183" s="111"/>
      <c r="C183" s="111"/>
      <c r="D183" s="111"/>
      <c r="E183" s="111"/>
      <c r="F183" s="111"/>
      <c r="G183" s="111"/>
      <c r="H183" s="111"/>
    </row>
    <row r="184" spans="1:8" x14ac:dyDescent="0.3">
      <c r="A184" s="123" t="s">
        <v>78</v>
      </c>
      <c r="B184" s="123"/>
      <c r="C184" s="123" t="s">
        <v>236</v>
      </c>
      <c r="D184" s="123"/>
      <c r="E184" s="123" t="s">
        <v>107</v>
      </c>
      <c r="F184" s="123"/>
      <c r="G184" s="123" t="s">
        <v>235</v>
      </c>
      <c r="H184" s="123"/>
    </row>
    <row r="185" spans="1:8" x14ac:dyDescent="0.3">
      <c r="A185" s="122" t="s">
        <v>80</v>
      </c>
      <c r="B185" s="122"/>
      <c r="C185" s="122"/>
      <c r="D185" s="122"/>
      <c r="E185" s="122"/>
      <c r="F185" s="122"/>
      <c r="G185" s="122"/>
      <c r="H185" s="122"/>
    </row>
    <row r="186" spans="1:8" x14ac:dyDescent="0.3">
      <c r="A186" s="122"/>
      <c r="B186" s="122"/>
      <c r="C186" s="122"/>
      <c r="D186" s="122"/>
      <c r="E186" s="122"/>
      <c r="F186" s="122"/>
      <c r="G186" s="122"/>
      <c r="H186" s="122"/>
    </row>
    <row r="187" spans="1:8" x14ac:dyDescent="0.3">
      <c r="A187" s="122"/>
      <c r="B187" s="122"/>
      <c r="C187" s="122"/>
      <c r="D187" s="122"/>
      <c r="E187" s="122"/>
      <c r="F187" s="122"/>
      <c r="G187" s="122"/>
      <c r="H187" s="122"/>
    </row>
    <row r="188" spans="1:8" x14ac:dyDescent="0.3">
      <c r="A188" s="122"/>
      <c r="B188" s="122"/>
      <c r="C188" s="122"/>
      <c r="D188" s="122"/>
      <c r="E188" s="122"/>
      <c r="F188" s="122"/>
      <c r="G188" s="122"/>
      <c r="H188" s="122"/>
    </row>
    <row r="189" spans="1:8" x14ac:dyDescent="0.3">
      <c r="A189" s="36" t="s">
        <v>67</v>
      </c>
      <c r="B189" s="37"/>
      <c r="C189" s="37"/>
      <c r="D189" s="36" t="str">
        <f>E9</f>
        <v xml:space="preserve">La Grandeure Tower 1 </v>
      </c>
      <c r="F189" s="37"/>
      <c r="G189" s="37"/>
      <c r="H189" s="37"/>
    </row>
    <row r="190" spans="1:8" x14ac:dyDescent="0.3">
      <c r="A190" s="37"/>
      <c r="B190" s="37"/>
      <c r="C190" s="37"/>
      <c r="D190" s="37"/>
      <c r="E190" s="37"/>
      <c r="F190" s="37"/>
      <c r="G190" s="37"/>
      <c r="H190" s="37"/>
    </row>
    <row r="191" spans="1:8" x14ac:dyDescent="0.3">
      <c r="A191" s="37"/>
      <c r="B191" s="37"/>
      <c r="C191" s="37"/>
      <c r="D191" s="37"/>
      <c r="E191" s="37"/>
      <c r="F191" s="37"/>
      <c r="G191" s="37"/>
      <c r="H191" s="37"/>
    </row>
    <row r="192" spans="1:8" ht="15" customHeight="1" x14ac:dyDescent="0.3"/>
    <row r="231" spans="1:1" x14ac:dyDescent="0.3">
      <c r="A231" s="38" t="s">
        <v>223</v>
      </c>
    </row>
    <row r="269" spans="1:1" x14ac:dyDescent="0.3">
      <c r="A269" s="39" t="s">
        <v>68</v>
      </c>
    </row>
  </sheetData>
  <mergeCells count="362">
    <mergeCell ref="B175:H175"/>
    <mergeCell ref="B173:H173"/>
    <mergeCell ref="L145:M145"/>
    <mergeCell ref="A146:B146"/>
    <mergeCell ref="L146:M146"/>
    <mergeCell ref="A147:B147"/>
    <mergeCell ref="L147:M147"/>
    <mergeCell ref="A148:B148"/>
    <mergeCell ref="L148:M148"/>
    <mergeCell ref="C145:F145"/>
    <mergeCell ref="A145:B145"/>
    <mergeCell ref="B166:H166"/>
    <mergeCell ref="B171:H171"/>
    <mergeCell ref="B167:H167"/>
    <mergeCell ref="A162:H162"/>
    <mergeCell ref="B165:H165"/>
    <mergeCell ref="B172:H172"/>
    <mergeCell ref="B169:H169"/>
    <mergeCell ref="L151:M151"/>
    <mergeCell ref="L152:M152"/>
    <mergeCell ref="L153:M153"/>
    <mergeCell ref="A154:B154"/>
    <mergeCell ref="L154:M154"/>
    <mergeCell ref="A161:B161"/>
    <mergeCell ref="L161:M161"/>
    <mergeCell ref="A122:B122"/>
    <mergeCell ref="L128:M128"/>
    <mergeCell ref="A129:B129"/>
    <mergeCell ref="L129:M129"/>
    <mergeCell ref="A130:B130"/>
    <mergeCell ref="L130:M130"/>
    <mergeCell ref="G135:H138"/>
    <mergeCell ref="A139:H139"/>
    <mergeCell ref="G140:H143"/>
    <mergeCell ref="A141:B141"/>
    <mergeCell ref="L141:M141"/>
    <mergeCell ref="A142:B142"/>
    <mergeCell ref="L142:M142"/>
    <mergeCell ref="A143:B143"/>
    <mergeCell ref="L143:M143"/>
    <mergeCell ref="L140:M140"/>
    <mergeCell ref="L138:M138"/>
    <mergeCell ref="L135:M135"/>
    <mergeCell ref="A136:B136"/>
    <mergeCell ref="L136:M136"/>
    <mergeCell ref="A137:B137"/>
    <mergeCell ref="L137:M137"/>
    <mergeCell ref="A153:B153"/>
    <mergeCell ref="A84:E84"/>
    <mergeCell ref="A81:E81"/>
    <mergeCell ref="A17:B17"/>
    <mergeCell ref="C17:H17"/>
    <mergeCell ref="A39:B39"/>
    <mergeCell ref="C39:H39"/>
    <mergeCell ref="B170:H170"/>
    <mergeCell ref="A48:B48"/>
    <mergeCell ref="C48:H48"/>
    <mergeCell ref="B168:H168"/>
    <mergeCell ref="F83:H83"/>
    <mergeCell ref="A83:E83"/>
    <mergeCell ref="D105:D106"/>
    <mergeCell ref="A85:E85"/>
    <mergeCell ref="A108:B108"/>
    <mergeCell ref="A109:B109"/>
    <mergeCell ref="A110:B110"/>
    <mergeCell ref="A140:B140"/>
    <mergeCell ref="A128:B128"/>
    <mergeCell ref="A144:H144"/>
    <mergeCell ref="F84:H84"/>
    <mergeCell ref="A89:E89"/>
    <mergeCell ref="A111:B111"/>
    <mergeCell ref="A86:E86"/>
    <mergeCell ref="A105:A106"/>
    <mergeCell ref="C132:C133"/>
    <mergeCell ref="A134:H134"/>
    <mergeCell ref="A112:B112"/>
    <mergeCell ref="A131:H131"/>
    <mergeCell ref="A132:A133"/>
    <mergeCell ref="F85:H85"/>
    <mergeCell ref="F91:H91"/>
    <mergeCell ref="A98:B98"/>
    <mergeCell ref="A92:E92"/>
    <mergeCell ref="C98:D98"/>
    <mergeCell ref="E98:F98"/>
    <mergeCell ref="G98:H98"/>
    <mergeCell ref="A99:B99"/>
    <mergeCell ref="C99:D99"/>
    <mergeCell ref="E99:F99"/>
    <mergeCell ref="G99:H99"/>
    <mergeCell ref="C101:D101"/>
    <mergeCell ref="A87:E87"/>
    <mergeCell ref="F87:H87"/>
    <mergeCell ref="A88:E88"/>
    <mergeCell ref="A90:E90"/>
    <mergeCell ref="G101:H101"/>
    <mergeCell ref="A118:B118"/>
    <mergeCell ref="A114:B114"/>
    <mergeCell ref="L114:M114"/>
    <mergeCell ref="A116:B116"/>
    <mergeCell ref="L116:M116"/>
    <mergeCell ref="A117:B117"/>
    <mergeCell ref="L117:M117"/>
    <mergeCell ref="A123:H123"/>
    <mergeCell ref="A124:B124"/>
    <mergeCell ref="G124:H130"/>
    <mergeCell ref="L124:M124"/>
    <mergeCell ref="A125:B125"/>
    <mergeCell ref="L125:M125"/>
    <mergeCell ref="A126:B126"/>
    <mergeCell ref="L126:M126"/>
    <mergeCell ref="A127:B127"/>
    <mergeCell ref="L127:M127"/>
    <mergeCell ref="L118:M118"/>
    <mergeCell ref="A119:B119"/>
    <mergeCell ref="L119:M119"/>
    <mergeCell ref="G116:H122"/>
    <mergeCell ref="A120:B120"/>
    <mergeCell ref="L120:M120"/>
    <mergeCell ref="A121:B121"/>
    <mergeCell ref="L121:M121"/>
    <mergeCell ref="A78:B78"/>
    <mergeCell ref="C102:D102"/>
    <mergeCell ref="E102:F102"/>
    <mergeCell ref="G102:H102"/>
    <mergeCell ref="F88:H88"/>
    <mergeCell ref="A82:E82"/>
    <mergeCell ref="A107:H107"/>
    <mergeCell ref="E105:E106"/>
    <mergeCell ref="G105:H106"/>
    <mergeCell ref="F81:H81"/>
    <mergeCell ref="F86:H86"/>
    <mergeCell ref="C105:C106"/>
    <mergeCell ref="E96:F96"/>
    <mergeCell ref="A96:B96"/>
    <mergeCell ref="F89:H89"/>
    <mergeCell ref="C96:D96"/>
    <mergeCell ref="F92:H92"/>
    <mergeCell ref="F90:H90"/>
    <mergeCell ref="G96:H96"/>
    <mergeCell ref="A91:E91"/>
    <mergeCell ref="E101:F101"/>
    <mergeCell ref="C97:D97"/>
    <mergeCell ref="E97:F97"/>
    <mergeCell ref="B105:B106"/>
    <mergeCell ref="D61:H61"/>
    <mergeCell ref="A43:D43"/>
    <mergeCell ref="E43:H43"/>
    <mergeCell ref="E44:H44"/>
    <mergeCell ref="E45:H45"/>
    <mergeCell ref="E46:H46"/>
    <mergeCell ref="A44:D4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D66:H66"/>
    <mergeCell ref="A61:C61"/>
    <mergeCell ref="A37:H37"/>
    <mergeCell ref="A36:B36"/>
    <mergeCell ref="C36:E36"/>
    <mergeCell ref="A41:D41"/>
    <mergeCell ref="E41:H41"/>
    <mergeCell ref="F33:H33"/>
    <mergeCell ref="F34:H34"/>
    <mergeCell ref="A40:H40"/>
    <mergeCell ref="A60:C60"/>
    <mergeCell ref="D60:H60"/>
    <mergeCell ref="F36:H36"/>
    <mergeCell ref="A38:B38"/>
    <mergeCell ref="E38:F38"/>
    <mergeCell ref="C38:D38"/>
    <mergeCell ref="G38:H38"/>
    <mergeCell ref="A45:D45"/>
    <mergeCell ref="A46:D46"/>
    <mergeCell ref="A47:H47"/>
    <mergeCell ref="D58:H58"/>
    <mergeCell ref="A58:C58"/>
    <mergeCell ref="G50:H50"/>
    <mergeCell ref="A51:B52"/>
    <mergeCell ref="D59:H59"/>
    <mergeCell ref="E42:H42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1:B21"/>
    <mergeCell ref="C21:D21"/>
    <mergeCell ref="E21:F21"/>
    <mergeCell ref="G21:H21"/>
    <mergeCell ref="A22:D23"/>
    <mergeCell ref="E26:H26"/>
    <mergeCell ref="A28:D28"/>
    <mergeCell ref="E28:H28"/>
    <mergeCell ref="A25:D25"/>
    <mergeCell ref="E25:H25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G151:H155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E22:H23"/>
    <mergeCell ref="E14:H14"/>
    <mergeCell ref="A15:B15"/>
    <mergeCell ref="C15:H15"/>
    <mergeCell ref="C16:H16"/>
    <mergeCell ref="A24:D24"/>
    <mergeCell ref="E24:H24"/>
    <mergeCell ref="G70:H70"/>
    <mergeCell ref="A18:B18"/>
    <mergeCell ref="G71:H80"/>
    <mergeCell ref="A185:H188"/>
    <mergeCell ref="A184:B184"/>
    <mergeCell ref="E184:F184"/>
    <mergeCell ref="C184:D184"/>
    <mergeCell ref="G184:H184"/>
    <mergeCell ref="A95:H95"/>
    <mergeCell ref="A93:E93"/>
    <mergeCell ref="F93:H93"/>
    <mergeCell ref="A94:E94"/>
    <mergeCell ref="F94:H94"/>
    <mergeCell ref="A102:B102"/>
    <mergeCell ref="A97:B97"/>
    <mergeCell ref="A180:H180"/>
    <mergeCell ref="A100:H100"/>
    <mergeCell ref="A183:H183"/>
    <mergeCell ref="A181:H181"/>
    <mergeCell ref="A177:H177"/>
    <mergeCell ref="A178:H178"/>
    <mergeCell ref="G145:H148"/>
    <mergeCell ref="B163:H163"/>
    <mergeCell ref="B164:H164"/>
    <mergeCell ref="A150:H150"/>
    <mergeCell ref="C157:F157"/>
    <mergeCell ref="A151:B151"/>
    <mergeCell ref="A152:B152"/>
    <mergeCell ref="A79:B79"/>
    <mergeCell ref="A80:B80"/>
    <mergeCell ref="A103:H103"/>
    <mergeCell ref="A104:H104"/>
    <mergeCell ref="B132:B133"/>
    <mergeCell ref="C50:E50"/>
    <mergeCell ref="C53:E53"/>
    <mergeCell ref="A50:B50"/>
    <mergeCell ref="A55:H55"/>
    <mergeCell ref="A56:C56"/>
    <mergeCell ref="A57:C57"/>
    <mergeCell ref="D57:H57"/>
    <mergeCell ref="G53:H53"/>
    <mergeCell ref="A53:B54"/>
    <mergeCell ref="C54:H54"/>
    <mergeCell ref="C52:H52"/>
    <mergeCell ref="A64:C64"/>
    <mergeCell ref="D64:H64"/>
    <mergeCell ref="A65:C65"/>
    <mergeCell ref="D65:H65"/>
    <mergeCell ref="A71:B71"/>
    <mergeCell ref="E71:F80"/>
    <mergeCell ref="L112:M112"/>
    <mergeCell ref="A113:B113"/>
    <mergeCell ref="L113:M113"/>
    <mergeCell ref="A66:C66"/>
    <mergeCell ref="A42:D42"/>
    <mergeCell ref="A182:H182"/>
    <mergeCell ref="A179:H179"/>
    <mergeCell ref="A101:B101"/>
    <mergeCell ref="D132:D133"/>
    <mergeCell ref="E132:E133"/>
    <mergeCell ref="G132:H133"/>
    <mergeCell ref="A76:B76"/>
    <mergeCell ref="F82:H82"/>
    <mergeCell ref="G97:H97"/>
    <mergeCell ref="A49:B49"/>
    <mergeCell ref="C49:E49"/>
    <mergeCell ref="G108:H114"/>
    <mergeCell ref="A115:H115"/>
    <mergeCell ref="G49:H49"/>
    <mergeCell ref="G51:H51"/>
    <mergeCell ref="D56:H56"/>
    <mergeCell ref="C51:E51"/>
    <mergeCell ref="A59:C59"/>
    <mergeCell ref="A149:H149"/>
    <mergeCell ref="B176:H176"/>
    <mergeCell ref="A8:D8"/>
    <mergeCell ref="E8:H8"/>
    <mergeCell ref="I83:K83"/>
    <mergeCell ref="B174:H174"/>
    <mergeCell ref="G157:H161"/>
    <mergeCell ref="A155:B155"/>
    <mergeCell ref="L155:M155"/>
    <mergeCell ref="A156:H15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L108:M108"/>
    <mergeCell ref="L111:M111"/>
    <mergeCell ref="L110:M110"/>
    <mergeCell ref="L109:M109"/>
    <mergeCell ref="L122:M122"/>
    <mergeCell ref="A138:B138"/>
    <mergeCell ref="A135:B135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88" max="16383" man="1"/>
    <brk id="230" max="16383" man="1"/>
    <brk id="26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7" t="s">
        <v>108</v>
      </c>
      <c r="C3" s="187"/>
      <c r="D3" s="187"/>
      <c r="E3" s="187"/>
      <c r="F3" s="187"/>
      <c r="G3" s="187"/>
      <c r="H3" s="187"/>
    </row>
    <row r="4" spans="1:9" x14ac:dyDescent="0.3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3:I3"/>
  <sheetViews>
    <sheetView zoomScale="145" zoomScaleNormal="145" workbookViewId="0">
      <selection activeCell="K6" sqref="K6"/>
    </sheetView>
  </sheetViews>
  <sheetFormatPr defaultRowHeight="14.4" x14ac:dyDescent="0.3"/>
  <cols>
    <col min="3" max="3" width="9.21875" bestFit="1" customWidth="1"/>
  </cols>
  <sheetData>
    <row r="3" spans="3:9" x14ac:dyDescent="0.3">
      <c r="C3" s="61" t="s">
        <v>219</v>
      </c>
      <c r="D3" s="188" t="s">
        <v>220</v>
      </c>
      <c r="E3" s="188"/>
      <c r="F3" s="188"/>
      <c r="G3" s="189" t="s">
        <v>221</v>
      </c>
      <c r="H3" s="189"/>
      <c r="I3" s="189"/>
    </row>
  </sheetData>
  <mergeCells count="2"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2025-08-12T06:46:15Z</cp:lastPrinted>
  <dcterms:created xsi:type="dcterms:W3CDTF">2019-07-16T09:29:46Z</dcterms:created>
  <dcterms:modified xsi:type="dcterms:W3CDTF">2025-08-12T06:47:17Z</dcterms:modified>
</cp:coreProperties>
</file>