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VSJ Work\Aug 25\Axis Dump\"/>
    </mc:Choice>
  </mc:AlternateContent>
  <xr:revisionPtr revIDLastSave="0" documentId="13_ncr:1_{71014A08-A33B-46D7-9A3C-15EE6E97B539}" xr6:coauthVersionLast="47" xr6:coauthVersionMax="47" xr10:uidLastSave="{00000000-0000-0000-0000-000000000000}"/>
  <bookViews>
    <workbookView xWindow="-108" yWindow="-108" windowWidth="23256" windowHeight="12456" xr2:uid="{00000000-000D-0000-FFFF-FFFF00000000}"/>
  </bookViews>
  <sheets>
    <sheet name="Report (2)" sheetId="1" r:id="rId1"/>
    <sheet name="C%" sheetId="2" r:id="rId2"/>
    <sheet name="Flat detail" sheetId="3" r:id="rId3"/>
    <sheet name="Sheet1" sheetId="4" r:id="rId4"/>
  </sheets>
  <definedNames>
    <definedName name="_xlnm.Print_Area" localSheetId="0">'Report (2)'!$A$1:$J$526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7" i="1" l="1"/>
  <c r="L93" i="1" l="1"/>
  <c r="L92" i="1"/>
  <c r="L91" i="1"/>
  <c r="L90" i="1"/>
  <c r="N138" i="1" l="1"/>
  <c r="D137" i="1"/>
  <c r="D53" i="1"/>
  <c r="D263" i="1" l="1"/>
  <c r="D262" i="1"/>
  <c r="D261" i="1"/>
  <c r="D287" i="1"/>
  <c r="D286" i="1"/>
  <c r="D285" i="1"/>
  <c r="D284" i="1"/>
  <c r="D283" i="1"/>
  <c r="D282" i="1"/>
  <c r="D280" i="1"/>
  <c r="D279" i="1"/>
  <c r="D278" i="1"/>
  <c r="D277" i="1"/>
  <c r="D276" i="1"/>
  <c r="D275" i="1"/>
  <c r="D272" i="1"/>
  <c r="D271" i="1"/>
  <c r="D270" i="1"/>
  <c r="D269" i="1"/>
  <c r="D259" i="1"/>
  <c r="G259" i="1" s="1"/>
  <c r="D258" i="1"/>
  <c r="G258" i="1" s="1"/>
  <c r="D257" i="1"/>
  <c r="G257" i="1" s="1"/>
  <c r="D256" i="1"/>
  <c r="G256" i="1" s="1"/>
  <c r="D255" i="1"/>
  <c r="G255" i="1" s="1"/>
  <c r="D254" i="1"/>
  <c r="G254" i="1" s="1"/>
  <c r="D252" i="1"/>
  <c r="D251" i="1"/>
  <c r="D250" i="1"/>
  <c r="D249" i="1"/>
  <c r="D248" i="1"/>
  <c r="D247" i="1"/>
  <c r="H254" i="1"/>
  <c r="D245" i="1"/>
  <c r="D243" i="1"/>
  <c r="D242" i="1"/>
  <c r="D241" i="1"/>
  <c r="D240" i="1"/>
  <c r="D244" i="1"/>
  <c r="L234" i="1"/>
  <c r="D238" i="1"/>
  <c r="L228" i="1"/>
  <c r="D236" i="1"/>
  <c r="D235" i="1"/>
  <c r="L225" i="1"/>
  <c r="D234" i="1"/>
  <c r="L224" i="1"/>
  <c r="D233" i="1"/>
  <c r="L223" i="1"/>
  <c r="D328" i="1"/>
  <c r="G328" i="1" s="1"/>
  <c r="D327" i="1"/>
  <c r="G327" i="1" s="1"/>
  <c r="D326" i="1"/>
  <c r="D325" i="1"/>
  <c r="G325" i="1" s="1"/>
  <c r="D324" i="1"/>
  <c r="G324" i="1" s="1"/>
  <c r="D323" i="1"/>
  <c r="D321" i="1"/>
  <c r="G321" i="1" s="1"/>
  <c r="D319" i="1"/>
  <c r="D310" i="1"/>
  <c r="D293" i="1"/>
  <c r="D294" i="1"/>
  <c r="D295" i="1"/>
  <c r="A322" i="1"/>
  <c r="A323" i="1" s="1"/>
  <c r="A324" i="1" s="1"/>
  <c r="A325" i="1" s="1"/>
  <c r="A326" i="1" s="1"/>
  <c r="A327" i="1" s="1"/>
  <c r="A328" i="1" s="1"/>
  <c r="H297" i="1"/>
  <c r="A299" i="1"/>
  <c r="A300" i="1" s="1"/>
  <c r="A301" i="1" s="1"/>
  <c r="A302" i="1" s="1"/>
  <c r="G280" i="1" l="1"/>
  <c r="G279" i="1"/>
  <c r="G278" i="1"/>
  <c r="G277" i="1"/>
  <c r="G276" i="1"/>
  <c r="H275" i="1"/>
  <c r="G275" i="1"/>
  <c r="G272" i="1"/>
  <c r="L254" i="1"/>
  <c r="D231" i="1"/>
  <c r="D228" i="1"/>
  <c r="D229" i="1"/>
  <c r="G229" i="1" s="1"/>
  <c r="D142" i="1"/>
  <c r="C100" i="1" s="1"/>
  <c r="D172" i="1"/>
  <c r="G172" i="1" s="1"/>
  <c r="D223" i="1"/>
  <c r="D222" i="1"/>
  <c r="D117" i="1"/>
  <c r="D128" i="1"/>
  <c r="D125" i="1"/>
  <c r="D124" i="1"/>
  <c r="D123" i="1"/>
  <c r="D126" i="1"/>
  <c r="G126" i="1" s="1"/>
  <c r="G90" i="1" s="1"/>
  <c r="D118" i="1"/>
  <c r="D116" i="1"/>
  <c r="D114" i="1"/>
  <c r="D112" i="1"/>
  <c r="D111" i="1"/>
  <c r="F39" i="1"/>
  <c r="F40" i="1" s="1"/>
  <c r="F41" i="1" s="1"/>
  <c r="D102" i="1" l="1"/>
  <c r="C102" i="1"/>
  <c r="C101" i="1"/>
  <c r="D101" i="1"/>
  <c r="D100" i="1"/>
  <c r="G228" i="1"/>
  <c r="C90" i="1"/>
  <c r="D90" i="1"/>
  <c r="F3" i="1"/>
  <c r="D103" i="1" l="1"/>
  <c r="C103" i="1"/>
  <c r="D299" i="1"/>
  <c r="G299" i="1" s="1"/>
  <c r="D298" i="1"/>
  <c r="H46" i="1"/>
  <c r="D322" i="1" l="1"/>
  <c r="D316" i="1"/>
  <c r="D317" i="1"/>
  <c r="D318" i="1"/>
  <c r="D315" i="1"/>
  <c r="D311" i="1"/>
  <c r="G311" i="1" s="1"/>
  <c r="D309" i="1"/>
  <c r="D308" i="1"/>
  <c r="D307" i="1"/>
  <c r="D306" i="1"/>
  <c r="D312" i="1"/>
  <c r="G312" i="1" s="1"/>
  <c r="G295" i="1"/>
  <c r="D292" i="1"/>
  <c r="D291" i="1"/>
  <c r="D290" i="1"/>
  <c r="D129" i="1" l="1"/>
  <c r="D121" i="1"/>
  <c r="D120" i="1"/>
  <c r="D119" i="1"/>
  <c r="D122" i="1"/>
  <c r="G317" i="1" l="1"/>
  <c r="G323" i="1"/>
  <c r="G326" i="1"/>
  <c r="G322" i="1"/>
  <c r="H321" i="1"/>
  <c r="D219" i="1"/>
  <c r="G219" i="1" s="1"/>
  <c r="D218" i="1"/>
  <c r="G218" i="1" s="1"/>
  <c r="D217" i="1"/>
  <c r="G217" i="1" s="1"/>
  <c r="D216" i="1"/>
  <c r="G216" i="1" s="1"/>
  <c r="D215" i="1"/>
  <c r="G215" i="1" s="1"/>
  <c r="H214" i="1"/>
  <c r="D214" i="1"/>
  <c r="G214" i="1" s="1"/>
  <c r="G319" i="1"/>
  <c r="G316" i="1"/>
  <c r="G315" i="1"/>
  <c r="H314" i="1"/>
  <c r="D314" i="1"/>
  <c r="G314" i="1" s="1"/>
  <c r="D212" i="1"/>
  <c r="G212" i="1" s="1"/>
  <c r="D211" i="1"/>
  <c r="G211" i="1" s="1"/>
  <c r="D210" i="1"/>
  <c r="G210" i="1" s="1"/>
  <c r="D209" i="1"/>
  <c r="G209" i="1" s="1"/>
  <c r="D208" i="1"/>
  <c r="G208" i="1" s="1"/>
  <c r="H207" i="1"/>
  <c r="D207" i="1"/>
  <c r="G207" i="1" s="1"/>
  <c r="G318" i="1" l="1"/>
  <c r="L71" i="1"/>
  <c r="I61" i="1"/>
  <c r="D66" i="1" l="1"/>
  <c r="L64" i="1"/>
  <c r="D73" i="1"/>
  <c r="D71" i="1"/>
  <c r="D69" i="1"/>
  <c r="D67" i="1"/>
  <c r="L65" i="1"/>
  <c r="C64" i="1" s="1"/>
  <c r="D64" i="1" s="1"/>
  <c r="L63" i="1"/>
  <c r="D72" i="1"/>
  <c r="D68" i="1"/>
  <c r="L66" i="1"/>
  <c r="L67" i="1" s="1"/>
  <c r="L72" i="1" s="1"/>
  <c r="D70" i="1"/>
  <c r="C13" i="1"/>
  <c r="G270" i="1"/>
  <c r="G269" i="1"/>
  <c r="G287" i="1"/>
  <c r="G286" i="1"/>
  <c r="G285" i="1"/>
  <c r="G284" i="1"/>
  <c r="G283" i="1"/>
  <c r="G282" i="1"/>
  <c r="G292" i="1"/>
  <c r="G310" i="1"/>
  <c r="G309" i="1"/>
  <c r="G308" i="1"/>
  <c r="G307" i="1"/>
  <c r="G306" i="1"/>
  <c r="D305" i="1"/>
  <c r="G305" i="1" s="1"/>
  <c r="D300" i="1"/>
  <c r="G300" i="1" s="1"/>
  <c r="G298" i="1"/>
  <c r="D297" i="1"/>
  <c r="G294" i="1"/>
  <c r="G293" i="1"/>
  <c r="G291" i="1"/>
  <c r="G290" i="1"/>
  <c r="D289" i="1"/>
  <c r="G271" i="1"/>
  <c r="L261" i="1" s="1"/>
  <c r="D264" i="1"/>
  <c r="G142" i="1"/>
  <c r="D149" i="1"/>
  <c r="G149" i="1" s="1"/>
  <c r="D148" i="1"/>
  <c r="D147" i="1"/>
  <c r="G147" i="1" s="1"/>
  <c r="D146" i="1"/>
  <c r="G146" i="1" s="1"/>
  <c r="L136" i="1" s="1"/>
  <c r="D145" i="1"/>
  <c r="G145" i="1" s="1"/>
  <c r="L135" i="1" s="1"/>
  <c r="D144" i="1"/>
  <c r="D156" i="1"/>
  <c r="G156" i="1" s="1"/>
  <c r="D155" i="1"/>
  <c r="G155" i="1" s="1"/>
  <c r="D154" i="1"/>
  <c r="G154" i="1" s="1"/>
  <c r="D153" i="1"/>
  <c r="G153" i="1" s="1"/>
  <c r="D152" i="1"/>
  <c r="G152" i="1" s="1"/>
  <c r="D151" i="1"/>
  <c r="D163" i="1"/>
  <c r="D162" i="1"/>
  <c r="D161" i="1"/>
  <c r="D160" i="1"/>
  <c r="D159" i="1"/>
  <c r="D158" i="1"/>
  <c r="D170" i="1"/>
  <c r="D169" i="1"/>
  <c r="D168" i="1"/>
  <c r="D167" i="1"/>
  <c r="D166" i="1"/>
  <c r="D177" i="1"/>
  <c r="G177" i="1" s="1"/>
  <c r="D176" i="1"/>
  <c r="G176" i="1" s="1"/>
  <c r="D175" i="1"/>
  <c r="G175" i="1" s="1"/>
  <c r="D174" i="1"/>
  <c r="G174" i="1" s="1"/>
  <c r="D173" i="1"/>
  <c r="G173" i="1" s="1"/>
  <c r="D184" i="1"/>
  <c r="D183" i="1"/>
  <c r="D182" i="1"/>
  <c r="D181" i="1"/>
  <c r="D180" i="1"/>
  <c r="D179" i="1"/>
  <c r="D191" i="1"/>
  <c r="G191" i="1" s="1"/>
  <c r="D190" i="1"/>
  <c r="G190" i="1" s="1"/>
  <c r="D189" i="1"/>
  <c r="G189" i="1" s="1"/>
  <c r="D188" i="1"/>
  <c r="G188" i="1" s="1"/>
  <c r="D187" i="1"/>
  <c r="G187" i="1" s="1"/>
  <c r="D186" i="1"/>
  <c r="G186" i="1" s="1"/>
  <c r="D198" i="1"/>
  <c r="G198" i="1" s="1"/>
  <c r="D197" i="1"/>
  <c r="G197" i="1" s="1"/>
  <c r="D196" i="1"/>
  <c r="G196" i="1" s="1"/>
  <c r="D195" i="1"/>
  <c r="G195" i="1" s="1"/>
  <c r="D194" i="1"/>
  <c r="G194" i="1" s="1"/>
  <c r="D205" i="1"/>
  <c r="G205" i="1" s="1"/>
  <c r="D204" i="1"/>
  <c r="G204" i="1" s="1"/>
  <c r="D202" i="1"/>
  <c r="G202" i="1" s="1"/>
  <c r="D201" i="1"/>
  <c r="G201" i="1" s="1"/>
  <c r="D200" i="1"/>
  <c r="G200" i="1" s="1"/>
  <c r="D203" i="1"/>
  <c r="G203" i="1" s="1"/>
  <c r="H200" i="1"/>
  <c r="H305" i="1"/>
  <c r="H193" i="1"/>
  <c r="H289" i="1"/>
  <c r="H186" i="1"/>
  <c r="H268" i="1"/>
  <c r="H172" i="1"/>
  <c r="G244" i="1"/>
  <c r="H151" i="1"/>
  <c r="G245" i="1"/>
  <c r="G243" i="1"/>
  <c r="G242" i="1"/>
  <c r="G241" i="1"/>
  <c r="H240" i="1"/>
  <c r="G240" i="1"/>
  <c r="G238" i="1"/>
  <c r="G236" i="1"/>
  <c r="G235" i="1"/>
  <c r="G234" i="1"/>
  <c r="G233" i="1"/>
  <c r="H233" i="1"/>
  <c r="H144" i="1"/>
  <c r="G231" i="1"/>
  <c r="H226" i="1"/>
  <c r="G222" i="1"/>
  <c r="H137" i="1"/>
  <c r="D133" i="1"/>
  <c r="D134" i="1"/>
  <c r="D132" i="1"/>
  <c r="D131" i="1"/>
  <c r="D130" i="1"/>
  <c r="D127" i="1"/>
  <c r="D115" i="1"/>
  <c r="G100" i="1" l="1"/>
  <c r="G289" i="1"/>
  <c r="G151" i="1"/>
  <c r="G297" i="1"/>
  <c r="G148" i="1"/>
  <c r="D96" i="1"/>
  <c r="C96" i="1"/>
  <c r="G144" i="1"/>
  <c r="C95" i="1"/>
  <c r="D95" i="1"/>
  <c r="L68" i="1"/>
  <c r="L69" i="1" s="1"/>
  <c r="L70" i="1" s="1"/>
  <c r="G223" i="1"/>
  <c r="G264" i="1"/>
  <c r="G137" i="1"/>
  <c r="G115" i="1"/>
  <c r="G117" i="1"/>
  <c r="G118" i="1"/>
  <c r="G119" i="1"/>
  <c r="G120" i="1"/>
  <c r="G121" i="1"/>
  <c r="G122" i="1"/>
  <c r="G123" i="1"/>
  <c r="G124" i="1"/>
  <c r="G125" i="1"/>
  <c r="G127" i="1"/>
  <c r="G128" i="1"/>
  <c r="G129" i="1"/>
  <c r="G130" i="1"/>
  <c r="G131" i="1"/>
  <c r="G132" i="1"/>
  <c r="G133" i="1"/>
  <c r="G134" i="1"/>
  <c r="D97" i="1" l="1"/>
  <c r="C97" i="1"/>
  <c r="G102" i="1"/>
  <c r="G96" i="1"/>
  <c r="L138" i="1"/>
  <c r="L73" i="1"/>
  <c r="C65" i="1" s="1"/>
  <c r="F64" i="1" s="1"/>
  <c r="K60" i="1" s="1"/>
  <c r="C62" i="1" s="1"/>
  <c r="H282" i="1"/>
  <c r="G184" i="1"/>
  <c r="G183" i="1"/>
  <c r="G182" i="1"/>
  <c r="G181" i="1"/>
  <c r="G180" i="1"/>
  <c r="H179" i="1"/>
  <c r="G179" i="1"/>
  <c r="H158" i="1"/>
  <c r="H261" i="1"/>
  <c r="G263" i="1"/>
  <c r="G262" i="1"/>
  <c r="G261" i="1"/>
  <c r="H165" i="1"/>
  <c r="G170" i="1"/>
  <c r="G169" i="1"/>
  <c r="G168" i="1"/>
  <c r="G167" i="1"/>
  <c r="G166" i="1"/>
  <c r="H247" i="1"/>
  <c r="G252" i="1"/>
  <c r="G251" i="1"/>
  <c r="G250" i="1"/>
  <c r="G249" i="1"/>
  <c r="G248" i="1"/>
  <c r="G247" i="1"/>
  <c r="G163" i="1"/>
  <c r="G162" i="1"/>
  <c r="G161" i="1"/>
  <c r="G160" i="1"/>
  <c r="G159" i="1"/>
  <c r="G116" i="1"/>
  <c r="G114" i="1"/>
  <c r="D113" i="1"/>
  <c r="G112" i="1"/>
  <c r="G101" i="1" l="1"/>
  <c r="G103" i="1" s="1"/>
  <c r="D91" i="1"/>
  <c r="D92" i="1" s="1"/>
  <c r="D104" i="1" s="1"/>
  <c r="C91" i="1"/>
  <c r="C92" i="1" s="1"/>
  <c r="C104" i="1" s="1"/>
  <c r="G113" i="1"/>
  <c r="D65" i="1"/>
  <c r="H64" i="1"/>
  <c r="G111" i="1"/>
  <c r="G158" i="1"/>
  <c r="G95" i="1" l="1"/>
  <c r="G97" i="1" s="1"/>
  <c r="G91" i="1"/>
  <c r="G92" i="1" s="1"/>
  <c r="F7" i="1"/>
  <c r="G104" i="1" l="1"/>
  <c r="B7" i="2"/>
  <c r="G15" i="2" l="1"/>
  <c r="G16" i="2" s="1"/>
  <c r="C15" i="2" s="1"/>
  <c r="B15" i="2"/>
  <c r="H15" i="2"/>
  <c r="B16" i="2" s="1"/>
  <c r="D6" i="2"/>
  <c r="C5" i="2"/>
  <c r="B12" i="2" s="1"/>
  <c r="D343" i="1"/>
  <c r="D55" i="1" l="1"/>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<sst xmlns="http://schemas.openxmlformats.org/spreadsheetml/2006/main" count="764" uniqueCount="338">
  <si>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</si>
  <si>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</si>
  <si>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</si>
  <si>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</si>
  <si>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</si>
  <si>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</si>
  <si>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</si>
  <si>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</si>
  <si>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</si>
  <si>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</si>
  <si>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</si>
  <si>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</si>
  <si>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</si>
  <si>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</si>
  <si>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</si>
  <si>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</si>
  <si>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</si>
  <si>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</si>
  <si>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</si>
  <si>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</si>
  <si>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</si>
  <si>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</si>
  <si>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</si>
  <si>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</si>
  <si>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</si>
  <si>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</si>
  <si>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</si>
  <si>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</si>
  <si>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</si>
  <si>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</si>
  <si>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</si>
  <si>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</si>
  <si>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</si>
  <si>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</si>
  <si>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</si>
  <si>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</si>
  <si>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</si>
  <si>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</si>
  <si>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</si>
  <si>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</si>
  <si>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</si>
  <si>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</si>
  <si>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</si>
  <si>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</si>
  <si>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</si>
  <si>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</si>
  <si>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</si>
  <si>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</si>
  <si>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</si>
  <si>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</si>
  <si>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</si>
  <si>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</si>
  <si>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</si>
  <si>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</si>
  <si>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</si>
  <si>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</si>
  <si>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</si>
  <si>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</si>
  <si>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</si>
  <si>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</si>
  <si>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</si>
  <si>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</si>
  <si>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</si>
  <si>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</si>
  <si>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</si>
  <si>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</si>
  <si>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</si>
  <si>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</si>
  <si>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</si>
  <si>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</si>
  <si>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</si>
  <si>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</si>
  <si>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</si>
  <si>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</si>
  <si>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</si>
  <si>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</si>
  <si>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</si>
  <si>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</si>
  <si>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</si>
  <si>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</si>
  <si>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</si>
  <si>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</si>
  <si>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</si>
  <si>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</si>
  <si>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</si>
  <si>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</si>
  <si>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</si>
  <si>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</si>
  <si>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</si>
  <si>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</si>
  <si>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</si>
  <si>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</si>
  <si>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</si>
  <si>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</si>
  <si>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</si>
  <si>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</si>
  <si>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</si>
  <si>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</si>
  <si>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</si>
  <si>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</si>
  <si>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</si>
  <si>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</si>
  <si>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</si>
  <si>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</si>
  <si>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</si>
  <si>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</si>
  <si>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</si>
  <si>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</si>
  <si>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</si>
  <si>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</si>
  <si>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</si>
  <si>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</si>
  <si>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</si>
  <si>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</si>
  <si>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</si>
  <si>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</si>
  <si>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</si>
  <si>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</si>
  <si>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</si>
  <si>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</si>
  <si>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</si>
  <si>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</si>
  <si>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</si>
  <si>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</si>
  <si>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</si>
  <si>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</si>
  <si>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</si>
  <si>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</si>
  <si>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</si>
  <si>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</si>
  <si>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</si>
  <si>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</si>
  <si>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</si>
  <si>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</si>
  <si>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</si>
  <si>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</si>
  <si>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</si>
  <si>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</si>
  <si>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</si>
  <si>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</si>
  <si>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</si>
  <si>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</si>
  <si>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</si>
  <si>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</si>
  <si>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</si>
  <si>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</si>
  <si>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</si>
  <si>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</si>
  <si>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</si>
  <si>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</si>
  <si>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</si>
  <si>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</si>
  <si>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</si>
  <si>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</si>
  <si>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</si>
  <si>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</si>
  <si>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</si>
  <si>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</si>
  <si>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</si>
  <si>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</si>
  <si>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</si>
  <si>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</si>
  <si>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</si>
  <si>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</si>
  <si>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</si>
  <si>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</si>
  <si>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 xml:space="preserve">Material laying at Site: Bricks, Cement &amp; Steel etc. </t>
  </si>
  <si>
    <t>Wheather the construction is as per approved Building plan : Under Construction</t>
  </si>
  <si>
    <t>Axis Sanpada</t>
  </si>
  <si>
    <t>M/s. Labdhi Siddhivinayak Realtors LLP</t>
  </si>
  <si>
    <t>Labdhi Seabreeze</t>
  </si>
  <si>
    <t>P51900023708</t>
  </si>
  <si>
    <t>192(PT), 194(PT) &amp; 195(PT)</t>
  </si>
  <si>
    <t>Wadala</t>
  </si>
  <si>
    <t>RJ Gaikwad road</t>
  </si>
  <si>
    <t>About 1.7 Km from Vadala Railway Station</t>
  </si>
  <si>
    <t>Slum</t>
  </si>
  <si>
    <t>Mayuresh Enterprise</t>
  </si>
  <si>
    <t xml:space="preserve">Ground Floor </t>
  </si>
  <si>
    <t>Shop</t>
  </si>
  <si>
    <t>Rehab</t>
  </si>
  <si>
    <t>1st Floor for Residential &amp; Amenities</t>
  </si>
  <si>
    <t>Refuge area</t>
  </si>
  <si>
    <t>Sale</t>
  </si>
  <si>
    <t>1st Floor</t>
  </si>
  <si>
    <t>Residential + Commercial</t>
  </si>
  <si>
    <t xml:space="preserve">Approved no of sale units </t>
  </si>
  <si>
    <t xml:space="preserve">1) Index II/Sale agreement Details                                                 </t>
  </si>
  <si>
    <t xml:space="preserve">Market Value:   </t>
  </si>
  <si>
    <t>Government value:</t>
  </si>
  <si>
    <t>Market Research Data</t>
  </si>
  <si>
    <t>Source</t>
  </si>
  <si>
    <t>Net Carpet</t>
  </si>
  <si>
    <t>FB Area</t>
  </si>
  <si>
    <t>ter</t>
  </si>
  <si>
    <t>Gross Carpet</t>
  </si>
  <si>
    <t>Net Builtup Area</t>
  </si>
  <si>
    <t>Gross Builtup</t>
  </si>
  <si>
    <t>Saleable</t>
  </si>
  <si>
    <t>Rate on Carpet  Area</t>
  </si>
  <si>
    <t>Equivalent Rate on Salebale</t>
  </si>
  <si>
    <t>Market Value</t>
  </si>
  <si>
    <t>Realizable Value</t>
  </si>
  <si>
    <t>Measurement</t>
  </si>
  <si>
    <t>Approved Plan</t>
  </si>
  <si>
    <t xml:space="preserve">As per Sale Agreement </t>
  </si>
  <si>
    <t>Index II</t>
  </si>
  <si>
    <t>Allotment letter</t>
  </si>
  <si>
    <t>Rate enquired</t>
  </si>
  <si>
    <t xml:space="preserve">no brker </t>
  </si>
  <si>
    <t>99 acres</t>
  </si>
  <si>
    <t>Average</t>
  </si>
  <si>
    <t xml:space="preserve">Valuation Adopted </t>
  </si>
  <si>
    <t xml:space="preserve">VALUER Name :-  </t>
  </si>
  <si>
    <t>Broker ref :</t>
  </si>
  <si>
    <t xml:space="preserve">Name </t>
  </si>
  <si>
    <t>Contact No.</t>
  </si>
  <si>
    <t>Vlaue</t>
  </si>
  <si>
    <t>1)</t>
  </si>
  <si>
    <t>2)</t>
  </si>
  <si>
    <t>3)</t>
  </si>
  <si>
    <t>CS No</t>
  </si>
  <si>
    <t>Recommended rate of the Shop Per Sq. Ft. ( on Saleable area)</t>
  </si>
  <si>
    <t>Rehab/ Sale</t>
  </si>
  <si>
    <t>Flat/ Shop No.</t>
  </si>
  <si>
    <t>Proposed no of Floors</t>
  </si>
  <si>
    <t>Mumbai</t>
  </si>
  <si>
    <t>Welfare Center</t>
  </si>
  <si>
    <t>Balwadi</t>
  </si>
  <si>
    <t>Health Center</t>
  </si>
  <si>
    <t>Aanganwadi</t>
  </si>
  <si>
    <t>Society Office</t>
  </si>
  <si>
    <t>Sale Wing A</t>
  </si>
  <si>
    <t>Gym</t>
  </si>
  <si>
    <t>Massage Room</t>
  </si>
  <si>
    <t>Yoga Room</t>
  </si>
  <si>
    <t>2nd Floor</t>
  </si>
  <si>
    <t>3rd to 5th Floor</t>
  </si>
  <si>
    <t>25th &amp; 26th Floor</t>
  </si>
  <si>
    <t>27th Floor</t>
  </si>
  <si>
    <t>29th to 32nd Floor</t>
  </si>
  <si>
    <t>Rehab Wing B - Siddhivinayak Tower</t>
  </si>
  <si>
    <t>10,00,000/-</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</si>
  <si>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</si>
  <si>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</si>
  <si>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</si>
  <si>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</si>
  <si>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</si>
  <si>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</si>
  <si>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</si>
  <si>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</si>
  <si>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</si>
  <si>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</si>
  <si>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</si>
  <si>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</si>
  <si>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</si>
  <si>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</si>
  <si>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</si>
  <si>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</si>
  <si>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</si>
  <si>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</si>
  <si>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</si>
  <si>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</si>
  <si>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</si>
  <si>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</si>
  <si>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</si>
  <si>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Approved Floor plan No.</t>
  </si>
  <si>
    <t>35th Floor</t>
  </si>
  <si>
    <t>SRA/ENG/2997/FN/STGL/AP
Valid Up to: 
Sale A Wing = B + G + 23rd Floor
Rehab B Wing = B + G + 35th Floor</t>
  </si>
  <si>
    <t>Upper Class</t>
  </si>
  <si>
    <t>Developed</t>
  </si>
  <si>
    <t>RCC(Including podiums)</t>
  </si>
  <si>
    <t>1BHK</t>
  </si>
  <si>
    <t>2BHK</t>
  </si>
  <si>
    <t>1RK</t>
  </si>
  <si>
    <t xml:space="preserve">30/12/2027
</t>
  </si>
  <si>
    <t>Office No. 1031, Wing J, Akshar Business Park, Plot No. 03 Sector 25, Near APMC Market,
Vashi, Navi Mumbai, Maharashtra 400703 TEL: 022-46090378/79/80                                                                                                                           E mail : vsjcapf@gmail.com. Web site : www.vsjadon.com</t>
  </si>
  <si>
    <t>Contact Details ( Name &amp; Contact No.)</t>
  </si>
  <si>
    <t>Location Link</t>
  </si>
  <si>
    <t>https://maps.app.goo.gl/s9RsbunHYhigKF2A6</t>
  </si>
  <si>
    <t>19.01774979,72.86877659</t>
  </si>
  <si>
    <t>2 Wings</t>
  </si>
  <si>
    <t>SRA/ENG/2997/F-N/STGL/AP</t>
  </si>
  <si>
    <t>PAP</t>
  </si>
  <si>
    <t>6th, 8th to 13th, 15th to 20th, 22nd &amp; 23rd Floor</t>
  </si>
  <si>
    <t xml:space="preserve">7th, 14th &amp; 21st Floor </t>
  </si>
  <si>
    <t>24th Floor</t>
  </si>
  <si>
    <t>28th Floor (Part Refuge area)</t>
  </si>
  <si>
    <t>Mini Theatre &amp; Society Office</t>
  </si>
  <si>
    <t>-</t>
  </si>
  <si>
    <t>24th Floor For Residential, Health Center &amp; Aanganwadi</t>
  </si>
  <si>
    <t>25th Floor</t>
  </si>
  <si>
    <t>26th Floor</t>
  </si>
  <si>
    <t>7th, 14th &amp; 21st Floor (Part Refuge area)</t>
  </si>
  <si>
    <t>20th, 22nd &amp; 23rd Floor</t>
  </si>
  <si>
    <t>6th, 8th to 13th, 15th to 19th Floor</t>
  </si>
  <si>
    <t>1 RK</t>
  </si>
  <si>
    <t>A &amp; B Wing = 4B + G + 1st to 35th Floor</t>
  </si>
  <si>
    <t xml:space="preserve">SRA/ENG/2997/F-N/STGL/AP
</t>
  </si>
  <si>
    <t>Sale Shop</t>
  </si>
  <si>
    <t>Rehab Shop</t>
  </si>
  <si>
    <t xml:space="preserve">Sale Flat  </t>
  </si>
  <si>
    <t>PAP Flat</t>
  </si>
  <si>
    <t>Rehab Flat</t>
  </si>
  <si>
    <t>Layout :</t>
  </si>
  <si>
    <t>R/C</t>
  </si>
  <si>
    <t>R/C Rehab</t>
  </si>
  <si>
    <t xml:space="preserve">SRA/ENG/2997/FN/STGL/AP
 </t>
  </si>
  <si>
    <t xml:space="preserve">SRA/ENG/2997/FN/STGL/AP
</t>
  </si>
  <si>
    <t>Valid Up to: 
This C.C is re-enderosed as per approved amended plans dtd. 02/08/2024 &amp; full CC is granted as per approved amended plans dtd. 02/08/2024.</t>
  </si>
  <si>
    <t xml:space="preserve">Details of Residential &amp; Commercials in Building   </t>
  </si>
  <si>
    <t>1st Floor For Residential &amp; Amenities</t>
  </si>
  <si>
    <t>Ground Floor Commercial &amp; Part Residential Area</t>
  </si>
  <si>
    <t>Ground Floor Residential &amp; Part Commercial Area</t>
  </si>
  <si>
    <t>Commercial Area</t>
  </si>
  <si>
    <t xml:space="preserve"> 4th to 1st Basement Floor for Parking</t>
  </si>
  <si>
    <t>33rd &amp; 34th Floor</t>
  </si>
  <si>
    <t>Rehab Wing B</t>
  </si>
  <si>
    <t>Commercial Area Details :</t>
  </si>
  <si>
    <t>Building Details Floor Wise</t>
  </si>
  <si>
    <t xml:space="preserve"> Residential Area Details :</t>
  </si>
  <si>
    <t>Grand Total</t>
  </si>
  <si>
    <t>Remark No.11:</t>
  </si>
  <si>
    <t>Sale Wing A  &amp; Rehab Wing B</t>
  </si>
  <si>
    <t>Valid Up to: 
This C.C is re-endorsed and further C.C is extended from 24th to 27th Upper floor with brickwork &amp; plaster and from 28th to 35th upper floor with RCC frame structure only including LMR &amp; OHWT for Sale wing of composite bldg as per amended plans dated.18/06/2021</t>
  </si>
  <si>
    <t>Sale A Wing - Labdhi Seabreeze
Rehab B Wing - Siddhivinayak Tower</t>
  </si>
  <si>
    <t xml:space="preserve">Sale
 Wing A </t>
  </si>
  <si>
    <t>Sale Flats - 265
Sale Shop - 01
Rehab Flats - 127
PAP Flats - 17
Rehab Shop - 23</t>
  </si>
  <si>
    <t>Document Scanning Charges</t>
  </si>
  <si>
    <t>Share Money &amp; Entrance Fees</t>
  </si>
  <si>
    <t>Society Formation &amp; Registration Charges</t>
  </si>
  <si>
    <t>Deposit of Water &amp; Electricity</t>
  </si>
  <si>
    <t>Development Charges</t>
  </si>
  <si>
    <t>Advance Maintenance Charges</t>
  </si>
  <si>
    <t>1. Construction work is in process at the time of visit. (Internal photographs not allowed)
2. We considered Saleable area as per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Car parking is subjected to authentic documentation.
8. We have update revised approved Plans (on 05/05/2021).
9. We have updated revised plans of 33rd to 35th Floor only (on 27/08/2021).
10. We have updated revised Layout &amp; Floor Plan (on 04/02/2022).
11. In approved plans of dated:18/16/2021 there are few printing mistakes but we have correctly mentioned it as per Architect Letter (Attached below). 
12.We have updated revised approved CC From RERA Site (On 07/02/2023).
13. We have updated latest CC from Rera (On 16/08/2024).
14. We have updated Approved Plans (On 12/12/2024).
15. Recommended Rate &amp; Other charges of the Property have been revised on 18/01/2025
16. We have provided Cost sheet on mail by bank offcial is attached below.</t>
  </si>
  <si>
    <t>Remark No.16:</t>
  </si>
  <si>
    <t>Karan Misal</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</si>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</sst>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20"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8"/>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0" fontId="4" fillId="0" borderId="0"/>
    <xf numFmtId="0" fontId="1" fillId="0" borderId="0"/>
    <xf numFmtId="9" fontId="10" fillId="0" borderId="0" applyFont="0" applyFill="0" applyBorder="0" applyAlignment="0" applyProtection="0"/>
    <xf numFmtId="43" fontId="10" fillId="0" borderId="0" applyFont="0" applyFill="0" applyBorder="0" applyAlignment="0" applyProtection="0"/>
    <xf numFmtId="0" fontId="19" fillId="0" borderId="0" applyNumberFormat="0" applyFill="0" applyBorder="0" applyAlignment="0" applyProtection="0"/>
  </cellStyleXfs>
  <cellXfs count="299">
    <xf numFmtId="0" fontId="0" fillId="0" borderId="0" xfId="0"/>
    <xf numFmtId="0" fontId="6" fillId="0" borderId="0" xfId="0" applyFont="1" applyAlignment="1">
      <alignment horizontal="center" vertical="center"/>
    </xf>
    <xf numFmtId="1" fontId="7" fillId="0" borderId="4" xfId="1" applyNumberFormat="1" applyFont="1" applyBorder="1" applyAlignment="1">
      <alignment horizontal="center" vertical="top" wrapText="1"/>
    </xf>
    <xf numFmtId="0" fontId="6" fillId="0" borderId="0" xfId="1" applyFont="1" applyAlignment="1">
      <alignment horizontal="center" vertical="center"/>
    </xf>
    <xf numFmtId="1" fontId="5"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8" fillId="0" borderId="4" xfId="0" applyFont="1" applyBorder="1"/>
    <xf numFmtId="0" fontId="8" fillId="0" borderId="4" xfId="0" applyFont="1" applyBorder="1" applyAlignment="1">
      <alignment horizontal="center"/>
    </xf>
    <xf numFmtId="0" fontId="0" fillId="0" borderId="4" xfId="0" applyBorder="1"/>
    <xf numFmtId="0" fontId="9" fillId="0" borderId="4" xfId="0" applyFont="1" applyBorder="1" applyAlignment="1">
      <alignment horizontal="center" vertical="center"/>
    </xf>
    <xf numFmtId="0" fontId="6" fillId="0" borderId="0" xfId="1" applyFont="1"/>
    <xf numFmtId="0" fontId="5" fillId="0" borderId="0" xfId="2" applyFont="1"/>
    <xf numFmtId="1" fontId="3" fillId="0" borderId="4" xfId="1" applyNumberFormat="1" applyFont="1" applyBorder="1" applyAlignment="1">
      <alignment horizontal="center" vertical="top" wrapText="1"/>
    </xf>
    <xf numFmtId="0" fontId="6" fillId="0" borderId="0" xfId="0" applyFont="1"/>
    <xf numFmtId="0" fontId="7" fillId="0" borderId="0" xfId="1" applyFont="1" applyAlignment="1">
      <alignment vertical="top"/>
    </xf>
    <xf numFmtId="0" fontId="7" fillId="0" borderId="0" xfId="1" applyFont="1" applyAlignment="1">
      <alignment vertical="top" wrapText="1"/>
    </xf>
    <xf numFmtId="0" fontId="9" fillId="0" borderId="0" xfId="1" applyFont="1"/>
    <xf numFmtId="0" fontId="5" fillId="2" borderId="4" xfId="1" applyFont="1" applyFill="1" applyBorder="1" applyAlignment="1">
      <alignment horizontal="left" vertical="top"/>
    </xf>
    <xf numFmtId="0" fontId="15" fillId="0" borderId="0" xfId="0" applyFont="1"/>
    <xf numFmtId="0" fontId="15" fillId="0" borderId="4" xfId="0" applyFont="1" applyBorder="1"/>
    <xf numFmtId="0" fontId="16" fillId="0" borderId="4" xfId="0" applyFont="1" applyBorder="1" applyAlignment="1">
      <alignment horizontal="center"/>
    </xf>
    <xf numFmtId="0" fontId="16" fillId="0" borderId="0" xfId="0" applyFont="1" applyAlignment="1">
      <alignment horizontal="center"/>
    </xf>
    <xf numFmtId="0" fontId="15" fillId="3" borderId="4" xfId="0" applyFont="1" applyFill="1" applyBorder="1"/>
    <xf numFmtId="0" fontId="15" fillId="0" borderId="4" xfId="0" applyFont="1" applyBorder="1" applyAlignment="1">
      <alignment horizontal="center"/>
    </xf>
    <xf numFmtId="0" fontId="15" fillId="3" borderId="4" xfId="0" applyFont="1" applyFill="1" applyBorder="1" applyAlignment="1">
      <alignment horizontal="center"/>
    </xf>
    <xf numFmtId="9" fontId="15" fillId="0" borderId="0" xfId="4" applyFont="1" applyBorder="1"/>
    <xf numFmtId="0" fontId="14" fillId="0" borderId="4" xfId="0" applyFont="1" applyBorder="1" applyAlignment="1">
      <alignment horizontal="center"/>
    </xf>
    <xf numFmtId="0" fontId="15" fillId="0" borderId="0" xfId="0" applyFont="1" applyAlignment="1">
      <alignment wrapText="1"/>
    </xf>
    <xf numFmtId="0" fontId="15" fillId="0" borderId="13" xfId="0" applyFont="1" applyBorder="1"/>
    <xf numFmtId="0" fontId="15" fillId="0" borderId="4" xfId="0" applyFont="1" applyBorder="1" applyAlignment="1">
      <alignment wrapText="1"/>
    </xf>
    <xf numFmtId="9" fontId="15" fillId="0" borderId="4" xfId="4" applyFont="1" applyBorder="1"/>
    <xf numFmtId="9" fontId="15" fillId="0" borderId="0" xfId="0" applyNumberFormat="1" applyFont="1"/>
    <xf numFmtId="0" fontId="15" fillId="0" borderId="0" xfId="0" applyFont="1" applyAlignment="1">
      <alignment horizontal="right"/>
    </xf>
    <xf numFmtId="0" fontId="12" fillId="2" borderId="4" xfId="1" applyFont="1" applyFill="1" applyBorder="1" applyAlignment="1">
      <alignment vertical="top"/>
    </xf>
    <xf numFmtId="0" fontId="12" fillId="0" borderId="0" xfId="1" applyFont="1"/>
    <xf numFmtId="0" fontId="13" fillId="0" borderId="0" xfId="1" applyFont="1" applyAlignment="1">
      <alignment horizontal="center" vertical="top" wrapText="1"/>
    </xf>
    <xf numFmtId="43" fontId="0" fillId="0" borderId="4" xfId="5" applyFont="1" applyBorder="1"/>
    <xf numFmtId="1" fontId="7" fillId="0" borderId="1" xfId="1" applyNumberFormat="1" applyFont="1" applyBorder="1" applyAlignment="1">
      <alignment horizontal="center" vertical="top" wrapText="1"/>
    </xf>
    <xf numFmtId="0" fontId="9" fillId="0" borderId="0" xfId="0" applyFont="1" applyAlignment="1">
      <alignment horizontal="center" vertical="center"/>
    </xf>
    <xf numFmtId="0" fontId="6" fillId="0" borderId="19" xfId="1" applyFont="1" applyBorder="1" applyProtection="1">
      <protection hidden="1"/>
    </xf>
    <xf numFmtId="0" fontId="6" fillId="0" borderId="20" xfId="1" applyFont="1" applyBorder="1" applyProtection="1">
      <protection hidden="1"/>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0" xfId="1" applyFont="1" applyProtection="1">
      <protection hidden="1"/>
    </xf>
    <xf numFmtId="0" fontId="6" fillId="0" borderId="23" xfId="1" applyFont="1" applyBorder="1" applyProtection="1">
      <protection hidden="1"/>
    </xf>
    <xf numFmtId="0" fontId="15" fillId="0" borderId="0" xfId="0" applyFont="1" applyProtection="1">
      <protection hidden="1"/>
    </xf>
    <xf numFmtId="0" fontId="6" fillId="0" borderId="23" xfId="1" applyFont="1" applyBorder="1"/>
    <xf numFmtId="0" fontId="15"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5" fillId="0" borderId="32" xfId="0" applyFont="1" applyBorder="1" applyProtection="1">
      <protection hidden="1"/>
    </xf>
    <xf numFmtId="1" fontId="0" fillId="0" borderId="33" xfId="0" applyNumberFormat="1" applyBorder="1"/>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0" fontId="12" fillId="0" borderId="28" xfId="1" applyFont="1" applyBorder="1" applyAlignment="1" applyProtection="1">
      <alignment horizontal="center" wrapText="1"/>
      <protection locked="0"/>
    </xf>
    <xf numFmtId="1" fontId="12" fillId="0" borderId="4" xfId="1" applyNumberFormat="1" applyFont="1" applyBorder="1" applyAlignment="1">
      <alignment horizontal="center" vertical="center" wrapText="1"/>
    </xf>
    <xf numFmtId="1" fontId="6" fillId="0" borderId="4" xfId="0" applyNumberFormat="1" applyFont="1" applyBorder="1" applyAlignment="1">
      <alignment horizontal="center" vertical="center"/>
    </xf>
    <xf numFmtId="1" fontId="5" fillId="0" borderId="1" xfId="1" applyNumberFormat="1" applyFont="1" applyBorder="1" applyAlignment="1">
      <alignment horizontal="center" vertical="center" wrapText="1"/>
    </xf>
    <xf numFmtId="1" fontId="6" fillId="0" borderId="0" xfId="1" applyNumberFormat="1" applyFont="1" applyAlignment="1">
      <alignment horizontal="center" vertical="center"/>
    </xf>
    <xf numFmtId="1" fontId="9" fillId="0" borderId="4"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5" fillId="0" borderId="1" xfId="1" applyFont="1" applyBorder="1" applyAlignment="1">
      <alignment horizontal="lef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1" fontId="5" fillId="0" borderId="3" xfId="0" applyNumberFormat="1" applyFont="1" applyBorder="1" applyAlignment="1">
      <alignment horizontal="center" vertical="center" wrapText="1"/>
    </xf>
    <xf numFmtId="1" fontId="5" fillId="0" borderId="34" xfId="0" applyNumberFormat="1" applyFont="1" applyBorder="1" applyAlignment="1">
      <alignment horizontal="center" vertical="center" wrapText="1"/>
    </xf>
    <xf numFmtId="0" fontId="12" fillId="2" borderId="1" xfId="1" applyFont="1" applyFill="1" applyBorder="1" applyAlignment="1">
      <alignment horizontal="left" vertical="top"/>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0" fontId="12" fillId="2" borderId="1" xfId="1" applyFont="1" applyFill="1" applyBorder="1" applyAlignment="1">
      <alignment horizontal="left" vertical="top"/>
    </xf>
    <xf numFmtId="0" fontId="12" fillId="2" borderId="2" xfId="1" applyFont="1" applyFill="1" applyBorder="1" applyAlignment="1">
      <alignment horizontal="left" vertical="top"/>
    </xf>
    <xf numFmtId="0" fontId="12" fillId="2" borderId="3" xfId="1" applyFont="1" applyFill="1" applyBorder="1" applyAlignment="1">
      <alignment horizontal="left" vertical="top"/>
    </xf>
    <xf numFmtId="0" fontId="12" fillId="0" borderId="1" xfId="1" applyFont="1" applyBorder="1" applyAlignment="1">
      <alignment horizontal="left" vertical="top"/>
    </xf>
    <xf numFmtId="0" fontId="12" fillId="0" borderId="2" xfId="1" applyFont="1" applyBorder="1" applyAlignment="1">
      <alignment horizontal="left" vertical="top"/>
    </xf>
    <xf numFmtId="0" fontId="12" fillId="0" borderId="3" xfId="1" applyFont="1" applyBorder="1" applyAlignment="1">
      <alignment horizontal="left" vertical="top"/>
    </xf>
    <xf numFmtId="2" fontId="5" fillId="0" borderId="0" xfId="1" applyNumberFormat="1" applyFont="1" applyAlignment="1">
      <alignment horizontal="left" vertical="top" wrapText="1"/>
    </xf>
    <xf numFmtId="164" fontId="5" fillId="0" borderId="0" xfId="1" applyNumberFormat="1" applyFont="1" applyAlignment="1">
      <alignment horizontal="left" vertical="top"/>
    </xf>
    <xf numFmtId="2" fontId="5" fillId="0" borderId="0" xfId="1" applyNumberFormat="1" applyFont="1" applyAlignment="1">
      <alignment horizontal="left" vertical="top"/>
    </xf>
    <xf numFmtId="0" fontId="13" fillId="0" borderId="21"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5" fillId="0" borderId="1" xfId="1" applyFont="1" applyBorder="1" applyAlignment="1">
      <alignment horizontal="left" vertical="top"/>
    </xf>
    <xf numFmtId="0" fontId="5" fillId="0" borderId="2" xfId="1" applyFont="1" applyBorder="1" applyAlignment="1">
      <alignment horizontal="left" vertical="top"/>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3" xfId="1" applyFont="1" applyBorder="1" applyAlignment="1">
      <alignment horizontal="left" vertical="top" wrapText="1"/>
    </xf>
    <xf numFmtId="0" fontId="12" fillId="0" borderId="1"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2" fillId="0" borderId="1" xfId="1" applyFont="1" applyBorder="1" applyAlignment="1">
      <alignment horizontal="left" vertical="top" wrapText="1"/>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3" fillId="2" borderId="1" xfId="1" applyFont="1" applyFill="1" applyBorder="1" applyAlignment="1">
      <alignment horizontal="left" vertical="top"/>
    </xf>
    <xf numFmtId="0" fontId="13" fillId="2" borderId="2" xfId="1" applyFont="1" applyFill="1" applyBorder="1" applyAlignment="1">
      <alignment horizontal="left" vertical="top"/>
    </xf>
    <xf numFmtId="0" fontId="13" fillId="2" borderId="3" xfId="1" applyFont="1" applyFill="1" applyBorder="1" applyAlignment="1">
      <alignment horizontal="left" vertical="top"/>
    </xf>
    <xf numFmtId="1" fontId="5" fillId="0" borderId="1" xfId="1" applyNumberFormat="1" applyFont="1" applyBorder="1" applyAlignment="1">
      <alignment horizontal="center" vertical="center" wrapText="1"/>
    </xf>
    <xf numFmtId="1" fontId="5" fillId="0" borderId="3" xfId="1" applyNumberFormat="1" applyFont="1" applyBorder="1" applyAlignment="1">
      <alignment horizontal="center"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2" fillId="0" borderId="2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3" xfId="1" applyNumberFormat="1" applyFont="1" applyFill="1" applyBorder="1" applyAlignment="1" applyProtection="1">
      <alignment horizontal="center" vertical="center" wrapText="1"/>
      <protection hidden="1"/>
    </xf>
    <xf numFmtId="0" fontId="12" fillId="0" borderId="27" xfId="1" applyFont="1" applyBorder="1" applyAlignment="1" applyProtection="1">
      <alignment horizontal="center" vertical="top" wrapText="1"/>
      <protection locked="0"/>
    </xf>
    <xf numFmtId="0" fontId="12" fillId="0" borderId="28" xfId="1" applyFont="1" applyBorder="1" applyAlignment="1" applyProtection="1">
      <alignment horizontal="center" vertical="top" wrapText="1"/>
      <protection locked="0"/>
    </xf>
    <xf numFmtId="9" fontId="12" fillId="2" borderId="29" xfId="1" applyNumberFormat="1" applyFont="1" applyFill="1" applyBorder="1" applyAlignment="1" applyProtection="1">
      <alignment horizontal="center" vertical="center" wrapText="1"/>
      <protection hidden="1"/>
    </xf>
    <xf numFmtId="9" fontId="12" fillId="2" borderId="30" xfId="1" applyNumberFormat="1" applyFont="1" applyFill="1" applyBorder="1" applyAlignment="1" applyProtection="1">
      <alignment horizontal="center" vertical="center" wrapText="1"/>
      <protection hidden="1"/>
    </xf>
    <xf numFmtId="9" fontId="12" fillId="2" borderId="4" xfId="1" applyNumberFormat="1" applyFont="1" applyFill="1" applyBorder="1" applyAlignment="1" applyProtection="1">
      <alignment horizontal="center" vertical="center" wrapText="1"/>
      <protection hidden="1"/>
    </xf>
    <xf numFmtId="9" fontId="12" fillId="2" borderId="28" xfId="1" applyNumberFormat="1" applyFont="1" applyFill="1" applyBorder="1" applyAlignment="1" applyProtection="1">
      <alignment horizontal="center" vertical="center" wrapText="1"/>
      <protection hidden="1"/>
    </xf>
    <xf numFmtId="0" fontId="7" fillId="0" borderId="1" xfId="1" applyFont="1"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2"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2" fillId="0" borderId="2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1" fontId="5" fillId="0" borderId="1"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1" fontId="5" fillId="0" borderId="5" xfId="1" applyNumberFormat="1" applyFont="1" applyBorder="1" applyAlignment="1">
      <alignment horizontal="center" vertical="center" wrapText="1"/>
    </xf>
    <xf numFmtId="1" fontId="5" fillId="0" borderId="6" xfId="1" applyNumberFormat="1" applyFont="1" applyBorder="1" applyAlignment="1">
      <alignment horizontal="center" vertical="center" wrapText="1"/>
    </xf>
    <xf numFmtId="1" fontId="5" fillId="0" borderId="7" xfId="1" applyNumberFormat="1" applyFont="1" applyBorder="1" applyAlignment="1">
      <alignment horizontal="center" vertical="center" wrapText="1"/>
    </xf>
    <xf numFmtId="1" fontId="5" fillId="0" borderId="11" xfId="1" applyNumberFormat="1" applyFont="1" applyBorder="1" applyAlignment="1">
      <alignment horizontal="center" vertical="center" wrapText="1"/>
    </xf>
    <xf numFmtId="1" fontId="5" fillId="0" borderId="0" xfId="1" applyNumberFormat="1" applyFont="1" applyAlignment="1">
      <alignment horizontal="center" vertical="center" wrapText="1"/>
    </xf>
    <xf numFmtId="1" fontId="5" fillId="0" borderId="12" xfId="1" applyNumberFormat="1" applyFont="1" applyBorder="1" applyAlignment="1">
      <alignment horizontal="center" vertical="center" wrapText="1"/>
    </xf>
    <xf numFmtId="1" fontId="5" fillId="0" borderId="8" xfId="1" applyNumberFormat="1" applyFont="1" applyBorder="1" applyAlignment="1">
      <alignment horizontal="center" vertical="center" wrapText="1"/>
    </xf>
    <xf numFmtId="1" fontId="5" fillId="0" borderId="9" xfId="1" applyNumberFormat="1" applyFont="1" applyBorder="1" applyAlignment="1">
      <alignment horizontal="center" vertical="center" wrapText="1"/>
    </xf>
    <xf numFmtId="1" fontId="5" fillId="0" borderId="10"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0" borderId="2"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1" fontId="12" fillId="0" borderId="1" xfId="1" applyNumberFormat="1" applyFont="1" applyBorder="1" applyAlignment="1">
      <alignment horizontal="center" vertical="center" wrapText="1"/>
    </xf>
    <xf numFmtId="1" fontId="12" fillId="0" borderId="3" xfId="1"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7" fillId="0" borderId="4" xfId="0" applyNumberFormat="1" applyFont="1" applyBorder="1" applyAlignment="1">
      <alignment horizontal="left" vertical="top" wrapText="1"/>
    </xf>
    <xf numFmtId="14" fontId="5" fillId="0" borderId="1" xfId="1" applyNumberFormat="1" applyFont="1" applyBorder="1" applyAlignment="1">
      <alignment horizontal="lef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5" fillId="0" borderId="1" xfId="0" applyNumberFormat="1" applyFont="1" applyBorder="1" applyAlignment="1">
      <alignment horizontal="center" vertical="top" wrapText="1"/>
    </xf>
    <xf numFmtId="1" fontId="5" fillId="0" borderId="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7" fillId="0" borderId="2" xfId="0" applyNumberFormat="1" applyFont="1" applyBorder="1" applyAlignment="1">
      <alignment horizontal="center" vertical="center" wrapText="1"/>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5" fillId="0" borderId="3" xfId="1" applyFont="1" applyBorder="1" applyAlignment="1">
      <alignment horizontal="left" vertical="top"/>
    </xf>
    <xf numFmtId="0" fontId="13" fillId="0" borderId="1" xfId="1" applyFont="1" applyBorder="1" applyAlignment="1">
      <alignment horizontal="left" vertical="top"/>
    </xf>
    <xf numFmtId="0" fontId="13" fillId="0" borderId="3" xfId="1" applyFont="1" applyBorder="1" applyAlignment="1">
      <alignment horizontal="left" vertical="top"/>
    </xf>
    <xf numFmtId="0" fontId="12" fillId="2" borderId="1" xfId="1"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3" xfId="1" applyFont="1" applyFill="1" applyBorder="1" applyAlignment="1">
      <alignment horizontal="left" vertical="top" wrapText="1"/>
    </xf>
    <xf numFmtId="1" fontId="6" fillId="0" borderId="1"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13" fillId="0" borderId="2" xfId="1" applyFont="1" applyBorder="1" applyAlignment="1">
      <alignment horizontal="left" vertical="top"/>
    </xf>
    <xf numFmtId="1" fontId="5" fillId="0" borderId="2" xfId="1" applyNumberFormat="1" applyFont="1" applyBorder="1" applyAlignment="1">
      <alignment horizontal="center" vertical="center" wrapText="1"/>
    </xf>
    <xf numFmtId="2" fontId="5" fillId="0" borderId="1" xfId="1" applyNumberFormat="1" applyFont="1" applyBorder="1" applyAlignment="1">
      <alignment horizontal="left" vertical="top" wrapText="1"/>
    </xf>
    <xf numFmtId="2" fontId="5" fillId="0" borderId="2" xfId="1" applyNumberFormat="1" applyFont="1" applyBorder="1" applyAlignment="1">
      <alignment horizontal="left" vertical="top" wrapText="1"/>
    </xf>
    <xf numFmtId="2" fontId="5" fillId="0" borderId="3" xfId="1" applyNumberFormat="1" applyFont="1" applyBorder="1" applyAlignment="1">
      <alignment horizontal="left" vertical="top"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 xfId="1" applyFont="1" applyFill="1" applyBorder="1" applyAlignment="1">
      <alignment horizontal="left" vertical="top" wrapText="1"/>
    </xf>
    <xf numFmtId="164" fontId="5" fillId="0" borderId="1" xfId="1" applyNumberFormat="1" applyFont="1" applyBorder="1" applyAlignment="1">
      <alignment horizontal="left" vertical="top"/>
    </xf>
    <xf numFmtId="164" fontId="5" fillId="0" borderId="2" xfId="1" applyNumberFormat="1" applyFont="1" applyBorder="1" applyAlignment="1">
      <alignment horizontal="left" vertical="top"/>
    </xf>
    <xf numFmtId="164" fontId="5" fillId="0" borderId="3" xfId="1" applyNumberFormat="1" applyFont="1" applyBorder="1" applyAlignment="1">
      <alignment horizontal="left" vertical="top"/>
    </xf>
    <xf numFmtId="2" fontId="5" fillId="0" borderId="1" xfId="1" applyNumberFormat="1" applyFont="1" applyBorder="1" applyAlignment="1">
      <alignment horizontal="left" vertical="top"/>
    </xf>
    <xf numFmtId="2" fontId="5" fillId="0" borderId="2" xfId="1" applyNumberFormat="1" applyFont="1" applyBorder="1" applyAlignment="1">
      <alignment horizontal="left" vertical="top"/>
    </xf>
    <xf numFmtId="2" fontId="5" fillId="0" borderId="3" xfId="1" applyNumberFormat="1" applyFont="1" applyBorder="1" applyAlignment="1">
      <alignment horizontal="left" vertical="top"/>
    </xf>
    <xf numFmtId="0" fontId="12" fillId="0" borderId="5" xfId="1" applyFont="1" applyBorder="1" applyAlignment="1">
      <alignment horizontal="left" vertical="top" wrapText="1"/>
    </xf>
    <xf numFmtId="0" fontId="12" fillId="0" borderId="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8" xfId="1" applyFont="1" applyBorder="1" applyAlignment="1">
      <alignment horizontal="left" vertical="top" wrapText="1"/>
    </xf>
    <xf numFmtId="0" fontId="12" fillId="0" borderId="10" xfId="1" applyFont="1" applyBorder="1" applyAlignment="1">
      <alignment horizontal="left" vertical="top" wrapText="1"/>
    </xf>
    <xf numFmtId="0" fontId="12" fillId="0" borderId="4" xfId="1" applyFont="1" applyBorder="1" applyAlignment="1">
      <alignment horizontal="left" vertical="top"/>
    </xf>
    <xf numFmtId="0" fontId="5" fillId="0" borderId="5" xfId="1" applyFont="1" applyBorder="1" applyAlignment="1">
      <alignment horizontal="left" vertical="top" wrapText="1"/>
    </xf>
    <xf numFmtId="0" fontId="5" fillId="0" borderId="7" xfId="1" applyFont="1" applyBorder="1" applyAlignment="1">
      <alignment horizontal="left" vertical="top" wrapText="1"/>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5" fillId="0" borderId="4" xfId="1" applyFont="1" applyBorder="1" applyAlignment="1">
      <alignment horizontal="left" vertical="top"/>
    </xf>
    <xf numFmtId="0" fontId="12" fillId="0" borderId="4" xfId="1" applyFont="1" applyBorder="1" applyAlignment="1">
      <alignment horizontal="left"/>
    </xf>
    <xf numFmtId="0" fontId="11" fillId="0" borderId="1" xfId="1" applyFont="1" applyBorder="1" applyAlignment="1">
      <alignment horizontal="center" vertical="top" wrapText="1"/>
    </xf>
    <xf numFmtId="0" fontId="11" fillId="0" borderId="2" xfId="1" applyFont="1" applyBorder="1" applyAlignment="1">
      <alignment horizontal="center" vertical="top" wrapText="1"/>
    </xf>
    <xf numFmtId="0" fontId="11" fillId="0" borderId="3" xfId="1" applyFont="1" applyBorder="1" applyAlignment="1">
      <alignment horizontal="center" vertical="top" wrapText="1"/>
    </xf>
    <xf numFmtId="14" fontId="5" fillId="0" borderId="1" xfId="1" applyNumberFormat="1" applyFont="1" applyBorder="1" applyAlignment="1">
      <alignment horizontal="left" vertical="top"/>
    </xf>
    <xf numFmtId="14" fontId="5" fillId="0" borderId="2" xfId="1" applyNumberFormat="1" applyFont="1" applyBorder="1" applyAlignment="1">
      <alignment horizontal="left" vertical="top"/>
    </xf>
    <xf numFmtId="14" fontId="5" fillId="0" borderId="3" xfId="1" applyNumberFormat="1" applyFont="1" applyBorder="1" applyAlignment="1">
      <alignment horizontal="left" vertical="top"/>
    </xf>
    <xf numFmtId="0" fontId="6" fillId="0" borderId="1"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6" fillId="0" borderId="3" xfId="1" applyFont="1" applyBorder="1" applyAlignment="1" applyProtection="1">
      <alignment horizontal="left" vertical="center" wrapText="1"/>
      <protection locked="0"/>
    </xf>
    <xf numFmtId="14" fontId="12" fillId="0" borderId="1" xfId="1" applyNumberFormat="1" applyFont="1" applyBorder="1" applyAlignment="1">
      <alignment horizontal="left" vertical="top"/>
    </xf>
    <xf numFmtId="14" fontId="12" fillId="0" borderId="2" xfId="1" applyNumberFormat="1" applyFont="1" applyBorder="1" applyAlignment="1">
      <alignment horizontal="left" vertical="top"/>
    </xf>
    <xf numFmtId="14" fontId="12" fillId="0" borderId="3" xfId="1" applyNumberFormat="1" applyFont="1" applyBorder="1" applyAlignment="1">
      <alignment horizontal="left" vertical="top"/>
    </xf>
    <xf numFmtId="0" fontId="5" fillId="0" borderId="1" xfId="1" applyFont="1" applyBorder="1" applyAlignment="1">
      <alignment horizontal="center" vertical="top"/>
    </xf>
    <xf numFmtId="0" fontId="5" fillId="0" borderId="3" xfId="1" applyFont="1" applyBorder="1" applyAlignment="1">
      <alignment horizontal="center" vertical="top"/>
    </xf>
    <xf numFmtId="0" fontId="5" fillId="0" borderId="1" xfId="1" applyFont="1" applyBorder="1" applyAlignment="1">
      <alignment horizontal="center" vertical="top" wrapText="1"/>
    </xf>
    <xf numFmtId="0" fontId="5" fillId="0" borderId="3" xfId="1" applyFont="1" applyBorder="1" applyAlignment="1">
      <alignment horizontal="center"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19" fillId="0" borderId="1" xfId="6" applyFill="1" applyBorder="1" applyAlignment="1">
      <alignment horizontal="left"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5" fillId="2" borderId="4" xfId="1" applyFont="1" applyFill="1" applyBorder="1" applyAlignment="1">
      <alignment horizontal="left" vertical="top"/>
    </xf>
    <xf numFmtId="0" fontId="5" fillId="0" borderId="4"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5" fillId="0" borderId="6"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9" xfId="1" applyFont="1" applyBorder="1" applyAlignment="1">
      <alignment horizontal="left" vertical="top"/>
    </xf>
    <xf numFmtId="0" fontId="5" fillId="0" borderId="10" xfId="1" applyFont="1" applyBorder="1" applyAlignment="1">
      <alignment horizontal="left" vertical="top"/>
    </xf>
    <xf numFmtId="0" fontId="12" fillId="0" borderId="6" xfId="1" applyFont="1" applyBorder="1" applyAlignment="1">
      <alignment horizontal="left" vertical="top" wrapText="1"/>
    </xf>
    <xf numFmtId="0" fontId="12" fillId="0" borderId="9" xfId="1" applyFont="1" applyBorder="1" applyAlignment="1">
      <alignment horizontal="left" vertical="top" wrapText="1"/>
    </xf>
    <xf numFmtId="0" fontId="13" fillId="0" borderId="5" xfId="1" applyFont="1" applyBorder="1" applyAlignment="1">
      <alignment horizontal="center" vertical="top" wrapText="1"/>
    </xf>
    <xf numFmtId="0" fontId="13" fillId="0" borderId="6" xfId="1" applyFont="1" applyBorder="1" applyAlignment="1">
      <alignment horizontal="center" vertical="top" wrapText="1"/>
    </xf>
    <xf numFmtId="0" fontId="13" fillId="0" borderId="7" xfId="1" applyFont="1" applyBorder="1" applyAlignment="1">
      <alignment horizontal="center" vertical="top" wrapText="1"/>
    </xf>
    <xf numFmtId="0" fontId="13" fillId="0" borderId="11" xfId="1" applyFont="1" applyBorder="1" applyAlignment="1">
      <alignment horizontal="center" vertical="top" wrapText="1"/>
    </xf>
    <xf numFmtId="0" fontId="13" fillId="0" borderId="0" xfId="1" applyFont="1" applyAlignment="1">
      <alignment horizontal="center" vertical="top" wrapText="1"/>
    </xf>
    <xf numFmtId="0" fontId="13" fillId="0" borderId="12" xfId="1" applyFont="1" applyBorder="1" applyAlignment="1">
      <alignment horizontal="center" vertical="top" wrapText="1"/>
    </xf>
    <xf numFmtId="0" fontId="13" fillId="0" borderId="8" xfId="1" applyFont="1" applyBorder="1" applyAlignment="1">
      <alignment horizontal="center" vertical="top" wrapText="1"/>
    </xf>
    <xf numFmtId="0" fontId="13" fillId="0" borderId="9" xfId="1" applyFont="1" applyBorder="1" applyAlignment="1">
      <alignment horizontal="center" vertical="top" wrapText="1"/>
    </xf>
    <xf numFmtId="0" fontId="13" fillId="0" borderId="10" xfId="1" applyFont="1" applyBorder="1" applyAlignment="1">
      <alignment horizontal="center" vertical="top" wrapText="1"/>
    </xf>
    <xf numFmtId="0" fontId="17" fillId="0" borderId="4" xfId="1" applyFont="1" applyBorder="1" applyAlignment="1">
      <alignment horizontal="center" vertical="top" wrapText="1"/>
    </xf>
    <xf numFmtId="0" fontId="13" fillId="0" borderId="4" xfId="2" applyFont="1" applyBorder="1" applyAlignment="1">
      <alignment horizontal="left" vertical="top" wrapText="1"/>
    </xf>
    <xf numFmtId="0" fontId="5" fillId="0" borderId="1" xfId="1" applyFont="1" applyBorder="1" applyAlignment="1">
      <alignment vertical="top"/>
    </xf>
    <xf numFmtId="0" fontId="5" fillId="0" borderId="2" xfId="1" applyFont="1" applyBorder="1" applyAlignment="1">
      <alignment vertical="top"/>
    </xf>
    <xf numFmtId="0" fontId="5" fillId="0" borderId="3" xfId="1" applyFont="1" applyBorder="1" applyAlignment="1">
      <alignment vertical="top"/>
    </xf>
    <xf numFmtId="1" fontId="7" fillId="0" borderId="1" xfId="1" applyNumberFormat="1" applyFont="1" applyBorder="1" applyAlignment="1">
      <alignment horizontal="center" vertical="top" wrapText="1"/>
    </xf>
    <xf numFmtId="1" fontId="7" fillId="0" borderId="3" xfId="1" applyNumberFormat="1" applyFont="1" applyBorder="1" applyAlignment="1">
      <alignment horizontal="center" vertical="top" wrapText="1"/>
    </xf>
    <xf numFmtId="1" fontId="7" fillId="0" borderId="2" xfId="1" applyNumberFormat="1" applyFont="1" applyBorder="1" applyAlignment="1">
      <alignment horizontal="center" vertical="top" wrapText="1"/>
    </xf>
    <xf numFmtId="1" fontId="13" fillId="0" borderId="1" xfId="1" applyNumberFormat="1" applyFont="1" applyBorder="1" applyAlignment="1">
      <alignment horizontal="center" vertical="center" wrapText="1"/>
    </xf>
    <xf numFmtId="1" fontId="13" fillId="0" borderId="2" xfId="1" applyNumberFormat="1" applyFont="1" applyBorder="1" applyAlignment="1">
      <alignment horizontal="center" vertical="center" wrapText="1"/>
    </xf>
    <xf numFmtId="1" fontId="13" fillId="0" borderId="3" xfId="1" applyNumberFormat="1" applyFont="1" applyBorder="1" applyAlignment="1">
      <alignment horizontal="center" vertical="center" wrapText="1"/>
    </xf>
    <xf numFmtId="1" fontId="5" fillId="0" borderId="4" xfId="1" applyNumberFormat="1" applyFont="1" applyBorder="1" applyAlignment="1">
      <alignment horizontal="center" vertical="center" wrapText="1"/>
    </xf>
    <xf numFmtId="1" fontId="12" fillId="0" borderId="5" xfId="1" applyNumberFormat="1" applyFont="1" applyBorder="1" applyAlignment="1">
      <alignment horizontal="center" vertical="center" wrapText="1"/>
    </xf>
    <xf numFmtId="1" fontId="12" fillId="0" borderId="6" xfId="1" applyNumberFormat="1" applyFont="1" applyBorder="1" applyAlignment="1">
      <alignment horizontal="center" vertical="center" wrapText="1"/>
    </xf>
    <xf numFmtId="1" fontId="12" fillId="0" borderId="7" xfId="1" applyNumberFormat="1" applyFont="1" applyBorder="1" applyAlignment="1">
      <alignment horizontal="center" vertical="center" wrapText="1"/>
    </xf>
    <xf numFmtId="1" fontId="12" fillId="0" borderId="11" xfId="1" applyNumberFormat="1" applyFont="1" applyBorder="1" applyAlignment="1">
      <alignment horizontal="center" vertical="center" wrapText="1"/>
    </xf>
    <xf numFmtId="1" fontId="12" fillId="0" borderId="0" xfId="1" applyNumberFormat="1" applyFont="1" applyAlignment="1">
      <alignment horizontal="center" vertical="center" wrapText="1"/>
    </xf>
    <xf numFmtId="1" fontId="12" fillId="0" borderId="12" xfId="1" applyNumberFormat="1" applyFont="1" applyBorder="1" applyAlignment="1">
      <alignment horizontal="center" vertical="center" wrapText="1"/>
    </xf>
    <xf numFmtId="1" fontId="12" fillId="0" borderId="8" xfId="1" applyNumberFormat="1" applyFont="1" applyBorder="1" applyAlignment="1">
      <alignment horizontal="center" vertical="center" wrapText="1"/>
    </xf>
    <xf numFmtId="1" fontId="12" fillId="0" borderId="9" xfId="1" applyNumberFormat="1" applyFont="1" applyBorder="1" applyAlignment="1">
      <alignment horizontal="center" vertical="center" wrapText="1"/>
    </xf>
    <xf numFmtId="1" fontId="12" fillId="0" borderId="10" xfId="1" applyNumberFormat="1" applyFont="1" applyBorder="1" applyAlignment="1">
      <alignment horizontal="center" vertical="center" wrapText="1"/>
    </xf>
    <xf numFmtId="0" fontId="12" fillId="0" borderId="22" xfId="1" applyFont="1" applyBorder="1" applyAlignment="1" applyProtection="1">
      <alignment horizontal="center" vertical="top"/>
      <protection locked="0"/>
    </xf>
    <xf numFmtId="14" fontId="5" fillId="0" borderId="1" xfId="1" applyNumberFormat="1" applyFont="1" applyBorder="1" applyAlignment="1">
      <alignment horizontal="center" vertical="top"/>
    </xf>
    <xf numFmtId="14" fontId="5" fillId="0" borderId="3" xfId="1" applyNumberFormat="1" applyFont="1" applyBorder="1" applyAlignment="1">
      <alignment horizontal="center" vertical="top"/>
    </xf>
    <xf numFmtId="14" fontId="6" fillId="0" borderId="1" xfId="1" applyNumberFormat="1" applyFont="1" applyBorder="1" applyAlignment="1">
      <alignment horizontal="left" vertical="top" wrapText="1"/>
    </xf>
    <xf numFmtId="14" fontId="6" fillId="0" borderId="2" xfId="1" applyNumberFormat="1" applyFont="1" applyBorder="1" applyAlignment="1">
      <alignment horizontal="left" vertical="top" wrapText="1"/>
    </xf>
    <xf numFmtId="14" fontId="6" fillId="0" borderId="3" xfId="1" applyNumberFormat="1" applyFont="1" applyBorder="1" applyAlignment="1">
      <alignment horizontal="left" vertical="top" wrapText="1"/>
    </xf>
    <xf numFmtId="0" fontId="12" fillId="0" borderId="25" xfId="1" applyFont="1" applyBorder="1" applyAlignment="1" applyProtection="1">
      <alignment horizontal="center" vertical="top" wrapText="1"/>
      <protection locked="0"/>
    </xf>
    <xf numFmtId="9" fontId="12" fillId="2" borderId="5"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26" xfId="1" applyNumberFormat="1" applyFont="1" applyFill="1" applyBorder="1" applyAlignment="1" applyProtection="1">
      <alignment horizontal="center" vertical="center" wrapText="1"/>
      <protection hidden="1"/>
    </xf>
    <xf numFmtId="9" fontId="12" fillId="2" borderId="11" xfId="1" applyNumberFormat="1" applyFont="1" applyFill="1" applyBorder="1" applyAlignment="1" applyProtection="1">
      <alignment horizontal="center" vertical="center" wrapText="1"/>
      <protection hidden="1"/>
    </xf>
    <xf numFmtId="9" fontId="12" fillId="2" borderId="0" xfId="1" applyNumberFormat="1" applyFont="1" applyFill="1" applyAlignment="1" applyProtection="1">
      <alignment horizontal="center" vertical="center" wrapText="1"/>
      <protection hidden="1"/>
    </xf>
    <xf numFmtId="9" fontId="12" fillId="2" borderId="23" xfId="1" applyNumberFormat="1" applyFont="1" applyFill="1" applyBorder="1" applyAlignment="1" applyProtection="1">
      <alignment horizontal="center" vertical="center" wrapText="1"/>
      <protection hidden="1"/>
    </xf>
    <xf numFmtId="9" fontId="12" fillId="2" borderId="31" xfId="1" applyNumberFormat="1" applyFont="1" applyFill="1" applyBorder="1" applyAlignment="1" applyProtection="1">
      <alignment horizontal="center" vertical="center" wrapText="1"/>
      <protection hidden="1"/>
    </xf>
    <xf numFmtId="9" fontId="12" fillId="2" borderId="32" xfId="1" applyNumberFormat="1" applyFont="1" applyFill="1" applyBorder="1" applyAlignment="1" applyProtection="1">
      <alignment horizontal="center" vertical="center" wrapText="1"/>
      <protection hidden="1"/>
    </xf>
    <xf numFmtId="9" fontId="12" fillId="2" borderId="33" xfId="1" applyNumberFormat="1" applyFont="1" applyFill="1" applyBorder="1" applyAlignment="1" applyProtection="1">
      <alignment horizontal="center" vertical="center" wrapText="1"/>
      <protection hidden="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13" fillId="0" borderId="14" xfId="1" applyFont="1" applyBorder="1" applyAlignment="1" applyProtection="1">
      <alignment horizontal="center" vertical="top" wrapText="1"/>
      <protection locked="0"/>
    </xf>
    <xf numFmtId="0" fontId="13" fillId="0" borderId="15"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0" fontId="12" fillId="0" borderId="3" xfId="1" applyFont="1" applyBorder="1" applyAlignment="1" applyProtection="1">
      <alignment horizontal="center" vertical="top" wrapText="1"/>
      <protection locked="0"/>
    </xf>
    <xf numFmtId="1" fontId="6" fillId="0" borderId="1" xfId="0" applyNumberFormat="1" applyFont="1" applyBorder="1" applyAlignment="1">
      <alignment horizontal="center" vertical="center"/>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1" fontId="5" fillId="0" borderId="4" xfId="0" applyNumberFormat="1" applyFont="1" applyBorder="1" applyAlignment="1">
      <alignment horizontal="center" vertical="center" wrapText="1"/>
    </xf>
    <xf numFmtId="0" fontId="15" fillId="0" borderId="4" xfId="0" applyFont="1" applyBorder="1" applyAlignment="1">
      <alignment horizontal="center"/>
    </xf>
    <xf numFmtId="0" fontId="15" fillId="3" borderId="4" xfId="0" applyFont="1" applyFill="1" applyBorder="1" applyAlignment="1">
      <alignment horizontal="center"/>
    </xf>
    <xf numFmtId="0" fontId="15" fillId="0" borderId="4" xfId="0" applyFont="1" applyBorder="1" applyAlignment="1">
      <alignment horizontal="left"/>
    </xf>
    <xf numFmtId="0" fontId="14" fillId="0" borderId="4" xfId="0" applyFont="1" applyBorder="1" applyAlignment="1">
      <alignment horizontal="center"/>
    </xf>
    <xf numFmtId="0" fontId="0" fillId="3" borderId="4" xfId="0" applyFill="1" applyBorder="1" applyAlignment="1">
      <alignment horizontal="center" wrapText="1"/>
    </xf>
    <xf numFmtId="0" fontId="8" fillId="0" borderId="4" xfId="0" applyFont="1" applyBorder="1" applyAlignment="1">
      <alignment horizontal="center"/>
    </xf>
  </cellXfs>
  <cellStyles count="7">
    <cellStyle name="Comma" xfId="5" builtinId="3"/>
    <cellStyle name="Excel Built-in Normal" xfId="2" xr:uid="{00000000-0005-0000-0000-000001000000}"/>
    <cellStyle name="Hyperlink" xfId="6" builtinId="8"/>
    <cellStyle name="Normal" xfId="0" builtinId="0"/>
    <cellStyle name="Normal 2" xfId="3" xr:uid="{00000000-0005-0000-0000-000004000000}"/>
    <cellStyle name="Normal 3" xfId="1" xr:uid="{00000000-0005-0000-0000-000005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1.png"/><Relationship Id="rId47" Type="http://schemas.openxmlformats.org/officeDocument/2006/relationships/image" Target="../media/image45.jpeg"/><Relationship Id="rId50" Type="http://schemas.openxmlformats.org/officeDocument/2006/relationships/image" Target="../media/image48.jpeg"/><Relationship Id="rId55" Type="http://schemas.openxmlformats.org/officeDocument/2006/relationships/image" Target="../media/image53.jp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microsoft.com/office/2007/relationships/hdphoto" Target="../media/hdphoto1.wdp"/><Relationship Id="rId45" Type="http://schemas.openxmlformats.org/officeDocument/2006/relationships/image" Target="../media/image43.jpeg"/><Relationship Id="rId53" Type="http://schemas.openxmlformats.org/officeDocument/2006/relationships/image" Target="../media/image51.jp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2.jpeg"/><Relationship Id="rId52" Type="http://schemas.openxmlformats.org/officeDocument/2006/relationships/image" Target="../media/image50.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microsoft.com/office/2007/relationships/hdphoto" Target="../media/hdphoto2.wdp"/><Relationship Id="rId48" Type="http://schemas.openxmlformats.org/officeDocument/2006/relationships/image" Target="../media/image46.jpeg"/><Relationship Id="rId56" Type="http://schemas.openxmlformats.org/officeDocument/2006/relationships/image" Target="../media/image54.jpg"/><Relationship Id="rId8" Type="http://schemas.openxmlformats.org/officeDocument/2006/relationships/image" Target="../media/image8.png"/><Relationship Id="rId51" Type="http://schemas.openxmlformats.org/officeDocument/2006/relationships/image" Target="../media/image49.jp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4.jpeg"/><Relationship Id="rId20" Type="http://schemas.openxmlformats.org/officeDocument/2006/relationships/image" Target="../media/image20.png"/><Relationship Id="rId41" Type="http://schemas.openxmlformats.org/officeDocument/2006/relationships/image" Target="../media/image40.png"/><Relationship Id="rId54" Type="http://schemas.openxmlformats.org/officeDocument/2006/relationships/image" Target="../media/image52.jp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0.png"/><Relationship Id="rId2" Type="http://schemas.openxmlformats.org/officeDocument/2006/relationships/image" Target="../media/image59.png"/><Relationship Id="rId1" Type="http://schemas.openxmlformats.org/officeDocument/2006/relationships/image" Target="../media/image58.png"/><Relationship Id="rId5" Type="http://schemas.openxmlformats.org/officeDocument/2006/relationships/image" Target="../media/image62.png"/><Relationship Id="rId4" Type="http://schemas.openxmlformats.org/officeDocument/2006/relationships/image" Target="../media/image61.png"/></Relationships>
</file>

<file path=xl/drawings/_rels/drawing4.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 Id="rId4" Type="http://schemas.openxmlformats.org/officeDocument/2006/relationships/image" Target="../media/image6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6.png"/><Relationship Id="rId1" Type="http://schemas.openxmlformats.org/officeDocument/2006/relationships/image" Target="../media/image55.png"/></Relationships>
</file>

<file path=xl/drawings/drawing1.xml><?xml version="1.0" encoding="utf-8"?>
<xdr:wsDr xmlns:xdr="http://schemas.openxmlformats.org/drawingml/2006/spreadsheetDrawing" xmlns:a="http://schemas.openxmlformats.org/drawingml/2006/main">
  <xdr:twoCellAnchor editAs="oneCell">
    <xdr:from>
      <xdr:col>1</xdr:col>
      <xdr:colOff>226111</xdr:colOff>
      <xdr:row>492</xdr:row>
      <xdr:rowOff>14406</xdr:rowOff>
    </xdr:from>
    <xdr:to>
      <xdr:col>7</xdr:col>
      <xdr:colOff>691051</xdr:colOff>
      <xdr:row>504</xdr:row>
      <xdr:rowOff>112256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98464" y="108050318"/>
          <a:ext cx="4386999" cy="2518321"/>
        </a:xfrm>
        <a:prstGeom prst="rect">
          <a:avLst/>
        </a:prstGeom>
        <a:ln>
          <a:solidFill>
            <a:sysClr val="windowText" lastClr="000000"/>
          </a:solidFill>
        </a:ln>
      </xdr:spPr>
    </xdr:pic>
    <xdr:clientData/>
  </xdr:twoCellAnchor>
  <xdr:oneCellAnchor>
    <xdr:from>
      <xdr:col>13</xdr:col>
      <xdr:colOff>238689</xdr:colOff>
      <xdr:row>344</xdr:row>
      <xdr:rowOff>189763</xdr:rowOff>
    </xdr:from>
    <xdr:ext cx="799065" cy="342786"/>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8405341" y="71743220"/>
          <a:ext cx="79906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solidFill>
                <a:srgbClr val="FF0000"/>
              </a:solidFill>
            </a:rPr>
            <a:t>Wing B</a:t>
          </a:r>
        </a:p>
      </xdr:txBody>
    </xdr:sp>
    <xdr:clientData/>
  </xdr:oneCellAnchor>
  <xdr:twoCellAnchor editAs="oneCell">
    <xdr:from>
      <xdr:col>11</xdr:col>
      <xdr:colOff>431813</xdr:colOff>
      <xdr:row>45</xdr:row>
      <xdr:rowOff>184150</xdr:rowOff>
    </xdr:from>
    <xdr:to>
      <xdr:col>19</xdr:col>
      <xdr:colOff>591016</xdr:colOff>
      <xdr:row>50</xdr:row>
      <xdr:rowOff>57088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7467613" y="10312400"/>
          <a:ext cx="5474153" cy="2556000"/>
        </a:xfrm>
        <a:prstGeom prst="rect">
          <a:avLst/>
        </a:prstGeom>
        <a:ln>
          <a:solidFill>
            <a:schemeClr val="tx1"/>
          </a:solidFill>
        </a:ln>
      </xdr:spPr>
    </xdr:pic>
    <xdr:clientData/>
  </xdr:twoCellAnchor>
  <xdr:twoCellAnchor editAs="oneCell">
    <xdr:from>
      <xdr:col>11</xdr:col>
      <xdr:colOff>609600</xdr:colOff>
      <xdr:row>40</xdr:row>
      <xdr:rowOff>47625</xdr:rowOff>
    </xdr:from>
    <xdr:to>
      <xdr:col>17</xdr:col>
      <xdr:colOff>475782</xdr:colOff>
      <xdr:row>45</xdr:row>
      <xdr:rowOff>9406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7353300" y="9277350"/>
          <a:ext cx="3742857" cy="961905"/>
        </a:xfrm>
        <a:prstGeom prst="rect">
          <a:avLst/>
        </a:prstGeom>
      </xdr:spPr>
    </xdr:pic>
    <xdr:clientData/>
  </xdr:twoCellAnchor>
  <xdr:twoCellAnchor editAs="oneCell">
    <xdr:from>
      <xdr:col>11</xdr:col>
      <xdr:colOff>171450</xdr:colOff>
      <xdr:row>301</xdr:row>
      <xdr:rowOff>161925</xdr:rowOff>
    </xdr:from>
    <xdr:to>
      <xdr:col>15</xdr:col>
      <xdr:colOff>409213</xdr:colOff>
      <xdr:row>314</xdr:row>
      <xdr:rowOff>161599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6915150" y="62207775"/>
          <a:ext cx="2895238" cy="2600000"/>
        </a:xfrm>
        <a:prstGeom prst="rect">
          <a:avLst/>
        </a:prstGeom>
      </xdr:spPr>
    </xdr:pic>
    <xdr:clientData/>
  </xdr:twoCellAnchor>
  <xdr:twoCellAnchor editAs="oneCell">
    <xdr:from>
      <xdr:col>13</xdr:col>
      <xdr:colOff>76200</xdr:colOff>
      <xdr:row>304</xdr:row>
      <xdr:rowOff>85725</xdr:rowOff>
    </xdr:from>
    <xdr:to>
      <xdr:col>17</xdr:col>
      <xdr:colOff>218752</xdr:colOff>
      <xdr:row>311</xdr:row>
      <xdr:rowOff>9360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a:off x="8258175" y="62731650"/>
          <a:ext cx="2580952" cy="1323810"/>
        </a:xfrm>
        <a:prstGeom prst="rect">
          <a:avLst/>
        </a:prstGeom>
      </xdr:spPr>
    </xdr:pic>
    <xdr:clientData/>
  </xdr:twoCellAnchor>
  <xdr:twoCellAnchor editAs="oneCell">
    <xdr:from>
      <xdr:col>15</xdr:col>
      <xdr:colOff>342900</xdr:colOff>
      <xdr:row>303</xdr:row>
      <xdr:rowOff>76200</xdr:rowOff>
    </xdr:from>
    <xdr:to>
      <xdr:col>19</xdr:col>
      <xdr:colOff>399738</xdr:colOff>
      <xdr:row>311</xdr:row>
      <xdr:rowOff>2009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9744075" y="62522100"/>
          <a:ext cx="2495238" cy="1523810"/>
        </a:xfrm>
        <a:prstGeom prst="rect">
          <a:avLst/>
        </a:prstGeom>
      </xdr:spPr>
    </xdr:pic>
    <xdr:clientData/>
  </xdr:twoCellAnchor>
  <xdr:twoCellAnchor editAs="oneCell">
    <xdr:from>
      <xdr:col>18</xdr:col>
      <xdr:colOff>76200</xdr:colOff>
      <xdr:row>304</xdr:row>
      <xdr:rowOff>123825</xdr:rowOff>
    </xdr:from>
    <xdr:to>
      <xdr:col>22</xdr:col>
      <xdr:colOff>113990</xdr:colOff>
      <xdr:row>310</xdr:row>
      <xdr:rowOff>180817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a:stretch>
          <a:fillRect/>
        </a:stretch>
      </xdr:blipFill>
      <xdr:spPr>
        <a:xfrm>
          <a:off x="11306175" y="62769750"/>
          <a:ext cx="2476190" cy="1257143"/>
        </a:xfrm>
        <a:prstGeom prst="rect">
          <a:avLst/>
        </a:prstGeom>
      </xdr:spPr>
    </xdr:pic>
    <xdr:clientData/>
  </xdr:twoCellAnchor>
  <xdr:twoCellAnchor editAs="oneCell">
    <xdr:from>
      <xdr:col>17</xdr:col>
      <xdr:colOff>438150</xdr:colOff>
      <xdr:row>306</xdr:row>
      <xdr:rowOff>19050</xdr:rowOff>
    </xdr:from>
    <xdr:to>
      <xdr:col>21</xdr:col>
      <xdr:colOff>447369</xdr:colOff>
      <xdr:row>316</xdr:row>
      <xdr:rowOff>85468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8"/>
        <a:stretch>
          <a:fillRect/>
        </a:stretch>
      </xdr:blipFill>
      <xdr:spPr>
        <a:xfrm>
          <a:off x="11058525" y="63065025"/>
          <a:ext cx="2447619" cy="2066667"/>
        </a:xfrm>
        <a:prstGeom prst="rect">
          <a:avLst/>
        </a:prstGeom>
      </xdr:spPr>
    </xdr:pic>
    <xdr:clientData/>
  </xdr:twoCellAnchor>
  <xdr:twoCellAnchor editAs="oneCell">
    <xdr:from>
      <xdr:col>11</xdr:col>
      <xdr:colOff>76199</xdr:colOff>
      <xdr:row>277</xdr:row>
      <xdr:rowOff>31760</xdr:rowOff>
    </xdr:from>
    <xdr:to>
      <xdr:col>15</xdr:col>
      <xdr:colOff>209161</xdr:colOff>
      <xdr:row>285</xdr:row>
      <xdr:rowOff>66448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9"/>
        <a:stretch>
          <a:fillRect/>
        </a:stretch>
      </xdr:blipFill>
      <xdr:spPr>
        <a:xfrm>
          <a:off x="6819899" y="57277010"/>
          <a:ext cx="2790437" cy="1634888"/>
        </a:xfrm>
        <a:prstGeom prst="rect">
          <a:avLst/>
        </a:prstGeom>
      </xdr:spPr>
    </xdr:pic>
    <xdr:clientData/>
  </xdr:twoCellAnchor>
  <xdr:twoCellAnchor editAs="oneCell">
    <xdr:from>
      <xdr:col>14</xdr:col>
      <xdr:colOff>0</xdr:colOff>
      <xdr:row>276</xdr:row>
      <xdr:rowOff>188251</xdr:rowOff>
    </xdr:from>
    <xdr:to>
      <xdr:col>17</xdr:col>
      <xdr:colOff>75817</xdr:colOff>
      <xdr:row>283</xdr:row>
      <xdr:rowOff>142601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0"/>
        <a:stretch>
          <a:fillRect/>
        </a:stretch>
      </xdr:blipFill>
      <xdr:spPr>
        <a:xfrm>
          <a:off x="8791575" y="57233476"/>
          <a:ext cx="1904617" cy="1354525"/>
        </a:xfrm>
        <a:prstGeom prst="rect">
          <a:avLst/>
        </a:prstGeom>
      </xdr:spPr>
    </xdr:pic>
    <xdr:clientData/>
  </xdr:twoCellAnchor>
  <xdr:twoCellAnchor editAs="oneCell">
    <xdr:from>
      <xdr:col>15</xdr:col>
      <xdr:colOff>600075</xdr:colOff>
      <xdr:row>279</xdr:row>
      <xdr:rowOff>175941</xdr:rowOff>
    </xdr:from>
    <xdr:to>
      <xdr:col>19</xdr:col>
      <xdr:colOff>361571</xdr:colOff>
      <xdr:row>290</xdr:row>
      <xdr:rowOff>16449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1"/>
        <a:stretch>
          <a:fillRect/>
        </a:stretch>
      </xdr:blipFill>
      <xdr:spPr>
        <a:xfrm>
          <a:off x="10001250" y="57821241"/>
          <a:ext cx="2199896" cy="2040784"/>
        </a:xfrm>
        <a:prstGeom prst="rect">
          <a:avLst/>
        </a:prstGeom>
      </xdr:spPr>
    </xdr:pic>
    <xdr:clientData/>
  </xdr:twoCellAnchor>
  <xdr:twoCellAnchor editAs="oneCell">
    <xdr:from>
      <xdr:col>11</xdr:col>
      <xdr:colOff>733425</xdr:colOff>
      <xdr:row>285</xdr:row>
      <xdr:rowOff>91841</xdr:rowOff>
    </xdr:from>
    <xdr:to>
      <xdr:col>15</xdr:col>
      <xdr:colOff>171062</xdr:colOff>
      <xdr:row>290</xdr:row>
      <xdr:rowOff>155388</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
        <a:stretch>
          <a:fillRect/>
        </a:stretch>
      </xdr:blipFill>
      <xdr:spPr>
        <a:xfrm>
          <a:off x="7477125" y="58937291"/>
          <a:ext cx="2095112" cy="1063673"/>
        </a:xfrm>
        <a:prstGeom prst="rect">
          <a:avLst/>
        </a:prstGeom>
      </xdr:spPr>
    </xdr:pic>
    <xdr:clientData/>
  </xdr:twoCellAnchor>
  <xdr:twoCellAnchor>
    <xdr:from>
      <xdr:col>11</xdr:col>
      <xdr:colOff>149599</xdr:colOff>
      <xdr:row>274</xdr:row>
      <xdr:rowOff>34409</xdr:rowOff>
    </xdr:from>
    <xdr:to>
      <xdr:col>14</xdr:col>
      <xdr:colOff>434948</xdr:colOff>
      <xdr:row>282</xdr:row>
      <xdr:rowOff>5847</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7083799" y="59699009"/>
          <a:ext cx="2388469" cy="1556398"/>
          <a:chOff x="4191000" y="55860433"/>
          <a:chExt cx="2333224" cy="1571638"/>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3"/>
          <a:stretch>
            <a:fillRect/>
          </a:stretch>
        </xdr:blipFill>
        <xdr:spPr>
          <a:xfrm>
            <a:off x="4191000" y="55860433"/>
            <a:ext cx="2333224" cy="1571638"/>
          </a:xfrm>
          <a:prstGeom prst="rect">
            <a:avLst/>
          </a:prstGeom>
        </xdr:spPr>
      </xdr:pic>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5705474" y="55873651"/>
            <a:ext cx="771526"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50" b="1"/>
              <a:t>Flat</a:t>
            </a:r>
            <a:r>
              <a:rPr lang="en-IN" sz="1050" b="1" baseline="0"/>
              <a:t> No. </a:t>
            </a:r>
            <a:r>
              <a:rPr lang="en-IN" sz="1100" b="1" baseline="0"/>
              <a:t>7</a:t>
            </a:r>
            <a:endParaRPr lang="en-IN" sz="1100" b="1"/>
          </a:p>
        </xdr:txBody>
      </xdr:sp>
    </xdr:grpSp>
    <xdr:clientData/>
  </xdr:twoCellAnchor>
  <xdr:twoCellAnchor>
    <xdr:from>
      <xdr:col>14</xdr:col>
      <xdr:colOff>428625</xdr:colOff>
      <xdr:row>268</xdr:row>
      <xdr:rowOff>186679</xdr:rowOff>
    </xdr:from>
    <xdr:to>
      <xdr:col>18</xdr:col>
      <xdr:colOff>466350</xdr:colOff>
      <xdr:row>277</xdr:row>
      <xdr:rowOff>18804</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9465945" y="58662559"/>
          <a:ext cx="2537085" cy="1615205"/>
          <a:chOff x="9220200" y="55631704"/>
          <a:chExt cx="2476125" cy="1632350"/>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4"/>
          <a:stretch>
            <a:fillRect/>
          </a:stretch>
        </xdr:blipFill>
        <xdr:spPr>
          <a:xfrm>
            <a:off x="9220200" y="55631704"/>
            <a:ext cx="2476125" cy="1632350"/>
          </a:xfrm>
          <a:prstGeom prst="rect">
            <a:avLst/>
          </a:prstGeom>
        </xdr:spPr>
      </xdr:pic>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0848975" y="55688854"/>
            <a:ext cx="771526"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50" b="1"/>
              <a:t>Flat</a:t>
            </a:r>
            <a:r>
              <a:rPr lang="en-IN" sz="1050" b="1" baseline="0"/>
              <a:t> No. </a:t>
            </a:r>
            <a:r>
              <a:rPr lang="en-IN" sz="1100" b="1" baseline="0"/>
              <a:t>6</a:t>
            </a:r>
            <a:endParaRPr lang="en-IN" sz="1100" b="1"/>
          </a:p>
        </xdr:txBody>
      </xdr:sp>
    </xdr:grpSp>
    <xdr:clientData/>
  </xdr:twoCellAnchor>
  <xdr:twoCellAnchor>
    <xdr:from>
      <xdr:col>16</xdr:col>
      <xdr:colOff>314325</xdr:colOff>
      <xdr:row>268</xdr:row>
      <xdr:rowOff>66675</xdr:rowOff>
    </xdr:from>
    <xdr:to>
      <xdr:col>21</xdr:col>
      <xdr:colOff>380611</xdr:colOff>
      <xdr:row>276</xdr:row>
      <xdr:rowOff>47427</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10601325" y="58542555"/>
          <a:ext cx="3190486" cy="1565712"/>
          <a:chOff x="7239000" y="57750075"/>
          <a:chExt cx="3114286" cy="1580952"/>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5"/>
          <a:stretch>
            <a:fillRect/>
          </a:stretch>
        </xdr:blipFill>
        <xdr:spPr>
          <a:xfrm>
            <a:off x="7239000" y="57750075"/>
            <a:ext cx="3114286" cy="1580952"/>
          </a:xfrm>
          <a:prstGeom prst="rect">
            <a:avLst/>
          </a:prstGeom>
        </xdr:spPr>
      </xdr:pic>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9544050" y="57797700"/>
            <a:ext cx="771526"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050" b="1"/>
              <a:t>Flat</a:t>
            </a:r>
            <a:r>
              <a:rPr lang="en-IN" sz="1050" b="1" baseline="0"/>
              <a:t> No. </a:t>
            </a:r>
            <a:r>
              <a:rPr lang="en-IN" sz="1100" b="1" baseline="0"/>
              <a:t>5</a:t>
            </a:r>
            <a:endParaRPr lang="en-IN" sz="1100" b="1"/>
          </a:p>
        </xdr:txBody>
      </xdr:sp>
    </xdr:grpSp>
    <xdr:clientData/>
  </xdr:twoCellAnchor>
  <xdr:twoCellAnchor editAs="oneCell">
    <xdr:from>
      <xdr:col>10</xdr:col>
      <xdr:colOff>209550</xdr:colOff>
      <xdr:row>292</xdr:row>
      <xdr:rowOff>38100</xdr:rowOff>
    </xdr:from>
    <xdr:to>
      <xdr:col>14</xdr:col>
      <xdr:colOff>409264</xdr:colOff>
      <xdr:row>299</xdr:row>
      <xdr:rowOff>9355</xdr:rowOff>
    </xdr:to>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6"/>
        <a:stretch>
          <a:fillRect/>
        </a:stretch>
      </xdr:blipFill>
      <xdr:spPr>
        <a:xfrm>
          <a:off x="6715125" y="60283725"/>
          <a:ext cx="2485714" cy="1371429"/>
        </a:xfrm>
        <a:prstGeom prst="rect">
          <a:avLst/>
        </a:prstGeom>
      </xdr:spPr>
    </xdr:pic>
    <xdr:clientData/>
  </xdr:twoCellAnchor>
  <xdr:twoCellAnchor editAs="oneCell">
    <xdr:from>
      <xdr:col>14</xdr:col>
      <xdr:colOff>57150</xdr:colOff>
      <xdr:row>292</xdr:row>
      <xdr:rowOff>0</xdr:rowOff>
    </xdr:from>
    <xdr:to>
      <xdr:col>18</xdr:col>
      <xdr:colOff>75893</xdr:colOff>
      <xdr:row>300</xdr:row>
      <xdr:rowOff>123610</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7"/>
        <a:stretch>
          <a:fillRect/>
        </a:stretch>
      </xdr:blipFill>
      <xdr:spPr>
        <a:xfrm>
          <a:off x="8848725" y="60245625"/>
          <a:ext cx="2457143" cy="1723810"/>
        </a:xfrm>
        <a:prstGeom prst="rect">
          <a:avLst/>
        </a:prstGeom>
      </xdr:spPr>
    </xdr:pic>
    <xdr:clientData/>
  </xdr:twoCellAnchor>
  <xdr:twoCellAnchor editAs="oneCell">
    <xdr:from>
      <xdr:col>16</xdr:col>
      <xdr:colOff>428625</xdr:colOff>
      <xdr:row>291</xdr:row>
      <xdr:rowOff>114300</xdr:rowOff>
    </xdr:from>
    <xdr:to>
      <xdr:col>20</xdr:col>
      <xdr:colOff>494987</xdr:colOff>
      <xdr:row>299</xdr:row>
      <xdr:rowOff>2011</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8"/>
        <a:stretch>
          <a:fillRect/>
        </a:stretch>
      </xdr:blipFill>
      <xdr:spPr>
        <a:xfrm>
          <a:off x="10439400" y="60159900"/>
          <a:ext cx="2504762" cy="1485714"/>
        </a:xfrm>
        <a:prstGeom prst="rect">
          <a:avLst/>
        </a:prstGeom>
      </xdr:spPr>
    </xdr:pic>
    <xdr:clientData/>
  </xdr:twoCellAnchor>
  <xdr:twoCellAnchor editAs="oneCell">
    <xdr:from>
      <xdr:col>18</xdr:col>
      <xdr:colOff>495300</xdr:colOff>
      <xdr:row>290</xdr:row>
      <xdr:rowOff>152400</xdr:rowOff>
    </xdr:from>
    <xdr:to>
      <xdr:col>22</xdr:col>
      <xdr:colOff>533090</xdr:colOff>
      <xdr:row>301</xdr:row>
      <xdr:rowOff>9270</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9"/>
        <a:stretch>
          <a:fillRect/>
        </a:stretch>
      </xdr:blipFill>
      <xdr:spPr>
        <a:xfrm>
          <a:off x="11725275" y="59997975"/>
          <a:ext cx="2476190" cy="2057143"/>
        </a:xfrm>
        <a:prstGeom prst="rect">
          <a:avLst/>
        </a:prstGeom>
      </xdr:spPr>
    </xdr:pic>
    <xdr:clientData/>
  </xdr:twoCellAnchor>
  <xdr:twoCellAnchor editAs="oneCell">
    <xdr:from>
      <xdr:col>12</xdr:col>
      <xdr:colOff>246530</xdr:colOff>
      <xdr:row>249</xdr:row>
      <xdr:rowOff>145678</xdr:rowOff>
    </xdr:from>
    <xdr:to>
      <xdr:col>17</xdr:col>
      <xdr:colOff>144751</xdr:colOff>
      <xdr:row>256</xdr:row>
      <xdr:rowOff>9927</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0"/>
        <a:stretch>
          <a:fillRect/>
        </a:stretch>
      </xdr:blipFill>
      <xdr:spPr>
        <a:xfrm>
          <a:off x="7799295" y="53564119"/>
          <a:ext cx="2923809" cy="1276190"/>
        </a:xfrm>
        <a:prstGeom prst="rect">
          <a:avLst/>
        </a:prstGeom>
      </xdr:spPr>
    </xdr:pic>
    <xdr:clientData/>
  </xdr:twoCellAnchor>
  <xdr:twoCellAnchor editAs="oneCell">
    <xdr:from>
      <xdr:col>11</xdr:col>
      <xdr:colOff>448235</xdr:colOff>
      <xdr:row>123</xdr:row>
      <xdr:rowOff>11206</xdr:rowOff>
    </xdr:from>
    <xdr:to>
      <xdr:col>15</xdr:col>
      <xdr:colOff>298884</xdr:colOff>
      <xdr:row>132</xdr:row>
      <xdr:rowOff>33948</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1"/>
        <a:stretch>
          <a:fillRect/>
        </a:stretch>
      </xdr:blipFill>
      <xdr:spPr>
        <a:xfrm>
          <a:off x="7171764" y="30009353"/>
          <a:ext cx="2495238" cy="1838095"/>
        </a:xfrm>
        <a:prstGeom prst="rect">
          <a:avLst/>
        </a:prstGeom>
      </xdr:spPr>
    </xdr:pic>
    <xdr:clientData/>
  </xdr:twoCellAnchor>
  <xdr:twoCellAnchor editAs="oneCell">
    <xdr:from>
      <xdr:col>12</xdr:col>
      <xdr:colOff>136071</xdr:colOff>
      <xdr:row>127</xdr:row>
      <xdr:rowOff>136071</xdr:rowOff>
    </xdr:from>
    <xdr:to>
      <xdr:col>16</xdr:col>
      <xdr:colOff>210839</xdr:colOff>
      <xdr:row>135</xdr:row>
      <xdr:rowOff>15260</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2"/>
        <a:stretch>
          <a:fillRect/>
        </a:stretch>
      </xdr:blipFill>
      <xdr:spPr>
        <a:xfrm>
          <a:off x="7715250" y="31133142"/>
          <a:ext cx="2524053" cy="1512047"/>
        </a:xfrm>
        <a:prstGeom prst="rect">
          <a:avLst/>
        </a:prstGeom>
      </xdr:spPr>
    </xdr:pic>
    <xdr:clientData/>
  </xdr:twoCellAnchor>
  <xdr:twoCellAnchor editAs="oneCell">
    <xdr:from>
      <xdr:col>16</xdr:col>
      <xdr:colOff>392207</xdr:colOff>
      <xdr:row>133</xdr:row>
      <xdr:rowOff>22411</xdr:rowOff>
    </xdr:from>
    <xdr:to>
      <xdr:col>20</xdr:col>
      <xdr:colOff>457450</xdr:colOff>
      <xdr:row>140</xdr:row>
      <xdr:rowOff>124756</xdr:rowOff>
    </xdr:to>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3"/>
        <a:stretch>
          <a:fillRect/>
        </a:stretch>
      </xdr:blipFill>
      <xdr:spPr>
        <a:xfrm>
          <a:off x="10365442" y="30233470"/>
          <a:ext cx="2485714" cy="1514286"/>
        </a:xfrm>
        <a:prstGeom prst="rect">
          <a:avLst/>
        </a:prstGeom>
      </xdr:spPr>
    </xdr:pic>
    <xdr:clientData/>
  </xdr:twoCellAnchor>
  <xdr:twoCellAnchor editAs="oneCell">
    <xdr:from>
      <xdr:col>17</xdr:col>
      <xdr:colOff>302558</xdr:colOff>
      <xdr:row>134</xdr:row>
      <xdr:rowOff>179294</xdr:rowOff>
    </xdr:from>
    <xdr:to>
      <xdr:col>21</xdr:col>
      <xdr:colOff>424944</xdr:colOff>
      <xdr:row>142</xdr:row>
      <xdr:rowOff>22790</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4"/>
        <a:stretch>
          <a:fillRect/>
        </a:stretch>
      </xdr:blipFill>
      <xdr:spPr>
        <a:xfrm>
          <a:off x="10880911" y="30592059"/>
          <a:ext cx="2542857" cy="1457143"/>
        </a:xfrm>
        <a:prstGeom prst="rect">
          <a:avLst/>
        </a:prstGeom>
      </xdr:spPr>
    </xdr:pic>
    <xdr:clientData/>
  </xdr:twoCellAnchor>
  <xdr:twoCellAnchor editAs="oneCell">
    <xdr:from>
      <xdr:col>15</xdr:col>
      <xdr:colOff>336176</xdr:colOff>
      <xdr:row>137</xdr:row>
      <xdr:rowOff>179295</xdr:rowOff>
    </xdr:from>
    <xdr:to>
      <xdr:col>19</xdr:col>
      <xdr:colOff>420468</xdr:colOff>
      <xdr:row>147</xdr:row>
      <xdr:rowOff>181285</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5"/>
        <a:stretch>
          <a:fillRect/>
        </a:stretch>
      </xdr:blipFill>
      <xdr:spPr>
        <a:xfrm>
          <a:off x="9704294" y="31197177"/>
          <a:ext cx="2504762" cy="2019048"/>
        </a:xfrm>
        <a:prstGeom prst="rect">
          <a:avLst/>
        </a:prstGeom>
      </xdr:spPr>
    </xdr:pic>
    <xdr:clientData/>
  </xdr:twoCellAnchor>
  <xdr:twoCellAnchor editAs="oneCell">
    <xdr:from>
      <xdr:col>19</xdr:col>
      <xdr:colOff>470647</xdr:colOff>
      <xdr:row>138</xdr:row>
      <xdr:rowOff>168089</xdr:rowOff>
    </xdr:from>
    <xdr:to>
      <xdr:col>23</xdr:col>
      <xdr:colOff>545414</xdr:colOff>
      <xdr:row>148</xdr:row>
      <xdr:rowOff>131982</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6"/>
        <a:stretch>
          <a:fillRect/>
        </a:stretch>
      </xdr:blipFill>
      <xdr:spPr>
        <a:xfrm>
          <a:off x="12259235" y="31387677"/>
          <a:ext cx="2495238" cy="1980952"/>
        </a:xfrm>
        <a:prstGeom prst="rect">
          <a:avLst/>
        </a:prstGeom>
      </xdr:spPr>
    </xdr:pic>
    <xdr:clientData/>
  </xdr:twoCellAnchor>
  <xdr:twoCellAnchor editAs="oneCell">
    <xdr:from>
      <xdr:col>10</xdr:col>
      <xdr:colOff>78441</xdr:colOff>
      <xdr:row>146</xdr:row>
      <xdr:rowOff>156883</xdr:rowOff>
    </xdr:from>
    <xdr:to>
      <xdr:col>14</xdr:col>
      <xdr:colOff>308409</xdr:colOff>
      <xdr:row>158</xdr:row>
      <xdr:rowOff>31650</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7"/>
        <a:stretch>
          <a:fillRect/>
        </a:stretch>
      </xdr:blipFill>
      <xdr:spPr>
        <a:xfrm>
          <a:off x="6566647" y="32990118"/>
          <a:ext cx="2504762" cy="2295238"/>
        </a:xfrm>
        <a:prstGeom prst="rect">
          <a:avLst/>
        </a:prstGeom>
      </xdr:spPr>
    </xdr:pic>
    <xdr:clientData/>
  </xdr:twoCellAnchor>
  <xdr:twoCellAnchor editAs="oneCell">
    <xdr:from>
      <xdr:col>11</xdr:col>
      <xdr:colOff>593912</xdr:colOff>
      <xdr:row>148</xdr:row>
      <xdr:rowOff>100853</xdr:rowOff>
    </xdr:from>
    <xdr:to>
      <xdr:col>15</xdr:col>
      <xdr:colOff>425513</xdr:colOff>
      <xdr:row>158</xdr:row>
      <xdr:rowOff>121889</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8"/>
        <a:stretch>
          <a:fillRect/>
        </a:stretch>
      </xdr:blipFill>
      <xdr:spPr>
        <a:xfrm>
          <a:off x="7317441" y="33337500"/>
          <a:ext cx="2476190" cy="2038095"/>
        </a:xfrm>
        <a:prstGeom prst="rect">
          <a:avLst/>
        </a:prstGeom>
      </xdr:spPr>
    </xdr:pic>
    <xdr:clientData/>
  </xdr:twoCellAnchor>
  <xdr:twoCellAnchor editAs="oneCell">
    <xdr:from>
      <xdr:col>14</xdr:col>
      <xdr:colOff>179294</xdr:colOff>
      <xdr:row>149</xdr:row>
      <xdr:rowOff>168088</xdr:rowOff>
    </xdr:from>
    <xdr:to>
      <xdr:col>18</xdr:col>
      <xdr:colOff>244537</xdr:colOff>
      <xdr:row>159</xdr:row>
      <xdr:rowOff>141505</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29"/>
        <a:stretch>
          <a:fillRect/>
        </a:stretch>
      </xdr:blipFill>
      <xdr:spPr>
        <a:xfrm>
          <a:off x="8942294" y="33606441"/>
          <a:ext cx="2485714" cy="1990476"/>
        </a:xfrm>
        <a:prstGeom prst="rect">
          <a:avLst/>
        </a:prstGeom>
      </xdr:spPr>
    </xdr:pic>
    <xdr:clientData/>
  </xdr:twoCellAnchor>
  <xdr:twoCellAnchor editAs="oneCell">
    <xdr:from>
      <xdr:col>11</xdr:col>
      <xdr:colOff>145677</xdr:colOff>
      <xdr:row>159</xdr:row>
      <xdr:rowOff>11206</xdr:rowOff>
    </xdr:from>
    <xdr:to>
      <xdr:col>15</xdr:col>
      <xdr:colOff>43945</xdr:colOff>
      <xdr:row>169</xdr:row>
      <xdr:rowOff>108434</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0"/>
        <a:stretch>
          <a:fillRect/>
        </a:stretch>
      </xdr:blipFill>
      <xdr:spPr>
        <a:xfrm>
          <a:off x="6869206" y="35466618"/>
          <a:ext cx="2542857" cy="2114286"/>
        </a:xfrm>
        <a:prstGeom prst="rect">
          <a:avLst/>
        </a:prstGeom>
      </xdr:spPr>
    </xdr:pic>
    <xdr:clientData/>
  </xdr:twoCellAnchor>
  <xdr:twoCellAnchor editAs="oneCell">
    <xdr:from>
      <xdr:col>15</xdr:col>
      <xdr:colOff>0</xdr:colOff>
      <xdr:row>160</xdr:row>
      <xdr:rowOff>0</xdr:rowOff>
    </xdr:from>
    <xdr:to>
      <xdr:col>19</xdr:col>
      <xdr:colOff>17625</xdr:colOff>
      <xdr:row>171</xdr:row>
      <xdr:rowOff>105045</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31"/>
        <a:stretch>
          <a:fillRect/>
        </a:stretch>
      </xdr:blipFill>
      <xdr:spPr>
        <a:xfrm>
          <a:off x="9368118" y="35657118"/>
          <a:ext cx="2438095" cy="2323809"/>
        </a:xfrm>
        <a:prstGeom prst="rect">
          <a:avLst/>
        </a:prstGeom>
      </xdr:spPr>
    </xdr:pic>
    <xdr:clientData/>
  </xdr:twoCellAnchor>
  <xdr:twoCellAnchor editAs="oneCell">
    <xdr:from>
      <xdr:col>19</xdr:col>
      <xdr:colOff>168088</xdr:colOff>
      <xdr:row>159</xdr:row>
      <xdr:rowOff>33618</xdr:rowOff>
    </xdr:from>
    <xdr:to>
      <xdr:col>23</xdr:col>
      <xdr:colOff>242855</xdr:colOff>
      <xdr:row>169</xdr:row>
      <xdr:rowOff>35608</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2"/>
        <a:stretch>
          <a:fillRect/>
        </a:stretch>
      </xdr:blipFill>
      <xdr:spPr>
        <a:xfrm>
          <a:off x="11956676" y="35489030"/>
          <a:ext cx="2495238" cy="2019048"/>
        </a:xfrm>
        <a:prstGeom prst="rect">
          <a:avLst/>
        </a:prstGeom>
      </xdr:spPr>
    </xdr:pic>
    <xdr:clientData/>
  </xdr:twoCellAnchor>
  <xdr:twoCellAnchor editAs="oneCell">
    <xdr:from>
      <xdr:col>17</xdr:col>
      <xdr:colOff>291353</xdr:colOff>
      <xdr:row>71</xdr:row>
      <xdr:rowOff>67237</xdr:rowOff>
    </xdr:from>
    <xdr:to>
      <xdr:col>26</xdr:col>
      <xdr:colOff>73865</xdr:colOff>
      <xdr:row>88</xdr:row>
      <xdr:rowOff>72969</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33"/>
        <a:stretch>
          <a:fillRect/>
        </a:stretch>
      </xdr:blipFill>
      <xdr:spPr>
        <a:xfrm>
          <a:off x="10869706" y="18870708"/>
          <a:ext cx="5228571" cy="3457143"/>
        </a:xfrm>
        <a:prstGeom prst="rect">
          <a:avLst/>
        </a:prstGeom>
      </xdr:spPr>
    </xdr:pic>
    <xdr:clientData/>
  </xdr:twoCellAnchor>
  <xdr:twoCellAnchor editAs="oneCell">
    <xdr:from>
      <xdr:col>16</xdr:col>
      <xdr:colOff>147516</xdr:colOff>
      <xdr:row>85</xdr:row>
      <xdr:rowOff>146636</xdr:rowOff>
    </xdr:from>
    <xdr:to>
      <xdr:col>25</xdr:col>
      <xdr:colOff>51517</xdr:colOff>
      <xdr:row>99</xdr:row>
      <xdr:rowOff>299577</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4"/>
        <a:stretch>
          <a:fillRect/>
        </a:stretch>
      </xdr:blipFill>
      <xdr:spPr>
        <a:xfrm>
          <a:off x="10120751" y="21796401"/>
          <a:ext cx="5350060" cy="3380235"/>
        </a:xfrm>
        <a:prstGeom prst="rect">
          <a:avLst/>
        </a:prstGeom>
      </xdr:spPr>
    </xdr:pic>
    <xdr:clientData/>
  </xdr:twoCellAnchor>
  <xdr:twoCellAnchor editAs="oneCell">
    <xdr:from>
      <xdr:col>2</xdr:col>
      <xdr:colOff>22412</xdr:colOff>
      <xdr:row>388</xdr:row>
      <xdr:rowOff>11205</xdr:rowOff>
    </xdr:from>
    <xdr:to>
      <xdr:col>6</xdr:col>
      <xdr:colOff>547084</xdr:colOff>
      <xdr:row>403</xdr:row>
      <xdr:rowOff>30816</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5"/>
        <a:stretch>
          <a:fillRect/>
        </a:stretch>
      </xdr:blipFill>
      <xdr:spPr>
        <a:xfrm>
          <a:off x="1467971" y="83629499"/>
          <a:ext cx="3001172" cy="3045199"/>
        </a:xfrm>
        <a:prstGeom prst="rect">
          <a:avLst/>
        </a:prstGeom>
        <a:ln>
          <a:solidFill>
            <a:schemeClr val="tx1"/>
          </a:solidFill>
        </a:ln>
      </xdr:spPr>
    </xdr:pic>
    <xdr:clientData/>
  </xdr:twoCellAnchor>
  <xdr:twoCellAnchor>
    <xdr:from>
      <xdr:col>1</xdr:col>
      <xdr:colOff>96142</xdr:colOff>
      <xdr:row>403</xdr:row>
      <xdr:rowOff>108975</xdr:rowOff>
    </xdr:from>
    <xdr:to>
      <xdr:col>7</xdr:col>
      <xdr:colOff>703730</xdr:colOff>
      <xdr:row>420</xdr:row>
      <xdr:rowOff>0</xdr:rowOff>
    </xdr:to>
    <xdr:grpSp>
      <xdr:nvGrpSpPr>
        <xdr:cNvPr id="60" name="Group 59">
          <a:extLst>
            <a:ext uri="{FF2B5EF4-FFF2-40B4-BE49-F238E27FC236}">
              <a16:creationId xmlns:a16="http://schemas.microsoft.com/office/drawing/2014/main" id="{00000000-0008-0000-0000-00003C000000}"/>
            </a:ext>
          </a:extLst>
        </xdr:cNvPr>
        <xdr:cNvGrpSpPr/>
      </xdr:nvGrpSpPr>
      <xdr:grpSpPr>
        <a:xfrm>
          <a:off x="789562" y="89026755"/>
          <a:ext cx="4653808" cy="3259065"/>
          <a:chOff x="768495" y="86752857"/>
          <a:chExt cx="4529647" cy="3320025"/>
        </a:xfrm>
      </xdr:grpSpPr>
      <xdr:pic>
        <xdr:nvPicPr>
          <xdr:cNvPr id="56" name="Pictur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6"/>
          <a:stretch>
            <a:fillRect/>
          </a:stretch>
        </xdr:blipFill>
        <xdr:spPr>
          <a:xfrm>
            <a:off x="768495" y="86752857"/>
            <a:ext cx="4529647" cy="3320025"/>
          </a:xfrm>
          <a:prstGeom prst="rect">
            <a:avLst/>
          </a:prstGeom>
          <a:ln>
            <a:solidFill>
              <a:schemeClr val="tx1"/>
            </a:solidFill>
          </a:ln>
        </xdr:spPr>
      </xdr:pic>
      <xdr:sp macro="" textlink="">
        <xdr:nvSpPr>
          <xdr:cNvPr id="18" name="Rectangle 17">
            <a:extLst>
              <a:ext uri="{FF2B5EF4-FFF2-40B4-BE49-F238E27FC236}">
                <a16:creationId xmlns:a16="http://schemas.microsoft.com/office/drawing/2014/main" id="{00000000-0008-0000-0000-000012000000}"/>
              </a:ext>
            </a:extLst>
          </xdr:cNvPr>
          <xdr:cNvSpPr/>
        </xdr:nvSpPr>
        <xdr:spPr>
          <a:xfrm>
            <a:off x="2700618" y="87809294"/>
            <a:ext cx="1837764" cy="8068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7" name="Rectangle 56">
            <a:extLst>
              <a:ext uri="{FF2B5EF4-FFF2-40B4-BE49-F238E27FC236}">
                <a16:creationId xmlns:a16="http://schemas.microsoft.com/office/drawing/2014/main" id="{00000000-0008-0000-0000-000039000000}"/>
              </a:ext>
            </a:extLst>
          </xdr:cNvPr>
          <xdr:cNvSpPr/>
        </xdr:nvSpPr>
        <xdr:spPr>
          <a:xfrm>
            <a:off x="2707113" y="88579415"/>
            <a:ext cx="1837764" cy="7538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2924736" y="88167883"/>
            <a:ext cx="164726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Rehab Wing B</a:t>
            </a:r>
          </a:p>
        </xdr:txBody>
      </xdr:sp>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3014382" y="88985912"/>
            <a:ext cx="1647264"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Sale Wing A</a:t>
            </a:r>
          </a:p>
        </xdr:txBody>
      </xdr:sp>
    </xdr:grpSp>
    <xdr:clientData/>
  </xdr:twoCellAnchor>
  <xdr:twoCellAnchor>
    <xdr:from>
      <xdr:col>1</xdr:col>
      <xdr:colOff>112378</xdr:colOff>
      <xdr:row>505</xdr:row>
      <xdr:rowOff>14966</xdr:rowOff>
    </xdr:from>
    <xdr:to>
      <xdr:col>8</xdr:col>
      <xdr:colOff>108315</xdr:colOff>
      <xdr:row>523</xdr:row>
      <xdr:rowOff>176891</xdr:rowOff>
    </xdr:to>
    <xdr:grpSp>
      <xdr:nvGrpSpPr>
        <xdr:cNvPr id="63" name="Group 62">
          <a:extLst>
            <a:ext uri="{FF2B5EF4-FFF2-40B4-BE49-F238E27FC236}">
              <a16:creationId xmlns:a16="http://schemas.microsoft.com/office/drawing/2014/main" id="{00000000-0008-0000-0000-00003F000000}"/>
            </a:ext>
          </a:extLst>
        </xdr:cNvPr>
        <xdr:cNvGrpSpPr/>
      </xdr:nvGrpSpPr>
      <xdr:grpSpPr>
        <a:xfrm>
          <a:off x="805798" y="109140986"/>
          <a:ext cx="4766057" cy="3728085"/>
          <a:chOff x="824753" y="93127045"/>
          <a:chExt cx="4630368" cy="3792630"/>
        </a:xfrm>
      </xdr:grpSpPr>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7"/>
          <a:stretch>
            <a:fillRect/>
          </a:stretch>
        </xdr:blipFill>
        <xdr:spPr>
          <a:xfrm>
            <a:off x="824753" y="93127045"/>
            <a:ext cx="4630368" cy="3792630"/>
          </a:xfrm>
          <a:prstGeom prst="rect">
            <a:avLst/>
          </a:prstGeom>
          <a:ln>
            <a:solidFill>
              <a:schemeClr val="tx1"/>
            </a:solidFill>
          </a:ln>
        </xdr:spPr>
      </xdr:pic>
      <xdr:sp macro="" textlink="">
        <xdr:nvSpPr>
          <xdr:cNvPr id="62" name="Rectangle 61">
            <a:extLst>
              <a:ext uri="{FF2B5EF4-FFF2-40B4-BE49-F238E27FC236}">
                <a16:creationId xmlns:a16="http://schemas.microsoft.com/office/drawing/2014/main" id="{00000000-0008-0000-0000-00003E000000}"/>
              </a:ext>
            </a:extLst>
          </xdr:cNvPr>
          <xdr:cNvSpPr/>
        </xdr:nvSpPr>
        <xdr:spPr>
          <a:xfrm rot="875692">
            <a:off x="2805260" y="94666347"/>
            <a:ext cx="1071387" cy="706203"/>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11</xdr:col>
      <xdr:colOff>425823</xdr:colOff>
      <xdr:row>41</xdr:row>
      <xdr:rowOff>89646</xdr:rowOff>
    </xdr:from>
    <xdr:to>
      <xdr:col>21</xdr:col>
      <xdr:colOff>218800</xdr:colOff>
      <xdr:row>51</xdr:row>
      <xdr:rowOff>171480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8"/>
        <a:stretch>
          <a:fillRect/>
        </a:stretch>
      </xdr:blipFill>
      <xdr:spPr>
        <a:xfrm>
          <a:off x="7149352" y="9581028"/>
          <a:ext cx="6068272" cy="4239217"/>
        </a:xfrm>
        <a:prstGeom prst="rect">
          <a:avLst/>
        </a:prstGeom>
      </xdr:spPr>
    </xdr:pic>
    <xdr:clientData/>
  </xdr:twoCellAnchor>
  <xdr:twoCellAnchor editAs="oneCell">
    <xdr:from>
      <xdr:col>1</xdr:col>
      <xdr:colOff>269423</xdr:colOff>
      <xdr:row>422</xdr:row>
      <xdr:rowOff>114580</xdr:rowOff>
    </xdr:from>
    <xdr:to>
      <xdr:col>7</xdr:col>
      <xdr:colOff>683070</xdr:colOff>
      <xdr:row>454</xdr:row>
      <xdr:rowOff>176893</xdr:rowOff>
    </xdr:to>
    <xdr:pic>
      <xdr:nvPicPr>
        <xdr:cNvPr id="69" name="Picture 68">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9" cstate="screen">
          <a:extLst>
            <a:ext uri="{BEBA8EAE-BF5A-486C-A8C5-ECC9F3942E4B}">
              <a14:imgProps xmlns:a14="http://schemas.microsoft.com/office/drawing/2010/main">
                <a14:imgLayer r:embed="rId40">
                  <a14:imgEffect>
                    <a14:sharpenSoften amount="50000"/>
                  </a14:imgEffect>
                </a14:imgLayer>
              </a14:imgProps>
            </a:ext>
            <a:ext uri="{28A0092B-C50C-407E-A947-70E740481C1C}">
              <a14:useLocalDpi xmlns:a14="http://schemas.microsoft.com/office/drawing/2010/main"/>
            </a:ext>
          </a:extLst>
        </a:blip>
        <a:srcRect l="18164" t="17250" r="22381" b="6750"/>
        <a:stretch/>
      </xdr:blipFill>
      <xdr:spPr>
        <a:xfrm rot="16200000">
          <a:off x="-174035" y="94256824"/>
          <a:ext cx="6593742" cy="4346111"/>
        </a:xfrm>
        <a:prstGeom prst="rect">
          <a:avLst/>
        </a:prstGeom>
        <a:ln>
          <a:solidFill>
            <a:schemeClr val="tx1"/>
          </a:solidFill>
        </a:ln>
      </xdr:spPr>
    </xdr:pic>
    <xdr:clientData/>
  </xdr:twoCellAnchor>
  <xdr:twoCellAnchor editAs="oneCell">
    <xdr:from>
      <xdr:col>11</xdr:col>
      <xdr:colOff>470647</xdr:colOff>
      <xdr:row>48</xdr:row>
      <xdr:rowOff>1008529</xdr:rowOff>
    </xdr:from>
    <xdr:to>
      <xdr:col>20</xdr:col>
      <xdr:colOff>516268</xdr:colOff>
      <xdr:row>58</xdr:row>
      <xdr:rowOff>24544</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41"/>
        <a:stretch>
          <a:fillRect/>
        </a:stretch>
      </xdr:blipFill>
      <xdr:spPr>
        <a:xfrm>
          <a:off x="7194176" y="12763500"/>
          <a:ext cx="5715798" cy="3229426"/>
        </a:xfrm>
        <a:prstGeom prst="rect">
          <a:avLst/>
        </a:prstGeom>
      </xdr:spPr>
    </xdr:pic>
    <xdr:clientData/>
  </xdr:twoCellAnchor>
  <xdr:twoCellAnchor editAs="oneCell">
    <xdr:from>
      <xdr:col>0</xdr:col>
      <xdr:colOff>313765</xdr:colOff>
      <xdr:row>458</xdr:row>
      <xdr:rowOff>22412</xdr:rowOff>
    </xdr:from>
    <xdr:to>
      <xdr:col>9</xdr:col>
      <xdr:colOff>247331</xdr:colOff>
      <xdr:row>489</xdr:row>
      <xdr:rowOff>167766</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42">
          <a:extLst>
            <a:ext uri="{BEBA8EAE-BF5A-486C-A8C5-ECC9F3942E4B}">
              <a14:imgProps xmlns:a14="http://schemas.microsoft.com/office/drawing/2010/main">
                <a14:imgLayer r:embed="rId43">
                  <a14:imgEffect>
                    <a14:sharpenSoften amount="50000"/>
                  </a14:imgEffect>
                </a14:imgLayer>
              </a14:imgProps>
            </a:ext>
          </a:extLst>
        </a:blip>
        <a:stretch>
          <a:fillRect/>
        </a:stretch>
      </xdr:blipFill>
      <xdr:spPr>
        <a:xfrm>
          <a:off x="313765" y="101200324"/>
          <a:ext cx="5928713" cy="6398237"/>
        </a:xfrm>
        <a:prstGeom prst="rect">
          <a:avLst/>
        </a:prstGeom>
        <a:ln>
          <a:solidFill>
            <a:sysClr val="windowText" lastClr="000000"/>
          </a:solidFill>
        </a:ln>
      </xdr:spPr>
    </xdr:pic>
    <xdr:clientData/>
  </xdr:twoCellAnchor>
  <xdr:twoCellAnchor>
    <xdr:from>
      <xdr:col>11</xdr:col>
      <xdr:colOff>611505</xdr:colOff>
      <xdr:row>339</xdr:row>
      <xdr:rowOff>26670</xdr:rowOff>
    </xdr:from>
    <xdr:to>
      <xdr:col>21</xdr:col>
      <xdr:colOff>241813</xdr:colOff>
      <xdr:row>382</xdr:row>
      <xdr:rowOff>9075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7545705" y="76272390"/>
          <a:ext cx="6107308" cy="8493945"/>
          <a:chOff x="314325" y="77676375"/>
          <a:chExt cx="5937763" cy="8572050"/>
        </a:xfrm>
      </xdr:grpSpPr>
      <xdr:pic>
        <xdr:nvPicPr>
          <xdr:cNvPr id="75" name="Picture 74" descr="insp-233817-1525.jpg (959×1280)">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44" cstate="screen">
            <a:extLst>
              <a:ext uri="{28A0092B-C50C-407E-A947-70E740481C1C}">
                <a14:useLocalDpi xmlns:a14="http://schemas.microsoft.com/office/drawing/2010/main"/>
              </a:ext>
            </a:extLst>
          </a:blip>
          <a:srcRect/>
          <a:stretch>
            <a:fillRect/>
          </a:stretch>
        </xdr:blipFill>
        <xdr:spPr bwMode="auto">
          <a:xfrm>
            <a:off x="3362037" y="84088425"/>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insp-233817-843.jpg (959×1280)">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45" cstate="screen">
            <a:extLst>
              <a:ext uri="{28A0092B-C50C-407E-A947-70E740481C1C}">
                <a14:useLocalDpi xmlns:a14="http://schemas.microsoft.com/office/drawing/2010/main"/>
              </a:ext>
            </a:extLst>
          </a:blip>
          <a:srcRect/>
          <a:stretch>
            <a:fillRect/>
          </a:stretch>
        </xdr:blipFill>
        <xdr:spPr bwMode="auto">
          <a:xfrm>
            <a:off x="528870" y="776763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insp-233817-849.jpg (959×1280)">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46" cstate="screen">
            <a:extLst>
              <a:ext uri="{28A0092B-C50C-407E-A947-70E740481C1C}">
                <a14:useLocalDpi xmlns:a14="http://schemas.microsoft.com/office/drawing/2010/main"/>
              </a:ext>
            </a:extLst>
          </a:blip>
          <a:srcRect/>
          <a:stretch>
            <a:fillRect/>
          </a:stretch>
        </xdr:blipFill>
        <xdr:spPr bwMode="auto">
          <a:xfrm>
            <a:off x="2339191" y="8143462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insp-233817-851.jpg (959×1280)">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47" cstate="screen">
            <a:extLst>
              <a:ext uri="{28A0092B-C50C-407E-A947-70E740481C1C}">
                <a14:useLocalDpi xmlns:a14="http://schemas.microsoft.com/office/drawing/2010/main"/>
              </a:ext>
            </a:extLst>
          </a:blip>
          <a:srcRect/>
          <a:stretch>
            <a:fillRect/>
          </a:stretch>
        </xdr:blipFill>
        <xdr:spPr bwMode="auto">
          <a:xfrm>
            <a:off x="314325" y="8141017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9" name="Picture 78" descr="insp-233817-861.jpg (959×1280)">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48" cstate="screen">
            <a:extLst>
              <a:ext uri="{28A0092B-C50C-407E-A947-70E740481C1C}">
                <a14:useLocalDpi xmlns:a14="http://schemas.microsoft.com/office/drawing/2010/main"/>
              </a:ext>
            </a:extLst>
          </a:blip>
          <a:srcRect/>
          <a:stretch>
            <a:fillRect/>
          </a:stretch>
        </xdr:blipFill>
        <xdr:spPr bwMode="auto">
          <a:xfrm>
            <a:off x="4364057" y="81434625"/>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0" name="Picture 79" descr="insp-233817-871.jpg (959×1280)">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49" cstate="screen">
            <a:extLst>
              <a:ext uri="{28A0092B-C50C-407E-A947-70E740481C1C}">
                <a14:useLocalDpi xmlns:a14="http://schemas.microsoft.com/office/drawing/2010/main"/>
              </a:ext>
            </a:extLst>
          </a:blip>
          <a:srcRect/>
          <a:stretch>
            <a:fillRect/>
          </a:stretch>
        </xdr:blipFill>
        <xdr:spPr bwMode="auto">
          <a:xfrm>
            <a:off x="3362037" y="77676375"/>
            <a:ext cx="2697187"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insp-233817-1512.jpg (959×1280)">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0" cstate="screen">
            <a:extLst>
              <a:ext uri="{28A0092B-C50C-407E-A947-70E740481C1C}">
                <a14:useLocalDpi xmlns:a14="http://schemas.microsoft.com/office/drawing/2010/main"/>
              </a:ext>
            </a:extLst>
          </a:blip>
          <a:srcRect/>
          <a:stretch>
            <a:fillRect/>
          </a:stretch>
        </xdr:blipFill>
        <xdr:spPr bwMode="auto">
          <a:xfrm>
            <a:off x="1607745" y="84088425"/>
            <a:ext cx="1618312"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297180</xdr:colOff>
      <xdr:row>344</xdr:row>
      <xdr:rowOff>0</xdr:rowOff>
    </xdr:from>
    <xdr:to>
      <xdr:col>9</xdr:col>
      <xdr:colOff>91682</xdr:colOff>
      <xdr:row>380</xdr:row>
      <xdr:rowOff>153472</xdr:rowOff>
    </xdr:to>
    <xdr:grpSp>
      <xdr:nvGrpSpPr>
        <xdr:cNvPr id="16" name="Group 15">
          <a:extLst>
            <a:ext uri="{FF2B5EF4-FFF2-40B4-BE49-F238E27FC236}">
              <a16:creationId xmlns:a16="http://schemas.microsoft.com/office/drawing/2014/main" id="{653560DF-1A83-316D-A7F0-E568369ACA41}"/>
            </a:ext>
          </a:extLst>
        </xdr:cNvPr>
        <xdr:cNvGrpSpPr/>
      </xdr:nvGrpSpPr>
      <xdr:grpSpPr>
        <a:xfrm>
          <a:off x="297180" y="77236320"/>
          <a:ext cx="5974322" cy="7278172"/>
          <a:chOff x="547662" y="352697"/>
          <a:chExt cx="5974322" cy="7278172"/>
        </a:xfrm>
      </xdr:grpSpPr>
      <xdr:grpSp>
        <xdr:nvGrpSpPr>
          <xdr:cNvPr id="21" name="Group 20">
            <a:extLst>
              <a:ext uri="{FF2B5EF4-FFF2-40B4-BE49-F238E27FC236}">
                <a16:creationId xmlns:a16="http://schemas.microsoft.com/office/drawing/2014/main" id="{8D2F4C75-BBFF-BA9D-BEA6-8197B4CA5E0A}"/>
              </a:ext>
            </a:extLst>
          </xdr:cNvPr>
          <xdr:cNvGrpSpPr/>
        </xdr:nvGrpSpPr>
        <xdr:grpSpPr>
          <a:xfrm>
            <a:off x="1336562" y="5830869"/>
            <a:ext cx="4396522" cy="1800000"/>
            <a:chOff x="1586025" y="5830869"/>
            <a:chExt cx="4396522" cy="1800000"/>
          </a:xfrm>
        </xdr:grpSpPr>
        <xdr:pic>
          <xdr:nvPicPr>
            <xdr:cNvPr id="26" name="Picture 25">
              <a:extLst>
                <a:ext uri="{FF2B5EF4-FFF2-40B4-BE49-F238E27FC236}">
                  <a16:creationId xmlns:a16="http://schemas.microsoft.com/office/drawing/2014/main" id="{30686CD6-8D4B-2C4D-477D-ABBA3336FE99}"/>
                </a:ext>
              </a:extLst>
            </xdr:cNvPr>
            <xdr:cNvPicPr>
              <a:picLocks noChangeAspect="1"/>
            </xdr:cNvPicPr>
          </xdr:nvPicPr>
          <xdr:blipFill>
            <a:blip xmlns:r="http://schemas.openxmlformats.org/officeDocument/2006/relationships" r:embed="rId51" cstate="hqprint">
              <a:extLst>
                <a:ext uri="{28A0092B-C50C-407E-A947-70E740481C1C}">
                  <a14:useLocalDpi xmlns:a14="http://schemas.microsoft.com/office/drawing/2010/main"/>
                </a:ext>
              </a:extLst>
            </a:blip>
            <a:stretch>
              <a:fillRect/>
            </a:stretch>
          </xdr:blipFill>
          <xdr:spPr>
            <a:xfrm>
              <a:off x="4633953" y="5830869"/>
              <a:ext cx="1348594" cy="1800000"/>
            </a:xfrm>
            <a:prstGeom prst="rect">
              <a:avLst/>
            </a:prstGeom>
            <a:ln>
              <a:solidFill>
                <a:schemeClr val="tx1"/>
              </a:solidFill>
            </a:ln>
          </xdr:spPr>
        </xdr:pic>
        <xdr:pic>
          <xdr:nvPicPr>
            <xdr:cNvPr id="53" name="Picture 52">
              <a:extLst>
                <a:ext uri="{FF2B5EF4-FFF2-40B4-BE49-F238E27FC236}">
                  <a16:creationId xmlns:a16="http://schemas.microsoft.com/office/drawing/2014/main" id="{E9F5FB05-E561-AF9C-8D9C-7975CDCB27E2}"/>
                </a:ext>
              </a:extLst>
            </xdr:cNvPr>
            <xdr:cNvPicPr>
              <a:picLocks noChangeAspect="1"/>
            </xdr:cNvPicPr>
          </xdr:nvPicPr>
          <xdr:blipFill>
            <a:blip xmlns:r="http://schemas.openxmlformats.org/officeDocument/2006/relationships" r:embed="rId52" cstate="hqprint">
              <a:extLst>
                <a:ext uri="{28A0092B-C50C-407E-A947-70E740481C1C}">
                  <a14:useLocalDpi xmlns:a14="http://schemas.microsoft.com/office/drawing/2010/main"/>
                </a:ext>
              </a:extLst>
            </a:blip>
            <a:stretch>
              <a:fillRect/>
            </a:stretch>
          </xdr:blipFill>
          <xdr:spPr>
            <a:xfrm>
              <a:off x="3109989" y="5830869"/>
              <a:ext cx="1348594" cy="1800000"/>
            </a:xfrm>
            <a:prstGeom prst="rect">
              <a:avLst/>
            </a:prstGeom>
            <a:ln>
              <a:solidFill>
                <a:schemeClr val="tx1"/>
              </a:solidFill>
            </a:ln>
          </xdr:spPr>
        </xdr:pic>
        <xdr:pic>
          <xdr:nvPicPr>
            <xdr:cNvPr id="82" name="Picture 81">
              <a:extLst>
                <a:ext uri="{FF2B5EF4-FFF2-40B4-BE49-F238E27FC236}">
                  <a16:creationId xmlns:a16="http://schemas.microsoft.com/office/drawing/2014/main" id="{DF73F0AE-5A3A-1E7C-B250-6C7F28A8A950}"/>
                </a:ext>
              </a:extLst>
            </xdr:cNvPr>
            <xdr:cNvPicPr>
              <a:picLocks noChangeAspect="1"/>
            </xdr:cNvPicPr>
          </xdr:nvPicPr>
          <xdr:blipFill>
            <a:blip xmlns:r="http://schemas.openxmlformats.org/officeDocument/2006/relationships" r:embed="rId53" cstate="hqprint">
              <a:extLst>
                <a:ext uri="{28A0092B-C50C-407E-A947-70E740481C1C}">
                  <a14:useLocalDpi xmlns:a14="http://schemas.microsoft.com/office/drawing/2010/main"/>
                </a:ext>
              </a:extLst>
            </a:blip>
            <a:stretch>
              <a:fillRect/>
            </a:stretch>
          </xdr:blipFill>
          <xdr:spPr>
            <a:xfrm>
              <a:off x="1586025" y="5830869"/>
              <a:ext cx="1348594" cy="180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1B87A0F6-03DB-28DD-8AFA-A0D5544C5169}"/>
              </a:ext>
            </a:extLst>
          </xdr:cNvPr>
          <xdr:cNvGrpSpPr/>
        </xdr:nvGrpSpPr>
        <xdr:grpSpPr>
          <a:xfrm>
            <a:off x="547662" y="352697"/>
            <a:ext cx="5974322" cy="5220000"/>
            <a:chOff x="547662" y="352697"/>
            <a:chExt cx="5974322" cy="5220000"/>
          </a:xfrm>
        </xdr:grpSpPr>
        <xdr:pic>
          <xdr:nvPicPr>
            <xdr:cNvPr id="23" name="Picture 22">
              <a:extLst>
                <a:ext uri="{FF2B5EF4-FFF2-40B4-BE49-F238E27FC236}">
                  <a16:creationId xmlns:a16="http://schemas.microsoft.com/office/drawing/2014/main" id="{AFAFF8E4-F675-A8C2-6BC7-5BA50B541739}"/>
                </a:ext>
              </a:extLst>
            </xdr:cNvPr>
            <xdr:cNvPicPr>
              <a:picLocks noChangeAspect="1"/>
            </xdr:cNvPicPr>
          </xdr:nvPicPr>
          <xdr:blipFill>
            <a:blip xmlns:r="http://schemas.openxmlformats.org/officeDocument/2006/relationships" r:embed="rId54" cstate="hqprint">
              <a:extLst>
                <a:ext uri="{28A0092B-C50C-407E-A947-70E740481C1C}">
                  <a14:useLocalDpi xmlns:a14="http://schemas.microsoft.com/office/drawing/2010/main"/>
                </a:ext>
              </a:extLst>
            </a:blip>
            <a:stretch>
              <a:fillRect/>
            </a:stretch>
          </xdr:blipFill>
          <xdr:spPr>
            <a:xfrm>
              <a:off x="4633953" y="3052697"/>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F65415F9-69D6-6876-4C6D-DB3506C1A51F}"/>
                </a:ext>
              </a:extLst>
            </xdr:cNvPr>
            <xdr:cNvPicPr>
              <a:picLocks noChangeAspect="1"/>
            </xdr:cNvPicPr>
          </xdr:nvPicPr>
          <xdr:blipFill>
            <a:blip xmlns:r="http://schemas.openxmlformats.org/officeDocument/2006/relationships" r:embed="rId55" cstate="hqprint">
              <a:extLst>
                <a:ext uri="{28A0092B-C50C-407E-A947-70E740481C1C}">
                  <a14:useLocalDpi xmlns:a14="http://schemas.microsoft.com/office/drawing/2010/main"/>
                </a:ext>
              </a:extLst>
            </a:blip>
            <a:stretch>
              <a:fillRect/>
            </a:stretch>
          </xdr:blipFill>
          <xdr:spPr>
            <a:xfrm>
              <a:off x="547662" y="352697"/>
              <a:ext cx="3910921" cy="5220000"/>
            </a:xfrm>
            <a:prstGeom prst="rect">
              <a:avLst/>
            </a:prstGeom>
            <a:ln>
              <a:solidFill>
                <a:schemeClr val="tx1"/>
              </a:solidFill>
            </a:ln>
          </xdr:spPr>
        </xdr:pic>
        <xdr:pic>
          <xdr:nvPicPr>
            <xdr:cNvPr id="25" name="Picture 24">
              <a:extLst>
                <a:ext uri="{FF2B5EF4-FFF2-40B4-BE49-F238E27FC236}">
                  <a16:creationId xmlns:a16="http://schemas.microsoft.com/office/drawing/2014/main" id="{20C559B7-4514-ADFF-E0D1-AA061EA81EB6}"/>
                </a:ext>
              </a:extLst>
            </xdr:cNvPr>
            <xdr:cNvPicPr>
              <a:picLocks noChangeAspect="1"/>
            </xdr:cNvPicPr>
          </xdr:nvPicPr>
          <xdr:blipFill>
            <a:blip xmlns:r="http://schemas.openxmlformats.org/officeDocument/2006/relationships" r:embed="rId56" cstate="hqprint">
              <a:extLst>
                <a:ext uri="{28A0092B-C50C-407E-A947-70E740481C1C}">
                  <a14:useLocalDpi xmlns:a14="http://schemas.microsoft.com/office/drawing/2010/main"/>
                </a:ext>
              </a:extLst>
            </a:blip>
            <a:stretch>
              <a:fillRect/>
            </a:stretch>
          </xdr:blipFill>
          <xdr:spPr>
            <a:xfrm>
              <a:off x="4633953" y="352697"/>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18</xdr:col>
      <xdr:colOff>426999</xdr:colOff>
      <xdr:row>70</xdr:row>
      <xdr:rowOff>75286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4381500"/>
          <a:ext cx="13009524" cy="73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20</xdr:col>
      <xdr:colOff>607974</xdr:colOff>
      <xdr:row>74</xdr:row>
      <xdr:rowOff>75286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6858000"/>
          <a:ext cx="13009524" cy="7314286"/>
        </a:xfrm>
        <a:prstGeom prst="rect">
          <a:avLst/>
        </a:prstGeom>
      </xdr:spPr>
    </xdr:pic>
    <xdr:clientData/>
  </xdr:twoCellAnchor>
  <xdr:twoCellAnchor editAs="oneCell">
    <xdr:from>
      <xdr:col>0</xdr:col>
      <xdr:colOff>0</xdr:colOff>
      <xdr:row>76</xdr:row>
      <xdr:rowOff>0</xdr:rowOff>
    </xdr:from>
    <xdr:to>
      <xdr:col>20</xdr:col>
      <xdr:colOff>607974</xdr:colOff>
      <xdr:row>114</xdr:row>
      <xdr:rowOff>75286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4478000"/>
          <a:ext cx="13009524" cy="7314286"/>
        </a:xfrm>
        <a:prstGeom prst="rect">
          <a:avLst/>
        </a:prstGeom>
      </xdr:spPr>
    </xdr:pic>
    <xdr:clientData/>
  </xdr:twoCellAnchor>
  <xdr:twoCellAnchor editAs="oneCell">
    <xdr:from>
      <xdr:col>0</xdr:col>
      <xdr:colOff>0</xdr:colOff>
      <xdr:row>117</xdr:row>
      <xdr:rowOff>0</xdr:rowOff>
    </xdr:from>
    <xdr:to>
      <xdr:col>20</xdr:col>
      <xdr:colOff>607974</xdr:colOff>
      <xdr:row>155</xdr:row>
      <xdr:rowOff>75286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22288500"/>
          <a:ext cx="13009524" cy="7314286"/>
        </a:xfrm>
        <a:prstGeom prst="rect">
          <a:avLst/>
        </a:prstGeom>
      </xdr:spPr>
    </xdr:pic>
    <xdr:clientData/>
  </xdr:twoCellAnchor>
  <xdr:twoCellAnchor editAs="oneCell">
    <xdr:from>
      <xdr:col>0</xdr:col>
      <xdr:colOff>0</xdr:colOff>
      <xdr:row>157</xdr:row>
      <xdr:rowOff>0</xdr:rowOff>
    </xdr:from>
    <xdr:to>
      <xdr:col>20</xdr:col>
      <xdr:colOff>607974</xdr:colOff>
      <xdr:row>195</xdr:row>
      <xdr:rowOff>75286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29908500"/>
          <a:ext cx="13009524" cy="7314286"/>
        </a:xfrm>
        <a:prstGeom prst="rect">
          <a:avLst/>
        </a:prstGeom>
      </xdr:spPr>
    </xdr:pic>
    <xdr:clientData/>
  </xdr:twoCellAnchor>
  <xdr:twoCellAnchor editAs="oneCell">
    <xdr:from>
      <xdr:col>0</xdr:col>
      <xdr:colOff>0</xdr:colOff>
      <xdr:row>197</xdr:row>
      <xdr:rowOff>0</xdr:rowOff>
    </xdr:from>
    <xdr:to>
      <xdr:col>20</xdr:col>
      <xdr:colOff>607974</xdr:colOff>
      <xdr:row>235</xdr:row>
      <xdr:rowOff>75286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xfrm>
          <a:off x="0" y="37528500"/>
          <a:ext cx="13009524" cy="73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18</xdr:col>
      <xdr:colOff>246024</xdr:colOff>
      <xdr:row>67</xdr:row>
      <xdr:rowOff>75286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609600" y="5524500"/>
          <a:ext cx="13009524" cy="7314286"/>
        </a:xfrm>
        <a:prstGeom prst="rect">
          <a:avLst/>
        </a:prstGeom>
      </xdr:spPr>
    </xdr:pic>
    <xdr:clientData/>
  </xdr:twoCellAnchor>
  <xdr:twoCellAnchor editAs="oneCell">
    <xdr:from>
      <xdr:col>1</xdr:col>
      <xdr:colOff>0</xdr:colOff>
      <xdr:row>70</xdr:row>
      <xdr:rowOff>0</xdr:rowOff>
    </xdr:from>
    <xdr:to>
      <xdr:col>18</xdr:col>
      <xdr:colOff>246024</xdr:colOff>
      <xdr:row>108</xdr:row>
      <xdr:rowOff>75286</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a:fillRect/>
        </a:stretch>
      </xdr:blipFill>
      <xdr:spPr>
        <a:xfrm>
          <a:off x="609600" y="13335000"/>
          <a:ext cx="13009524" cy="7314286"/>
        </a:xfrm>
        <a:prstGeom prst="rect">
          <a:avLst/>
        </a:prstGeom>
      </xdr:spPr>
    </xdr:pic>
    <xdr:clientData/>
  </xdr:twoCellAnchor>
  <xdr:twoCellAnchor editAs="oneCell">
    <xdr:from>
      <xdr:col>1</xdr:col>
      <xdr:colOff>0</xdr:colOff>
      <xdr:row>112</xdr:row>
      <xdr:rowOff>0</xdr:rowOff>
    </xdr:from>
    <xdr:to>
      <xdr:col>18</xdr:col>
      <xdr:colOff>246024</xdr:colOff>
      <xdr:row>150</xdr:row>
      <xdr:rowOff>75286</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
        <a:stretch>
          <a:fillRect/>
        </a:stretch>
      </xdr:blipFill>
      <xdr:spPr>
        <a:xfrm>
          <a:off x="609600" y="21336000"/>
          <a:ext cx="13009524" cy="7314286"/>
        </a:xfrm>
        <a:prstGeom prst="rect">
          <a:avLst/>
        </a:prstGeom>
      </xdr:spPr>
    </xdr:pic>
    <xdr:clientData/>
  </xdr:twoCellAnchor>
  <xdr:twoCellAnchor editAs="oneCell">
    <xdr:from>
      <xdr:col>1</xdr:col>
      <xdr:colOff>0</xdr:colOff>
      <xdr:row>153</xdr:row>
      <xdr:rowOff>0</xdr:rowOff>
    </xdr:from>
    <xdr:to>
      <xdr:col>18</xdr:col>
      <xdr:colOff>246024</xdr:colOff>
      <xdr:row>191</xdr:row>
      <xdr:rowOff>75286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4"/>
        <a:stretch>
          <a:fillRect/>
        </a:stretch>
      </xdr:blipFill>
      <xdr:spPr>
        <a:xfrm>
          <a:off x="609600" y="29146500"/>
          <a:ext cx="13009524" cy="7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9RsbunHYhigKF2A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2"/>
  <sheetViews>
    <sheetView tabSelected="1" showWhiteSpace="0" view="pageBreakPreview" zoomScaleNormal="100" zoomScaleSheetLayoutView="100" zoomScalePageLayoutView="85" workbookViewId="0">
      <selection activeCell="S336" sqref="S336"/>
    </sheetView>
  </sheetViews>
  <sheetFormatPr defaultRowHeight="15.6" x14ac:dyDescent="0.3"/>
  <cols>
    <col min="1" max="1" width="10.109375" style="11" customWidth="1"/>
    <col min="2" max="2" width="11.5546875" style="11" customWidth="1"/>
    <col min="3" max="3" width="13.88671875" style="11" customWidth="1"/>
    <col min="4" max="4" width="7.44140625" style="11" customWidth="1"/>
    <col min="5" max="5" width="5.5546875" style="11" customWidth="1"/>
    <col min="6" max="6" width="10.44140625" style="11" customWidth="1"/>
    <col min="7" max="7" width="10.109375" style="11" customWidth="1"/>
    <col min="8" max="8" width="10.5546875" style="11" customWidth="1"/>
    <col min="9" max="9" width="10.44140625" style="11" customWidth="1"/>
    <col min="10" max="10" width="7.44140625" style="11" customWidth="1"/>
    <col min="11" max="11" width="3.5546875" style="11" customWidth="1"/>
    <col min="12" max="12" width="12.44140625" style="11" bestFit="1" customWidth="1"/>
    <col min="13" max="256" width="9.109375" style="11"/>
    <col min="257" max="257" width="8.5546875" style="11" customWidth="1"/>
    <col min="258" max="258" width="9.88671875" style="11" customWidth="1"/>
    <col min="259" max="259" width="14.44140625" style="11" customWidth="1"/>
    <col min="260" max="260" width="7.44140625" style="11" customWidth="1"/>
    <col min="261" max="261" width="5.5546875" style="11" customWidth="1"/>
    <col min="262" max="262" width="9" style="11" customWidth="1"/>
    <col min="263" max="264" width="9.88671875" style="11" customWidth="1"/>
    <col min="265" max="265" width="11.109375" style="11" customWidth="1"/>
    <col min="266" max="266" width="2.88671875" style="11" customWidth="1"/>
    <col min="267" max="267" width="3.5546875" style="11" customWidth="1"/>
    <col min="268" max="512" width="9.109375" style="11"/>
    <col min="513" max="513" width="8.5546875" style="11" customWidth="1"/>
    <col min="514" max="514" width="9.88671875" style="11" customWidth="1"/>
    <col min="515" max="515" width="14.44140625" style="11" customWidth="1"/>
    <col min="516" max="516" width="7.44140625" style="11" customWidth="1"/>
    <col min="517" max="517" width="5.5546875" style="11" customWidth="1"/>
    <col min="518" max="518" width="9" style="11" customWidth="1"/>
    <col min="519" max="520" width="9.88671875" style="11" customWidth="1"/>
    <col min="521" max="521" width="11.109375" style="11" customWidth="1"/>
    <col min="522" max="522" width="2.88671875" style="11" customWidth="1"/>
    <col min="523" max="523" width="3.5546875" style="11" customWidth="1"/>
    <col min="524" max="768" width="9.109375" style="11"/>
    <col min="769" max="769" width="8.5546875" style="11" customWidth="1"/>
    <col min="770" max="770" width="9.88671875" style="11" customWidth="1"/>
    <col min="771" max="771" width="14.44140625" style="11" customWidth="1"/>
    <col min="772" max="772" width="7.44140625" style="11" customWidth="1"/>
    <col min="773" max="773" width="5.5546875" style="11" customWidth="1"/>
    <col min="774" max="774" width="9" style="11" customWidth="1"/>
    <col min="775" max="776" width="9.88671875" style="11" customWidth="1"/>
    <col min="777" max="777" width="11.109375" style="11" customWidth="1"/>
    <col min="778" max="778" width="2.88671875" style="11" customWidth="1"/>
    <col min="779" max="779" width="3.5546875" style="11" customWidth="1"/>
    <col min="780" max="1024" width="9.109375" style="11"/>
    <col min="1025" max="1025" width="8.5546875" style="11" customWidth="1"/>
    <col min="1026" max="1026" width="9.88671875" style="11" customWidth="1"/>
    <col min="1027" max="1027" width="14.44140625" style="11" customWidth="1"/>
    <col min="1028" max="1028" width="7.44140625" style="11" customWidth="1"/>
    <col min="1029" max="1029" width="5.5546875" style="11" customWidth="1"/>
    <col min="1030" max="1030" width="9" style="11" customWidth="1"/>
    <col min="1031" max="1032" width="9.88671875" style="11" customWidth="1"/>
    <col min="1033" max="1033" width="11.109375" style="11" customWidth="1"/>
    <col min="1034" max="1034" width="2.88671875" style="11" customWidth="1"/>
    <col min="1035" max="1035" width="3.5546875" style="11" customWidth="1"/>
    <col min="1036" max="1280" width="9.109375" style="11"/>
    <col min="1281" max="1281" width="8.5546875" style="11" customWidth="1"/>
    <col min="1282" max="1282" width="9.88671875" style="11" customWidth="1"/>
    <col min="1283" max="1283" width="14.44140625" style="11" customWidth="1"/>
    <col min="1284" max="1284" width="7.44140625" style="11" customWidth="1"/>
    <col min="1285" max="1285" width="5.5546875" style="11" customWidth="1"/>
    <col min="1286" max="1286" width="9" style="11" customWidth="1"/>
    <col min="1287" max="1288" width="9.88671875" style="11" customWidth="1"/>
    <col min="1289" max="1289" width="11.109375" style="11" customWidth="1"/>
    <col min="1290" max="1290" width="2.88671875" style="11" customWidth="1"/>
    <col min="1291" max="1291" width="3.5546875" style="11" customWidth="1"/>
    <col min="1292" max="1536" width="9.109375" style="11"/>
    <col min="1537" max="1537" width="8.5546875" style="11" customWidth="1"/>
    <col min="1538" max="1538" width="9.88671875" style="11" customWidth="1"/>
    <col min="1539" max="1539" width="14.44140625" style="11" customWidth="1"/>
    <col min="1540" max="1540" width="7.44140625" style="11" customWidth="1"/>
    <col min="1541" max="1541" width="5.5546875" style="11" customWidth="1"/>
    <col min="1542" max="1542" width="9" style="11" customWidth="1"/>
    <col min="1543" max="1544" width="9.88671875" style="11" customWidth="1"/>
    <col min="1545" max="1545" width="11.109375" style="11" customWidth="1"/>
    <col min="1546" max="1546" width="2.88671875" style="11" customWidth="1"/>
    <col min="1547" max="1547" width="3.5546875" style="11" customWidth="1"/>
    <col min="1548" max="1792" width="9.109375" style="11"/>
    <col min="1793" max="1793" width="8.5546875" style="11" customWidth="1"/>
    <col min="1794" max="1794" width="9.88671875" style="11" customWidth="1"/>
    <col min="1795" max="1795" width="14.44140625" style="11" customWidth="1"/>
    <col min="1796" max="1796" width="7.44140625" style="11" customWidth="1"/>
    <col min="1797" max="1797" width="5.5546875" style="11" customWidth="1"/>
    <col min="1798" max="1798" width="9" style="11" customWidth="1"/>
    <col min="1799" max="1800" width="9.88671875" style="11" customWidth="1"/>
    <col min="1801" max="1801" width="11.109375" style="11" customWidth="1"/>
    <col min="1802" max="1802" width="2.88671875" style="11" customWidth="1"/>
    <col min="1803" max="1803" width="3.5546875" style="11" customWidth="1"/>
    <col min="1804" max="2048" width="9.109375" style="11"/>
    <col min="2049" max="2049" width="8.5546875" style="11" customWidth="1"/>
    <col min="2050" max="2050" width="9.88671875" style="11" customWidth="1"/>
    <col min="2051" max="2051" width="14.44140625" style="11" customWidth="1"/>
    <col min="2052" max="2052" width="7.44140625" style="11" customWidth="1"/>
    <col min="2053" max="2053" width="5.5546875" style="11" customWidth="1"/>
    <col min="2054" max="2054" width="9" style="11" customWidth="1"/>
    <col min="2055" max="2056" width="9.88671875" style="11" customWidth="1"/>
    <col min="2057" max="2057" width="11.109375" style="11" customWidth="1"/>
    <col min="2058" max="2058" width="2.88671875" style="11" customWidth="1"/>
    <col min="2059" max="2059" width="3.5546875" style="11" customWidth="1"/>
    <col min="2060" max="2304" width="9.109375" style="11"/>
    <col min="2305" max="2305" width="8.5546875" style="11" customWidth="1"/>
    <col min="2306" max="2306" width="9.88671875" style="11" customWidth="1"/>
    <col min="2307" max="2307" width="14.44140625" style="11" customWidth="1"/>
    <col min="2308" max="2308" width="7.44140625" style="11" customWidth="1"/>
    <col min="2309" max="2309" width="5.5546875" style="11" customWidth="1"/>
    <col min="2310" max="2310" width="9" style="11" customWidth="1"/>
    <col min="2311" max="2312" width="9.88671875" style="11" customWidth="1"/>
    <col min="2313" max="2313" width="11.109375" style="11" customWidth="1"/>
    <col min="2314" max="2314" width="2.88671875" style="11" customWidth="1"/>
    <col min="2315" max="2315" width="3.5546875" style="11" customWidth="1"/>
    <col min="2316" max="2560" width="9.109375" style="11"/>
    <col min="2561" max="2561" width="8.5546875" style="11" customWidth="1"/>
    <col min="2562" max="2562" width="9.88671875" style="11" customWidth="1"/>
    <col min="2563" max="2563" width="14.44140625" style="11" customWidth="1"/>
    <col min="2564" max="2564" width="7.44140625" style="11" customWidth="1"/>
    <col min="2565" max="2565" width="5.5546875" style="11" customWidth="1"/>
    <col min="2566" max="2566" width="9" style="11" customWidth="1"/>
    <col min="2567" max="2568" width="9.88671875" style="11" customWidth="1"/>
    <col min="2569" max="2569" width="11.109375" style="11" customWidth="1"/>
    <col min="2570" max="2570" width="2.88671875" style="11" customWidth="1"/>
    <col min="2571" max="2571" width="3.5546875" style="11" customWidth="1"/>
    <col min="2572" max="2816" width="9.109375" style="11"/>
    <col min="2817" max="2817" width="8.5546875" style="11" customWidth="1"/>
    <col min="2818" max="2818" width="9.88671875" style="11" customWidth="1"/>
    <col min="2819" max="2819" width="14.44140625" style="11" customWidth="1"/>
    <col min="2820" max="2820" width="7.44140625" style="11" customWidth="1"/>
    <col min="2821" max="2821" width="5.5546875" style="11" customWidth="1"/>
    <col min="2822" max="2822" width="9" style="11" customWidth="1"/>
    <col min="2823" max="2824" width="9.88671875" style="11" customWidth="1"/>
    <col min="2825" max="2825" width="11.109375" style="11" customWidth="1"/>
    <col min="2826" max="2826" width="2.88671875" style="11" customWidth="1"/>
    <col min="2827" max="2827" width="3.5546875" style="11" customWidth="1"/>
    <col min="2828" max="3072" width="9.109375" style="11"/>
    <col min="3073" max="3073" width="8.5546875" style="11" customWidth="1"/>
    <col min="3074" max="3074" width="9.88671875" style="11" customWidth="1"/>
    <col min="3075" max="3075" width="14.44140625" style="11" customWidth="1"/>
    <col min="3076" max="3076" width="7.44140625" style="11" customWidth="1"/>
    <col min="3077" max="3077" width="5.5546875" style="11" customWidth="1"/>
    <col min="3078" max="3078" width="9" style="11" customWidth="1"/>
    <col min="3079" max="3080" width="9.88671875" style="11" customWidth="1"/>
    <col min="3081" max="3081" width="11.109375" style="11" customWidth="1"/>
    <col min="3082" max="3082" width="2.88671875" style="11" customWidth="1"/>
    <col min="3083" max="3083" width="3.5546875" style="11" customWidth="1"/>
    <col min="3084" max="3328" width="9.109375" style="11"/>
    <col min="3329" max="3329" width="8.5546875" style="11" customWidth="1"/>
    <col min="3330" max="3330" width="9.88671875" style="11" customWidth="1"/>
    <col min="3331" max="3331" width="14.44140625" style="11" customWidth="1"/>
    <col min="3332" max="3332" width="7.44140625" style="11" customWidth="1"/>
    <col min="3333" max="3333" width="5.5546875" style="11" customWidth="1"/>
    <col min="3334" max="3334" width="9" style="11" customWidth="1"/>
    <col min="3335" max="3336" width="9.88671875" style="11" customWidth="1"/>
    <col min="3337" max="3337" width="11.109375" style="11" customWidth="1"/>
    <col min="3338" max="3338" width="2.88671875" style="11" customWidth="1"/>
    <col min="3339" max="3339" width="3.5546875" style="11" customWidth="1"/>
    <col min="3340" max="3584" width="9.109375" style="11"/>
    <col min="3585" max="3585" width="8.5546875" style="11" customWidth="1"/>
    <col min="3586" max="3586" width="9.88671875" style="11" customWidth="1"/>
    <col min="3587" max="3587" width="14.44140625" style="11" customWidth="1"/>
    <col min="3588" max="3588" width="7.44140625" style="11" customWidth="1"/>
    <col min="3589" max="3589" width="5.5546875" style="11" customWidth="1"/>
    <col min="3590" max="3590" width="9" style="11" customWidth="1"/>
    <col min="3591" max="3592" width="9.88671875" style="11" customWidth="1"/>
    <col min="3593" max="3593" width="11.109375" style="11" customWidth="1"/>
    <col min="3594" max="3594" width="2.88671875" style="11" customWidth="1"/>
    <col min="3595" max="3595" width="3.5546875" style="11" customWidth="1"/>
    <col min="3596" max="3840" width="9.109375" style="11"/>
    <col min="3841" max="3841" width="8.5546875" style="11" customWidth="1"/>
    <col min="3842" max="3842" width="9.88671875" style="11" customWidth="1"/>
    <col min="3843" max="3843" width="14.44140625" style="11" customWidth="1"/>
    <col min="3844" max="3844" width="7.44140625" style="11" customWidth="1"/>
    <col min="3845" max="3845" width="5.5546875" style="11" customWidth="1"/>
    <col min="3846" max="3846" width="9" style="11" customWidth="1"/>
    <col min="3847" max="3848" width="9.88671875" style="11" customWidth="1"/>
    <col min="3849" max="3849" width="11.109375" style="11" customWidth="1"/>
    <col min="3850" max="3850" width="2.88671875" style="11" customWidth="1"/>
    <col min="3851" max="3851" width="3.5546875" style="11" customWidth="1"/>
    <col min="3852" max="4096" width="9.109375" style="11"/>
    <col min="4097" max="4097" width="8.5546875" style="11" customWidth="1"/>
    <col min="4098" max="4098" width="9.88671875" style="11" customWidth="1"/>
    <col min="4099" max="4099" width="14.44140625" style="11" customWidth="1"/>
    <col min="4100" max="4100" width="7.44140625" style="11" customWidth="1"/>
    <col min="4101" max="4101" width="5.5546875" style="11" customWidth="1"/>
    <col min="4102" max="4102" width="9" style="11" customWidth="1"/>
    <col min="4103" max="4104" width="9.88671875" style="11" customWidth="1"/>
    <col min="4105" max="4105" width="11.109375" style="11" customWidth="1"/>
    <col min="4106" max="4106" width="2.88671875" style="11" customWidth="1"/>
    <col min="4107" max="4107" width="3.5546875" style="11" customWidth="1"/>
    <col min="4108" max="4352" width="9.109375" style="11"/>
    <col min="4353" max="4353" width="8.5546875" style="11" customWidth="1"/>
    <col min="4354" max="4354" width="9.88671875" style="11" customWidth="1"/>
    <col min="4355" max="4355" width="14.44140625" style="11" customWidth="1"/>
    <col min="4356" max="4356" width="7.44140625" style="11" customWidth="1"/>
    <col min="4357" max="4357" width="5.5546875" style="11" customWidth="1"/>
    <col min="4358" max="4358" width="9" style="11" customWidth="1"/>
    <col min="4359" max="4360" width="9.88671875" style="11" customWidth="1"/>
    <col min="4361" max="4361" width="11.109375" style="11" customWidth="1"/>
    <col min="4362" max="4362" width="2.88671875" style="11" customWidth="1"/>
    <col min="4363" max="4363" width="3.5546875" style="11" customWidth="1"/>
    <col min="4364" max="4608" width="9.109375" style="11"/>
    <col min="4609" max="4609" width="8.5546875" style="11" customWidth="1"/>
    <col min="4610" max="4610" width="9.88671875" style="11" customWidth="1"/>
    <col min="4611" max="4611" width="14.44140625" style="11" customWidth="1"/>
    <col min="4612" max="4612" width="7.44140625" style="11" customWidth="1"/>
    <col min="4613" max="4613" width="5.5546875" style="11" customWidth="1"/>
    <col min="4614" max="4614" width="9" style="11" customWidth="1"/>
    <col min="4615" max="4616" width="9.88671875" style="11" customWidth="1"/>
    <col min="4617" max="4617" width="11.109375" style="11" customWidth="1"/>
    <col min="4618" max="4618" width="2.88671875" style="11" customWidth="1"/>
    <col min="4619" max="4619" width="3.5546875" style="11" customWidth="1"/>
    <col min="4620" max="4864" width="9.109375" style="11"/>
    <col min="4865" max="4865" width="8.5546875" style="11" customWidth="1"/>
    <col min="4866" max="4866" width="9.88671875" style="11" customWidth="1"/>
    <col min="4867" max="4867" width="14.44140625" style="11" customWidth="1"/>
    <col min="4868" max="4868" width="7.44140625" style="11" customWidth="1"/>
    <col min="4869" max="4869" width="5.5546875" style="11" customWidth="1"/>
    <col min="4870" max="4870" width="9" style="11" customWidth="1"/>
    <col min="4871" max="4872" width="9.88671875" style="11" customWidth="1"/>
    <col min="4873" max="4873" width="11.109375" style="11" customWidth="1"/>
    <col min="4874" max="4874" width="2.88671875" style="11" customWidth="1"/>
    <col min="4875" max="4875" width="3.5546875" style="11" customWidth="1"/>
    <col min="4876" max="5120" width="9.109375" style="11"/>
    <col min="5121" max="5121" width="8.5546875" style="11" customWidth="1"/>
    <col min="5122" max="5122" width="9.88671875" style="11" customWidth="1"/>
    <col min="5123" max="5123" width="14.44140625" style="11" customWidth="1"/>
    <col min="5124" max="5124" width="7.44140625" style="11" customWidth="1"/>
    <col min="5125" max="5125" width="5.5546875" style="11" customWidth="1"/>
    <col min="5126" max="5126" width="9" style="11" customWidth="1"/>
    <col min="5127" max="5128" width="9.88671875" style="11" customWidth="1"/>
    <col min="5129" max="5129" width="11.109375" style="11" customWidth="1"/>
    <col min="5130" max="5130" width="2.88671875" style="11" customWidth="1"/>
    <col min="5131" max="5131" width="3.5546875" style="11" customWidth="1"/>
    <col min="5132" max="5376" width="9.109375" style="11"/>
    <col min="5377" max="5377" width="8.5546875" style="11" customWidth="1"/>
    <col min="5378" max="5378" width="9.88671875" style="11" customWidth="1"/>
    <col min="5379" max="5379" width="14.44140625" style="11" customWidth="1"/>
    <col min="5380" max="5380" width="7.44140625" style="11" customWidth="1"/>
    <col min="5381" max="5381" width="5.5546875" style="11" customWidth="1"/>
    <col min="5382" max="5382" width="9" style="11" customWidth="1"/>
    <col min="5383" max="5384" width="9.88671875" style="11" customWidth="1"/>
    <col min="5385" max="5385" width="11.109375" style="11" customWidth="1"/>
    <col min="5386" max="5386" width="2.88671875" style="11" customWidth="1"/>
    <col min="5387" max="5387" width="3.5546875" style="11" customWidth="1"/>
    <col min="5388" max="5632" width="9.109375" style="11"/>
    <col min="5633" max="5633" width="8.5546875" style="11" customWidth="1"/>
    <col min="5634" max="5634" width="9.88671875" style="11" customWidth="1"/>
    <col min="5635" max="5635" width="14.44140625" style="11" customWidth="1"/>
    <col min="5636" max="5636" width="7.44140625" style="11" customWidth="1"/>
    <col min="5637" max="5637" width="5.5546875" style="11" customWidth="1"/>
    <col min="5638" max="5638" width="9" style="11" customWidth="1"/>
    <col min="5639" max="5640" width="9.88671875" style="11" customWidth="1"/>
    <col min="5641" max="5641" width="11.109375" style="11" customWidth="1"/>
    <col min="5642" max="5642" width="2.88671875" style="11" customWidth="1"/>
    <col min="5643" max="5643" width="3.5546875" style="11" customWidth="1"/>
    <col min="5644" max="5888" width="9.109375" style="11"/>
    <col min="5889" max="5889" width="8.5546875" style="11" customWidth="1"/>
    <col min="5890" max="5890" width="9.88671875" style="11" customWidth="1"/>
    <col min="5891" max="5891" width="14.44140625" style="11" customWidth="1"/>
    <col min="5892" max="5892" width="7.44140625" style="11" customWidth="1"/>
    <col min="5893" max="5893" width="5.5546875" style="11" customWidth="1"/>
    <col min="5894" max="5894" width="9" style="11" customWidth="1"/>
    <col min="5895" max="5896" width="9.88671875" style="11" customWidth="1"/>
    <col min="5897" max="5897" width="11.109375" style="11" customWidth="1"/>
    <col min="5898" max="5898" width="2.88671875" style="11" customWidth="1"/>
    <col min="5899" max="5899" width="3.5546875" style="11" customWidth="1"/>
    <col min="5900" max="6144" width="9.109375" style="11"/>
    <col min="6145" max="6145" width="8.5546875" style="11" customWidth="1"/>
    <col min="6146" max="6146" width="9.88671875" style="11" customWidth="1"/>
    <col min="6147" max="6147" width="14.44140625" style="11" customWidth="1"/>
    <col min="6148" max="6148" width="7.44140625" style="11" customWidth="1"/>
    <col min="6149" max="6149" width="5.5546875" style="11" customWidth="1"/>
    <col min="6150" max="6150" width="9" style="11" customWidth="1"/>
    <col min="6151" max="6152" width="9.88671875" style="11" customWidth="1"/>
    <col min="6153" max="6153" width="11.109375" style="11" customWidth="1"/>
    <col min="6154" max="6154" width="2.88671875" style="11" customWidth="1"/>
    <col min="6155" max="6155" width="3.5546875" style="11" customWidth="1"/>
    <col min="6156" max="6400" width="9.109375" style="11"/>
    <col min="6401" max="6401" width="8.5546875" style="11" customWidth="1"/>
    <col min="6402" max="6402" width="9.88671875" style="11" customWidth="1"/>
    <col min="6403" max="6403" width="14.44140625" style="11" customWidth="1"/>
    <col min="6404" max="6404" width="7.44140625" style="11" customWidth="1"/>
    <col min="6405" max="6405" width="5.5546875" style="11" customWidth="1"/>
    <col min="6406" max="6406" width="9" style="11" customWidth="1"/>
    <col min="6407" max="6408" width="9.88671875" style="11" customWidth="1"/>
    <col min="6409" max="6409" width="11.109375" style="11" customWidth="1"/>
    <col min="6410" max="6410" width="2.88671875" style="11" customWidth="1"/>
    <col min="6411" max="6411" width="3.5546875" style="11" customWidth="1"/>
    <col min="6412" max="6656" width="9.109375" style="11"/>
    <col min="6657" max="6657" width="8.5546875" style="11" customWidth="1"/>
    <col min="6658" max="6658" width="9.88671875" style="11" customWidth="1"/>
    <col min="6659" max="6659" width="14.44140625" style="11" customWidth="1"/>
    <col min="6660" max="6660" width="7.44140625" style="11" customWidth="1"/>
    <col min="6661" max="6661" width="5.5546875" style="11" customWidth="1"/>
    <col min="6662" max="6662" width="9" style="11" customWidth="1"/>
    <col min="6663" max="6664" width="9.88671875" style="11" customWidth="1"/>
    <col min="6665" max="6665" width="11.109375" style="11" customWidth="1"/>
    <col min="6666" max="6666" width="2.88671875" style="11" customWidth="1"/>
    <col min="6667" max="6667" width="3.5546875" style="11" customWidth="1"/>
    <col min="6668" max="6912" width="9.109375" style="11"/>
    <col min="6913" max="6913" width="8.5546875" style="11" customWidth="1"/>
    <col min="6914" max="6914" width="9.88671875" style="11" customWidth="1"/>
    <col min="6915" max="6915" width="14.44140625" style="11" customWidth="1"/>
    <col min="6916" max="6916" width="7.44140625" style="11" customWidth="1"/>
    <col min="6917" max="6917" width="5.5546875" style="11" customWidth="1"/>
    <col min="6918" max="6918" width="9" style="11" customWidth="1"/>
    <col min="6919" max="6920" width="9.88671875" style="11" customWidth="1"/>
    <col min="6921" max="6921" width="11.109375" style="11" customWidth="1"/>
    <col min="6922" max="6922" width="2.88671875" style="11" customWidth="1"/>
    <col min="6923" max="6923" width="3.5546875" style="11" customWidth="1"/>
    <col min="6924" max="7168" width="9.109375" style="11"/>
    <col min="7169" max="7169" width="8.5546875" style="11" customWidth="1"/>
    <col min="7170" max="7170" width="9.88671875" style="11" customWidth="1"/>
    <col min="7171" max="7171" width="14.44140625" style="11" customWidth="1"/>
    <col min="7172" max="7172" width="7.44140625" style="11" customWidth="1"/>
    <col min="7173" max="7173" width="5.5546875" style="11" customWidth="1"/>
    <col min="7174" max="7174" width="9" style="11" customWidth="1"/>
    <col min="7175" max="7176" width="9.88671875" style="11" customWidth="1"/>
    <col min="7177" max="7177" width="11.109375" style="11" customWidth="1"/>
    <col min="7178" max="7178" width="2.88671875" style="11" customWidth="1"/>
    <col min="7179" max="7179" width="3.5546875" style="11" customWidth="1"/>
    <col min="7180" max="7424" width="9.109375" style="11"/>
    <col min="7425" max="7425" width="8.5546875" style="11" customWidth="1"/>
    <col min="7426" max="7426" width="9.88671875" style="11" customWidth="1"/>
    <col min="7427" max="7427" width="14.44140625" style="11" customWidth="1"/>
    <col min="7428" max="7428" width="7.44140625" style="11" customWidth="1"/>
    <col min="7429" max="7429" width="5.5546875" style="11" customWidth="1"/>
    <col min="7430" max="7430" width="9" style="11" customWidth="1"/>
    <col min="7431" max="7432" width="9.88671875" style="11" customWidth="1"/>
    <col min="7433" max="7433" width="11.109375" style="11" customWidth="1"/>
    <col min="7434" max="7434" width="2.88671875" style="11" customWidth="1"/>
    <col min="7435" max="7435" width="3.5546875" style="11" customWidth="1"/>
    <col min="7436" max="7680" width="9.109375" style="11"/>
    <col min="7681" max="7681" width="8.5546875" style="11" customWidth="1"/>
    <col min="7682" max="7682" width="9.88671875" style="11" customWidth="1"/>
    <col min="7683" max="7683" width="14.44140625" style="11" customWidth="1"/>
    <col min="7684" max="7684" width="7.44140625" style="11" customWidth="1"/>
    <col min="7685" max="7685" width="5.5546875" style="11" customWidth="1"/>
    <col min="7686" max="7686" width="9" style="11" customWidth="1"/>
    <col min="7687" max="7688" width="9.88671875" style="11" customWidth="1"/>
    <col min="7689" max="7689" width="11.109375" style="11" customWidth="1"/>
    <col min="7690" max="7690" width="2.88671875" style="11" customWidth="1"/>
    <col min="7691" max="7691" width="3.5546875" style="11" customWidth="1"/>
    <col min="7692" max="7936" width="9.109375" style="11"/>
    <col min="7937" max="7937" width="8.5546875" style="11" customWidth="1"/>
    <col min="7938" max="7938" width="9.88671875" style="11" customWidth="1"/>
    <col min="7939" max="7939" width="14.44140625" style="11" customWidth="1"/>
    <col min="7940" max="7940" width="7.44140625" style="11" customWidth="1"/>
    <col min="7941" max="7941" width="5.5546875" style="11" customWidth="1"/>
    <col min="7942" max="7942" width="9" style="11" customWidth="1"/>
    <col min="7943" max="7944" width="9.88671875" style="11" customWidth="1"/>
    <col min="7945" max="7945" width="11.109375" style="11" customWidth="1"/>
    <col min="7946" max="7946" width="2.88671875" style="11" customWidth="1"/>
    <col min="7947" max="7947" width="3.5546875" style="11" customWidth="1"/>
    <col min="7948" max="8192" width="9.109375" style="11"/>
    <col min="8193" max="8193" width="8.5546875" style="11" customWidth="1"/>
    <col min="8194" max="8194" width="9.88671875" style="11" customWidth="1"/>
    <col min="8195" max="8195" width="14.44140625" style="11" customWidth="1"/>
    <col min="8196" max="8196" width="7.44140625" style="11" customWidth="1"/>
    <col min="8197" max="8197" width="5.5546875" style="11" customWidth="1"/>
    <col min="8198" max="8198" width="9" style="11" customWidth="1"/>
    <col min="8199" max="8200" width="9.88671875" style="11" customWidth="1"/>
    <col min="8201" max="8201" width="11.109375" style="11" customWidth="1"/>
    <col min="8202" max="8202" width="2.88671875" style="11" customWidth="1"/>
    <col min="8203" max="8203" width="3.5546875" style="11" customWidth="1"/>
    <col min="8204" max="8448" width="9.109375" style="11"/>
    <col min="8449" max="8449" width="8.5546875" style="11" customWidth="1"/>
    <col min="8450" max="8450" width="9.88671875" style="11" customWidth="1"/>
    <col min="8451" max="8451" width="14.44140625" style="11" customWidth="1"/>
    <col min="8452" max="8452" width="7.44140625" style="11" customWidth="1"/>
    <col min="8453" max="8453" width="5.5546875" style="11" customWidth="1"/>
    <col min="8454" max="8454" width="9" style="11" customWidth="1"/>
    <col min="8455" max="8456" width="9.88671875" style="11" customWidth="1"/>
    <col min="8457" max="8457" width="11.109375" style="11" customWidth="1"/>
    <col min="8458" max="8458" width="2.88671875" style="11" customWidth="1"/>
    <col min="8459" max="8459" width="3.5546875" style="11" customWidth="1"/>
    <col min="8460" max="8704" width="9.109375" style="11"/>
    <col min="8705" max="8705" width="8.5546875" style="11" customWidth="1"/>
    <col min="8706" max="8706" width="9.88671875" style="11" customWidth="1"/>
    <col min="8707" max="8707" width="14.44140625" style="11" customWidth="1"/>
    <col min="8708" max="8708" width="7.44140625" style="11" customWidth="1"/>
    <col min="8709" max="8709" width="5.5546875" style="11" customWidth="1"/>
    <col min="8710" max="8710" width="9" style="11" customWidth="1"/>
    <col min="8711" max="8712" width="9.88671875" style="11" customWidth="1"/>
    <col min="8713" max="8713" width="11.109375" style="11" customWidth="1"/>
    <col min="8714" max="8714" width="2.88671875" style="11" customWidth="1"/>
    <col min="8715" max="8715" width="3.5546875" style="11" customWidth="1"/>
    <col min="8716" max="8960" width="9.109375" style="11"/>
    <col min="8961" max="8961" width="8.5546875" style="11" customWidth="1"/>
    <col min="8962" max="8962" width="9.88671875" style="11" customWidth="1"/>
    <col min="8963" max="8963" width="14.44140625" style="11" customWidth="1"/>
    <col min="8964" max="8964" width="7.44140625" style="11" customWidth="1"/>
    <col min="8965" max="8965" width="5.5546875" style="11" customWidth="1"/>
    <col min="8966" max="8966" width="9" style="11" customWidth="1"/>
    <col min="8967" max="8968" width="9.88671875" style="11" customWidth="1"/>
    <col min="8969" max="8969" width="11.109375" style="11" customWidth="1"/>
    <col min="8970" max="8970" width="2.88671875" style="11" customWidth="1"/>
    <col min="8971" max="8971" width="3.5546875" style="11" customWidth="1"/>
    <col min="8972" max="9216" width="9.109375" style="11"/>
    <col min="9217" max="9217" width="8.5546875" style="11" customWidth="1"/>
    <col min="9218" max="9218" width="9.88671875" style="11" customWidth="1"/>
    <col min="9219" max="9219" width="14.44140625" style="11" customWidth="1"/>
    <col min="9220" max="9220" width="7.44140625" style="11" customWidth="1"/>
    <col min="9221" max="9221" width="5.5546875" style="11" customWidth="1"/>
    <col min="9222" max="9222" width="9" style="11" customWidth="1"/>
    <col min="9223" max="9224" width="9.88671875" style="11" customWidth="1"/>
    <col min="9225" max="9225" width="11.109375" style="11" customWidth="1"/>
    <col min="9226" max="9226" width="2.88671875" style="11" customWidth="1"/>
    <col min="9227" max="9227" width="3.5546875" style="11" customWidth="1"/>
    <col min="9228" max="9472" width="9.109375" style="11"/>
    <col min="9473" max="9473" width="8.5546875" style="11" customWidth="1"/>
    <col min="9474" max="9474" width="9.88671875" style="11" customWidth="1"/>
    <col min="9475" max="9475" width="14.44140625" style="11" customWidth="1"/>
    <col min="9476" max="9476" width="7.44140625" style="11" customWidth="1"/>
    <col min="9477" max="9477" width="5.5546875" style="11" customWidth="1"/>
    <col min="9478" max="9478" width="9" style="11" customWidth="1"/>
    <col min="9479" max="9480" width="9.88671875" style="11" customWidth="1"/>
    <col min="9481" max="9481" width="11.109375" style="11" customWidth="1"/>
    <col min="9482" max="9482" width="2.88671875" style="11" customWidth="1"/>
    <col min="9483" max="9483" width="3.5546875" style="11" customWidth="1"/>
    <col min="9484" max="9728" width="9.109375" style="11"/>
    <col min="9729" max="9729" width="8.5546875" style="11" customWidth="1"/>
    <col min="9730" max="9730" width="9.88671875" style="11" customWidth="1"/>
    <col min="9731" max="9731" width="14.44140625" style="11" customWidth="1"/>
    <col min="9732" max="9732" width="7.44140625" style="11" customWidth="1"/>
    <col min="9733" max="9733" width="5.5546875" style="11" customWidth="1"/>
    <col min="9734" max="9734" width="9" style="11" customWidth="1"/>
    <col min="9735" max="9736" width="9.88671875" style="11" customWidth="1"/>
    <col min="9737" max="9737" width="11.109375" style="11" customWidth="1"/>
    <col min="9738" max="9738" width="2.88671875" style="11" customWidth="1"/>
    <col min="9739" max="9739" width="3.5546875" style="11" customWidth="1"/>
    <col min="9740" max="9984" width="9.109375" style="11"/>
    <col min="9985" max="9985" width="8.5546875" style="11" customWidth="1"/>
    <col min="9986" max="9986" width="9.88671875" style="11" customWidth="1"/>
    <col min="9987" max="9987" width="14.44140625" style="11" customWidth="1"/>
    <col min="9988" max="9988" width="7.44140625" style="11" customWidth="1"/>
    <col min="9989" max="9989" width="5.5546875" style="11" customWidth="1"/>
    <col min="9990" max="9990" width="9" style="11" customWidth="1"/>
    <col min="9991" max="9992" width="9.88671875" style="11" customWidth="1"/>
    <col min="9993" max="9993" width="11.109375" style="11" customWidth="1"/>
    <col min="9994" max="9994" width="2.88671875" style="11" customWidth="1"/>
    <col min="9995" max="9995" width="3.5546875" style="11" customWidth="1"/>
    <col min="9996" max="10240" width="9.109375" style="11"/>
    <col min="10241" max="10241" width="8.5546875" style="11" customWidth="1"/>
    <col min="10242" max="10242" width="9.88671875" style="11" customWidth="1"/>
    <col min="10243" max="10243" width="14.44140625" style="11" customWidth="1"/>
    <col min="10244" max="10244" width="7.44140625" style="11" customWidth="1"/>
    <col min="10245" max="10245" width="5.5546875" style="11" customWidth="1"/>
    <col min="10246" max="10246" width="9" style="11" customWidth="1"/>
    <col min="10247" max="10248" width="9.88671875" style="11" customWidth="1"/>
    <col min="10249" max="10249" width="11.109375" style="11" customWidth="1"/>
    <col min="10250" max="10250" width="2.88671875" style="11" customWidth="1"/>
    <col min="10251" max="10251" width="3.5546875" style="11" customWidth="1"/>
    <col min="10252" max="10496" width="9.109375" style="11"/>
    <col min="10497" max="10497" width="8.5546875" style="11" customWidth="1"/>
    <col min="10498" max="10498" width="9.88671875" style="11" customWidth="1"/>
    <col min="10499" max="10499" width="14.44140625" style="11" customWidth="1"/>
    <col min="10500" max="10500" width="7.44140625" style="11" customWidth="1"/>
    <col min="10501" max="10501" width="5.5546875" style="11" customWidth="1"/>
    <col min="10502" max="10502" width="9" style="11" customWidth="1"/>
    <col min="10503" max="10504" width="9.88671875" style="11" customWidth="1"/>
    <col min="10505" max="10505" width="11.109375" style="11" customWidth="1"/>
    <col min="10506" max="10506" width="2.88671875" style="11" customWidth="1"/>
    <col min="10507" max="10507" width="3.5546875" style="11" customWidth="1"/>
    <col min="10508" max="10752" width="9.109375" style="11"/>
    <col min="10753" max="10753" width="8.5546875" style="11" customWidth="1"/>
    <col min="10754" max="10754" width="9.88671875" style="11" customWidth="1"/>
    <col min="10755" max="10755" width="14.44140625" style="11" customWidth="1"/>
    <col min="10756" max="10756" width="7.44140625" style="11" customWidth="1"/>
    <col min="10757" max="10757" width="5.5546875" style="11" customWidth="1"/>
    <col min="10758" max="10758" width="9" style="11" customWidth="1"/>
    <col min="10759" max="10760" width="9.88671875" style="11" customWidth="1"/>
    <col min="10761" max="10761" width="11.109375" style="11" customWidth="1"/>
    <col min="10762" max="10762" width="2.88671875" style="11" customWidth="1"/>
    <col min="10763" max="10763" width="3.5546875" style="11" customWidth="1"/>
    <col min="10764" max="11008" width="9.109375" style="11"/>
    <col min="11009" max="11009" width="8.5546875" style="11" customWidth="1"/>
    <col min="11010" max="11010" width="9.88671875" style="11" customWidth="1"/>
    <col min="11011" max="11011" width="14.44140625" style="11" customWidth="1"/>
    <col min="11012" max="11012" width="7.44140625" style="11" customWidth="1"/>
    <col min="11013" max="11013" width="5.5546875" style="11" customWidth="1"/>
    <col min="11014" max="11014" width="9" style="11" customWidth="1"/>
    <col min="11015" max="11016" width="9.88671875" style="11" customWidth="1"/>
    <col min="11017" max="11017" width="11.109375" style="11" customWidth="1"/>
    <col min="11018" max="11018" width="2.88671875" style="11" customWidth="1"/>
    <col min="11019" max="11019" width="3.5546875" style="11" customWidth="1"/>
    <col min="11020" max="11264" width="9.109375" style="11"/>
    <col min="11265" max="11265" width="8.5546875" style="11" customWidth="1"/>
    <col min="11266" max="11266" width="9.88671875" style="11" customWidth="1"/>
    <col min="11267" max="11267" width="14.44140625" style="11" customWidth="1"/>
    <col min="11268" max="11268" width="7.44140625" style="11" customWidth="1"/>
    <col min="11269" max="11269" width="5.5546875" style="11" customWidth="1"/>
    <col min="11270" max="11270" width="9" style="11" customWidth="1"/>
    <col min="11271" max="11272" width="9.88671875" style="11" customWidth="1"/>
    <col min="11273" max="11273" width="11.109375" style="11" customWidth="1"/>
    <col min="11274" max="11274" width="2.88671875" style="11" customWidth="1"/>
    <col min="11275" max="11275" width="3.5546875" style="11" customWidth="1"/>
    <col min="11276" max="11520" width="9.109375" style="11"/>
    <col min="11521" max="11521" width="8.5546875" style="11" customWidth="1"/>
    <col min="11522" max="11522" width="9.88671875" style="11" customWidth="1"/>
    <col min="11523" max="11523" width="14.44140625" style="11" customWidth="1"/>
    <col min="11524" max="11524" width="7.44140625" style="11" customWidth="1"/>
    <col min="11525" max="11525" width="5.5546875" style="11" customWidth="1"/>
    <col min="11526" max="11526" width="9" style="11" customWidth="1"/>
    <col min="11527" max="11528" width="9.88671875" style="11" customWidth="1"/>
    <col min="11529" max="11529" width="11.109375" style="11" customWidth="1"/>
    <col min="11530" max="11530" width="2.88671875" style="11" customWidth="1"/>
    <col min="11531" max="11531" width="3.5546875" style="11" customWidth="1"/>
    <col min="11532" max="11776" width="9.109375" style="11"/>
    <col min="11777" max="11777" width="8.5546875" style="11" customWidth="1"/>
    <col min="11778" max="11778" width="9.88671875" style="11" customWidth="1"/>
    <col min="11779" max="11779" width="14.44140625" style="11" customWidth="1"/>
    <col min="11780" max="11780" width="7.44140625" style="11" customWidth="1"/>
    <col min="11781" max="11781" width="5.5546875" style="11" customWidth="1"/>
    <col min="11782" max="11782" width="9" style="11" customWidth="1"/>
    <col min="11783" max="11784" width="9.88671875" style="11" customWidth="1"/>
    <col min="11785" max="11785" width="11.109375" style="11" customWidth="1"/>
    <col min="11786" max="11786" width="2.88671875" style="11" customWidth="1"/>
    <col min="11787" max="11787" width="3.5546875" style="11" customWidth="1"/>
    <col min="11788" max="12032" width="9.109375" style="11"/>
    <col min="12033" max="12033" width="8.5546875" style="11" customWidth="1"/>
    <col min="12034" max="12034" width="9.88671875" style="11" customWidth="1"/>
    <col min="12035" max="12035" width="14.44140625" style="11" customWidth="1"/>
    <col min="12036" max="12036" width="7.44140625" style="11" customWidth="1"/>
    <col min="12037" max="12037" width="5.5546875" style="11" customWidth="1"/>
    <col min="12038" max="12038" width="9" style="11" customWidth="1"/>
    <col min="12039" max="12040" width="9.88671875" style="11" customWidth="1"/>
    <col min="12041" max="12041" width="11.109375" style="11" customWidth="1"/>
    <col min="12042" max="12042" width="2.88671875" style="11" customWidth="1"/>
    <col min="12043" max="12043" width="3.5546875" style="11" customWidth="1"/>
    <col min="12044" max="12288" width="9.109375" style="11"/>
    <col min="12289" max="12289" width="8.5546875" style="11" customWidth="1"/>
    <col min="12290" max="12290" width="9.88671875" style="11" customWidth="1"/>
    <col min="12291" max="12291" width="14.44140625" style="11" customWidth="1"/>
    <col min="12292" max="12292" width="7.44140625" style="11" customWidth="1"/>
    <col min="12293" max="12293" width="5.5546875" style="11" customWidth="1"/>
    <col min="12294" max="12294" width="9" style="11" customWidth="1"/>
    <col min="12295" max="12296" width="9.88671875" style="11" customWidth="1"/>
    <col min="12297" max="12297" width="11.109375" style="11" customWidth="1"/>
    <col min="12298" max="12298" width="2.88671875" style="11" customWidth="1"/>
    <col min="12299" max="12299" width="3.5546875" style="11" customWidth="1"/>
    <col min="12300" max="12544" width="9.109375" style="11"/>
    <col min="12545" max="12545" width="8.5546875" style="11" customWidth="1"/>
    <col min="12546" max="12546" width="9.88671875" style="11" customWidth="1"/>
    <col min="12547" max="12547" width="14.44140625" style="11" customWidth="1"/>
    <col min="12548" max="12548" width="7.44140625" style="11" customWidth="1"/>
    <col min="12549" max="12549" width="5.5546875" style="11" customWidth="1"/>
    <col min="12550" max="12550" width="9" style="11" customWidth="1"/>
    <col min="12551" max="12552" width="9.88671875" style="11" customWidth="1"/>
    <col min="12553" max="12553" width="11.109375" style="11" customWidth="1"/>
    <col min="12554" max="12554" width="2.88671875" style="11" customWidth="1"/>
    <col min="12555" max="12555" width="3.5546875" style="11" customWidth="1"/>
    <col min="12556" max="12800" width="9.109375" style="11"/>
    <col min="12801" max="12801" width="8.5546875" style="11" customWidth="1"/>
    <col min="12802" max="12802" width="9.88671875" style="11" customWidth="1"/>
    <col min="12803" max="12803" width="14.44140625" style="11" customWidth="1"/>
    <col min="12804" max="12804" width="7.44140625" style="11" customWidth="1"/>
    <col min="12805" max="12805" width="5.5546875" style="11" customWidth="1"/>
    <col min="12806" max="12806" width="9" style="11" customWidth="1"/>
    <col min="12807" max="12808" width="9.88671875" style="11" customWidth="1"/>
    <col min="12809" max="12809" width="11.109375" style="11" customWidth="1"/>
    <col min="12810" max="12810" width="2.88671875" style="11" customWidth="1"/>
    <col min="12811" max="12811" width="3.5546875" style="11" customWidth="1"/>
    <col min="12812" max="13056" width="9.109375" style="11"/>
    <col min="13057" max="13057" width="8.5546875" style="11" customWidth="1"/>
    <col min="13058" max="13058" width="9.88671875" style="11" customWidth="1"/>
    <col min="13059" max="13059" width="14.44140625" style="11" customWidth="1"/>
    <col min="13060" max="13060" width="7.44140625" style="11" customWidth="1"/>
    <col min="13061" max="13061" width="5.5546875" style="11" customWidth="1"/>
    <col min="13062" max="13062" width="9" style="11" customWidth="1"/>
    <col min="13063" max="13064" width="9.88671875" style="11" customWidth="1"/>
    <col min="13065" max="13065" width="11.109375" style="11" customWidth="1"/>
    <col min="13066" max="13066" width="2.88671875" style="11" customWidth="1"/>
    <col min="13067" max="13067" width="3.5546875" style="11" customWidth="1"/>
    <col min="13068" max="13312" width="9.109375" style="11"/>
    <col min="13313" max="13313" width="8.5546875" style="11" customWidth="1"/>
    <col min="13314" max="13314" width="9.88671875" style="11" customWidth="1"/>
    <col min="13315" max="13315" width="14.44140625" style="11" customWidth="1"/>
    <col min="13316" max="13316" width="7.44140625" style="11" customWidth="1"/>
    <col min="13317" max="13317" width="5.5546875" style="11" customWidth="1"/>
    <col min="13318" max="13318" width="9" style="11" customWidth="1"/>
    <col min="13319" max="13320" width="9.88671875" style="11" customWidth="1"/>
    <col min="13321" max="13321" width="11.109375" style="11" customWidth="1"/>
    <col min="13322" max="13322" width="2.88671875" style="11" customWidth="1"/>
    <col min="13323" max="13323" width="3.5546875" style="11" customWidth="1"/>
    <col min="13324" max="13568" width="9.109375" style="11"/>
    <col min="13569" max="13569" width="8.5546875" style="11" customWidth="1"/>
    <col min="13570" max="13570" width="9.88671875" style="11" customWidth="1"/>
    <col min="13571" max="13571" width="14.44140625" style="11" customWidth="1"/>
    <col min="13572" max="13572" width="7.44140625" style="11" customWidth="1"/>
    <col min="13573" max="13573" width="5.5546875" style="11" customWidth="1"/>
    <col min="13574" max="13574" width="9" style="11" customWidth="1"/>
    <col min="13575" max="13576" width="9.88671875" style="11" customWidth="1"/>
    <col min="13577" max="13577" width="11.109375" style="11" customWidth="1"/>
    <col min="13578" max="13578" width="2.88671875" style="11" customWidth="1"/>
    <col min="13579" max="13579" width="3.5546875" style="11" customWidth="1"/>
    <col min="13580" max="13824" width="9.109375" style="11"/>
    <col min="13825" max="13825" width="8.5546875" style="11" customWidth="1"/>
    <col min="13826" max="13826" width="9.88671875" style="11" customWidth="1"/>
    <col min="13827" max="13827" width="14.44140625" style="11" customWidth="1"/>
    <col min="13828" max="13828" width="7.44140625" style="11" customWidth="1"/>
    <col min="13829" max="13829" width="5.5546875" style="11" customWidth="1"/>
    <col min="13830" max="13830" width="9" style="11" customWidth="1"/>
    <col min="13831" max="13832" width="9.88671875" style="11" customWidth="1"/>
    <col min="13833" max="13833" width="11.109375" style="11" customWidth="1"/>
    <col min="13834" max="13834" width="2.88671875" style="11" customWidth="1"/>
    <col min="13835" max="13835" width="3.5546875" style="11" customWidth="1"/>
    <col min="13836" max="14080" width="9.109375" style="11"/>
    <col min="14081" max="14081" width="8.5546875" style="11" customWidth="1"/>
    <col min="14082" max="14082" width="9.88671875" style="11" customWidth="1"/>
    <col min="14083" max="14083" width="14.44140625" style="11" customWidth="1"/>
    <col min="14084" max="14084" width="7.44140625" style="11" customWidth="1"/>
    <col min="14085" max="14085" width="5.5546875" style="11" customWidth="1"/>
    <col min="14086" max="14086" width="9" style="11" customWidth="1"/>
    <col min="14087" max="14088" width="9.88671875" style="11" customWidth="1"/>
    <col min="14089" max="14089" width="11.109375" style="11" customWidth="1"/>
    <col min="14090" max="14090" width="2.88671875" style="11" customWidth="1"/>
    <col min="14091" max="14091" width="3.5546875" style="11" customWidth="1"/>
    <col min="14092" max="14336" width="9.109375" style="11"/>
    <col min="14337" max="14337" width="8.5546875" style="11" customWidth="1"/>
    <col min="14338" max="14338" width="9.88671875" style="11" customWidth="1"/>
    <col min="14339" max="14339" width="14.44140625" style="11" customWidth="1"/>
    <col min="14340" max="14340" width="7.44140625" style="11" customWidth="1"/>
    <col min="14341" max="14341" width="5.5546875" style="11" customWidth="1"/>
    <col min="14342" max="14342" width="9" style="11" customWidth="1"/>
    <col min="14343" max="14344" width="9.88671875" style="11" customWidth="1"/>
    <col min="14345" max="14345" width="11.109375" style="11" customWidth="1"/>
    <col min="14346" max="14346" width="2.88671875" style="11" customWidth="1"/>
    <col min="14347" max="14347" width="3.5546875" style="11" customWidth="1"/>
    <col min="14348" max="14592" width="9.109375" style="11"/>
    <col min="14593" max="14593" width="8.5546875" style="11" customWidth="1"/>
    <col min="14594" max="14594" width="9.88671875" style="11" customWidth="1"/>
    <col min="14595" max="14595" width="14.44140625" style="11" customWidth="1"/>
    <col min="14596" max="14596" width="7.44140625" style="11" customWidth="1"/>
    <col min="14597" max="14597" width="5.5546875" style="11" customWidth="1"/>
    <col min="14598" max="14598" width="9" style="11" customWidth="1"/>
    <col min="14599" max="14600" width="9.88671875" style="11" customWidth="1"/>
    <col min="14601" max="14601" width="11.109375" style="11" customWidth="1"/>
    <col min="14602" max="14602" width="2.88671875" style="11" customWidth="1"/>
    <col min="14603" max="14603" width="3.5546875" style="11" customWidth="1"/>
    <col min="14604" max="14848" width="9.109375" style="11"/>
    <col min="14849" max="14849" width="8.5546875" style="11" customWidth="1"/>
    <col min="14850" max="14850" width="9.88671875" style="11" customWidth="1"/>
    <col min="14851" max="14851" width="14.44140625" style="11" customWidth="1"/>
    <col min="14852" max="14852" width="7.44140625" style="11" customWidth="1"/>
    <col min="14853" max="14853" width="5.5546875" style="11" customWidth="1"/>
    <col min="14854" max="14854" width="9" style="11" customWidth="1"/>
    <col min="14855" max="14856" width="9.88671875" style="11" customWidth="1"/>
    <col min="14857" max="14857" width="11.109375" style="11" customWidth="1"/>
    <col min="14858" max="14858" width="2.88671875" style="11" customWidth="1"/>
    <col min="14859" max="14859" width="3.5546875" style="11" customWidth="1"/>
    <col min="14860" max="15104" width="9.109375" style="11"/>
    <col min="15105" max="15105" width="8.5546875" style="11" customWidth="1"/>
    <col min="15106" max="15106" width="9.88671875" style="11" customWidth="1"/>
    <col min="15107" max="15107" width="14.44140625" style="11" customWidth="1"/>
    <col min="15108" max="15108" width="7.44140625" style="11" customWidth="1"/>
    <col min="15109" max="15109" width="5.5546875" style="11" customWidth="1"/>
    <col min="15110" max="15110" width="9" style="11" customWidth="1"/>
    <col min="15111" max="15112" width="9.88671875" style="11" customWidth="1"/>
    <col min="15113" max="15113" width="11.109375" style="11" customWidth="1"/>
    <col min="15114" max="15114" width="2.88671875" style="11" customWidth="1"/>
    <col min="15115" max="15115" width="3.5546875" style="11" customWidth="1"/>
    <col min="15116" max="15360" width="9.109375" style="11"/>
    <col min="15361" max="15361" width="8.5546875" style="11" customWidth="1"/>
    <col min="15362" max="15362" width="9.88671875" style="11" customWidth="1"/>
    <col min="15363" max="15363" width="14.44140625" style="11" customWidth="1"/>
    <col min="15364" max="15364" width="7.44140625" style="11" customWidth="1"/>
    <col min="15365" max="15365" width="5.5546875" style="11" customWidth="1"/>
    <col min="15366" max="15366" width="9" style="11" customWidth="1"/>
    <col min="15367" max="15368" width="9.88671875" style="11" customWidth="1"/>
    <col min="15369" max="15369" width="11.109375" style="11" customWidth="1"/>
    <col min="15370" max="15370" width="2.88671875" style="11" customWidth="1"/>
    <col min="15371" max="15371" width="3.5546875" style="11" customWidth="1"/>
    <col min="15372" max="15616" width="9.109375" style="11"/>
    <col min="15617" max="15617" width="8.5546875" style="11" customWidth="1"/>
    <col min="15618" max="15618" width="9.88671875" style="11" customWidth="1"/>
    <col min="15619" max="15619" width="14.44140625" style="11" customWidth="1"/>
    <col min="15620" max="15620" width="7.44140625" style="11" customWidth="1"/>
    <col min="15621" max="15621" width="5.5546875" style="11" customWidth="1"/>
    <col min="15622" max="15622" width="9" style="11" customWidth="1"/>
    <col min="15623" max="15624" width="9.88671875" style="11" customWidth="1"/>
    <col min="15625" max="15625" width="11.109375" style="11" customWidth="1"/>
    <col min="15626" max="15626" width="2.88671875" style="11" customWidth="1"/>
    <col min="15627" max="15627" width="3.5546875" style="11" customWidth="1"/>
    <col min="15628" max="15872" width="9.109375" style="11"/>
    <col min="15873" max="15873" width="8.5546875" style="11" customWidth="1"/>
    <col min="15874" max="15874" width="9.88671875" style="11" customWidth="1"/>
    <col min="15875" max="15875" width="14.44140625" style="11" customWidth="1"/>
    <col min="15876" max="15876" width="7.44140625" style="11" customWidth="1"/>
    <col min="15877" max="15877" width="5.5546875" style="11" customWidth="1"/>
    <col min="15878" max="15878" width="9" style="11" customWidth="1"/>
    <col min="15879" max="15880" width="9.88671875" style="11" customWidth="1"/>
    <col min="15881" max="15881" width="11.109375" style="11" customWidth="1"/>
    <col min="15882" max="15882" width="2.88671875" style="11" customWidth="1"/>
    <col min="15883" max="15883" width="3.5546875" style="11" customWidth="1"/>
    <col min="15884" max="16128" width="9.109375" style="11"/>
    <col min="16129" max="16129" width="8.5546875" style="11" customWidth="1"/>
    <col min="16130" max="16130" width="9.88671875" style="11" customWidth="1"/>
    <col min="16131" max="16131" width="14.44140625" style="11" customWidth="1"/>
    <col min="16132" max="16132" width="7.44140625" style="11" customWidth="1"/>
    <col min="16133" max="16133" width="5.5546875" style="11" customWidth="1"/>
    <col min="16134" max="16134" width="9" style="11" customWidth="1"/>
    <col min="16135" max="16136" width="9.88671875" style="11" customWidth="1"/>
    <col min="16137" max="16137" width="11.109375" style="11" customWidth="1"/>
    <col min="16138" max="16138" width="2.88671875" style="11" customWidth="1"/>
    <col min="16139" max="16139" width="3.5546875" style="11" customWidth="1"/>
    <col min="16140" max="16384" width="9.109375" style="11"/>
  </cols>
  <sheetData>
    <row r="1" spans="1:10" ht="46.5" customHeight="1" x14ac:dyDescent="0.3">
      <c r="A1" s="201" t="s">
        <v>276</v>
      </c>
      <c r="B1" s="202"/>
      <c r="C1" s="202"/>
      <c r="D1" s="202"/>
      <c r="E1" s="202"/>
      <c r="F1" s="202"/>
      <c r="G1" s="202"/>
      <c r="H1" s="202"/>
      <c r="I1" s="202"/>
      <c r="J1" s="203"/>
    </row>
    <row r="2" spans="1:10" ht="16.5" customHeight="1" x14ac:dyDescent="0.3">
      <c r="A2" s="120" t="s">
        <v>0</v>
      </c>
      <c r="B2" s="121"/>
      <c r="C2" s="121"/>
      <c r="D2" s="121"/>
      <c r="E2" s="121"/>
      <c r="F2" s="121"/>
      <c r="G2" s="121"/>
      <c r="H2" s="121"/>
      <c r="I2" s="121"/>
      <c r="J2" s="122"/>
    </row>
    <row r="3" spans="1:10" x14ac:dyDescent="0.3">
      <c r="A3" s="89" t="s">
        <v>1</v>
      </c>
      <c r="B3" s="90"/>
      <c r="C3" s="90"/>
      <c r="D3" s="90"/>
      <c r="E3" s="164"/>
      <c r="F3" s="204" t="str">
        <f ca="1">TEXT(TODAY(),"DD/MM/YYYY")</f>
        <v>19/08/2025</v>
      </c>
      <c r="G3" s="205"/>
      <c r="H3" s="205"/>
      <c r="I3" s="205"/>
      <c r="J3" s="206"/>
    </row>
    <row r="4" spans="1:10" ht="15" customHeight="1" x14ac:dyDescent="0.3">
      <c r="A4" s="89" t="s">
        <v>2</v>
      </c>
      <c r="B4" s="90"/>
      <c r="C4" s="90"/>
      <c r="D4" s="90"/>
      <c r="E4" s="164"/>
      <c r="F4" s="207" t="s">
        <v>168</v>
      </c>
      <c r="G4" s="208"/>
      <c r="H4" s="208"/>
      <c r="I4" s="208"/>
      <c r="J4" s="209"/>
    </row>
    <row r="5" spans="1:10" x14ac:dyDescent="0.3">
      <c r="A5" s="89" t="s">
        <v>3</v>
      </c>
      <c r="B5" s="90"/>
      <c r="C5" s="90"/>
      <c r="D5" s="90"/>
      <c r="E5" s="164"/>
      <c r="F5" s="210">
        <v>45881</v>
      </c>
      <c r="G5" s="211"/>
      <c r="H5" s="211"/>
      <c r="I5" s="211"/>
      <c r="J5" s="212"/>
    </row>
    <row r="6" spans="1:10" ht="16.5" customHeight="1" x14ac:dyDescent="0.3">
      <c r="A6" s="89" t="s">
        <v>4</v>
      </c>
      <c r="B6" s="90"/>
      <c r="C6" s="90"/>
      <c r="D6" s="90"/>
      <c r="E6" s="164"/>
      <c r="F6" s="91" t="s">
        <v>169</v>
      </c>
      <c r="G6" s="92"/>
      <c r="H6" s="92"/>
      <c r="I6" s="92"/>
      <c r="J6" s="93"/>
    </row>
    <row r="7" spans="1:10" ht="15" customHeight="1" x14ac:dyDescent="0.3">
      <c r="A7" s="89" t="s">
        <v>5</v>
      </c>
      <c r="B7" s="90"/>
      <c r="C7" s="90"/>
      <c r="D7" s="90"/>
      <c r="E7" s="164"/>
      <c r="F7" s="91" t="str">
        <f>F6</f>
        <v>M/s. Labdhi Siddhivinayak Realtors LLP</v>
      </c>
      <c r="G7" s="92"/>
      <c r="H7" s="92"/>
      <c r="I7" s="92"/>
      <c r="J7" s="93"/>
    </row>
    <row r="8" spans="1:10" x14ac:dyDescent="0.3">
      <c r="A8" s="89" t="s">
        <v>6</v>
      </c>
      <c r="B8" s="90"/>
      <c r="C8" s="90"/>
      <c r="D8" s="90"/>
      <c r="E8" s="164"/>
      <c r="F8" s="161" t="s">
        <v>170</v>
      </c>
      <c r="G8" s="90"/>
      <c r="H8" s="90"/>
      <c r="I8" s="90"/>
      <c r="J8" s="164"/>
    </row>
    <row r="9" spans="1:10" x14ac:dyDescent="0.3">
      <c r="A9" s="89" t="s">
        <v>277</v>
      </c>
      <c r="B9" s="90"/>
      <c r="C9" s="90"/>
      <c r="D9" s="90"/>
      <c r="E9" s="164"/>
      <c r="F9" s="89">
        <v>9372729016</v>
      </c>
      <c r="G9" s="90"/>
      <c r="H9" s="90"/>
      <c r="I9" s="90"/>
      <c r="J9" s="164"/>
    </row>
    <row r="10" spans="1:10" ht="33.75" customHeight="1" x14ac:dyDescent="0.3">
      <c r="A10" s="78" t="s">
        <v>7</v>
      </c>
      <c r="B10" s="79"/>
      <c r="C10" s="79"/>
      <c r="D10" s="79"/>
      <c r="E10" s="80"/>
      <c r="F10" s="99" t="s">
        <v>325</v>
      </c>
      <c r="G10" s="79"/>
      <c r="H10" s="79"/>
      <c r="I10" s="79"/>
      <c r="J10" s="80"/>
    </row>
    <row r="11" spans="1:10" ht="16.5" customHeight="1" x14ac:dyDescent="0.3">
      <c r="A11" s="89" t="s">
        <v>8</v>
      </c>
      <c r="B11" s="90"/>
      <c r="C11" s="90"/>
      <c r="D11" s="90"/>
      <c r="E11" s="164"/>
      <c r="F11" s="99" t="s">
        <v>9</v>
      </c>
      <c r="G11" s="100"/>
      <c r="H11" s="100"/>
      <c r="I11" s="100"/>
      <c r="J11" s="101"/>
    </row>
    <row r="12" spans="1:10" x14ac:dyDescent="0.3">
      <c r="A12" s="89" t="s">
        <v>10</v>
      </c>
      <c r="B12" s="90"/>
      <c r="C12" s="90"/>
      <c r="D12" s="90"/>
      <c r="E12" s="164"/>
      <c r="F12" s="89" t="s">
        <v>171</v>
      </c>
      <c r="G12" s="90"/>
      <c r="H12" s="90"/>
      <c r="I12" s="90"/>
      <c r="J12" s="164"/>
    </row>
    <row r="13" spans="1:10" ht="32.25" customHeight="1" x14ac:dyDescent="0.3">
      <c r="A13" s="91" t="s">
        <v>11</v>
      </c>
      <c r="B13" s="93"/>
      <c r="C13" s="91" t="str">
        <f>CONCATENATE((IF(OR(F8="",F8="NA"),"",F8)),", ",(IF(OR(A14="",A14="NA"),"",A14)),".",(IF(OR(C14="",C14="NA"),"",C14)),", ",(IF(OR(C15="",C15="NA"),"",C15)),", ",(IF(OR(H15="",H15="NA"),"",H15)),", ",(IF(OR(H16="",H16="NA"),"",H16)),".")</f>
        <v>Labdhi Seabreeze, CS No.192(PT), 194(PT) &amp; 195(PT), RJ Gaikwad road, Wadala, Mumbai.</v>
      </c>
      <c r="D13" s="92"/>
      <c r="E13" s="92"/>
      <c r="F13" s="92"/>
      <c r="G13" s="92"/>
      <c r="H13" s="92"/>
      <c r="I13" s="92"/>
      <c r="J13" s="93"/>
    </row>
    <row r="14" spans="1:10" ht="15.75" customHeight="1" x14ac:dyDescent="0.3">
      <c r="A14" s="91" t="s">
        <v>221</v>
      </c>
      <c r="B14" s="93"/>
      <c r="C14" s="99" t="s">
        <v>172</v>
      </c>
      <c r="D14" s="100"/>
      <c r="E14" s="100"/>
      <c r="F14" s="100"/>
      <c r="G14" s="100"/>
      <c r="H14" s="100"/>
      <c r="I14" s="100"/>
      <c r="J14" s="101"/>
    </row>
    <row r="15" spans="1:10" ht="15.75" customHeight="1" x14ac:dyDescent="0.3">
      <c r="A15" s="91" t="s">
        <v>12</v>
      </c>
      <c r="B15" s="93"/>
      <c r="C15" s="193" t="s">
        <v>174</v>
      </c>
      <c r="D15" s="193"/>
      <c r="E15" s="193"/>
      <c r="F15" s="194" t="s">
        <v>130</v>
      </c>
      <c r="G15" s="195"/>
      <c r="H15" s="99" t="s">
        <v>173</v>
      </c>
      <c r="I15" s="100"/>
      <c r="J15" s="101"/>
    </row>
    <row r="16" spans="1:10" x14ac:dyDescent="0.3">
      <c r="A16" s="199" t="s">
        <v>14</v>
      </c>
      <c r="B16" s="199"/>
      <c r="C16" s="193" t="s">
        <v>173</v>
      </c>
      <c r="D16" s="193"/>
      <c r="E16" s="193"/>
      <c r="F16" s="194" t="s">
        <v>13</v>
      </c>
      <c r="G16" s="195"/>
      <c r="H16" s="200" t="s">
        <v>226</v>
      </c>
      <c r="I16" s="200"/>
      <c r="J16" s="200"/>
    </row>
    <row r="17" spans="1:10" x14ac:dyDescent="0.3">
      <c r="A17" s="199" t="s">
        <v>131</v>
      </c>
      <c r="B17" s="199"/>
      <c r="C17" s="99" t="s">
        <v>226</v>
      </c>
      <c r="D17" s="100"/>
      <c r="E17" s="101"/>
      <c r="F17" s="194" t="s">
        <v>15</v>
      </c>
      <c r="G17" s="195"/>
      <c r="H17" s="99">
        <v>400037</v>
      </c>
      <c r="I17" s="100"/>
      <c r="J17" s="101"/>
    </row>
    <row r="18" spans="1:10" ht="32.25" customHeight="1" x14ac:dyDescent="0.3">
      <c r="A18" s="193" t="s">
        <v>16</v>
      </c>
      <c r="B18" s="193"/>
      <c r="C18" s="222" t="s">
        <v>177</v>
      </c>
      <c r="D18" s="222"/>
      <c r="E18" s="222"/>
      <c r="F18" s="223" t="s">
        <v>17</v>
      </c>
      <c r="G18" s="223"/>
      <c r="H18" s="224" t="s">
        <v>175</v>
      </c>
      <c r="I18" s="224"/>
      <c r="J18" s="225"/>
    </row>
    <row r="19" spans="1:10" ht="15" customHeight="1" x14ac:dyDescent="0.3">
      <c r="A19" s="194" t="s">
        <v>142</v>
      </c>
      <c r="B19" s="226"/>
      <c r="C19" s="226"/>
      <c r="D19" s="226"/>
      <c r="E19" s="195"/>
      <c r="F19" s="228" t="s">
        <v>18</v>
      </c>
      <c r="G19" s="229"/>
      <c r="H19" s="229"/>
      <c r="I19" s="229"/>
      <c r="J19" s="230"/>
    </row>
    <row r="20" spans="1:10" ht="18.75" customHeight="1" x14ac:dyDescent="0.3">
      <c r="A20" s="217"/>
      <c r="B20" s="218"/>
      <c r="C20" s="218"/>
      <c r="D20" s="218"/>
      <c r="E20" s="227"/>
      <c r="F20" s="231"/>
      <c r="G20" s="232"/>
      <c r="H20" s="232"/>
      <c r="I20" s="232"/>
      <c r="J20" s="233"/>
    </row>
    <row r="21" spans="1:10" ht="15" customHeight="1" x14ac:dyDescent="0.3">
      <c r="A21" s="194" t="s">
        <v>19</v>
      </c>
      <c r="B21" s="226"/>
      <c r="C21" s="226"/>
      <c r="D21" s="226"/>
      <c r="E21" s="195"/>
      <c r="F21" s="187" t="s">
        <v>20</v>
      </c>
      <c r="G21" s="234"/>
      <c r="H21" s="234"/>
      <c r="I21" s="234"/>
      <c r="J21" s="188"/>
    </row>
    <row r="22" spans="1:10" x14ac:dyDescent="0.3">
      <c r="A22" s="217"/>
      <c r="B22" s="218"/>
      <c r="C22" s="218"/>
      <c r="D22" s="218"/>
      <c r="E22" s="227"/>
      <c r="F22" s="191"/>
      <c r="G22" s="235"/>
      <c r="H22" s="235"/>
      <c r="I22" s="235"/>
      <c r="J22" s="192"/>
    </row>
    <row r="23" spans="1:10" ht="15" customHeight="1" x14ac:dyDescent="0.3">
      <c r="A23" s="89" t="s">
        <v>21</v>
      </c>
      <c r="B23" s="90"/>
      <c r="C23" s="90"/>
      <c r="D23" s="90"/>
      <c r="E23" s="164"/>
      <c r="F23" s="196" t="s">
        <v>269</v>
      </c>
      <c r="G23" s="197"/>
      <c r="H23" s="197"/>
      <c r="I23" s="197"/>
      <c r="J23" s="198"/>
    </row>
    <row r="24" spans="1:10" x14ac:dyDescent="0.3">
      <c r="A24" s="89" t="s">
        <v>22</v>
      </c>
      <c r="B24" s="90"/>
      <c r="C24" s="90"/>
      <c r="D24" s="90"/>
      <c r="E24" s="164"/>
      <c r="F24" s="196" t="s">
        <v>23</v>
      </c>
      <c r="G24" s="197"/>
      <c r="H24" s="197"/>
      <c r="I24" s="197"/>
      <c r="J24" s="198"/>
    </row>
    <row r="25" spans="1:10" ht="15" customHeight="1" x14ac:dyDescent="0.3">
      <c r="A25" s="89" t="s">
        <v>24</v>
      </c>
      <c r="B25" s="90"/>
      <c r="C25" s="90"/>
      <c r="D25" s="90"/>
      <c r="E25" s="164"/>
      <c r="F25" s="196" t="s">
        <v>270</v>
      </c>
      <c r="G25" s="197"/>
      <c r="H25" s="197"/>
      <c r="I25" s="197"/>
      <c r="J25" s="198"/>
    </row>
    <row r="26" spans="1:10" x14ac:dyDescent="0.3">
      <c r="A26" s="89" t="s">
        <v>25</v>
      </c>
      <c r="B26" s="90"/>
      <c r="C26" s="90"/>
      <c r="D26" s="90"/>
      <c r="E26" s="164"/>
      <c r="F26" s="196" t="s">
        <v>26</v>
      </c>
      <c r="G26" s="197"/>
      <c r="H26" s="197"/>
      <c r="I26" s="197"/>
      <c r="J26" s="198"/>
    </row>
    <row r="27" spans="1:10" x14ac:dyDescent="0.3">
      <c r="A27" s="220" t="s">
        <v>27</v>
      </c>
      <c r="B27" s="221"/>
      <c r="C27" s="220" t="s">
        <v>28</v>
      </c>
      <c r="D27" s="221"/>
      <c r="E27" s="220" t="s">
        <v>29</v>
      </c>
      <c r="F27" s="221"/>
      <c r="G27" s="220" t="s">
        <v>31</v>
      </c>
      <c r="H27" s="221"/>
      <c r="I27" s="220" t="s">
        <v>30</v>
      </c>
      <c r="J27" s="221"/>
    </row>
    <row r="28" spans="1:10" x14ac:dyDescent="0.3">
      <c r="A28" s="213" t="s">
        <v>32</v>
      </c>
      <c r="B28" s="214"/>
      <c r="C28" s="213" t="s">
        <v>33</v>
      </c>
      <c r="D28" s="214"/>
      <c r="E28" s="213" t="s">
        <v>33</v>
      </c>
      <c r="F28" s="214"/>
      <c r="G28" s="213" t="s">
        <v>33</v>
      </c>
      <c r="H28" s="214"/>
      <c r="I28" s="213" t="s">
        <v>33</v>
      </c>
      <c r="J28" s="214"/>
    </row>
    <row r="29" spans="1:10" x14ac:dyDescent="0.3">
      <c r="A29" s="213" t="s">
        <v>34</v>
      </c>
      <c r="B29" s="214"/>
      <c r="C29" s="215" t="s">
        <v>12</v>
      </c>
      <c r="D29" s="216"/>
      <c r="E29" s="215" t="s">
        <v>176</v>
      </c>
      <c r="F29" s="216"/>
      <c r="G29" s="215" t="s">
        <v>12</v>
      </c>
      <c r="H29" s="216"/>
      <c r="I29" s="215" t="s">
        <v>176</v>
      </c>
      <c r="J29" s="216"/>
    </row>
    <row r="30" spans="1:10" x14ac:dyDescent="0.3">
      <c r="A30" s="89" t="s">
        <v>35</v>
      </c>
      <c r="B30" s="90"/>
      <c r="C30" s="90"/>
      <c r="D30" s="90"/>
      <c r="E30" s="90"/>
      <c r="F30" s="90"/>
      <c r="G30" s="90"/>
      <c r="H30" s="90"/>
      <c r="I30" s="90"/>
      <c r="J30" s="164"/>
    </row>
    <row r="31" spans="1:10" x14ac:dyDescent="0.3">
      <c r="A31" s="89" t="s">
        <v>36</v>
      </c>
      <c r="B31" s="90"/>
      <c r="C31" s="90"/>
      <c r="D31" s="90"/>
      <c r="E31" s="90"/>
      <c r="F31" s="90"/>
      <c r="G31" s="90"/>
      <c r="H31" s="90"/>
      <c r="I31" s="90"/>
      <c r="J31" s="164"/>
    </row>
    <row r="32" spans="1:10" x14ac:dyDescent="0.3">
      <c r="A32" s="89" t="s">
        <v>37</v>
      </c>
      <c r="B32" s="164"/>
      <c r="C32" s="161" t="s">
        <v>280</v>
      </c>
      <c r="D32" s="162"/>
      <c r="E32" s="162"/>
      <c r="F32" s="162"/>
      <c r="G32" s="162"/>
      <c r="H32" s="162"/>
      <c r="I32" s="162"/>
      <c r="J32" s="163"/>
    </row>
    <row r="33" spans="1:16" x14ac:dyDescent="0.3">
      <c r="A33" s="89" t="s">
        <v>278</v>
      </c>
      <c r="B33" s="164"/>
      <c r="C33" s="219" t="s">
        <v>279</v>
      </c>
      <c r="D33" s="90"/>
      <c r="E33" s="90"/>
      <c r="F33" s="90"/>
      <c r="G33" s="90"/>
      <c r="H33" s="90"/>
      <c r="I33" s="90"/>
      <c r="J33" s="164"/>
    </row>
    <row r="34" spans="1:16" x14ac:dyDescent="0.3">
      <c r="A34" s="161" t="s">
        <v>38</v>
      </c>
      <c r="B34" s="162"/>
      <c r="C34" s="162"/>
      <c r="D34" s="162"/>
      <c r="E34" s="162"/>
      <c r="F34" s="162"/>
      <c r="G34" s="162"/>
      <c r="H34" s="162"/>
      <c r="I34" s="162"/>
      <c r="J34" s="163"/>
    </row>
    <row r="35" spans="1:16" ht="15" customHeight="1" x14ac:dyDescent="0.3">
      <c r="A35" s="91" t="s">
        <v>39</v>
      </c>
      <c r="B35" s="92"/>
      <c r="C35" s="92"/>
      <c r="D35" s="92"/>
      <c r="E35" s="93"/>
      <c r="F35" s="196" t="s">
        <v>185</v>
      </c>
      <c r="G35" s="197"/>
      <c r="H35" s="197"/>
      <c r="I35" s="197"/>
      <c r="J35" s="198"/>
    </row>
    <row r="36" spans="1:16" ht="15" customHeight="1" x14ac:dyDescent="0.3">
      <c r="A36" s="217" t="s">
        <v>40</v>
      </c>
      <c r="B36" s="218"/>
      <c r="C36" s="218"/>
      <c r="D36" s="218"/>
      <c r="E36" s="218"/>
      <c r="F36" s="91" t="s">
        <v>41</v>
      </c>
      <c r="G36" s="92"/>
      <c r="H36" s="92"/>
      <c r="I36" s="92"/>
      <c r="J36" s="93"/>
    </row>
    <row r="37" spans="1:16" x14ac:dyDescent="0.3">
      <c r="A37" s="161" t="s">
        <v>42</v>
      </c>
      <c r="B37" s="162"/>
      <c r="C37" s="162"/>
      <c r="D37" s="162"/>
      <c r="E37" s="162"/>
      <c r="F37" s="162"/>
      <c r="G37" s="162"/>
      <c r="H37" s="162"/>
      <c r="I37" s="162"/>
      <c r="J37" s="163"/>
    </row>
    <row r="38" spans="1:16" x14ac:dyDescent="0.3">
      <c r="A38" s="89" t="s">
        <v>43</v>
      </c>
      <c r="B38" s="90"/>
      <c r="C38" s="90"/>
      <c r="D38" s="90"/>
      <c r="E38" s="164"/>
      <c r="F38" s="175">
        <v>2354.59</v>
      </c>
      <c r="G38" s="176"/>
      <c r="H38" s="176"/>
      <c r="I38" s="176"/>
      <c r="J38" s="177"/>
      <c r="L38" s="81"/>
      <c r="M38" s="81"/>
      <c r="N38" s="81"/>
      <c r="O38" s="81"/>
      <c r="P38" s="81"/>
    </row>
    <row r="39" spans="1:16" x14ac:dyDescent="0.3">
      <c r="A39" s="89" t="s">
        <v>44</v>
      </c>
      <c r="B39" s="90"/>
      <c r="C39" s="90"/>
      <c r="D39" s="90"/>
      <c r="E39" s="164"/>
      <c r="F39" s="181">
        <f>9418.36/F38</f>
        <v>4</v>
      </c>
      <c r="G39" s="182"/>
      <c r="H39" s="182"/>
      <c r="I39" s="182"/>
      <c r="J39" s="183"/>
      <c r="L39" s="82"/>
      <c r="M39" s="82"/>
      <c r="N39" s="82"/>
      <c r="O39" s="82"/>
      <c r="P39" s="82"/>
    </row>
    <row r="40" spans="1:16" x14ac:dyDescent="0.3">
      <c r="A40" s="89" t="s">
        <v>45</v>
      </c>
      <c r="B40" s="90"/>
      <c r="C40" s="90"/>
      <c r="D40" s="90"/>
      <c r="E40" s="164"/>
      <c r="F40" s="181">
        <f>F42/F38-F39</f>
        <v>2.8409022377568913</v>
      </c>
      <c r="G40" s="182"/>
      <c r="H40" s="182"/>
      <c r="I40" s="182"/>
      <c r="J40" s="183"/>
      <c r="L40" s="82"/>
      <c r="M40" s="82"/>
      <c r="N40" s="82"/>
      <c r="O40" s="82"/>
      <c r="P40" s="82"/>
    </row>
    <row r="41" spans="1:16" x14ac:dyDescent="0.3">
      <c r="A41" s="89" t="s">
        <v>46</v>
      </c>
      <c r="B41" s="90"/>
      <c r="C41" s="90"/>
      <c r="D41" s="90"/>
      <c r="E41" s="164"/>
      <c r="F41" s="181">
        <f>F39+F40</f>
        <v>6.8409022377568913</v>
      </c>
      <c r="G41" s="182"/>
      <c r="H41" s="182"/>
      <c r="I41" s="182"/>
      <c r="J41" s="183"/>
      <c r="L41" s="82"/>
      <c r="M41" s="82"/>
      <c r="N41" s="82"/>
      <c r="O41" s="82"/>
      <c r="P41" s="82"/>
    </row>
    <row r="42" spans="1:16" x14ac:dyDescent="0.3">
      <c r="A42" s="89" t="s">
        <v>47</v>
      </c>
      <c r="B42" s="90"/>
      <c r="C42" s="90"/>
      <c r="D42" s="90"/>
      <c r="E42" s="164"/>
      <c r="F42" s="184">
        <v>16107.52</v>
      </c>
      <c r="G42" s="185"/>
      <c r="H42" s="185"/>
      <c r="I42" s="185"/>
      <c r="J42" s="186"/>
      <c r="L42" s="83"/>
      <c r="M42" s="83"/>
      <c r="N42" s="83"/>
      <c r="O42" s="83"/>
      <c r="P42" s="83"/>
    </row>
    <row r="43" spans="1:16" x14ac:dyDescent="0.3">
      <c r="A43" s="78" t="s">
        <v>48</v>
      </c>
      <c r="B43" s="79"/>
      <c r="C43" s="79"/>
      <c r="D43" s="79"/>
      <c r="E43" s="80"/>
      <c r="F43" s="78" t="s">
        <v>281</v>
      </c>
      <c r="G43" s="79"/>
      <c r="H43" s="79"/>
      <c r="I43" s="79"/>
      <c r="J43" s="80"/>
    </row>
    <row r="44" spans="1:16" x14ac:dyDescent="0.3">
      <c r="A44" s="161" t="s">
        <v>49</v>
      </c>
      <c r="B44" s="162"/>
      <c r="C44" s="162"/>
      <c r="D44" s="162"/>
      <c r="E44" s="162"/>
      <c r="F44" s="162"/>
      <c r="G44" s="162"/>
      <c r="H44" s="162"/>
      <c r="I44" s="162"/>
      <c r="J44" s="163"/>
    </row>
    <row r="45" spans="1:16" x14ac:dyDescent="0.3">
      <c r="A45" s="91" t="s">
        <v>50</v>
      </c>
      <c r="B45" s="93"/>
      <c r="C45" s="167" t="s">
        <v>282</v>
      </c>
      <c r="D45" s="168"/>
      <c r="E45" s="168"/>
      <c r="F45" s="169"/>
      <c r="G45" s="18" t="s">
        <v>51</v>
      </c>
      <c r="H45" s="150">
        <v>45506</v>
      </c>
      <c r="I45" s="92"/>
      <c r="J45" s="93"/>
    </row>
    <row r="46" spans="1:16" ht="32.25" customHeight="1" x14ac:dyDescent="0.3">
      <c r="A46" s="91" t="s">
        <v>266</v>
      </c>
      <c r="B46" s="93"/>
      <c r="C46" s="178" t="s">
        <v>298</v>
      </c>
      <c r="D46" s="179"/>
      <c r="E46" s="179"/>
      <c r="F46" s="180"/>
      <c r="G46" s="18" t="s">
        <v>51</v>
      </c>
      <c r="H46" s="150">
        <f>H45</f>
        <v>45506</v>
      </c>
      <c r="I46" s="92"/>
      <c r="J46" s="93"/>
    </row>
    <row r="47" spans="1:16" s="35" customFormat="1" ht="66" customHeight="1" x14ac:dyDescent="0.3">
      <c r="A47" s="187" t="s">
        <v>52</v>
      </c>
      <c r="B47" s="188"/>
      <c r="C47" s="167" t="s">
        <v>268</v>
      </c>
      <c r="D47" s="76"/>
      <c r="E47" s="76"/>
      <c r="F47" s="77"/>
      <c r="G47" s="34" t="s">
        <v>51</v>
      </c>
      <c r="H47" s="150">
        <v>44365</v>
      </c>
      <c r="I47" s="92"/>
      <c r="J47" s="93"/>
    </row>
    <row r="48" spans="1:16" s="35" customFormat="1" x14ac:dyDescent="0.3">
      <c r="A48" s="189"/>
      <c r="B48" s="190"/>
      <c r="C48" s="167" t="s">
        <v>307</v>
      </c>
      <c r="D48" s="76"/>
      <c r="E48" s="76"/>
      <c r="F48" s="77"/>
      <c r="G48" s="34" t="s">
        <v>51</v>
      </c>
      <c r="H48" s="150">
        <v>44785</v>
      </c>
      <c r="I48" s="92"/>
      <c r="J48" s="93"/>
    </row>
    <row r="49" spans="1:12" s="35" customFormat="1" ht="80.25" customHeight="1" x14ac:dyDescent="0.3">
      <c r="A49" s="189"/>
      <c r="B49" s="190"/>
      <c r="C49" s="167" t="s">
        <v>324</v>
      </c>
      <c r="D49" s="168"/>
      <c r="E49" s="168"/>
      <c r="F49" s="168"/>
      <c r="G49" s="168"/>
      <c r="H49" s="168"/>
      <c r="I49" s="168"/>
      <c r="J49" s="169"/>
    </row>
    <row r="50" spans="1:12" s="35" customFormat="1" x14ac:dyDescent="0.3">
      <c r="A50" s="189"/>
      <c r="B50" s="190"/>
      <c r="C50" s="167" t="s">
        <v>308</v>
      </c>
      <c r="D50" s="76"/>
      <c r="E50" s="76"/>
      <c r="F50" s="77"/>
      <c r="G50" s="34" t="s">
        <v>51</v>
      </c>
      <c r="H50" s="150">
        <v>45510</v>
      </c>
      <c r="I50" s="92"/>
      <c r="J50" s="93"/>
    </row>
    <row r="51" spans="1:12" s="35" customFormat="1" ht="52.5" customHeight="1" x14ac:dyDescent="0.3">
      <c r="A51" s="191"/>
      <c r="B51" s="192"/>
      <c r="C51" s="167" t="s">
        <v>309</v>
      </c>
      <c r="D51" s="168"/>
      <c r="E51" s="168"/>
      <c r="F51" s="168"/>
      <c r="G51" s="168"/>
      <c r="H51" s="168"/>
      <c r="I51" s="168"/>
      <c r="J51" s="169"/>
    </row>
    <row r="52" spans="1:12" ht="15" customHeight="1" x14ac:dyDescent="0.3">
      <c r="A52" s="91" t="s">
        <v>53</v>
      </c>
      <c r="B52" s="93"/>
      <c r="C52" s="67" t="s">
        <v>140</v>
      </c>
      <c r="D52" s="68"/>
      <c r="E52" s="68"/>
      <c r="F52" s="69" t="s">
        <v>54</v>
      </c>
      <c r="G52" s="18" t="s">
        <v>51</v>
      </c>
      <c r="H52" s="66" t="s">
        <v>33</v>
      </c>
      <c r="I52" s="64" t="s">
        <v>33</v>
      </c>
      <c r="J52" s="65"/>
    </row>
    <row r="53" spans="1:12" ht="15.75" customHeight="1" x14ac:dyDescent="0.3">
      <c r="A53" s="89" t="s">
        <v>55</v>
      </c>
      <c r="B53" s="90"/>
      <c r="C53" s="164"/>
      <c r="D53" s="267">
        <f>H50</f>
        <v>45510</v>
      </c>
      <c r="E53" s="268"/>
      <c r="F53" s="89" t="s">
        <v>56</v>
      </c>
      <c r="G53" s="164"/>
      <c r="H53" s="269" t="s">
        <v>275</v>
      </c>
      <c r="I53" s="270"/>
      <c r="J53" s="271"/>
    </row>
    <row r="54" spans="1:12" x14ac:dyDescent="0.3">
      <c r="A54" s="282" t="s">
        <v>57</v>
      </c>
      <c r="B54" s="283"/>
      <c r="C54" s="283"/>
      <c r="D54" s="283"/>
      <c r="E54" s="283"/>
      <c r="F54" s="283"/>
      <c r="G54" s="283"/>
      <c r="H54" s="283"/>
      <c r="I54" s="283"/>
      <c r="J54" s="284"/>
    </row>
    <row r="55" spans="1:12" ht="88.5" customHeight="1" x14ac:dyDescent="0.3">
      <c r="A55" s="91" t="s">
        <v>58</v>
      </c>
      <c r="B55" s="92"/>
      <c r="C55" s="93"/>
      <c r="D55" s="91">
        <f>F42</f>
        <v>16107.52</v>
      </c>
      <c r="E55" s="93"/>
      <c r="F55" s="99" t="s">
        <v>186</v>
      </c>
      <c r="G55" s="101"/>
      <c r="H55" s="99" t="s">
        <v>327</v>
      </c>
      <c r="I55" s="100"/>
      <c r="J55" s="101"/>
    </row>
    <row r="56" spans="1:12" x14ac:dyDescent="0.3">
      <c r="A56" s="78" t="s">
        <v>59</v>
      </c>
      <c r="B56" s="79"/>
      <c r="C56" s="99" t="s">
        <v>297</v>
      </c>
      <c r="D56" s="100"/>
      <c r="E56" s="100"/>
      <c r="F56" s="100"/>
      <c r="G56" s="100"/>
      <c r="H56" s="100"/>
      <c r="I56" s="100"/>
      <c r="J56" s="101"/>
    </row>
    <row r="57" spans="1:12" x14ac:dyDescent="0.3">
      <c r="A57" s="78" t="s">
        <v>225</v>
      </c>
      <c r="B57" s="79"/>
      <c r="C57" s="99" t="s">
        <v>297</v>
      </c>
      <c r="D57" s="100"/>
      <c r="E57" s="100"/>
      <c r="F57" s="100"/>
      <c r="G57" s="100"/>
      <c r="H57" s="100"/>
      <c r="I57" s="100"/>
      <c r="J57" s="101"/>
    </row>
    <row r="58" spans="1:12" ht="15.75" customHeight="1" x14ac:dyDescent="0.3">
      <c r="A58" s="89" t="s">
        <v>60</v>
      </c>
      <c r="B58" s="90"/>
      <c r="C58" s="90"/>
      <c r="D58" s="91" t="s">
        <v>61</v>
      </c>
      <c r="E58" s="92"/>
      <c r="F58" s="92"/>
      <c r="G58" s="92"/>
      <c r="H58" s="92"/>
      <c r="I58" s="92"/>
      <c r="J58" s="93"/>
    </row>
    <row r="59" spans="1:12" ht="16.2" thickBot="1" x14ac:dyDescent="0.35">
      <c r="A59" s="78" t="s">
        <v>166</v>
      </c>
      <c r="B59" s="79"/>
      <c r="C59" s="79"/>
      <c r="D59" s="79"/>
      <c r="E59" s="79"/>
      <c r="F59" s="79"/>
      <c r="G59" s="79"/>
      <c r="H59" s="79"/>
      <c r="I59" s="79"/>
      <c r="J59" s="80"/>
    </row>
    <row r="60" spans="1:12" customFormat="1" ht="15.75" customHeight="1" x14ac:dyDescent="0.3">
      <c r="A60" s="285" t="s">
        <v>243</v>
      </c>
      <c r="B60" s="286"/>
      <c r="C60" s="96" t="s">
        <v>297</v>
      </c>
      <c r="D60" s="97"/>
      <c r="E60" s="97"/>
      <c r="F60" s="97"/>
      <c r="G60" s="97"/>
      <c r="H60" s="97"/>
      <c r="I60" s="97"/>
      <c r="J60" s="98"/>
      <c r="K60" s="40" t="str">
        <f ca="1">(IF(F64&gt;99%,"All work completed. Please provide OC.",IF(F64&gt;89.8%,"Plinth, RCC, Brick, Plaster, Flooring, Painting work Completed. Finishing work is in process.",IF(F64&lt;94%,(IF(C64=0,"Work not yet Started.",IF(D64=25%,"Piling work in process",IF(D64=50%,"Excavation work in process",IF(D64=100%,"Excavation work Completed. ","0")))&amp;(IF(C65=0%,"",IF(C65=L66,"Footing work is process",IF(C65=L67,"Footing work Completed",IF(C65=L68,"1st Basement Completed",IF(C65=L69,"1st &amp; 2nd Basement Completed",IF(C65=L70,"1st to 3rd Basement Completed",IF(C65=L71,"1st to 4th Basement Completed",IF(C65=L72,"Plinth work is process",IF(C65=L73,"Plinth work completed","0")))))))))))&amp;(IF(C66=(D61+G61+I61),", RCC Slab",IF(C66&gt;0,", RCC upto "&amp;C66&amp;" Slab",""))&amp;(IF(C67=I61,", Brickwork",IF(C67&gt;0,", Brickwork upto "&amp;C67&amp;" Floor",""))&amp;(IF(C68=I61,", Internal Plaster",IF(C68&gt;0,", Internal Plaster upto "&amp;C68&amp;" Floor",""))&amp;(IF(C69=I61,", External Plaster",IF(C69&gt;0,", External Plaster upto "&amp;C69&amp;" Floor",""))&amp;(IF(C70=I61,", Flooring",IF(C70&gt;0,", Flooring upto "&amp;C70&amp;" Floor",""))&amp;(IF(C71=I61,", Painting",IF(C71&gt;0,", Painting upto "&amp;C71&amp;" Floor",""))&amp;(IF(C72&gt;0,", Finishing upto "&amp;C72&amp;" Floor","")&amp;(IF(C66&gt;0.5," Completed",""))))))))))))))</f>
        <v>Plinth, RCC, Brick, Plaster, Flooring, Painting work Completed. Finishing work is in process.</v>
      </c>
      <c r="L60" s="41"/>
    </row>
    <row r="61" spans="1:12" customFormat="1" x14ac:dyDescent="0.3">
      <c r="A61" s="42" t="s">
        <v>126</v>
      </c>
      <c r="B61" s="43">
        <v>4</v>
      </c>
      <c r="C61" s="43" t="s">
        <v>128</v>
      </c>
      <c r="D61" s="43">
        <v>1</v>
      </c>
      <c r="E61" s="94" t="s">
        <v>127</v>
      </c>
      <c r="F61" s="95"/>
      <c r="G61" s="43">
        <v>0</v>
      </c>
      <c r="H61" s="43" t="s">
        <v>244</v>
      </c>
      <c r="I61" s="94">
        <f ca="1">--TRIM(RIGHT(SUBSTITUTE(LEFT(C60,_xlfn.AGGREGATE(16,6,FIND({0,1,2,3,4,5,6,7,8,9},C60,ROW(INDIRECT("1:"&amp;LEN(C60)))),1))," ",REPT(" ",LEN(C60))),LEN(C60)))</f>
        <v>35</v>
      </c>
      <c r="J61" s="266"/>
      <c r="K61" s="44"/>
      <c r="L61" s="45"/>
    </row>
    <row r="62" spans="1:12" customFormat="1" ht="32.4" customHeight="1" x14ac:dyDescent="0.3">
      <c r="A62" s="84" t="s">
        <v>245</v>
      </c>
      <c r="B62" s="85"/>
      <c r="C62" s="86" t="str">
        <f ca="1">K60</f>
        <v>Plinth, RCC, Brick, Plaster, Flooring, Painting work Completed. Finishing work is in process.</v>
      </c>
      <c r="D62" s="87"/>
      <c r="E62" s="87"/>
      <c r="F62" s="87"/>
      <c r="G62" s="87"/>
      <c r="H62" s="87"/>
      <c r="I62" s="87"/>
      <c r="J62" s="88"/>
      <c r="K62" s="44" t="s">
        <v>246</v>
      </c>
      <c r="L62" s="45"/>
    </row>
    <row r="63" spans="1:12" customFormat="1" ht="15.75" customHeight="1" x14ac:dyDescent="0.3">
      <c r="A63" s="287" t="s">
        <v>62</v>
      </c>
      <c r="B63" s="288"/>
      <c r="C63" s="53" t="s">
        <v>247</v>
      </c>
      <c r="D63" s="111" t="s">
        <v>248</v>
      </c>
      <c r="E63" s="111"/>
      <c r="F63" s="111" t="s">
        <v>249</v>
      </c>
      <c r="G63" s="111"/>
      <c r="H63" s="111" t="s">
        <v>250</v>
      </c>
      <c r="I63" s="111"/>
      <c r="J63" s="272"/>
      <c r="K63" s="46" t="s">
        <v>251</v>
      </c>
      <c r="L63" s="47">
        <f ca="1">I61*25%</f>
        <v>8.75</v>
      </c>
    </row>
    <row r="64" spans="1:12" customFormat="1" ht="15.75" customHeight="1" x14ac:dyDescent="0.3">
      <c r="A64" s="110" t="s">
        <v>252</v>
      </c>
      <c r="B64" s="111"/>
      <c r="C64" s="54">
        <f ca="1">L65</f>
        <v>35</v>
      </c>
      <c r="D64" s="112">
        <f ca="1">((100/I61)*C64)/100</f>
        <v>1</v>
      </c>
      <c r="E64" s="113"/>
      <c r="F64" s="118">
        <f ca="1">(((C65/I61*10)+(40/(D61+G61+I61)*C66)+(7.5/(I61)*C67)+(7.5/(I61)*C68)+(10/I61*C69)+(10/I61*C70)+(5/I61*C71)+(5/I61*C72)+(5/I61*C73))/100)</f>
        <v>0.93142857142857138</v>
      </c>
      <c r="G64" s="118"/>
      <c r="H64" s="273">
        <f ca="1">((((C64/I61)*20)+((C65/I61)*25)+(30/(I61+G61+D61)*C66)+(5/I61*C67)+(5/I61*C68)+(5/I61*C69)+(5/I61*C70)+(0/I61*C71)+(0/I61*C72)+(5/I61*C73))/100)</f>
        <v>0.94857142857142862</v>
      </c>
      <c r="I64" s="274"/>
      <c r="J64" s="275"/>
      <c r="K64" s="46" t="s">
        <v>134</v>
      </c>
      <c r="L64" s="48">
        <f ca="1">I61*50%</f>
        <v>17.5</v>
      </c>
    </row>
    <row r="65" spans="1:12" customFormat="1" x14ac:dyDescent="0.3">
      <c r="A65" s="110" t="s">
        <v>63</v>
      </c>
      <c r="B65" s="111"/>
      <c r="C65" s="55">
        <f ca="1">L73</f>
        <v>35</v>
      </c>
      <c r="D65" s="112">
        <f ca="1">((100/I61)*C65)/100</f>
        <v>1</v>
      </c>
      <c r="E65" s="113"/>
      <c r="F65" s="118"/>
      <c r="G65" s="118"/>
      <c r="H65" s="276"/>
      <c r="I65" s="277"/>
      <c r="J65" s="278"/>
      <c r="K65" s="46" t="s">
        <v>135</v>
      </c>
      <c r="L65" s="48">
        <f ca="1">I61</f>
        <v>35</v>
      </c>
    </row>
    <row r="66" spans="1:12" customFormat="1" ht="15.75" customHeight="1" x14ac:dyDescent="0.3">
      <c r="A66" s="128" t="s">
        <v>271</v>
      </c>
      <c r="B66" s="129"/>
      <c r="C66" s="55">
        <v>36</v>
      </c>
      <c r="D66" s="112">
        <f ca="1">((100/(D61+G61+I61))*C66)/100</f>
        <v>1</v>
      </c>
      <c r="E66" s="113"/>
      <c r="F66" s="118"/>
      <c r="G66" s="118"/>
      <c r="H66" s="276"/>
      <c r="I66" s="277"/>
      <c r="J66" s="278"/>
      <c r="K66" s="46" t="s">
        <v>136</v>
      </c>
      <c r="L66" s="49">
        <f ca="1">(IF(B61&gt;1,(I61/(B61+2)),I61/4))</f>
        <v>5.833333333333333</v>
      </c>
    </row>
    <row r="67" spans="1:12" customFormat="1" ht="15.75" customHeight="1" x14ac:dyDescent="0.3">
      <c r="A67" s="110" t="s">
        <v>253</v>
      </c>
      <c r="B67" s="111" t="s">
        <v>254</v>
      </c>
      <c r="C67" s="55">
        <v>35</v>
      </c>
      <c r="D67" s="112">
        <f ca="1">((100/I61)*C67)/100</f>
        <v>1</v>
      </c>
      <c r="E67" s="113"/>
      <c r="F67" s="118"/>
      <c r="G67" s="118"/>
      <c r="H67" s="276"/>
      <c r="I67" s="277"/>
      <c r="J67" s="278"/>
      <c r="K67" s="46" t="s">
        <v>137</v>
      </c>
      <c r="L67" s="49">
        <f ca="1">(IF(B61&gt;1,(I61/(B61+2)+L66),I61/4+L66))</f>
        <v>11.666666666666666</v>
      </c>
    </row>
    <row r="68" spans="1:12" customFormat="1" ht="15.75" customHeight="1" x14ac:dyDescent="0.3">
      <c r="A68" s="110" t="s">
        <v>255</v>
      </c>
      <c r="B68" s="111" t="s">
        <v>254</v>
      </c>
      <c r="C68" s="55">
        <v>35</v>
      </c>
      <c r="D68" s="112">
        <f ca="1">((100/I61)*C68)/100</f>
        <v>1</v>
      </c>
      <c r="E68" s="113"/>
      <c r="F68" s="118"/>
      <c r="G68" s="118"/>
      <c r="H68" s="276"/>
      <c r="I68" s="277"/>
      <c r="J68" s="278"/>
      <c r="K68" s="46" t="s">
        <v>256</v>
      </c>
      <c r="L68" s="49">
        <f ca="1">(IF(B61&gt;1,(I61/(B61+2)+L67),0))</f>
        <v>17.5</v>
      </c>
    </row>
    <row r="69" spans="1:12" customFormat="1" ht="15.75" customHeight="1" x14ac:dyDescent="0.3">
      <c r="A69" s="110" t="s">
        <v>257</v>
      </c>
      <c r="B69" s="111" t="s">
        <v>258</v>
      </c>
      <c r="C69" s="55">
        <v>35</v>
      </c>
      <c r="D69" s="112">
        <f ca="1">((100/(I61))*C69)/100</f>
        <v>1</v>
      </c>
      <c r="E69" s="113"/>
      <c r="F69" s="118"/>
      <c r="G69" s="118"/>
      <c r="H69" s="276"/>
      <c r="I69" s="277"/>
      <c r="J69" s="278"/>
      <c r="K69" s="46" t="s">
        <v>259</v>
      </c>
      <c r="L69" s="49">
        <f ca="1">(IF(B61&gt;2,(I61/(B61+2)+L68),0))</f>
        <v>23.333333333333332</v>
      </c>
    </row>
    <row r="70" spans="1:12" customFormat="1" ht="15.75" customHeight="1" x14ac:dyDescent="0.3">
      <c r="A70" s="110" t="s">
        <v>260</v>
      </c>
      <c r="B70" s="111" t="s">
        <v>260</v>
      </c>
      <c r="C70" s="54">
        <v>34</v>
      </c>
      <c r="D70" s="112">
        <f ca="1">((100/I61)*C70)/100</f>
        <v>0.97142857142857142</v>
      </c>
      <c r="E70" s="113"/>
      <c r="F70" s="118"/>
      <c r="G70" s="118"/>
      <c r="H70" s="276"/>
      <c r="I70" s="277"/>
      <c r="J70" s="278"/>
      <c r="K70" s="46" t="s">
        <v>261</v>
      </c>
      <c r="L70" s="50">
        <f ca="1">(IF(B61&gt;3,(I61/(B61+2)+L69),0))</f>
        <v>29.166666666666664</v>
      </c>
    </row>
    <row r="71" spans="1:12" customFormat="1" ht="15.75" customHeight="1" x14ac:dyDescent="0.3">
      <c r="A71" s="110" t="s">
        <v>262</v>
      </c>
      <c r="B71" s="111"/>
      <c r="C71" s="54">
        <v>34</v>
      </c>
      <c r="D71" s="112">
        <f ca="1">((100/I61)*C71)/100</f>
        <v>0.97142857142857142</v>
      </c>
      <c r="E71" s="113"/>
      <c r="F71" s="118"/>
      <c r="G71" s="118"/>
      <c r="H71" s="276"/>
      <c r="I71" s="277"/>
      <c r="J71" s="278"/>
      <c r="K71" s="46" t="s">
        <v>263</v>
      </c>
      <c r="L71" s="49">
        <f>(IF(B61&gt;4,(I61/(B61+2)+L70),0))</f>
        <v>0</v>
      </c>
    </row>
    <row r="72" spans="1:12" customFormat="1" ht="15.75" customHeight="1" x14ac:dyDescent="0.3">
      <c r="A72" s="110" t="s">
        <v>264</v>
      </c>
      <c r="B72" s="111" t="s">
        <v>264</v>
      </c>
      <c r="C72" s="54">
        <v>25</v>
      </c>
      <c r="D72" s="112">
        <f ca="1">((100/(I61))*C72)/100</f>
        <v>0.7142857142857143</v>
      </c>
      <c r="E72" s="113"/>
      <c r="F72" s="118"/>
      <c r="G72" s="118"/>
      <c r="H72" s="276"/>
      <c r="I72" s="277"/>
      <c r="J72" s="278"/>
      <c r="K72" s="46" t="s">
        <v>138</v>
      </c>
      <c r="L72" s="49">
        <f>(IF(B61=1,(I61/(B61+3)+L67),IF(B61=0,(I61/4+L67),IF(B61&gt;1,0))))</f>
        <v>0</v>
      </c>
    </row>
    <row r="73" spans="1:12" customFormat="1" ht="16.5" customHeight="1" thickBot="1" x14ac:dyDescent="0.35">
      <c r="A73" s="114" t="s">
        <v>265</v>
      </c>
      <c r="B73" s="115"/>
      <c r="C73" s="56">
        <v>0</v>
      </c>
      <c r="D73" s="116">
        <f ca="1">((100/(I61))*C73)/100</f>
        <v>0</v>
      </c>
      <c r="E73" s="117"/>
      <c r="F73" s="119"/>
      <c r="G73" s="119"/>
      <c r="H73" s="279"/>
      <c r="I73" s="280"/>
      <c r="J73" s="281"/>
      <c r="K73" s="51" t="s">
        <v>139</v>
      </c>
      <c r="L73" s="52">
        <f ca="1">(IF(B61&gt;1.5,(I61/(B61+2)+L67+MAX(0,L68-L67)+MAX(0,L69-L68)+MAX(0,L70-L69)+MAX(0,L71-L70)+MAX(0,L72-L71)),IF(B61=1,(I61/(B61+3)+L72),IF(B61=0,I61/4+L72))))</f>
        <v>35</v>
      </c>
    </row>
    <row r="74" spans="1:12" x14ac:dyDescent="0.3">
      <c r="A74" s="78" t="s">
        <v>167</v>
      </c>
      <c r="B74" s="79"/>
      <c r="C74" s="79"/>
      <c r="D74" s="79"/>
      <c r="E74" s="79"/>
      <c r="F74" s="79"/>
      <c r="G74" s="79"/>
      <c r="H74" s="79"/>
      <c r="I74" s="79"/>
      <c r="J74" s="80"/>
    </row>
    <row r="75" spans="1:12" x14ac:dyDescent="0.3">
      <c r="A75" s="89" t="s">
        <v>68</v>
      </c>
      <c r="B75" s="90"/>
      <c r="C75" s="90"/>
      <c r="D75" s="90"/>
      <c r="E75" s="90"/>
      <c r="F75" s="90"/>
      <c r="G75" s="90"/>
      <c r="H75" s="90"/>
      <c r="I75" s="90"/>
      <c r="J75" s="164"/>
    </row>
    <row r="76" spans="1:12" ht="15" customHeight="1" x14ac:dyDescent="0.3">
      <c r="A76" s="165" t="s">
        <v>132</v>
      </c>
      <c r="B76" s="166"/>
      <c r="C76" s="107" t="s">
        <v>133</v>
      </c>
      <c r="D76" s="108"/>
      <c r="E76" s="108"/>
      <c r="F76" s="108"/>
      <c r="G76" s="108"/>
      <c r="H76" s="108"/>
      <c r="I76" s="108"/>
      <c r="J76" s="109"/>
    </row>
    <row r="77" spans="1:12" x14ac:dyDescent="0.3">
      <c r="A77" s="161" t="s">
        <v>69</v>
      </c>
      <c r="B77" s="162"/>
      <c r="C77" s="162"/>
      <c r="D77" s="162"/>
      <c r="E77" s="162"/>
      <c r="F77" s="162"/>
      <c r="G77" s="162"/>
      <c r="H77" s="162"/>
      <c r="I77" s="162"/>
      <c r="J77" s="163"/>
    </row>
    <row r="78" spans="1:12" x14ac:dyDescent="0.3">
      <c r="A78" s="78" t="s">
        <v>141</v>
      </c>
      <c r="B78" s="79"/>
      <c r="C78" s="79"/>
      <c r="D78" s="79"/>
      <c r="E78" s="79"/>
      <c r="F78" s="80"/>
      <c r="G78" s="102">
        <v>23000</v>
      </c>
      <c r="H78" s="103"/>
      <c r="I78" s="103"/>
      <c r="J78" s="104"/>
    </row>
    <row r="79" spans="1:12" x14ac:dyDescent="0.3">
      <c r="A79" s="78" t="s">
        <v>222</v>
      </c>
      <c r="B79" s="79"/>
      <c r="C79" s="79"/>
      <c r="D79" s="79"/>
      <c r="E79" s="79"/>
      <c r="F79" s="80"/>
      <c r="G79" s="102">
        <v>39000</v>
      </c>
      <c r="H79" s="103"/>
      <c r="I79" s="103"/>
      <c r="J79" s="104"/>
    </row>
    <row r="80" spans="1:12" x14ac:dyDescent="0.3">
      <c r="A80" s="78" t="s">
        <v>328</v>
      </c>
      <c r="B80" s="79"/>
      <c r="C80" s="79"/>
      <c r="D80" s="79"/>
      <c r="E80" s="79"/>
      <c r="F80" s="80"/>
      <c r="G80" s="75">
        <v>2500</v>
      </c>
      <c r="H80" s="76"/>
      <c r="I80" s="76"/>
      <c r="J80" s="77"/>
    </row>
    <row r="81" spans="1:12" x14ac:dyDescent="0.3">
      <c r="A81" s="78" t="s">
        <v>329</v>
      </c>
      <c r="B81" s="79"/>
      <c r="C81" s="79"/>
      <c r="D81" s="79"/>
      <c r="E81" s="79"/>
      <c r="F81" s="80"/>
      <c r="G81" s="75">
        <v>1000</v>
      </c>
      <c r="H81" s="76"/>
      <c r="I81" s="76"/>
      <c r="J81" s="77"/>
    </row>
    <row r="82" spans="1:12" x14ac:dyDescent="0.3">
      <c r="A82" s="78" t="s">
        <v>330</v>
      </c>
      <c r="B82" s="79"/>
      <c r="C82" s="79"/>
      <c r="D82" s="79"/>
      <c r="E82" s="79"/>
      <c r="F82" s="80"/>
      <c r="G82" s="72">
        <v>12000</v>
      </c>
      <c r="H82" s="73"/>
      <c r="I82" s="73"/>
      <c r="J82" s="74"/>
    </row>
    <row r="83" spans="1:12" x14ac:dyDescent="0.3">
      <c r="A83" s="78" t="s">
        <v>331</v>
      </c>
      <c r="B83" s="79"/>
      <c r="C83" s="79"/>
      <c r="D83" s="79"/>
      <c r="E83" s="79"/>
      <c r="F83" s="80"/>
      <c r="G83" s="75">
        <v>4000</v>
      </c>
      <c r="H83" s="76"/>
      <c r="I83" s="76"/>
      <c r="J83" s="77"/>
    </row>
    <row r="84" spans="1:12" x14ac:dyDescent="0.3">
      <c r="A84" s="78" t="s">
        <v>332</v>
      </c>
      <c r="B84" s="79"/>
      <c r="C84" s="79"/>
      <c r="D84" s="79"/>
      <c r="E84" s="79"/>
      <c r="F84" s="80"/>
      <c r="G84" s="75">
        <v>350000</v>
      </c>
      <c r="H84" s="76"/>
      <c r="I84" s="76"/>
      <c r="J84" s="74"/>
    </row>
    <row r="85" spans="1:12" s="12" customFormat="1" ht="17.25" customHeight="1" x14ac:dyDescent="0.3">
      <c r="A85" s="78" t="s">
        <v>333</v>
      </c>
      <c r="B85" s="79"/>
      <c r="C85" s="79"/>
      <c r="D85" s="79"/>
      <c r="E85" s="79"/>
      <c r="F85" s="80"/>
      <c r="G85" s="75">
        <v>90000</v>
      </c>
      <c r="H85" s="76"/>
      <c r="I85" s="76"/>
      <c r="J85" s="74"/>
    </row>
    <row r="86" spans="1:12" s="1" customFormat="1" ht="15.75" customHeight="1" x14ac:dyDescent="0.3">
      <c r="A86" s="78" t="s">
        <v>70</v>
      </c>
      <c r="B86" s="79"/>
      <c r="C86" s="79"/>
      <c r="D86" s="79"/>
      <c r="E86" s="79"/>
      <c r="F86" s="80"/>
      <c r="G86" s="167" t="s">
        <v>242</v>
      </c>
      <c r="H86" s="168"/>
      <c r="I86" s="168"/>
      <c r="J86" s="169"/>
    </row>
    <row r="87" spans="1:12" s="1" customFormat="1" x14ac:dyDescent="0.3">
      <c r="A87" s="165" t="s">
        <v>71</v>
      </c>
      <c r="B87" s="173"/>
      <c r="C87" s="173"/>
      <c r="D87" s="173"/>
      <c r="E87" s="173"/>
      <c r="F87" s="166"/>
      <c r="G87" s="75">
        <f>G78*0.8</f>
        <v>18400</v>
      </c>
      <c r="H87" s="76"/>
      <c r="I87" s="76"/>
      <c r="J87" s="77"/>
    </row>
    <row r="88" spans="1:12" s="1" customFormat="1" x14ac:dyDescent="0.3">
      <c r="A88" s="123" t="s">
        <v>318</v>
      </c>
      <c r="B88" s="160"/>
      <c r="C88" s="160"/>
      <c r="D88" s="160"/>
      <c r="E88" s="160"/>
      <c r="F88" s="160"/>
      <c r="G88" s="160"/>
      <c r="H88" s="160"/>
      <c r="I88" s="160"/>
      <c r="J88" s="124"/>
    </row>
    <row r="89" spans="1:12" s="1" customFormat="1" x14ac:dyDescent="0.3">
      <c r="A89" s="146" t="s">
        <v>72</v>
      </c>
      <c r="B89" s="148"/>
      <c r="C89" s="10" t="s">
        <v>165</v>
      </c>
      <c r="D89" s="151" t="s">
        <v>73</v>
      </c>
      <c r="E89" s="152"/>
      <c r="F89" s="153"/>
      <c r="G89" s="146" t="s">
        <v>74</v>
      </c>
      <c r="H89" s="147"/>
      <c r="I89" s="147"/>
      <c r="J89" s="148"/>
    </row>
    <row r="90" spans="1:12" s="1" customFormat="1" x14ac:dyDescent="0.3">
      <c r="A90" s="130" t="s">
        <v>299</v>
      </c>
      <c r="B90" s="131"/>
      <c r="C90" s="58">
        <f>COUNT(D126)</f>
        <v>1</v>
      </c>
      <c r="D90" s="154">
        <f>SUM(D126)</f>
        <v>163.18223999999998</v>
      </c>
      <c r="E90" s="155"/>
      <c r="F90" s="156"/>
      <c r="G90" s="157">
        <f>SUM(G126)</f>
        <v>269.25069599999995</v>
      </c>
      <c r="H90" s="158"/>
      <c r="I90" s="158"/>
      <c r="J90" s="159"/>
      <c r="L90" s="1">
        <f>201+64</f>
        <v>265</v>
      </c>
    </row>
    <row r="91" spans="1:12" s="1" customFormat="1" x14ac:dyDescent="0.3">
      <c r="A91" s="130" t="s">
        <v>300</v>
      </c>
      <c r="B91" s="131"/>
      <c r="C91" s="58">
        <f>COUNT(D111:E125,D127:E134)</f>
        <v>23</v>
      </c>
      <c r="D91" s="154">
        <f>SUM(D111:E125,D127:E134)</f>
        <v>2586.91212</v>
      </c>
      <c r="E91" s="155"/>
      <c r="F91" s="156"/>
      <c r="G91" s="157">
        <f>SUM(G111:G125,G127:G134)</f>
        <v>4268.404998</v>
      </c>
      <c r="H91" s="158"/>
      <c r="I91" s="158"/>
      <c r="J91" s="159"/>
      <c r="L91" s="1">
        <f>1+127+16</f>
        <v>144</v>
      </c>
    </row>
    <row r="92" spans="1:12" s="1" customFormat="1" x14ac:dyDescent="0.3">
      <c r="A92" s="123" t="s">
        <v>76</v>
      </c>
      <c r="B92" s="124"/>
      <c r="C92" s="61">
        <f>SUM(C90:C91)</f>
        <v>24</v>
      </c>
      <c r="D92" s="125">
        <f>SUM(D90:F91)</f>
        <v>2750.0943600000001</v>
      </c>
      <c r="E92" s="126"/>
      <c r="F92" s="127"/>
      <c r="G92" s="146">
        <f>SUM(G90:J91)</f>
        <v>4537.655694</v>
      </c>
      <c r="H92" s="147"/>
      <c r="I92" s="147"/>
      <c r="J92" s="148"/>
      <c r="L92" s="1">
        <f>31+34*5</f>
        <v>201</v>
      </c>
    </row>
    <row r="93" spans="1:12" s="1" customFormat="1" x14ac:dyDescent="0.3">
      <c r="A93" s="123" t="s">
        <v>320</v>
      </c>
      <c r="B93" s="160"/>
      <c r="C93" s="160"/>
      <c r="D93" s="160"/>
      <c r="E93" s="160"/>
      <c r="F93" s="160"/>
      <c r="G93" s="160"/>
      <c r="H93" s="160"/>
      <c r="I93" s="160"/>
      <c r="J93" s="124"/>
      <c r="L93" s="1">
        <f>9*3+12+8*2+5+4</f>
        <v>64</v>
      </c>
    </row>
    <row r="94" spans="1:12" s="1" customFormat="1" ht="15.75" customHeight="1" x14ac:dyDescent="0.3">
      <c r="A94" s="146" t="s">
        <v>72</v>
      </c>
      <c r="B94" s="148"/>
      <c r="C94" s="10" t="s">
        <v>165</v>
      </c>
      <c r="D94" s="151" t="s">
        <v>73</v>
      </c>
      <c r="E94" s="152"/>
      <c r="F94" s="153"/>
      <c r="G94" s="146" t="s">
        <v>74</v>
      </c>
      <c r="H94" s="147"/>
      <c r="I94" s="147"/>
      <c r="J94" s="148"/>
    </row>
    <row r="95" spans="1:12" s="39" customFormat="1" ht="31.2" x14ac:dyDescent="0.3">
      <c r="A95" s="62" t="s">
        <v>326</v>
      </c>
      <c r="B95" s="62" t="s">
        <v>301</v>
      </c>
      <c r="C95" s="58">
        <f>COUNT(D137)+COUNT(D144:E149)+COUNT(D151:E156)*3+COUNT(D158:E163)*15+COUNT(D166:E170)*3+COUNT(D172:E177)+COUNT(D179:E184)*2+COUNT(D186:E191)+COUNT(D194:E198)+COUNT(D200:E205)*4+COUNT(D207:E212)*2+COUNT(D214:E219)</f>
        <v>201</v>
      </c>
      <c r="D95" s="170">
        <f>SUM(D137)+SUM(D144:E149)+SUM(D151:E156)*3+SUM(D158:E163)*15+SUM(D166:E170)*3+SUM(D172:E177)+SUM(D179:E184)*2+SUM(D186:E191)+SUM(D194:E198)+SUM(D200:E205)*4+SUM(D207:E212)*2+SUM(D214:E219)</f>
        <v>81795.743640000001</v>
      </c>
      <c r="E95" s="171"/>
      <c r="F95" s="172"/>
      <c r="G95" s="170">
        <f>SUM(G137)+SUM(G144:G149)+SUM(G151:G156)*3+SUM(G158:G163)*15+SUM(G166:G170)*3+SUM(G172:G177)+SUM(G179:G184)*2+SUM(G186:G191)+SUM(G194:G198)+SUM(G200:G205)*4+SUM(G207:G212)*2+SUM(G214:G219)</f>
        <v>130873.18982399997</v>
      </c>
      <c r="H95" s="171"/>
      <c r="I95" s="171"/>
      <c r="J95" s="172"/>
    </row>
    <row r="96" spans="1:12" s="12" customFormat="1" ht="31.2" x14ac:dyDescent="0.3">
      <c r="A96" s="62" t="s">
        <v>317</v>
      </c>
      <c r="B96" s="63" t="s">
        <v>301</v>
      </c>
      <c r="C96" s="58">
        <f>COUNT(D264)+COUNT(D289:E295)+COUNT(D297:E300)+COUNT(D305:E312)*4+COUNT(D314:E319)*2+COUNT(D321:E328)</f>
        <v>64</v>
      </c>
      <c r="D96" s="170">
        <f>SUM(D264)+SUM(D289:E295)+SUM(D297:E300)+SUM(D305:E312)*4+SUM(D314:E319)*2+SUM(D321:E328)</f>
        <v>18996.630119999998</v>
      </c>
      <c r="E96" s="171"/>
      <c r="F96" s="172"/>
      <c r="G96" s="170">
        <f>SUM(G264)+SUM(G289:G295)+SUM(G297:G300)+SUM(G305:G312)*4+SUM(G314:G319)*2+SUM(G321:G328)</f>
        <v>30394.608192</v>
      </c>
      <c r="H96" s="171"/>
      <c r="I96" s="171"/>
      <c r="J96" s="172"/>
    </row>
    <row r="97" spans="1:10" x14ac:dyDescent="0.3">
      <c r="A97" s="123" t="s">
        <v>76</v>
      </c>
      <c r="B97" s="124"/>
      <c r="C97" s="61">
        <f>SUM(C95:C96)</f>
        <v>265</v>
      </c>
      <c r="D97" s="125">
        <f>SUM(D95:F96)</f>
        <v>100792.37376</v>
      </c>
      <c r="E97" s="126"/>
      <c r="F97" s="127"/>
      <c r="G97" s="146">
        <f>SUM(G95:J96)</f>
        <v>161267.79801599996</v>
      </c>
      <c r="H97" s="147"/>
      <c r="I97" s="147"/>
      <c r="J97" s="148"/>
    </row>
    <row r="98" spans="1:10" s="3" customFormat="1" x14ac:dyDescent="0.3">
      <c r="A98" s="123" t="s">
        <v>320</v>
      </c>
      <c r="B98" s="160"/>
      <c r="C98" s="160"/>
      <c r="D98" s="160"/>
      <c r="E98" s="160"/>
      <c r="F98" s="160"/>
      <c r="G98" s="160"/>
      <c r="H98" s="160"/>
      <c r="I98" s="160"/>
      <c r="J98" s="124"/>
    </row>
    <row r="99" spans="1:10" s="3" customFormat="1" x14ac:dyDescent="0.3">
      <c r="A99" s="146" t="s">
        <v>72</v>
      </c>
      <c r="B99" s="148"/>
      <c r="C99" s="10" t="s">
        <v>165</v>
      </c>
      <c r="D99" s="151" t="s">
        <v>73</v>
      </c>
      <c r="E99" s="152"/>
      <c r="F99" s="153"/>
      <c r="G99" s="146" t="s">
        <v>74</v>
      </c>
      <c r="H99" s="147"/>
      <c r="I99" s="147"/>
      <c r="J99" s="148"/>
    </row>
    <row r="100" spans="1:10" s="3" customFormat="1" ht="30" customHeight="1" x14ac:dyDescent="0.3">
      <c r="A100" s="71" t="s">
        <v>326</v>
      </c>
      <c r="B100" s="62" t="s">
        <v>302</v>
      </c>
      <c r="C100" s="58">
        <f>COUNT(D142)</f>
        <v>1</v>
      </c>
      <c r="D100" s="289">
        <f>SUM(D142)</f>
        <v>307.90422000000001</v>
      </c>
      <c r="E100" s="290"/>
      <c r="F100" s="291"/>
      <c r="G100" s="170">
        <f>SUM(G142)</f>
        <v>492.64675200000005</v>
      </c>
      <c r="H100" s="171"/>
      <c r="I100" s="171"/>
      <c r="J100" s="172"/>
    </row>
    <row r="101" spans="1:10" s="3" customFormat="1" ht="15.75" customHeight="1" x14ac:dyDescent="0.3">
      <c r="A101" s="292" t="s">
        <v>317</v>
      </c>
      <c r="B101" s="70" t="s">
        <v>303</v>
      </c>
      <c r="C101" s="58">
        <f>COUNT(D228:E229,D231)+COUNT(D233:E236,D238)+COUNT(D240:E245)*3+COUNT(D247:E252)*12+COUNT(D254:E258)*3+COUNT(D261:E263)*3+COUNT(D269:E272)+COUNT(D275)</f>
        <v>127</v>
      </c>
      <c r="D101" s="289">
        <f>SUM(D228:E229,D231)+SUM(D233:E236,D238)+SUM(D240:E245)*3+SUM(D247:E252)*12+SUM(D254:E258)*3+SUM(D261:E263)*3+SUM(D269:E272)+SUM(D275)</f>
        <v>38119.632829199996</v>
      </c>
      <c r="E101" s="290"/>
      <c r="F101" s="291"/>
      <c r="G101" s="154">
        <f>SUM(G228:G229,G231)+SUM(G233:G236,G238)+SUM(G240:G245)*3+SUM(G247:G252)*12+SUM(G254:G258)*3+SUM(G261:G263)*3+SUM(G269:G272)+SUM(G275)</f>
        <v>60991.41252672</v>
      </c>
      <c r="H101" s="155"/>
      <c r="I101" s="155"/>
      <c r="J101" s="156"/>
    </row>
    <row r="102" spans="1:10" s="3" customFormat="1" x14ac:dyDescent="0.3">
      <c r="A102" s="292"/>
      <c r="B102" s="70" t="s">
        <v>302</v>
      </c>
      <c r="C102" s="58">
        <f>COUNT(D222:E223)+COUNT(D259)*3+COUNT(D276:E280)+COUNT(D282:E287)</f>
        <v>16</v>
      </c>
      <c r="D102" s="289">
        <f>SUM(D222:E223)+SUM(D259)*3+SUM(D276:E280)+SUM(D282:E287)</f>
        <v>4805.7826284000002</v>
      </c>
      <c r="E102" s="290"/>
      <c r="F102" s="291"/>
      <c r="G102" s="154">
        <f>SUM(G222:G223)+SUM(G259)*3+SUM(G276:G280)+SUM(G282:G287)</f>
        <v>7689.2522054399997</v>
      </c>
      <c r="H102" s="155"/>
      <c r="I102" s="155"/>
      <c r="J102" s="156"/>
    </row>
    <row r="103" spans="1:10" s="3" customFormat="1" x14ac:dyDescent="0.3">
      <c r="A103" s="123" t="s">
        <v>76</v>
      </c>
      <c r="B103" s="124"/>
      <c r="C103" s="61">
        <f t="shared" ref="C103" si="0">SUM(C100:C102)</f>
        <v>144</v>
      </c>
      <c r="D103" s="125">
        <f>SUM(D100:F102)</f>
        <v>43233.319677599997</v>
      </c>
      <c r="E103" s="126"/>
      <c r="F103" s="127"/>
      <c r="G103" s="146">
        <f>SUM(G100:J102)</f>
        <v>69173.311484160004</v>
      </c>
      <c r="H103" s="147"/>
      <c r="I103" s="147"/>
      <c r="J103" s="148"/>
    </row>
    <row r="104" spans="1:10" s="3" customFormat="1" x14ac:dyDescent="0.3">
      <c r="A104" s="123" t="s">
        <v>321</v>
      </c>
      <c r="B104" s="124"/>
      <c r="C104" s="61">
        <f>C92+C97+C103</f>
        <v>433</v>
      </c>
      <c r="D104" s="125">
        <f>D92+D97+D103</f>
        <v>146775.7877976</v>
      </c>
      <c r="E104" s="126"/>
      <c r="F104" s="127"/>
      <c r="G104" s="146">
        <f>G92+G97+G103</f>
        <v>234978.76519415993</v>
      </c>
      <c r="H104" s="147"/>
      <c r="I104" s="147"/>
      <c r="J104" s="148"/>
    </row>
    <row r="105" spans="1:10" s="3" customFormat="1" x14ac:dyDescent="0.3">
      <c r="A105" s="120" t="s">
        <v>319</v>
      </c>
      <c r="B105" s="121"/>
      <c r="C105" s="121"/>
      <c r="D105" s="121"/>
      <c r="E105" s="121"/>
      <c r="F105" s="121"/>
      <c r="G105" s="121"/>
      <c r="H105" s="121"/>
      <c r="I105" s="121"/>
      <c r="J105" s="122"/>
    </row>
    <row r="106" spans="1:10" s="3" customFormat="1" x14ac:dyDescent="0.3">
      <c r="A106" s="120" t="s">
        <v>310</v>
      </c>
      <c r="B106" s="121"/>
      <c r="C106" s="121"/>
      <c r="D106" s="121"/>
      <c r="E106" s="121"/>
      <c r="F106" s="121"/>
      <c r="G106" s="121"/>
      <c r="H106" s="121"/>
      <c r="I106" s="121"/>
      <c r="J106" s="122"/>
    </row>
    <row r="107" spans="1:10" s="3" customFormat="1" ht="54.75" customHeight="1" x14ac:dyDescent="0.3">
      <c r="A107" s="38" t="s">
        <v>224</v>
      </c>
      <c r="B107" s="2" t="s">
        <v>223</v>
      </c>
      <c r="C107" s="2" t="s">
        <v>77</v>
      </c>
      <c r="D107" s="250" t="s">
        <v>78</v>
      </c>
      <c r="E107" s="251"/>
      <c r="F107" s="13" t="s">
        <v>79</v>
      </c>
      <c r="G107" s="2" t="s">
        <v>80</v>
      </c>
      <c r="H107" s="250" t="s">
        <v>81</v>
      </c>
      <c r="I107" s="252"/>
      <c r="J107" s="251"/>
    </row>
    <row r="108" spans="1:10" s="3" customFormat="1" x14ac:dyDescent="0.3">
      <c r="A108" s="141" t="s">
        <v>323</v>
      </c>
      <c r="B108" s="142"/>
      <c r="C108" s="142"/>
      <c r="D108" s="142"/>
      <c r="E108" s="142"/>
      <c r="F108" s="142"/>
      <c r="G108" s="142"/>
      <c r="H108" s="142"/>
      <c r="I108" s="142"/>
      <c r="J108" s="143"/>
    </row>
    <row r="109" spans="1:10" s="3" customFormat="1" x14ac:dyDescent="0.3">
      <c r="A109" s="141" t="s">
        <v>315</v>
      </c>
      <c r="B109" s="142"/>
      <c r="C109" s="142"/>
      <c r="D109" s="142"/>
      <c r="E109" s="142"/>
      <c r="F109" s="142"/>
      <c r="G109" s="142"/>
      <c r="H109" s="142"/>
      <c r="I109" s="142"/>
      <c r="J109" s="143"/>
    </row>
    <row r="110" spans="1:10" s="3" customFormat="1" x14ac:dyDescent="0.3">
      <c r="A110" s="141" t="s">
        <v>312</v>
      </c>
      <c r="B110" s="142"/>
      <c r="C110" s="142"/>
      <c r="D110" s="142"/>
      <c r="E110" s="142"/>
      <c r="F110" s="142"/>
      <c r="G110" s="142"/>
      <c r="H110" s="142"/>
      <c r="I110" s="142"/>
      <c r="J110" s="143"/>
    </row>
    <row r="111" spans="1:10" s="3" customFormat="1" x14ac:dyDescent="0.3">
      <c r="A111" s="4">
        <v>1</v>
      </c>
      <c r="B111" s="4" t="s">
        <v>180</v>
      </c>
      <c r="C111" s="4" t="s">
        <v>179</v>
      </c>
      <c r="D111" s="105">
        <f>10.54*10.764</f>
        <v>113.45255999999998</v>
      </c>
      <c r="E111" s="106"/>
      <c r="F111" s="4">
        <v>0</v>
      </c>
      <c r="G111" s="4">
        <f>D111*1.65+F111</f>
        <v>187.19672399999996</v>
      </c>
      <c r="H111" s="132" t="s">
        <v>178</v>
      </c>
      <c r="I111" s="133"/>
      <c r="J111" s="134"/>
    </row>
    <row r="112" spans="1:10" s="3" customFormat="1" x14ac:dyDescent="0.3">
      <c r="A112" s="4">
        <v>2</v>
      </c>
      <c r="B112" s="4" t="s">
        <v>180</v>
      </c>
      <c r="C112" s="4" t="s">
        <v>179</v>
      </c>
      <c r="D112" s="105">
        <f>13.99*10.764</f>
        <v>150.58835999999999</v>
      </c>
      <c r="E112" s="106"/>
      <c r="F112" s="4">
        <v>0</v>
      </c>
      <c r="G112" s="4">
        <f t="shared" ref="G112:G134" si="1">D112*1.65+F112</f>
        <v>248.47079399999998</v>
      </c>
      <c r="H112" s="135"/>
      <c r="I112" s="136"/>
      <c r="J112" s="137"/>
    </row>
    <row r="113" spans="1:10" s="3" customFormat="1" x14ac:dyDescent="0.3">
      <c r="A113" s="4">
        <v>3</v>
      </c>
      <c r="B113" s="4" t="s">
        <v>180</v>
      </c>
      <c r="C113" s="4" t="s">
        <v>179</v>
      </c>
      <c r="D113" s="105">
        <f>1.22*10.764</f>
        <v>13.132079999999998</v>
      </c>
      <c r="E113" s="106"/>
      <c r="F113" s="4">
        <v>0</v>
      </c>
      <c r="G113" s="4">
        <f t="shared" si="1"/>
        <v>21.667931999999997</v>
      </c>
      <c r="H113" s="135"/>
      <c r="I113" s="136"/>
      <c r="J113" s="137"/>
    </row>
    <row r="114" spans="1:10" s="3" customFormat="1" x14ac:dyDescent="0.3">
      <c r="A114" s="4">
        <v>4</v>
      </c>
      <c r="B114" s="4" t="s">
        <v>180</v>
      </c>
      <c r="C114" s="4" t="s">
        <v>179</v>
      </c>
      <c r="D114" s="105">
        <f>17.86*10.764</f>
        <v>192.24503999999999</v>
      </c>
      <c r="E114" s="106"/>
      <c r="F114" s="4">
        <v>0</v>
      </c>
      <c r="G114" s="4">
        <f t="shared" si="1"/>
        <v>317.20431599999995</v>
      </c>
      <c r="H114" s="135"/>
      <c r="I114" s="136"/>
      <c r="J114" s="137"/>
    </row>
    <row r="115" spans="1:10" s="3" customFormat="1" x14ac:dyDescent="0.3">
      <c r="A115" s="4">
        <v>5</v>
      </c>
      <c r="B115" s="4" t="s">
        <v>180</v>
      </c>
      <c r="C115" s="4" t="s">
        <v>179</v>
      </c>
      <c r="D115" s="105">
        <f>1.92*10.764</f>
        <v>20.666879999999999</v>
      </c>
      <c r="E115" s="106"/>
      <c r="F115" s="4">
        <v>0</v>
      </c>
      <c r="G115" s="4">
        <f t="shared" si="1"/>
        <v>34.100351999999994</v>
      </c>
      <c r="H115" s="135"/>
      <c r="I115" s="136"/>
      <c r="J115" s="137"/>
    </row>
    <row r="116" spans="1:10" s="3" customFormat="1" x14ac:dyDescent="0.3">
      <c r="A116" s="4">
        <v>6</v>
      </c>
      <c r="B116" s="4" t="s">
        <v>180</v>
      </c>
      <c r="C116" s="4" t="s">
        <v>179</v>
      </c>
      <c r="D116" s="105">
        <f>2.52*10.764</f>
        <v>27.12528</v>
      </c>
      <c r="E116" s="106"/>
      <c r="F116" s="4">
        <v>0</v>
      </c>
      <c r="G116" s="4">
        <f t="shared" si="1"/>
        <v>44.756712</v>
      </c>
      <c r="H116" s="135"/>
      <c r="I116" s="136"/>
      <c r="J116" s="137"/>
    </row>
    <row r="117" spans="1:10" s="3" customFormat="1" x14ac:dyDescent="0.3">
      <c r="A117" s="4">
        <v>7</v>
      </c>
      <c r="B117" s="4" t="s">
        <v>180</v>
      </c>
      <c r="C117" s="4" t="s">
        <v>179</v>
      </c>
      <c r="D117" s="105">
        <f>2.82*10.764</f>
        <v>30.354479999999995</v>
      </c>
      <c r="E117" s="106"/>
      <c r="F117" s="4">
        <v>0</v>
      </c>
      <c r="G117" s="4">
        <f t="shared" si="1"/>
        <v>50.084891999999989</v>
      </c>
      <c r="H117" s="135"/>
      <c r="I117" s="136"/>
      <c r="J117" s="137"/>
    </row>
    <row r="118" spans="1:10" s="3" customFormat="1" x14ac:dyDescent="0.3">
      <c r="A118" s="4">
        <v>8</v>
      </c>
      <c r="B118" s="4" t="s">
        <v>180</v>
      </c>
      <c r="C118" s="4" t="s">
        <v>179</v>
      </c>
      <c r="D118" s="105">
        <f>3.11*10.764</f>
        <v>33.476039999999998</v>
      </c>
      <c r="E118" s="106"/>
      <c r="F118" s="4">
        <v>0</v>
      </c>
      <c r="G118" s="4">
        <f t="shared" si="1"/>
        <v>55.235465999999995</v>
      </c>
      <c r="H118" s="135"/>
      <c r="I118" s="136"/>
      <c r="J118" s="137"/>
    </row>
    <row r="119" spans="1:10" s="3" customFormat="1" x14ac:dyDescent="0.3">
      <c r="A119" s="4">
        <v>9</v>
      </c>
      <c r="B119" s="4" t="s">
        <v>180</v>
      </c>
      <c r="C119" s="4" t="s">
        <v>179</v>
      </c>
      <c r="D119" s="105">
        <f>20.91*10.764</f>
        <v>225.07523999999998</v>
      </c>
      <c r="E119" s="106"/>
      <c r="F119" s="4">
        <v>0</v>
      </c>
      <c r="G119" s="4">
        <f t="shared" si="1"/>
        <v>371.37414599999994</v>
      </c>
      <c r="H119" s="135"/>
      <c r="I119" s="136"/>
      <c r="J119" s="137"/>
    </row>
    <row r="120" spans="1:10" s="3" customFormat="1" x14ac:dyDescent="0.3">
      <c r="A120" s="4">
        <v>10</v>
      </c>
      <c r="B120" s="4" t="s">
        <v>180</v>
      </c>
      <c r="C120" s="4" t="s">
        <v>179</v>
      </c>
      <c r="D120" s="105">
        <f>20.9*10.764</f>
        <v>224.96759999999998</v>
      </c>
      <c r="E120" s="106"/>
      <c r="F120" s="4">
        <v>0</v>
      </c>
      <c r="G120" s="4">
        <f t="shared" si="1"/>
        <v>371.19653999999991</v>
      </c>
      <c r="H120" s="135"/>
      <c r="I120" s="136"/>
      <c r="J120" s="137"/>
    </row>
    <row r="121" spans="1:10" s="3" customFormat="1" x14ac:dyDescent="0.3">
      <c r="A121" s="4">
        <v>11</v>
      </c>
      <c r="B121" s="4" t="s">
        <v>180</v>
      </c>
      <c r="C121" s="4" t="s">
        <v>179</v>
      </c>
      <c r="D121" s="105">
        <f>6.29*10.764</f>
        <v>67.705559999999991</v>
      </c>
      <c r="E121" s="106"/>
      <c r="F121" s="4">
        <v>0</v>
      </c>
      <c r="G121" s="4">
        <f t="shared" si="1"/>
        <v>111.71417399999999</v>
      </c>
      <c r="H121" s="135"/>
      <c r="I121" s="136"/>
      <c r="J121" s="137"/>
    </row>
    <row r="122" spans="1:10" s="3" customFormat="1" x14ac:dyDescent="0.3">
      <c r="A122" s="4">
        <v>12</v>
      </c>
      <c r="B122" s="4" t="s">
        <v>180</v>
      </c>
      <c r="C122" s="4" t="s">
        <v>179</v>
      </c>
      <c r="D122" s="105">
        <f>6.69*10.764</f>
        <v>72.011160000000004</v>
      </c>
      <c r="E122" s="106"/>
      <c r="F122" s="4">
        <v>0</v>
      </c>
      <c r="G122" s="4">
        <f t="shared" si="1"/>
        <v>118.818414</v>
      </c>
      <c r="H122" s="135"/>
      <c r="I122" s="136"/>
      <c r="J122" s="137"/>
    </row>
    <row r="123" spans="1:10" s="3" customFormat="1" x14ac:dyDescent="0.3">
      <c r="A123" s="4">
        <v>13</v>
      </c>
      <c r="B123" s="4" t="s">
        <v>180</v>
      </c>
      <c r="C123" s="4" t="s">
        <v>179</v>
      </c>
      <c r="D123" s="105">
        <f>7.54*10.764</f>
        <v>81.16055999999999</v>
      </c>
      <c r="E123" s="106"/>
      <c r="F123" s="4">
        <v>0</v>
      </c>
      <c r="G123" s="4">
        <f t="shared" si="1"/>
        <v>133.91492399999998</v>
      </c>
      <c r="H123" s="135"/>
      <c r="I123" s="136"/>
      <c r="J123" s="137"/>
    </row>
    <row r="124" spans="1:10" s="3" customFormat="1" x14ac:dyDescent="0.3">
      <c r="A124" s="4">
        <v>14</v>
      </c>
      <c r="B124" s="4" t="s">
        <v>180</v>
      </c>
      <c r="C124" s="4" t="s">
        <v>179</v>
      </c>
      <c r="D124" s="105">
        <f>5.88*10.764</f>
        <v>63.292319999999997</v>
      </c>
      <c r="E124" s="106"/>
      <c r="F124" s="4">
        <v>0</v>
      </c>
      <c r="G124" s="4">
        <f t="shared" si="1"/>
        <v>104.43232799999998</v>
      </c>
      <c r="H124" s="135"/>
      <c r="I124" s="136"/>
      <c r="J124" s="137"/>
    </row>
    <row r="125" spans="1:10" s="3" customFormat="1" x14ac:dyDescent="0.3">
      <c r="A125" s="4">
        <v>15</v>
      </c>
      <c r="B125" s="4" t="s">
        <v>180</v>
      </c>
      <c r="C125" s="4" t="s">
        <v>179</v>
      </c>
      <c r="D125" s="105">
        <f>5.44*10.764</f>
        <v>58.556159999999998</v>
      </c>
      <c r="E125" s="106"/>
      <c r="F125" s="4">
        <v>0</v>
      </c>
      <c r="G125" s="4">
        <f t="shared" si="1"/>
        <v>96.617663999999991</v>
      </c>
      <c r="H125" s="135"/>
      <c r="I125" s="136"/>
      <c r="J125" s="137"/>
    </row>
    <row r="126" spans="1:10" s="3" customFormat="1" x14ac:dyDescent="0.3">
      <c r="A126" s="4">
        <v>16</v>
      </c>
      <c r="B126" s="4" t="s">
        <v>183</v>
      </c>
      <c r="C126" s="4" t="s">
        <v>179</v>
      </c>
      <c r="D126" s="105">
        <f>15.16*10.764</f>
        <v>163.18223999999998</v>
      </c>
      <c r="E126" s="106"/>
      <c r="F126" s="4">
        <v>0</v>
      </c>
      <c r="G126" s="4">
        <f t="shared" si="1"/>
        <v>269.25069599999995</v>
      </c>
      <c r="H126" s="135"/>
      <c r="I126" s="136"/>
      <c r="J126" s="137"/>
    </row>
    <row r="127" spans="1:10" s="3" customFormat="1" ht="15.75" customHeight="1" x14ac:dyDescent="0.3">
      <c r="A127" s="4">
        <v>17</v>
      </c>
      <c r="B127" s="4" t="s">
        <v>180</v>
      </c>
      <c r="C127" s="4" t="s">
        <v>179</v>
      </c>
      <c r="D127" s="105">
        <f>2.95*10.764</f>
        <v>31.753799999999998</v>
      </c>
      <c r="E127" s="106"/>
      <c r="F127" s="4">
        <v>0</v>
      </c>
      <c r="G127" s="4">
        <f t="shared" si="1"/>
        <v>52.393769999999996</v>
      </c>
      <c r="H127" s="135"/>
      <c r="I127" s="136"/>
      <c r="J127" s="137"/>
    </row>
    <row r="128" spans="1:10" s="3" customFormat="1" x14ac:dyDescent="0.3">
      <c r="A128" s="4">
        <v>18</v>
      </c>
      <c r="B128" s="4" t="s">
        <v>180</v>
      </c>
      <c r="C128" s="4" t="s">
        <v>179</v>
      </c>
      <c r="D128" s="105">
        <f>20.91*10.764</f>
        <v>225.07523999999998</v>
      </c>
      <c r="E128" s="106"/>
      <c r="F128" s="4">
        <v>0</v>
      </c>
      <c r="G128" s="4">
        <f t="shared" si="1"/>
        <v>371.37414599999994</v>
      </c>
      <c r="H128" s="135"/>
      <c r="I128" s="136"/>
      <c r="J128" s="137"/>
    </row>
    <row r="129" spans="1:14" s="3" customFormat="1" ht="15.75" customHeight="1" x14ac:dyDescent="0.3">
      <c r="A129" s="4">
        <v>19</v>
      </c>
      <c r="B129" s="4" t="s">
        <v>180</v>
      </c>
      <c r="C129" s="4" t="s">
        <v>179</v>
      </c>
      <c r="D129" s="105">
        <f>17.13*10.764</f>
        <v>184.38731999999999</v>
      </c>
      <c r="E129" s="106"/>
      <c r="F129" s="4">
        <v>0</v>
      </c>
      <c r="G129" s="4">
        <f t="shared" si="1"/>
        <v>304.23907799999995</v>
      </c>
      <c r="H129" s="135"/>
      <c r="I129" s="136"/>
      <c r="J129" s="137"/>
    </row>
    <row r="130" spans="1:14" s="3" customFormat="1" ht="15.75" customHeight="1" x14ac:dyDescent="0.3">
      <c r="A130" s="4">
        <v>20</v>
      </c>
      <c r="B130" s="4" t="s">
        <v>180</v>
      </c>
      <c r="C130" s="4" t="s">
        <v>179</v>
      </c>
      <c r="D130" s="105">
        <f>6.89*10.764</f>
        <v>74.163959999999989</v>
      </c>
      <c r="E130" s="106"/>
      <c r="F130" s="4">
        <v>0</v>
      </c>
      <c r="G130" s="4">
        <f t="shared" si="1"/>
        <v>122.37053399999998</v>
      </c>
      <c r="H130" s="135"/>
      <c r="I130" s="136"/>
      <c r="J130" s="137"/>
    </row>
    <row r="131" spans="1:14" s="3" customFormat="1" ht="15.75" customHeight="1" x14ac:dyDescent="0.3">
      <c r="A131" s="4">
        <v>21</v>
      </c>
      <c r="B131" s="4" t="s">
        <v>180</v>
      </c>
      <c r="C131" s="4" t="s">
        <v>179</v>
      </c>
      <c r="D131" s="105">
        <f>6.73*10.764</f>
        <v>72.441720000000004</v>
      </c>
      <c r="E131" s="106"/>
      <c r="F131" s="4">
        <v>0</v>
      </c>
      <c r="G131" s="4">
        <f t="shared" si="1"/>
        <v>119.52883799999999</v>
      </c>
      <c r="H131" s="135"/>
      <c r="I131" s="136"/>
      <c r="J131" s="137"/>
    </row>
    <row r="132" spans="1:14" s="3" customFormat="1" x14ac:dyDescent="0.3">
      <c r="A132" s="4">
        <v>22</v>
      </c>
      <c r="B132" s="4" t="s">
        <v>180</v>
      </c>
      <c r="C132" s="4" t="s">
        <v>179</v>
      </c>
      <c r="D132" s="105">
        <f>20.91*10.764</f>
        <v>225.07523999999998</v>
      </c>
      <c r="E132" s="106"/>
      <c r="F132" s="4">
        <v>0</v>
      </c>
      <c r="G132" s="4">
        <f t="shared" si="1"/>
        <v>371.37414599999994</v>
      </c>
      <c r="H132" s="135"/>
      <c r="I132" s="136"/>
      <c r="J132" s="137"/>
    </row>
    <row r="133" spans="1:14" s="3" customFormat="1" x14ac:dyDescent="0.3">
      <c r="A133" s="4">
        <v>23</v>
      </c>
      <c r="B133" s="4" t="s">
        <v>180</v>
      </c>
      <c r="C133" s="4" t="s">
        <v>179</v>
      </c>
      <c r="D133" s="105">
        <f>20.91*10.764</f>
        <v>225.07523999999998</v>
      </c>
      <c r="E133" s="106"/>
      <c r="F133" s="4">
        <v>0</v>
      </c>
      <c r="G133" s="4">
        <f t="shared" si="1"/>
        <v>371.37414599999994</v>
      </c>
      <c r="H133" s="135"/>
      <c r="I133" s="136"/>
      <c r="J133" s="137"/>
    </row>
    <row r="134" spans="1:14" s="3" customFormat="1" x14ac:dyDescent="0.3">
      <c r="A134" s="4">
        <v>24</v>
      </c>
      <c r="B134" s="4" t="s">
        <v>180</v>
      </c>
      <c r="C134" s="4" t="s">
        <v>179</v>
      </c>
      <c r="D134" s="105">
        <f>16.27*10.764</f>
        <v>175.13027999999997</v>
      </c>
      <c r="E134" s="106"/>
      <c r="F134" s="4">
        <v>0</v>
      </c>
      <c r="G134" s="4">
        <f t="shared" si="1"/>
        <v>288.96496199999996</v>
      </c>
      <c r="H134" s="138"/>
      <c r="I134" s="139"/>
      <c r="J134" s="140"/>
    </row>
    <row r="135" spans="1:14" s="3" customFormat="1" x14ac:dyDescent="0.3">
      <c r="A135" s="141" t="s">
        <v>232</v>
      </c>
      <c r="B135" s="142"/>
      <c r="C135" s="142"/>
      <c r="D135" s="142"/>
      <c r="E135" s="142"/>
      <c r="F135" s="142"/>
      <c r="G135" s="142"/>
      <c r="H135" s="142"/>
      <c r="I135" s="142"/>
      <c r="J135" s="143"/>
      <c r="L135" s="3">
        <f>19800000/G145</f>
        <v>23362.437550080573</v>
      </c>
    </row>
    <row r="136" spans="1:14" s="3" customFormat="1" x14ac:dyDescent="0.3">
      <c r="A136" s="141" t="s">
        <v>311</v>
      </c>
      <c r="B136" s="142"/>
      <c r="C136" s="142"/>
      <c r="D136" s="142"/>
      <c r="E136" s="142"/>
      <c r="F136" s="142"/>
      <c r="G136" s="142"/>
      <c r="H136" s="142"/>
      <c r="I136" s="142"/>
      <c r="J136" s="143"/>
      <c r="L136" s="3">
        <f>9870000/G146</f>
        <v>16722.814660546988</v>
      </c>
    </row>
    <row r="137" spans="1:14" s="3" customFormat="1" x14ac:dyDescent="0.3">
      <c r="A137" s="4">
        <v>1</v>
      </c>
      <c r="B137" s="4" t="s">
        <v>183</v>
      </c>
      <c r="C137" s="4" t="s">
        <v>272</v>
      </c>
      <c r="D137" s="105">
        <f>31.01*10.764</f>
        <v>333.79163999999997</v>
      </c>
      <c r="E137" s="106"/>
      <c r="F137" s="4">
        <v>0</v>
      </c>
      <c r="G137" s="59">
        <f>D137*1.6+F137</f>
        <v>534.06662399999993</v>
      </c>
      <c r="H137" s="132" t="str">
        <f>A136</f>
        <v>1st Floor For Residential &amp; Amenities</v>
      </c>
      <c r="I137" s="133"/>
      <c r="J137" s="134"/>
    </row>
    <row r="138" spans="1:14" s="3" customFormat="1" x14ac:dyDescent="0.3">
      <c r="A138" s="4">
        <v>2</v>
      </c>
      <c r="B138" s="105" t="s">
        <v>233</v>
      </c>
      <c r="C138" s="174"/>
      <c r="D138" s="174"/>
      <c r="E138" s="174"/>
      <c r="F138" s="174"/>
      <c r="G138" s="174"/>
      <c r="H138" s="135"/>
      <c r="I138" s="136"/>
      <c r="J138" s="137"/>
      <c r="L138" s="3">
        <f>13500000/G148</f>
        <v>17454.083194259201</v>
      </c>
      <c r="N138" s="3">
        <f>(2.25*2.6+0.75*0.45)*10.764</f>
        <v>66.602250000000012</v>
      </c>
    </row>
    <row r="139" spans="1:14" s="3" customFormat="1" x14ac:dyDescent="0.3">
      <c r="A139" s="4">
        <v>3</v>
      </c>
      <c r="B139" s="105" t="s">
        <v>234</v>
      </c>
      <c r="C139" s="174"/>
      <c r="D139" s="174"/>
      <c r="E139" s="174"/>
      <c r="F139" s="174"/>
      <c r="G139" s="174"/>
      <c r="H139" s="135"/>
      <c r="I139" s="136"/>
      <c r="J139" s="137"/>
    </row>
    <row r="140" spans="1:14" s="3" customFormat="1" ht="15.75" customHeight="1" x14ac:dyDescent="0.3">
      <c r="A140" s="4">
        <v>4</v>
      </c>
      <c r="B140" s="105" t="s">
        <v>235</v>
      </c>
      <c r="C140" s="174"/>
      <c r="D140" s="174"/>
      <c r="E140" s="174"/>
      <c r="F140" s="174"/>
      <c r="G140" s="174"/>
      <c r="H140" s="135"/>
      <c r="I140" s="136"/>
      <c r="J140" s="137"/>
    </row>
    <row r="141" spans="1:14" s="3" customFormat="1" ht="15.75" customHeight="1" x14ac:dyDescent="0.3">
      <c r="A141" s="4">
        <v>5</v>
      </c>
      <c r="B141" s="105" t="s">
        <v>288</v>
      </c>
      <c r="C141" s="174"/>
      <c r="D141" s="174"/>
      <c r="E141" s="174"/>
      <c r="F141" s="174"/>
      <c r="G141" s="174"/>
      <c r="H141" s="135"/>
      <c r="I141" s="136"/>
      <c r="J141" s="137"/>
    </row>
    <row r="142" spans="1:14" s="3" customFormat="1" x14ac:dyDescent="0.3">
      <c r="A142" s="4">
        <v>6</v>
      </c>
      <c r="B142" s="4" t="s">
        <v>283</v>
      </c>
      <c r="C142" s="4" t="s">
        <v>272</v>
      </c>
      <c r="D142" s="105">
        <f>(5.6*2+2.52*0.2+3.05*1.6+3.05*2.2+1.14*0.2+1.9*1.2+1.4*1.57+1.1*0.55)*10.764</f>
        <v>307.90422000000001</v>
      </c>
      <c r="E142" s="106"/>
      <c r="F142" s="4">
        <v>0</v>
      </c>
      <c r="G142" s="59">
        <f>D142*1.6+F142</f>
        <v>492.64675200000005</v>
      </c>
      <c r="H142" s="138"/>
      <c r="I142" s="139"/>
      <c r="J142" s="140"/>
    </row>
    <row r="143" spans="1:14" s="3" customFormat="1" x14ac:dyDescent="0.3">
      <c r="A143" s="141" t="s">
        <v>236</v>
      </c>
      <c r="B143" s="142"/>
      <c r="C143" s="142"/>
      <c r="D143" s="142"/>
      <c r="E143" s="142"/>
      <c r="F143" s="142"/>
      <c r="G143" s="142"/>
      <c r="H143" s="142"/>
      <c r="I143" s="142"/>
      <c r="J143" s="143"/>
    </row>
    <row r="144" spans="1:14" s="3" customFormat="1" x14ac:dyDescent="0.3">
      <c r="A144" s="4">
        <v>1</v>
      </c>
      <c r="B144" s="4" t="s">
        <v>183</v>
      </c>
      <c r="C144" s="4" t="s">
        <v>272</v>
      </c>
      <c r="D144" s="105">
        <f>31.01*10.764</f>
        <v>333.79163999999997</v>
      </c>
      <c r="E144" s="106"/>
      <c r="F144" s="4">
        <v>0</v>
      </c>
      <c r="G144" s="4">
        <f t="shared" ref="G144:G149" si="2">D144*1.6+F144</f>
        <v>534.06662399999993</v>
      </c>
      <c r="H144" s="132" t="str">
        <f>A143</f>
        <v>2nd Floor</v>
      </c>
      <c r="I144" s="133"/>
      <c r="J144" s="134"/>
    </row>
    <row r="145" spans="1:10" s="3" customFormat="1" x14ac:dyDescent="0.3">
      <c r="A145" s="4">
        <v>2</v>
      </c>
      <c r="B145" s="4" t="s">
        <v>183</v>
      </c>
      <c r="C145" s="4" t="s">
        <v>273</v>
      </c>
      <c r="D145" s="105">
        <f>49.21*10.764</f>
        <v>529.69643999999994</v>
      </c>
      <c r="E145" s="106"/>
      <c r="F145" s="4">
        <v>0</v>
      </c>
      <c r="G145" s="4">
        <f t="shared" si="2"/>
        <v>847.51430399999992</v>
      </c>
      <c r="H145" s="135"/>
      <c r="I145" s="136"/>
      <c r="J145" s="137"/>
    </row>
    <row r="146" spans="1:10" s="3" customFormat="1" x14ac:dyDescent="0.3">
      <c r="A146" s="4">
        <v>3</v>
      </c>
      <c r="B146" s="4" t="s">
        <v>183</v>
      </c>
      <c r="C146" s="4" t="s">
        <v>272</v>
      </c>
      <c r="D146" s="105">
        <f>34.27*10.764</f>
        <v>368.88228000000004</v>
      </c>
      <c r="E146" s="106"/>
      <c r="F146" s="4">
        <v>0</v>
      </c>
      <c r="G146" s="4">
        <f t="shared" si="2"/>
        <v>590.21164800000008</v>
      </c>
      <c r="H146" s="135"/>
      <c r="I146" s="136"/>
      <c r="J146" s="137"/>
    </row>
    <row r="147" spans="1:10" s="3" customFormat="1" x14ac:dyDescent="0.3">
      <c r="A147" s="4">
        <v>4</v>
      </c>
      <c r="B147" s="4" t="s">
        <v>183</v>
      </c>
      <c r="C147" s="4" t="s">
        <v>272</v>
      </c>
      <c r="D147" s="105">
        <f>34.16*10.764</f>
        <v>367.69823999999994</v>
      </c>
      <c r="E147" s="106"/>
      <c r="F147" s="4">
        <v>0</v>
      </c>
      <c r="G147" s="4">
        <f t="shared" si="2"/>
        <v>588.31718399999988</v>
      </c>
      <c r="H147" s="135"/>
      <c r="I147" s="136"/>
      <c r="J147" s="137"/>
    </row>
    <row r="148" spans="1:10" s="3" customFormat="1" ht="15.75" customHeight="1" x14ac:dyDescent="0.3">
      <c r="A148" s="4">
        <v>5</v>
      </c>
      <c r="B148" s="4" t="s">
        <v>183</v>
      </c>
      <c r="C148" s="4" t="s">
        <v>273</v>
      </c>
      <c r="D148" s="105">
        <f>44.91*10.764</f>
        <v>483.41123999999991</v>
      </c>
      <c r="E148" s="106"/>
      <c r="F148" s="4">
        <v>0</v>
      </c>
      <c r="G148" s="4">
        <f t="shared" si="2"/>
        <v>773.4579839999999</v>
      </c>
      <c r="H148" s="135"/>
      <c r="I148" s="136"/>
      <c r="J148" s="137"/>
    </row>
    <row r="149" spans="1:10" s="3" customFormat="1" x14ac:dyDescent="0.3">
      <c r="A149" s="4">
        <v>6</v>
      </c>
      <c r="B149" s="4" t="s">
        <v>183</v>
      </c>
      <c r="C149" s="4" t="s">
        <v>272</v>
      </c>
      <c r="D149" s="105">
        <f>32.15*10.764</f>
        <v>346.06259999999997</v>
      </c>
      <c r="E149" s="106"/>
      <c r="F149" s="4">
        <v>0</v>
      </c>
      <c r="G149" s="4">
        <f t="shared" si="2"/>
        <v>553.70015999999998</v>
      </c>
      <c r="H149" s="138"/>
      <c r="I149" s="139"/>
      <c r="J149" s="140"/>
    </row>
    <row r="150" spans="1:10" s="3" customFormat="1" x14ac:dyDescent="0.3">
      <c r="A150" s="141" t="s">
        <v>237</v>
      </c>
      <c r="B150" s="142"/>
      <c r="C150" s="142"/>
      <c r="D150" s="142"/>
      <c r="E150" s="142"/>
      <c r="F150" s="142"/>
      <c r="G150" s="142"/>
      <c r="H150" s="142"/>
      <c r="I150" s="142"/>
      <c r="J150" s="143"/>
    </row>
    <row r="151" spans="1:10" s="3" customFormat="1" x14ac:dyDescent="0.3">
      <c r="A151" s="4">
        <v>1</v>
      </c>
      <c r="B151" s="4" t="s">
        <v>183</v>
      </c>
      <c r="C151" s="4" t="s">
        <v>272</v>
      </c>
      <c r="D151" s="105">
        <f>30.66*10.764</f>
        <v>330.02423999999996</v>
      </c>
      <c r="E151" s="106"/>
      <c r="F151" s="4">
        <v>0</v>
      </c>
      <c r="G151" s="4">
        <f t="shared" ref="G151:G156" si="3">D151*1.6+F151</f>
        <v>528.03878399999996</v>
      </c>
      <c r="H151" s="132" t="str">
        <f>A150</f>
        <v>3rd to 5th Floor</v>
      </c>
      <c r="I151" s="133"/>
      <c r="J151" s="134"/>
    </row>
    <row r="152" spans="1:10" s="3" customFormat="1" x14ac:dyDescent="0.3">
      <c r="A152" s="4">
        <v>2</v>
      </c>
      <c r="B152" s="4" t="s">
        <v>183</v>
      </c>
      <c r="C152" s="4" t="s">
        <v>273</v>
      </c>
      <c r="D152" s="105">
        <f>49.83*10.764</f>
        <v>536.37011999999993</v>
      </c>
      <c r="E152" s="106"/>
      <c r="F152" s="4">
        <v>0</v>
      </c>
      <c r="G152" s="4">
        <f t="shared" si="3"/>
        <v>858.19219199999998</v>
      </c>
      <c r="H152" s="135"/>
      <c r="I152" s="136"/>
      <c r="J152" s="137"/>
    </row>
    <row r="153" spans="1:10" s="3" customFormat="1" x14ac:dyDescent="0.3">
      <c r="A153" s="4">
        <v>3</v>
      </c>
      <c r="B153" s="4" t="s">
        <v>183</v>
      </c>
      <c r="C153" s="4" t="s">
        <v>272</v>
      </c>
      <c r="D153" s="105">
        <f>33.75*10.764</f>
        <v>363.28499999999997</v>
      </c>
      <c r="E153" s="106"/>
      <c r="F153" s="4">
        <v>0</v>
      </c>
      <c r="G153" s="4">
        <f t="shared" si="3"/>
        <v>581.25599999999997</v>
      </c>
      <c r="H153" s="135"/>
      <c r="I153" s="136"/>
      <c r="J153" s="137"/>
    </row>
    <row r="154" spans="1:10" s="3" customFormat="1" ht="15.75" customHeight="1" x14ac:dyDescent="0.3">
      <c r="A154" s="4">
        <v>4</v>
      </c>
      <c r="B154" s="4" t="s">
        <v>183</v>
      </c>
      <c r="C154" s="4" t="s">
        <v>272</v>
      </c>
      <c r="D154" s="105">
        <f>33.22*10.764</f>
        <v>357.58007999999995</v>
      </c>
      <c r="E154" s="106"/>
      <c r="F154" s="4">
        <v>0</v>
      </c>
      <c r="G154" s="4">
        <f t="shared" si="3"/>
        <v>572.12812799999995</v>
      </c>
      <c r="H154" s="135"/>
      <c r="I154" s="136"/>
      <c r="J154" s="137"/>
    </row>
    <row r="155" spans="1:10" s="3" customFormat="1" ht="15.75" customHeight="1" x14ac:dyDescent="0.3">
      <c r="A155" s="4">
        <v>5</v>
      </c>
      <c r="B155" s="4" t="s">
        <v>183</v>
      </c>
      <c r="C155" s="4" t="s">
        <v>273</v>
      </c>
      <c r="D155" s="105">
        <f>45.25*10.764</f>
        <v>487.07099999999997</v>
      </c>
      <c r="E155" s="106"/>
      <c r="F155" s="4">
        <v>0</v>
      </c>
      <c r="G155" s="4">
        <f t="shared" si="3"/>
        <v>779.31359999999995</v>
      </c>
      <c r="H155" s="135"/>
      <c r="I155" s="136"/>
      <c r="J155" s="137"/>
    </row>
    <row r="156" spans="1:10" s="3" customFormat="1" x14ac:dyDescent="0.3">
      <c r="A156" s="4">
        <v>6</v>
      </c>
      <c r="B156" s="4" t="s">
        <v>183</v>
      </c>
      <c r="C156" s="4" t="s">
        <v>272</v>
      </c>
      <c r="D156" s="105">
        <f>33.5*10.764</f>
        <v>360.59399999999999</v>
      </c>
      <c r="E156" s="106"/>
      <c r="F156" s="4">
        <v>0</v>
      </c>
      <c r="G156" s="4">
        <f t="shared" si="3"/>
        <v>576.95040000000006</v>
      </c>
      <c r="H156" s="138"/>
      <c r="I156" s="139"/>
      <c r="J156" s="140"/>
    </row>
    <row r="157" spans="1:10" s="3" customFormat="1" x14ac:dyDescent="0.3">
      <c r="A157" s="253" t="s">
        <v>284</v>
      </c>
      <c r="B157" s="254"/>
      <c r="C157" s="254"/>
      <c r="D157" s="254"/>
      <c r="E157" s="254"/>
      <c r="F157" s="254"/>
      <c r="G157" s="254"/>
      <c r="H157" s="254"/>
      <c r="I157" s="254"/>
      <c r="J157" s="255"/>
    </row>
    <row r="158" spans="1:10" s="3" customFormat="1" x14ac:dyDescent="0.3">
      <c r="A158" s="57">
        <v>1</v>
      </c>
      <c r="B158" s="57" t="s">
        <v>183</v>
      </c>
      <c r="C158" s="57" t="s">
        <v>272</v>
      </c>
      <c r="D158" s="144">
        <f>30.66*10.764</f>
        <v>330.02423999999996</v>
      </c>
      <c r="E158" s="145"/>
      <c r="F158" s="57">
        <v>0</v>
      </c>
      <c r="G158" s="57">
        <f t="shared" ref="G158:G163" si="4">D158*1.6+F158</f>
        <v>528.03878399999996</v>
      </c>
      <c r="H158" s="257" t="str">
        <f>A157</f>
        <v>6th, 8th to 13th, 15th to 20th, 22nd &amp; 23rd Floor</v>
      </c>
      <c r="I158" s="258"/>
      <c r="J158" s="259"/>
    </row>
    <row r="159" spans="1:10" s="3" customFormat="1" x14ac:dyDescent="0.3">
      <c r="A159" s="57">
        <v>2</v>
      </c>
      <c r="B159" s="57" t="s">
        <v>183</v>
      </c>
      <c r="C159" s="57" t="s">
        <v>273</v>
      </c>
      <c r="D159" s="144">
        <f>49.83*10.764</f>
        <v>536.37011999999993</v>
      </c>
      <c r="E159" s="145"/>
      <c r="F159" s="57">
        <v>0</v>
      </c>
      <c r="G159" s="57">
        <f t="shared" si="4"/>
        <v>858.19219199999998</v>
      </c>
      <c r="H159" s="260"/>
      <c r="I159" s="261"/>
      <c r="J159" s="262"/>
    </row>
    <row r="160" spans="1:10" s="3" customFormat="1" x14ac:dyDescent="0.3">
      <c r="A160" s="57">
        <v>3</v>
      </c>
      <c r="B160" s="57" t="s">
        <v>183</v>
      </c>
      <c r="C160" s="57" t="s">
        <v>272</v>
      </c>
      <c r="D160" s="144">
        <f>33.75*10.764</f>
        <v>363.28499999999997</v>
      </c>
      <c r="E160" s="145"/>
      <c r="F160" s="57">
        <v>0</v>
      </c>
      <c r="G160" s="57">
        <f t="shared" si="4"/>
        <v>581.25599999999997</v>
      </c>
      <c r="H160" s="260"/>
      <c r="I160" s="261"/>
      <c r="J160" s="262"/>
    </row>
    <row r="161" spans="1:10" s="3" customFormat="1" x14ac:dyDescent="0.3">
      <c r="A161" s="57">
        <v>4</v>
      </c>
      <c r="B161" s="57" t="s">
        <v>183</v>
      </c>
      <c r="C161" s="57" t="s">
        <v>272</v>
      </c>
      <c r="D161" s="144">
        <f>33.22*10.764</f>
        <v>357.58007999999995</v>
      </c>
      <c r="E161" s="145"/>
      <c r="F161" s="57">
        <v>0</v>
      </c>
      <c r="G161" s="57">
        <f t="shared" si="4"/>
        <v>572.12812799999995</v>
      </c>
      <c r="H161" s="260"/>
      <c r="I161" s="261"/>
      <c r="J161" s="262"/>
    </row>
    <row r="162" spans="1:10" s="3" customFormat="1" x14ac:dyDescent="0.3">
      <c r="A162" s="57">
        <v>5</v>
      </c>
      <c r="B162" s="57" t="s">
        <v>183</v>
      </c>
      <c r="C162" s="57" t="s">
        <v>273</v>
      </c>
      <c r="D162" s="144">
        <f>45.25*10.764</f>
        <v>487.07099999999997</v>
      </c>
      <c r="E162" s="145"/>
      <c r="F162" s="57">
        <v>0</v>
      </c>
      <c r="G162" s="57">
        <f t="shared" si="4"/>
        <v>779.31359999999995</v>
      </c>
      <c r="H162" s="260"/>
      <c r="I162" s="261"/>
      <c r="J162" s="262"/>
    </row>
    <row r="163" spans="1:10" s="3" customFormat="1" x14ac:dyDescent="0.3">
      <c r="A163" s="57">
        <v>6</v>
      </c>
      <c r="B163" s="57" t="s">
        <v>183</v>
      </c>
      <c r="C163" s="57" t="s">
        <v>272</v>
      </c>
      <c r="D163" s="144">
        <f>33.5*10.764</f>
        <v>360.59399999999999</v>
      </c>
      <c r="E163" s="145"/>
      <c r="F163" s="57">
        <v>0</v>
      </c>
      <c r="G163" s="57">
        <f t="shared" si="4"/>
        <v>576.95040000000006</v>
      </c>
      <c r="H163" s="263"/>
      <c r="I163" s="264"/>
      <c r="J163" s="265"/>
    </row>
    <row r="164" spans="1:10" s="3" customFormat="1" x14ac:dyDescent="0.3">
      <c r="A164" s="141" t="s">
        <v>285</v>
      </c>
      <c r="B164" s="142"/>
      <c r="C164" s="142"/>
      <c r="D164" s="142"/>
      <c r="E164" s="142"/>
      <c r="F164" s="142"/>
      <c r="G164" s="142"/>
      <c r="H164" s="142"/>
      <c r="I164" s="142"/>
      <c r="J164" s="143"/>
    </row>
    <row r="165" spans="1:10" s="3" customFormat="1" x14ac:dyDescent="0.3">
      <c r="A165" s="4">
        <v>1</v>
      </c>
      <c r="B165" s="105" t="s">
        <v>182</v>
      </c>
      <c r="C165" s="174"/>
      <c r="D165" s="174"/>
      <c r="E165" s="174"/>
      <c r="F165" s="174"/>
      <c r="G165" s="106"/>
      <c r="H165" s="132" t="str">
        <f>A164</f>
        <v xml:space="preserve">7th, 14th &amp; 21st Floor </v>
      </c>
      <c r="I165" s="133"/>
      <c r="J165" s="134"/>
    </row>
    <row r="166" spans="1:10" s="3" customFormat="1" x14ac:dyDescent="0.3">
      <c r="A166" s="4">
        <v>2</v>
      </c>
      <c r="B166" s="4" t="s">
        <v>183</v>
      </c>
      <c r="C166" s="4" t="s">
        <v>273</v>
      </c>
      <c r="D166" s="105">
        <f>49.83*10.764</f>
        <v>536.37011999999993</v>
      </c>
      <c r="E166" s="106"/>
      <c r="F166" s="4">
        <v>0</v>
      </c>
      <c r="G166" s="59">
        <f>D166*1.6+F166</f>
        <v>858.19219199999998</v>
      </c>
      <c r="H166" s="135"/>
      <c r="I166" s="136"/>
      <c r="J166" s="137"/>
    </row>
    <row r="167" spans="1:10" s="3" customFormat="1" x14ac:dyDescent="0.3">
      <c r="A167" s="4">
        <v>3</v>
      </c>
      <c r="B167" s="4" t="s">
        <v>183</v>
      </c>
      <c r="C167" s="4" t="s">
        <v>272</v>
      </c>
      <c r="D167" s="105">
        <f>33.75*10.764</f>
        <v>363.28499999999997</v>
      </c>
      <c r="E167" s="106"/>
      <c r="F167" s="4">
        <v>0</v>
      </c>
      <c r="G167" s="59">
        <f>D167*1.6+F167</f>
        <v>581.25599999999997</v>
      </c>
      <c r="H167" s="135"/>
      <c r="I167" s="136"/>
      <c r="J167" s="137"/>
    </row>
    <row r="168" spans="1:10" s="3" customFormat="1" ht="15.75" customHeight="1" x14ac:dyDescent="0.3">
      <c r="A168" s="4">
        <v>4</v>
      </c>
      <c r="B168" s="4" t="s">
        <v>183</v>
      </c>
      <c r="C168" s="4" t="s">
        <v>272</v>
      </c>
      <c r="D168" s="105">
        <f>33.22*10.764</f>
        <v>357.58007999999995</v>
      </c>
      <c r="E168" s="106"/>
      <c r="F168" s="4">
        <v>0</v>
      </c>
      <c r="G168" s="59">
        <f>D168*1.6+F168</f>
        <v>572.12812799999995</v>
      </c>
      <c r="H168" s="135"/>
      <c r="I168" s="136"/>
      <c r="J168" s="137"/>
    </row>
    <row r="169" spans="1:10" s="3" customFormat="1" ht="15.75" customHeight="1" x14ac:dyDescent="0.3">
      <c r="A169" s="4">
        <v>5</v>
      </c>
      <c r="B169" s="4" t="s">
        <v>183</v>
      </c>
      <c r="C169" s="4" t="s">
        <v>273</v>
      </c>
      <c r="D169" s="105">
        <f>45.25*10.764</f>
        <v>487.07099999999997</v>
      </c>
      <c r="E169" s="106"/>
      <c r="F169" s="4">
        <v>0</v>
      </c>
      <c r="G169" s="59">
        <f>D169*1.6+F169</f>
        <v>779.31359999999995</v>
      </c>
      <c r="H169" s="135"/>
      <c r="I169" s="136"/>
      <c r="J169" s="137"/>
    </row>
    <row r="170" spans="1:10" s="3" customFormat="1" x14ac:dyDescent="0.3">
      <c r="A170" s="4">
        <v>6</v>
      </c>
      <c r="B170" s="4" t="s">
        <v>183</v>
      </c>
      <c r="C170" s="4" t="s">
        <v>272</v>
      </c>
      <c r="D170" s="105">
        <f>33.5*10.764</f>
        <v>360.59399999999999</v>
      </c>
      <c r="E170" s="106"/>
      <c r="F170" s="4">
        <v>0</v>
      </c>
      <c r="G170" s="59">
        <f>D170*1.6+F170</f>
        <v>576.95040000000006</v>
      </c>
      <c r="H170" s="138"/>
      <c r="I170" s="139"/>
      <c r="J170" s="140"/>
    </row>
    <row r="171" spans="1:10" s="3" customFormat="1" x14ac:dyDescent="0.3">
      <c r="A171" s="141" t="s">
        <v>286</v>
      </c>
      <c r="B171" s="142"/>
      <c r="C171" s="142"/>
      <c r="D171" s="142"/>
      <c r="E171" s="142"/>
      <c r="F171" s="142"/>
      <c r="G171" s="142"/>
      <c r="H171" s="142"/>
      <c r="I171" s="142"/>
      <c r="J171" s="143"/>
    </row>
    <row r="172" spans="1:10" s="3" customFormat="1" x14ac:dyDescent="0.3">
      <c r="A172" s="4">
        <v>1</v>
      </c>
      <c r="B172" s="4" t="s">
        <v>183</v>
      </c>
      <c r="C172" s="4" t="s">
        <v>272</v>
      </c>
      <c r="D172" s="105">
        <f>30.66*10.764</f>
        <v>330.02423999999996</v>
      </c>
      <c r="E172" s="106"/>
      <c r="F172" s="4">
        <v>0</v>
      </c>
      <c r="G172" s="4">
        <f t="shared" ref="G172" si="5">D172*1.6+F172</f>
        <v>528.03878399999996</v>
      </c>
      <c r="H172" s="132" t="str">
        <f>A171</f>
        <v>24th Floor</v>
      </c>
      <c r="I172" s="133"/>
      <c r="J172" s="134"/>
    </row>
    <row r="173" spans="1:10" s="3" customFormat="1" x14ac:dyDescent="0.3">
      <c r="A173" s="4">
        <v>2</v>
      </c>
      <c r="B173" s="4" t="s">
        <v>183</v>
      </c>
      <c r="C173" s="4" t="s">
        <v>273</v>
      </c>
      <c r="D173" s="105">
        <f>49.83*10.764</f>
        <v>536.37011999999993</v>
      </c>
      <c r="E173" s="106"/>
      <c r="F173" s="4">
        <v>0</v>
      </c>
      <c r="G173" s="4">
        <f>D173*1.6+F173</f>
        <v>858.19219199999998</v>
      </c>
      <c r="H173" s="135"/>
      <c r="I173" s="136"/>
      <c r="J173" s="137"/>
    </row>
    <row r="174" spans="1:10" s="3" customFormat="1" x14ac:dyDescent="0.3">
      <c r="A174" s="4">
        <v>3</v>
      </c>
      <c r="B174" s="4" t="s">
        <v>183</v>
      </c>
      <c r="C174" s="4" t="s">
        <v>272</v>
      </c>
      <c r="D174" s="105">
        <f>33.75*10.764</f>
        <v>363.28499999999997</v>
      </c>
      <c r="E174" s="106"/>
      <c r="F174" s="4">
        <v>0</v>
      </c>
      <c r="G174" s="4">
        <f>D174*1.6+F174</f>
        <v>581.25599999999997</v>
      </c>
      <c r="H174" s="135"/>
      <c r="I174" s="136"/>
      <c r="J174" s="137"/>
    </row>
    <row r="175" spans="1:10" s="3" customFormat="1" ht="15.75" customHeight="1" x14ac:dyDescent="0.3">
      <c r="A175" s="4">
        <v>4</v>
      </c>
      <c r="B175" s="4" t="s">
        <v>183</v>
      </c>
      <c r="C175" s="4" t="s">
        <v>272</v>
      </c>
      <c r="D175" s="105">
        <f>33.22*10.764</f>
        <v>357.58007999999995</v>
      </c>
      <c r="E175" s="106"/>
      <c r="F175" s="4">
        <v>0</v>
      </c>
      <c r="G175" s="4">
        <f>D175*1.6+F175</f>
        <v>572.12812799999995</v>
      </c>
      <c r="H175" s="135"/>
      <c r="I175" s="136"/>
      <c r="J175" s="137"/>
    </row>
    <row r="176" spans="1:10" s="3" customFormat="1" x14ac:dyDescent="0.3">
      <c r="A176" s="4">
        <v>5</v>
      </c>
      <c r="B176" s="4" t="s">
        <v>183</v>
      </c>
      <c r="C176" s="4" t="s">
        <v>273</v>
      </c>
      <c r="D176" s="105">
        <f>45.25*10.764</f>
        <v>487.07099999999997</v>
      </c>
      <c r="E176" s="106"/>
      <c r="F176" s="4">
        <v>0</v>
      </c>
      <c r="G176" s="4">
        <f>D176*1.6+F176</f>
        <v>779.31359999999995</v>
      </c>
      <c r="H176" s="135"/>
      <c r="I176" s="136"/>
      <c r="J176" s="137"/>
    </row>
    <row r="177" spans="1:10" s="3" customFormat="1" x14ac:dyDescent="0.3">
      <c r="A177" s="4">
        <v>6</v>
      </c>
      <c r="B177" s="4" t="s">
        <v>183</v>
      </c>
      <c r="C177" s="4" t="s">
        <v>272</v>
      </c>
      <c r="D177" s="105">
        <f>33.5*10.764</f>
        <v>360.59399999999999</v>
      </c>
      <c r="E177" s="106"/>
      <c r="F177" s="4">
        <v>0</v>
      </c>
      <c r="G177" s="4">
        <f>D177*1.6+F177</f>
        <v>576.95040000000006</v>
      </c>
      <c r="H177" s="138"/>
      <c r="I177" s="139"/>
      <c r="J177" s="140"/>
    </row>
    <row r="178" spans="1:10" s="3" customFormat="1" x14ac:dyDescent="0.3">
      <c r="A178" s="141" t="s">
        <v>238</v>
      </c>
      <c r="B178" s="142"/>
      <c r="C178" s="142"/>
      <c r="D178" s="142"/>
      <c r="E178" s="142"/>
      <c r="F178" s="142"/>
      <c r="G178" s="142"/>
      <c r="H178" s="142"/>
      <c r="I178" s="142"/>
      <c r="J178" s="143"/>
    </row>
    <row r="179" spans="1:10" s="3" customFormat="1" x14ac:dyDescent="0.3">
      <c r="A179" s="4">
        <v>1</v>
      </c>
      <c r="B179" s="4" t="s">
        <v>183</v>
      </c>
      <c r="C179" s="4" t="s">
        <v>272</v>
      </c>
      <c r="D179" s="105">
        <f>30.66*10.764</f>
        <v>330.02423999999996</v>
      </c>
      <c r="E179" s="106"/>
      <c r="F179" s="4">
        <v>0</v>
      </c>
      <c r="G179" s="4">
        <f t="shared" ref="G179:G184" si="6">D179*1.6+F179</f>
        <v>528.03878399999996</v>
      </c>
      <c r="H179" s="132" t="str">
        <f>A178</f>
        <v>25th &amp; 26th Floor</v>
      </c>
      <c r="I179" s="133"/>
      <c r="J179" s="134"/>
    </row>
    <row r="180" spans="1:10" s="3" customFormat="1" x14ac:dyDescent="0.3">
      <c r="A180" s="4">
        <v>2</v>
      </c>
      <c r="B180" s="4" t="s">
        <v>183</v>
      </c>
      <c r="C180" s="4" t="s">
        <v>273</v>
      </c>
      <c r="D180" s="105">
        <f>49.83*10.764</f>
        <v>536.37011999999993</v>
      </c>
      <c r="E180" s="106"/>
      <c r="F180" s="4">
        <v>0</v>
      </c>
      <c r="G180" s="4">
        <f t="shared" si="6"/>
        <v>858.19219199999998</v>
      </c>
      <c r="H180" s="135"/>
      <c r="I180" s="136"/>
      <c r="J180" s="137"/>
    </row>
    <row r="181" spans="1:10" s="3" customFormat="1" x14ac:dyDescent="0.3">
      <c r="A181" s="4">
        <v>3</v>
      </c>
      <c r="B181" s="4" t="s">
        <v>183</v>
      </c>
      <c r="C181" s="4" t="s">
        <v>272</v>
      </c>
      <c r="D181" s="105">
        <f>33.75*10.764</f>
        <v>363.28499999999997</v>
      </c>
      <c r="E181" s="106"/>
      <c r="F181" s="4">
        <v>0</v>
      </c>
      <c r="G181" s="4">
        <f t="shared" si="6"/>
        <v>581.25599999999997</v>
      </c>
      <c r="H181" s="135"/>
      <c r="I181" s="136"/>
      <c r="J181" s="137"/>
    </row>
    <row r="182" spans="1:10" s="3" customFormat="1" ht="15.75" customHeight="1" x14ac:dyDescent="0.3">
      <c r="A182" s="4">
        <v>4</v>
      </c>
      <c r="B182" s="4" t="s">
        <v>183</v>
      </c>
      <c r="C182" s="4" t="s">
        <v>272</v>
      </c>
      <c r="D182" s="105">
        <f>33.22*10.764</f>
        <v>357.58007999999995</v>
      </c>
      <c r="E182" s="106"/>
      <c r="F182" s="4">
        <v>0</v>
      </c>
      <c r="G182" s="4">
        <f t="shared" si="6"/>
        <v>572.12812799999995</v>
      </c>
      <c r="H182" s="135"/>
      <c r="I182" s="136"/>
      <c r="J182" s="137"/>
    </row>
    <row r="183" spans="1:10" s="3" customFormat="1" x14ac:dyDescent="0.3">
      <c r="A183" s="4">
        <v>5</v>
      </c>
      <c r="B183" s="4" t="s">
        <v>183</v>
      </c>
      <c r="C183" s="4" t="s">
        <v>273</v>
      </c>
      <c r="D183" s="105">
        <f>45.25*10.764</f>
        <v>487.07099999999997</v>
      </c>
      <c r="E183" s="106"/>
      <c r="F183" s="4">
        <v>0</v>
      </c>
      <c r="G183" s="4">
        <f t="shared" si="6"/>
        <v>779.31359999999995</v>
      </c>
      <c r="H183" s="135"/>
      <c r="I183" s="136"/>
      <c r="J183" s="137"/>
    </row>
    <row r="184" spans="1:10" s="3" customFormat="1" x14ac:dyDescent="0.3">
      <c r="A184" s="4">
        <v>6</v>
      </c>
      <c r="B184" s="4" t="s">
        <v>183</v>
      </c>
      <c r="C184" s="4" t="s">
        <v>272</v>
      </c>
      <c r="D184" s="105">
        <f>33.5*10.764</f>
        <v>360.59399999999999</v>
      </c>
      <c r="E184" s="106"/>
      <c r="F184" s="4">
        <v>0</v>
      </c>
      <c r="G184" s="4">
        <f t="shared" si="6"/>
        <v>576.95040000000006</v>
      </c>
      <c r="H184" s="138"/>
      <c r="I184" s="139"/>
      <c r="J184" s="140"/>
    </row>
    <row r="185" spans="1:10" s="3" customFormat="1" x14ac:dyDescent="0.3">
      <c r="A185" s="141" t="s">
        <v>239</v>
      </c>
      <c r="B185" s="142"/>
      <c r="C185" s="142"/>
      <c r="D185" s="142"/>
      <c r="E185" s="142"/>
      <c r="F185" s="142"/>
      <c r="G185" s="142"/>
      <c r="H185" s="142"/>
      <c r="I185" s="142"/>
      <c r="J185" s="143"/>
    </row>
    <row r="186" spans="1:10" s="3" customFormat="1" x14ac:dyDescent="0.3">
      <c r="A186" s="4">
        <v>1</v>
      </c>
      <c r="B186" s="4" t="s">
        <v>183</v>
      </c>
      <c r="C186" s="4" t="s">
        <v>272</v>
      </c>
      <c r="D186" s="105">
        <f>30.66*10.764</f>
        <v>330.02423999999996</v>
      </c>
      <c r="E186" s="106"/>
      <c r="F186" s="4">
        <v>0</v>
      </c>
      <c r="G186" s="4">
        <f t="shared" ref="G186:G191" si="7">D186*1.6+F186</f>
        <v>528.03878399999996</v>
      </c>
      <c r="H186" s="132" t="str">
        <f>A185</f>
        <v>27th Floor</v>
      </c>
      <c r="I186" s="133"/>
      <c r="J186" s="134"/>
    </row>
    <row r="187" spans="1:10" s="3" customFormat="1" x14ac:dyDescent="0.3">
      <c r="A187" s="4">
        <v>2</v>
      </c>
      <c r="B187" s="4" t="s">
        <v>183</v>
      </c>
      <c r="C187" s="4" t="s">
        <v>273</v>
      </c>
      <c r="D187" s="105">
        <f>49.83*10.764</f>
        <v>536.37011999999993</v>
      </c>
      <c r="E187" s="106"/>
      <c r="F187" s="4">
        <v>0</v>
      </c>
      <c r="G187" s="4">
        <f t="shared" si="7"/>
        <v>858.19219199999998</v>
      </c>
      <c r="H187" s="135"/>
      <c r="I187" s="136"/>
      <c r="J187" s="137"/>
    </row>
    <row r="188" spans="1:10" s="3" customFormat="1" x14ac:dyDescent="0.3">
      <c r="A188" s="4">
        <v>3</v>
      </c>
      <c r="B188" s="4" t="s">
        <v>183</v>
      </c>
      <c r="C188" s="4" t="s">
        <v>272</v>
      </c>
      <c r="D188" s="105">
        <f>33.75*10.764</f>
        <v>363.28499999999997</v>
      </c>
      <c r="E188" s="106"/>
      <c r="F188" s="4">
        <v>0</v>
      </c>
      <c r="G188" s="4">
        <f t="shared" si="7"/>
        <v>581.25599999999997</v>
      </c>
      <c r="H188" s="135"/>
      <c r="I188" s="136"/>
      <c r="J188" s="137"/>
    </row>
    <row r="189" spans="1:10" s="3" customFormat="1" ht="15.75" customHeight="1" x14ac:dyDescent="0.3">
      <c r="A189" s="4">
        <v>4</v>
      </c>
      <c r="B189" s="4" t="s">
        <v>183</v>
      </c>
      <c r="C189" s="4" t="s">
        <v>272</v>
      </c>
      <c r="D189" s="105">
        <f>33.22*10.764</f>
        <v>357.58007999999995</v>
      </c>
      <c r="E189" s="106"/>
      <c r="F189" s="4">
        <v>0</v>
      </c>
      <c r="G189" s="4">
        <f t="shared" si="7"/>
        <v>572.12812799999995</v>
      </c>
      <c r="H189" s="135"/>
      <c r="I189" s="136"/>
      <c r="J189" s="137"/>
    </row>
    <row r="190" spans="1:10" s="3" customFormat="1" ht="15.75" customHeight="1" x14ac:dyDescent="0.3">
      <c r="A190" s="4">
        <v>5</v>
      </c>
      <c r="B190" s="4" t="s">
        <v>183</v>
      </c>
      <c r="C190" s="4" t="s">
        <v>273</v>
      </c>
      <c r="D190" s="105">
        <f>45.25*10.764</f>
        <v>487.07099999999997</v>
      </c>
      <c r="E190" s="106"/>
      <c r="F190" s="4">
        <v>0</v>
      </c>
      <c r="G190" s="4">
        <f t="shared" si="7"/>
        <v>779.31359999999995</v>
      </c>
      <c r="H190" s="135"/>
      <c r="I190" s="136"/>
      <c r="J190" s="137"/>
    </row>
    <row r="191" spans="1:10" s="3" customFormat="1" x14ac:dyDescent="0.3">
      <c r="A191" s="4">
        <v>6</v>
      </c>
      <c r="B191" s="4" t="s">
        <v>183</v>
      </c>
      <c r="C191" s="4" t="s">
        <v>272</v>
      </c>
      <c r="D191" s="105">
        <f>33.5*10.764</f>
        <v>360.59399999999999</v>
      </c>
      <c r="E191" s="106"/>
      <c r="F191" s="4">
        <v>0</v>
      </c>
      <c r="G191" s="4">
        <f t="shared" si="7"/>
        <v>576.95040000000006</v>
      </c>
      <c r="H191" s="138"/>
      <c r="I191" s="139"/>
      <c r="J191" s="140"/>
    </row>
    <row r="192" spans="1:10" s="3" customFormat="1" x14ac:dyDescent="0.3">
      <c r="A192" s="141" t="s">
        <v>287</v>
      </c>
      <c r="B192" s="142"/>
      <c r="C192" s="142"/>
      <c r="D192" s="142"/>
      <c r="E192" s="142"/>
      <c r="F192" s="142"/>
      <c r="G192" s="142"/>
      <c r="H192" s="142"/>
      <c r="I192" s="142"/>
      <c r="J192" s="143"/>
    </row>
    <row r="193" spans="1:10" s="3" customFormat="1" x14ac:dyDescent="0.3">
      <c r="A193" s="4">
        <v>1</v>
      </c>
      <c r="B193" s="4" t="s">
        <v>183</v>
      </c>
      <c r="C193" s="105" t="s">
        <v>182</v>
      </c>
      <c r="D193" s="174"/>
      <c r="E193" s="174"/>
      <c r="F193" s="174"/>
      <c r="G193" s="174"/>
      <c r="H193" s="132" t="str">
        <f>A192</f>
        <v>28th Floor (Part Refuge area)</v>
      </c>
      <c r="I193" s="133"/>
      <c r="J193" s="134"/>
    </row>
    <row r="194" spans="1:10" s="3" customFormat="1" x14ac:dyDescent="0.3">
      <c r="A194" s="4">
        <v>2</v>
      </c>
      <c r="B194" s="4" t="s">
        <v>183</v>
      </c>
      <c r="C194" s="4" t="s">
        <v>273</v>
      </c>
      <c r="D194" s="105">
        <f>49.83*10.764</f>
        <v>536.37011999999993</v>
      </c>
      <c r="E194" s="106"/>
      <c r="F194" s="4">
        <v>0</v>
      </c>
      <c r="G194" s="4">
        <f>D194*1.6+F194</f>
        <v>858.19219199999998</v>
      </c>
      <c r="H194" s="135"/>
      <c r="I194" s="136"/>
      <c r="J194" s="137"/>
    </row>
    <row r="195" spans="1:10" s="3" customFormat="1" x14ac:dyDescent="0.3">
      <c r="A195" s="4">
        <v>3</v>
      </c>
      <c r="B195" s="4" t="s">
        <v>183</v>
      </c>
      <c r="C195" s="4" t="s">
        <v>272</v>
      </c>
      <c r="D195" s="105">
        <f>33.75*10.764</f>
        <v>363.28499999999997</v>
      </c>
      <c r="E195" s="106"/>
      <c r="F195" s="4">
        <v>0</v>
      </c>
      <c r="G195" s="4">
        <f>D195*1.6+F195</f>
        <v>581.25599999999997</v>
      </c>
      <c r="H195" s="135"/>
      <c r="I195" s="136"/>
      <c r="J195" s="137"/>
    </row>
    <row r="196" spans="1:10" s="3" customFormat="1" ht="15.75" customHeight="1" x14ac:dyDescent="0.3">
      <c r="A196" s="4">
        <v>4</v>
      </c>
      <c r="B196" s="4" t="s">
        <v>183</v>
      </c>
      <c r="C196" s="4" t="s">
        <v>272</v>
      </c>
      <c r="D196" s="105">
        <f>33.22*10.764</f>
        <v>357.58007999999995</v>
      </c>
      <c r="E196" s="106"/>
      <c r="F196" s="4">
        <v>0</v>
      </c>
      <c r="G196" s="4">
        <f>D196*1.6+F196</f>
        <v>572.12812799999995</v>
      </c>
      <c r="H196" s="135"/>
      <c r="I196" s="136"/>
      <c r="J196" s="137"/>
    </row>
    <row r="197" spans="1:10" s="3" customFormat="1" ht="15.75" customHeight="1" x14ac:dyDescent="0.3">
      <c r="A197" s="4">
        <v>5</v>
      </c>
      <c r="B197" s="4" t="s">
        <v>183</v>
      </c>
      <c r="C197" s="4" t="s">
        <v>273</v>
      </c>
      <c r="D197" s="105">
        <f>45.25*10.764</f>
        <v>487.07099999999997</v>
      </c>
      <c r="E197" s="106"/>
      <c r="F197" s="4">
        <v>0</v>
      </c>
      <c r="G197" s="4">
        <f>D197*1.6+F197</f>
        <v>779.31359999999995</v>
      </c>
      <c r="H197" s="135"/>
      <c r="I197" s="136"/>
      <c r="J197" s="137"/>
    </row>
    <row r="198" spans="1:10" s="3" customFormat="1" x14ac:dyDescent="0.3">
      <c r="A198" s="4">
        <v>6</v>
      </c>
      <c r="B198" s="4" t="s">
        <v>183</v>
      </c>
      <c r="C198" s="4" t="s">
        <v>272</v>
      </c>
      <c r="D198" s="105">
        <f>33.5*10.764</f>
        <v>360.59399999999999</v>
      </c>
      <c r="E198" s="106"/>
      <c r="F198" s="4">
        <v>0</v>
      </c>
      <c r="G198" s="4">
        <f>D198*1.6+F198</f>
        <v>576.95040000000006</v>
      </c>
      <c r="H198" s="138"/>
      <c r="I198" s="139"/>
      <c r="J198" s="140"/>
    </row>
    <row r="199" spans="1:10" s="3" customFormat="1" x14ac:dyDescent="0.3">
      <c r="A199" s="141" t="s">
        <v>240</v>
      </c>
      <c r="B199" s="142"/>
      <c r="C199" s="142"/>
      <c r="D199" s="142"/>
      <c r="E199" s="142"/>
      <c r="F199" s="142"/>
      <c r="G199" s="142"/>
      <c r="H199" s="142"/>
      <c r="I199" s="142"/>
      <c r="J199" s="143"/>
    </row>
    <row r="200" spans="1:10" s="3" customFormat="1" x14ac:dyDescent="0.3">
      <c r="A200" s="4">
        <v>1</v>
      </c>
      <c r="B200" s="4" t="s">
        <v>183</v>
      </c>
      <c r="C200" s="4" t="s">
        <v>272</v>
      </c>
      <c r="D200" s="105">
        <f>30.66*10.764</f>
        <v>330.02423999999996</v>
      </c>
      <c r="E200" s="106"/>
      <c r="F200" s="4">
        <v>0</v>
      </c>
      <c r="G200" s="4">
        <f t="shared" ref="G200:G205" si="8">D200*1.6+F200</f>
        <v>528.03878399999996</v>
      </c>
      <c r="H200" s="132" t="str">
        <f>A199</f>
        <v>29th to 32nd Floor</v>
      </c>
      <c r="I200" s="133"/>
      <c r="J200" s="134"/>
    </row>
    <row r="201" spans="1:10" s="3" customFormat="1" x14ac:dyDescent="0.3">
      <c r="A201" s="4">
        <v>2</v>
      </c>
      <c r="B201" s="4" t="s">
        <v>183</v>
      </c>
      <c r="C201" s="4" t="s">
        <v>273</v>
      </c>
      <c r="D201" s="105">
        <f>49.83*10.764</f>
        <v>536.37011999999993</v>
      </c>
      <c r="E201" s="106"/>
      <c r="F201" s="4">
        <v>0</v>
      </c>
      <c r="G201" s="4">
        <f t="shared" si="8"/>
        <v>858.19219199999998</v>
      </c>
      <c r="H201" s="135"/>
      <c r="I201" s="136"/>
      <c r="J201" s="137"/>
    </row>
    <row r="202" spans="1:10" s="3" customFormat="1" x14ac:dyDescent="0.3">
      <c r="A202" s="4">
        <v>3</v>
      </c>
      <c r="B202" s="4" t="s">
        <v>183</v>
      </c>
      <c r="C202" s="4" t="s">
        <v>272</v>
      </c>
      <c r="D202" s="105">
        <f>33.75*10.764</f>
        <v>363.28499999999997</v>
      </c>
      <c r="E202" s="106"/>
      <c r="F202" s="4">
        <v>0</v>
      </c>
      <c r="G202" s="4">
        <f t="shared" si="8"/>
        <v>581.25599999999997</v>
      </c>
      <c r="H202" s="135"/>
      <c r="I202" s="136"/>
      <c r="J202" s="137"/>
    </row>
    <row r="203" spans="1:10" s="3" customFormat="1" ht="15.75" customHeight="1" x14ac:dyDescent="0.3">
      <c r="A203" s="4">
        <v>4</v>
      </c>
      <c r="B203" s="4" t="s">
        <v>183</v>
      </c>
      <c r="C203" s="4" t="s">
        <v>272</v>
      </c>
      <c r="D203" s="105">
        <f>33.22*10.764</f>
        <v>357.58007999999995</v>
      </c>
      <c r="E203" s="106"/>
      <c r="F203" s="4">
        <v>0</v>
      </c>
      <c r="G203" s="4">
        <f t="shared" si="8"/>
        <v>572.12812799999995</v>
      </c>
      <c r="H203" s="135"/>
      <c r="I203" s="136"/>
      <c r="J203" s="137"/>
    </row>
    <row r="204" spans="1:10" s="3" customFormat="1" x14ac:dyDescent="0.3">
      <c r="A204" s="4">
        <v>5</v>
      </c>
      <c r="B204" s="4" t="s">
        <v>183</v>
      </c>
      <c r="C204" s="4" t="s">
        <v>273</v>
      </c>
      <c r="D204" s="105">
        <f>45.25*10.764</f>
        <v>487.07099999999997</v>
      </c>
      <c r="E204" s="106"/>
      <c r="F204" s="4">
        <v>0</v>
      </c>
      <c r="G204" s="4">
        <f t="shared" si="8"/>
        <v>779.31359999999995</v>
      </c>
      <c r="H204" s="135"/>
      <c r="I204" s="136"/>
      <c r="J204" s="137"/>
    </row>
    <row r="205" spans="1:10" s="3" customFormat="1" x14ac:dyDescent="0.3">
      <c r="A205" s="4">
        <v>6</v>
      </c>
      <c r="B205" s="4" t="s">
        <v>183</v>
      </c>
      <c r="C205" s="4" t="s">
        <v>272</v>
      </c>
      <c r="D205" s="105">
        <f>33.5*10.764</f>
        <v>360.59399999999999</v>
      </c>
      <c r="E205" s="106"/>
      <c r="F205" s="4">
        <v>0</v>
      </c>
      <c r="G205" s="4">
        <f t="shared" si="8"/>
        <v>576.95040000000006</v>
      </c>
      <c r="H205" s="138"/>
      <c r="I205" s="139"/>
      <c r="J205" s="140"/>
    </row>
    <row r="206" spans="1:10" s="3" customFormat="1" x14ac:dyDescent="0.3">
      <c r="A206" s="141" t="s">
        <v>316</v>
      </c>
      <c r="B206" s="142"/>
      <c r="C206" s="142"/>
      <c r="D206" s="142"/>
      <c r="E206" s="142"/>
      <c r="F206" s="142"/>
      <c r="G206" s="142"/>
      <c r="H206" s="142"/>
      <c r="I206" s="142"/>
      <c r="J206" s="143"/>
    </row>
    <row r="207" spans="1:10" s="3" customFormat="1" x14ac:dyDescent="0.3">
      <c r="A207" s="4">
        <v>1</v>
      </c>
      <c r="B207" s="4" t="s">
        <v>183</v>
      </c>
      <c r="C207" s="4" t="s">
        <v>272</v>
      </c>
      <c r="D207" s="105">
        <f>30.66*10.764</f>
        <v>330.02423999999996</v>
      </c>
      <c r="E207" s="106"/>
      <c r="F207" s="4">
        <v>0</v>
      </c>
      <c r="G207" s="4">
        <f t="shared" ref="G207:G212" si="9">D207*1.6+F207</f>
        <v>528.03878399999996</v>
      </c>
      <c r="H207" s="132" t="str">
        <f>A206</f>
        <v>33rd &amp; 34th Floor</v>
      </c>
      <c r="I207" s="133"/>
      <c r="J207" s="134"/>
    </row>
    <row r="208" spans="1:10" s="3" customFormat="1" x14ac:dyDescent="0.3">
      <c r="A208" s="4">
        <v>2</v>
      </c>
      <c r="B208" s="4" t="s">
        <v>183</v>
      </c>
      <c r="C208" s="4" t="s">
        <v>273</v>
      </c>
      <c r="D208" s="105">
        <f>49.83*10.764</f>
        <v>536.37011999999993</v>
      </c>
      <c r="E208" s="106"/>
      <c r="F208" s="4">
        <v>0</v>
      </c>
      <c r="G208" s="4">
        <f t="shared" si="9"/>
        <v>858.19219199999998</v>
      </c>
      <c r="H208" s="135"/>
      <c r="I208" s="136"/>
      <c r="J208" s="137"/>
    </row>
    <row r="209" spans="1:12" s="3" customFormat="1" x14ac:dyDescent="0.3">
      <c r="A209" s="4">
        <v>3</v>
      </c>
      <c r="B209" s="4" t="s">
        <v>183</v>
      </c>
      <c r="C209" s="57" t="s">
        <v>272</v>
      </c>
      <c r="D209" s="144">
        <f>33.75*10.764</f>
        <v>363.28499999999997</v>
      </c>
      <c r="E209" s="145"/>
      <c r="F209" s="4">
        <v>0</v>
      </c>
      <c r="G209" s="4">
        <f t="shared" si="9"/>
        <v>581.25599999999997</v>
      </c>
      <c r="H209" s="135"/>
      <c r="I209" s="136"/>
      <c r="J209" s="137"/>
    </row>
    <row r="210" spans="1:12" s="3" customFormat="1" x14ac:dyDescent="0.3">
      <c r="A210" s="4">
        <v>4</v>
      </c>
      <c r="B210" s="4" t="s">
        <v>183</v>
      </c>
      <c r="C210" s="4" t="s">
        <v>272</v>
      </c>
      <c r="D210" s="105">
        <f>33.22*10.764</f>
        <v>357.58007999999995</v>
      </c>
      <c r="E210" s="106"/>
      <c r="F210" s="4">
        <v>0</v>
      </c>
      <c r="G210" s="4">
        <f t="shared" si="9"/>
        <v>572.12812799999995</v>
      </c>
      <c r="H210" s="135"/>
      <c r="I210" s="136"/>
      <c r="J210" s="137"/>
    </row>
    <row r="211" spans="1:12" s="3" customFormat="1" x14ac:dyDescent="0.3">
      <c r="A211" s="4">
        <v>5</v>
      </c>
      <c r="B211" s="4" t="s">
        <v>183</v>
      </c>
      <c r="C211" s="4" t="s">
        <v>273</v>
      </c>
      <c r="D211" s="105">
        <f>45.25*10.764</f>
        <v>487.07099999999997</v>
      </c>
      <c r="E211" s="106"/>
      <c r="F211" s="4">
        <v>0</v>
      </c>
      <c r="G211" s="4">
        <f t="shared" si="9"/>
        <v>779.31359999999995</v>
      </c>
      <c r="H211" s="135"/>
      <c r="I211" s="136"/>
      <c r="J211" s="137"/>
    </row>
    <row r="212" spans="1:12" s="3" customFormat="1" x14ac:dyDescent="0.3">
      <c r="A212" s="4">
        <v>6</v>
      </c>
      <c r="B212" s="4" t="s">
        <v>183</v>
      </c>
      <c r="C212" s="4" t="s">
        <v>272</v>
      </c>
      <c r="D212" s="105">
        <f>33.5*10.764</f>
        <v>360.59399999999999</v>
      </c>
      <c r="E212" s="106"/>
      <c r="F212" s="4">
        <v>0</v>
      </c>
      <c r="G212" s="4">
        <f t="shared" si="9"/>
        <v>576.95040000000006</v>
      </c>
      <c r="H212" s="138"/>
      <c r="I212" s="139"/>
      <c r="J212" s="140"/>
    </row>
    <row r="213" spans="1:12" s="3" customFormat="1" x14ac:dyDescent="0.3">
      <c r="A213" s="141" t="s">
        <v>267</v>
      </c>
      <c r="B213" s="142"/>
      <c r="C213" s="142"/>
      <c r="D213" s="142"/>
      <c r="E213" s="142"/>
      <c r="F213" s="142"/>
      <c r="G213" s="142"/>
      <c r="H213" s="142"/>
      <c r="I213" s="142"/>
      <c r="J213" s="143"/>
    </row>
    <row r="214" spans="1:12" s="3" customFormat="1" x14ac:dyDescent="0.3">
      <c r="A214" s="4">
        <v>1</v>
      </c>
      <c r="B214" s="4" t="s">
        <v>183</v>
      </c>
      <c r="C214" s="4" t="s">
        <v>272</v>
      </c>
      <c r="D214" s="105">
        <f>30.66*10.764</f>
        <v>330.02423999999996</v>
      </c>
      <c r="E214" s="106"/>
      <c r="F214" s="4">
        <v>0</v>
      </c>
      <c r="G214" s="4">
        <f t="shared" ref="G214:G219" si="10">D214*1.6+F214</f>
        <v>528.03878399999996</v>
      </c>
      <c r="H214" s="132" t="str">
        <f>A213</f>
        <v>35th Floor</v>
      </c>
      <c r="I214" s="133"/>
      <c r="J214" s="134"/>
    </row>
    <row r="215" spans="1:12" s="3" customFormat="1" x14ac:dyDescent="0.3">
      <c r="A215" s="4">
        <v>2</v>
      </c>
      <c r="B215" s="4" t="s">
        <v>183</v>
      </c>
      <c r="C215" s="4" t="s">
        <v>273</v>
      </c>
      <c r="D215" s="105">
        <f>49.83*10.764</f>
        <v>536.37011999999993</v>
      </c>
      <c r="E215" s="106"/>
      <c r="F215" s="4">
        <v>0</v>
      </c>
      <c r="G215" s="4">
        <f t="shared" si="10"/>
        <v>858.19219199999998</v>
      </c>
      <c r="H215" s="135"/>
      <c r="I215" s="136"/>
      <c r="J215" s="137"/>
    </row>
    <row r="216" spans="1:12" s="3" customFormat="1" ht="15.75" customHeight="1" x14ac:dyDescent="0.3">
      <c r="A216" s="4">
        <v>3</v>
      </c>
      <c r="B216" s="4" t="s">
        <v>183</v>
      </c>
      <c r="C216" s="57" t="s">
        <v>272</v>
      </c>
      <c r="D216" s="144">
        <f>33.75*10.764</f>
        <v>363.28499999999997</v>
      </c>
      <c r="E216" s="145"/>
      <c r="F216" s="4">
        <v>0</v>
      </c>
      <c r="G216" s="4">
        <f t="shared" si="10"/>
        <v>581.25599999999997</v>
      </c>
      <c r="H216" s="135"/>
      <c r="I216" s="136"/>
      <c r="J216" s="137"/>
    </row>
    <row r="217" spans="1:12" s="3" customFormat="1" x14ac:dyDescent="0.3">
      <c r="A217" s="4">
        <v>4</v>
      </c>
      <c r="B217" s="4" t="s">
        <v>183</v>
      </c>
      <c r="C217" s="4" t="s">
        <v>272</v>
      </c>
      <c r="D217" s="105">
        <f>33.22*10.764</f>
        <v>357.58007999999995</v>
      </c>
      <c r="E217" s="106"/>
      <c r="F217" s="4">
        <v>0</v>
      </c>
      <c r="G217" s="4">
        <f t="shared" si="10"/>
        <v>572.12812799999995</v>
      </c>
      <c r="H217" s="135"/>
      <c r="I217" s="136"/>
      <c r="J217" s="137"/>
    </row>
    <row r="218" spans="1:12" s="3" customFormat="1" x14ac:dyDescent="0.3">
      <c r="A218" s="4">
        <v>5</v>
      </c>
      <c r="B218" s="4" t="s">
        <v>183</v>
      </c>
      <c r="C218" s="4" t="s">
        <v>273</v>
      </c>
      <c r="D218" s="105">
        <f>45.25*10.764</f>
        <v>487.07099999999997</v>
      </c>
      <c r="E218" s="106"/>
      <c r="F218" s="4">
        <v>0</v>
      </c>
      <c r="G218" s="4">
        <f t="shared" si="10"/>
        <v>779.31359999999995</v>
      </c>
      <c r="H218" s="135"/>
      <c r="I218" s="136"/>
      <c r="J218" s="137"/>
    </row>
    <row r="219" spans="1:12" s="3" customFormat="1" x14ac:dyDescent="0.3">
      <c r="A219" s="4">
        <v>6</v>
      </c>
      <c r="B219" s="4" t="s">
        <v>183</v>
      </c>
      <c r="C219" s="4" t="s">
        <v>272</v>
      </c>
      <c r="D219" s="105">
        <f>33.5*10.764</f>
        <v>360.59399999999999</v>
      </c>
      <c r="E219" s="106"/>
      <c r="F219" s="4">
        <v>0</v>
      </c>
      <c r="G219" s="4">
        <f t="shared" si="10"/>
        <v>576.95040000000006</v>
      </c>
      <c r="H219" s="138"/>
      <c r="I219" s="139"/>
      <c r="J219" s="140"/>
    </row>
    <row r="220" spans="1:12" s="3" customFormat="1" x14ac:dyDescent="0.3">
      <c r="A220" s="141" t="s">
        <v>241</v>
      </c>
      <c r="B220" s="142"/>
      <c r="C220" s="142"/>
      <c r="D220" s="142"/>
      <c r="E220" s="142"/>
      <c r="F220" s="142"/>
      <c r="G220" s="142"/>
      <c r="H220" s="142"/>
      <c r="I220" s="142"/>
      <c r="J220" s="143"/>
    </row>
    <row r="221" spans="1:12" s="3" customFormat="1" x14ac:dyDescent="0.3">
      <c r="A221" s="141" t="s">
        <v>313</v>
      </c>
      <c r="B221" s="142"/>
      <c r="C221" s="142"/>
      <c r="D221" s="142"/>
      <c r="E221" s="142"/>
      <c r="F221" s="142"/>
      <c r="G221" s="142"/>
      <c r="H221" s="142"/>
      <c r="I221" s="142"/>
      <c r="J221" s="143"/>
      <c r="L221" s="60"/>
    </row>
    <row r="222" spans="1:12" s="3" customFormat="1" x14ac:dyDescent="0.3">
      <c r="A222" s="4">
        <v>1</v>
      </c>
      <c r="B222" s="4" t="s">
        <v>283</v>
      </c>
      <c r="C222" s="4" t="s">
        <v>272</v>
      </c>
      <c r="D222" s="105">
        <f>27.89*10.764</f>
        <v>300.20796000000001</v>
      </c>
      <c r="E222" s="106"/>
      <c r="F222" s="4">
        <v>0</v>
      </c>
      <c r="G222" s="4">
        <f>D222*1.6+F222</f>
        <v>480.33273600000007</v>
      </c>
      <c r="H222" s="133" t="s">
        <v>184</v>
      </c>
      <c r="I222" s="133"/>
      <c r="J222" s="134"/>
    </row>
    <row r="223" spans="1:12" s="3" customFormat="1" x14ac:dyDescent="0.3">
      <c r="A223" s="4">
        <v>2</v>
      </c>
      <c r="B223" s="4" t="s">
        <v>283</v>
      </c>
      <c r="C223" s="4" t="s">
        <v>272</v>
      </c>
      <c r="D223" s="105">
        <f>27.9*10.764</f>
        <v>300.31559999999996</v>
      </c>
      <c r="E223" s="106"/>
      <c r="F223" s="4">
        <v>0</v>
      </c>
      <c r="G223" s="4">
        <f>D223*1.6+F223</f>
        <v>480.50495999999998</v>
      </c>
      <c r="H223" s="136"/>
      <c r="I223" s="136"/>
      <c r="J223" s="137"/>
      <c r="L223" s="3">
        <f>(4.93*2.05+3.14*0.33+2*0.33+2.02*2.38+2.63*2.25+1.7*1.25+1.72*0.05+2.76*0.9+0.85*0.2)</f>
        <v>27.392800000000001</v>
      </c>
    </row>
    <row r="224" spans="1:12" s="3" customFormat="1" x14ac:dyDescent="0.3">
      <c r="A224" s="4" t="s">
        <v>289</v>
      </c>
      <c r="B224" s="256" t="s">
        <v>314</v>
      </c>
      <c r="C224" s="256"/>
      <c r="D224" s="256"/>
      <c r="E224" s="256"/>
      <c r="F224" s="256"/>
      <c r="G224" s="256"/>
      <c r="H224" s="139"/>
      <c r="I224" s="139"/>
      <c r="J224" s="140"/>
      <c r="L224" s="3">
        <f>(3.73*2.2+1.05*0.43+1.85*1.53+1.98*2.05+0.3*0.28+3.23*2+1.85*0.25+1.85*0.33+1.2*1+1.2*1.05+0.58*0.33+0.5*0.33+1.58*0.9+0.9*0.2)</f>
        <v>27.582400000000003</v>
      </c>
    </row>
    <row r="225" spans="1:12" s="3" customFormat="1" x14ac:dyDescent="0.3">
      <c r="A225" s="141" t="s">
        <v>181</v>
      </c>
      <c r="B225" s="142"/>
      <c r="C225" s="142"/>
      <c r="D225" s="142"/>
      <c r="E225" s="142"/>
      <c r="F225" s="142"/>
      <c r="G225" s="142"/>
      <c r="H225" s="142"/>
      <c r="I225" s="142"/>
      <c r="J225" s="143"/>
      <c r="L225" s="3">
        <f>(2.25*5.21+0.85*0.25+0.38*0.33+2.1*0.2+2.18*2.35+1.9*0.2+2.05*2.81+1.03*0.28+0.98*0.33+1.3*1.38+0.9*1.68)</f>
        <v>27.6617</v>
      </c>
    </row>
    <row r="226" spans="1:12" s="3" customFormat="1" x14ac:dyDescent="0.3">
      <c r="A226" s="4">
        <v>1</v>
      </c>
      <c r="B226" s="105" t="s">
        <v>227</v>
      </c>
      <c r="C226" s="174"/>
      <c r="D226" s="174"/>
      <c r="E226" s="174"/>
      <c r="F226" s="174"/>
      <c r="G226" s="106"/>
      <c r="H226" s="132" t="str">
        <f>A225</f>
        <v>1st Floor for Residential &amp; Amenities</v>
      </c>
      <c r="I226" s="133"/>
      <c r="J226" s="134"/>
    </row>
    <row r="227" spans="1:12" s="3" customFormat="1" x14ac:dyDescent="0.3">
      <c r="A227" s="4">
        <v>2</v>
      </c>
      <c r="B227" s="105" t="s">
        <v>228</v>
      </c>
      <c r="C227" s="174"/>
      <c r="D227" s="174"/>
      <c r="E227" s="174"/>
      <c r="F227" s="174"/>
      <c r="G227" s="106"/>
      <c r="H227" s="135"/>
      <c r="I227" s="136"/>
      <c r="J227" s="137"/>
    </row>
    <row r="228" spans="1:12" s="3" customFormat="1" x14ac:dyDescent="0.3">
      <c r="A228" s="4">
        <v>3</v>
      </c>
      <c r="B228" s="57" t="s">
        <v>305</v>
      </c>
      <c r="C228" s="4" t="s">
        <v>272</v>
      </c>
      <c r="D228" s="105">
        <f>(2.25*5.08+0.2*0.25+0.63*2.1+1.85*1+3.06*0.2+1.9*1.4+2.33*2.81+0.33*0.98+1.38*1.3+0.72*1.68)*10.764</f>
        <v>299.23166520000001</v>
      </c>
      <c r="E228" s="106"/>
      <c r="F228" s="4">
        <v>0</v>
      </c>
      <c r="G228" s="59">
        <f>D228*1.6+F228</f>
        <v>478.77066432000004</v>
      </c>
      <c r="H228" s="135"/>
      <c r="I228" s="136"/>
      <c r="J228" s="137"/>
      <c r="L228" s="3">
        <f>(5.65*2+0.86*0.33+0.45*0.33+0.62*0.4+2.45*0.2+2.35*2.3+2.88*1.97+1.2*0.28+0.78*0.33+1.9*0.2+1.58*0.9+1.3*0.97+1.1*0.28)</f>
        <v>27.513299999999997</v>
      </c>
    </row>
    <row r="229" spans="1:12" s="3" customFormat="1" x14ac:dyDescent="0.3">
      <c r="A229" s="4">
        <v>4</v>
      </c>
      <c r="B229" s="57" t="s">
        <v>305</v>
      </c>
      <c r="C229" s="4" t="s">
        <v>272</v>
      </c>
      <c r="D229" s="105">
        <f>(2.25*5.08+0.2*0.25+0.63*2.1+1.85*1+3.06*0.2+1.9*1.4+2.33*2.81+0.33*0.98+1.38*1.3+0.72*1.68)*10.764</f>
        <v>299.23166520000001</v>
      </c>
      <c r="E229" s="106"/>
      <c r="F229" s="4">
        <v>0</v>
      </c>
      <c r="G229" s="59">
        <f>D229*1.6+F229</f>
        <v>478.77066432000004</v>
      </c>
      <c r="H229" s="135"/>
      <c r="I229" s="136"/>
      <c r="J229" s="137"/>
    </row>
    <row r="230" spans="1:12" s="3" customFormat="1" ht="15.75" customHeight="1" x14ac:dyDescent="0.3">
      <c r="A230" s="4">
        <v>5</v>
      </c>
      <c r="B230" s="105" t="s">
        <v>231</v>
      </c>
      <c r="C230" s="174"/>
      <c r="D230" s="174"/>
      <c r="E230" s="174"/>
      <c r="F230" s="174"/>
      <c r="G230" s="106"/>
      <c r="H230" s="135"/>
      <c r="I230" s="136"/>
      <c r="J230" s="137"/>
    </row>
    <row r="231" spans="1:12" s="3" customFormat="1" x14ac:dyDescent="0.3">
      <c r="A231" s="4">
        <v>6</v>
      </c>
      <c r="B231" s="4" t="s">
        <v>306</v>
      </c>
      <c r="C231" s="4" t="s">
        <v>272</v>
      </c>
      <c r="D231" s="105">
        <f>(5.65*2+0.85*0.32+0.45*0.33+0.62*0.4+2.35*0.2+1.05*0.1+2.55*2.3+2.88*1.97+1.2*0.2+0.65*0.2+1.58*0.9+1.3*1.25)*10.764</f>
        <v>296.00031239999998</v>
      </c>
      <c r="E231" s="106"/>
      <c r="F231" s="4">
        <v>0</v>
      </c>
      <c r="G231" s="59">
        <f>D231*1.6+F231</f>
        <v>473.60049984</v>
      </c>
      <c r="H231" s="138"/>
      <c r="I231" s="139"/>
      <c r="J231" s="140"/>
    </row>
    <row r="232" spans="1:12" s="3" customFormat="1" x14ac:dyDescent="0.3">
      <c r="A232" s="141" t="s">
        <v>236</v>
      </c>
      <c r="B232" s="142"/>
      <c r="C232" s="142"/>
      <c r="D232" s="142"/>
      <c r="E232" s="142"/>
      <c r="F232" s="142"/>
      <c r="G232" s="142"/>
      <c r="H232" s="142"/>
      <c r="I232" s="142"/>
      <c r="J232" s="143"/>
    </row>
    <row r="233" spans="1:12" s="3" customFormat="1" x14ac:dyDescent="0.3">
      <c r="A233" s="4">
        <v>1</v>
      </c>
      <c r="B233" s="4" t="s">
        <v>180</v>
      </c>
      <c r="C233" s="4" t="s">
        <v>272</v>
      </c>
      <c r="D233" s="105">
        <f>(4.93*2.05+3.14*0.33+2*0.33+2.02*2.38+2.63*2.25+1.7*1.25+1.72*0.05+2.76*0.9+0.85*0.2)*10.764</f>
        <v>294.85609920000002</v>
      </c>
      <c r="E233" s="106"/>
      <c r="F233" s="4">
        <v>0</v>
      </c>
      <c r="G233" s="4">
        <f t="shared" ref="G233:G238" si="11">D233*1.6+F233</f>
        <v>471.76975872000003</v>
      </c>
      <c r="H233" s="132" t="str">
        <f>A232</f>
        <v>2nd Floor</v>
      </c>
      <c r="I233" s="133"/>
      <c r="J233" s="134"/>
    </row>
    <row r="234" spans="1:12" s="3" customFormat="1" x14ac:dyDescent="0.3">
      <c r="A234" s="4">
        <v>2</v>
      </c>
      <c r="B234" s="4" t="s">
        <v>180</v>
      </c>
      <c r="C234" s="4" t="s">
        <v>272</v>
      </c>
      <c r="D234" s="105">
        <f>(3.73*2.2+1.05*0.43+1.85*1.53+1.98*2.05+0.3*0.28+3.23*2+1.85*0.25+1.85*0.33+1.2*1+1.2*1.05+0.58*0.33+0.5*0.33+1.58*0.9+0.9*0.2)*10.764</f>
        <v>296.89695360000002</v>
      </c>
      <c r="E234" s="106"/>
      <c r="F234" s="4">
        <v>0</v>
      </c>
      <c r="G234" s="4">
        <f t="shared" si="11"/>
        <v>475.03512576000003</v>
      </c>
      <c r="H234" s="135"/>
      <c r="I234" s="136"/>
      <c r="J234" s="137"/>
      <c r="L234" s="3">
        <f>(2.45*5.28+2.18*2.5+2.53*2.45+0.95*1.6+1.43*1.25)</f>
        <v>27.892000000000003</v>
      </c>
    </row>
    <row r="235" spans="1:12" s="3" customFormat="1" x14ac:dyDescent="0.3">
      <c r="A235" s="4">
        <v>3</v>
      </c>
      <c r="B235" s="4" t="s">
        <v>180</v>
      </c>
      <c r="C235" s="4" t="s">
        <v>272</v>
      </c>
      <c r="D235" s="105">
        <f>(2.25*5.21+0.85*0.25+0.38*0.33+2.1*0.2+2.18*2.35+1.9*0.2+2.05*2.81+1.03*0.28+0.98*0.33+1.3*1.38+0.9*1.68)*10.764</f>
        <v>297.75053879999996</v>
      </c>
      <c r="E235" s="106"/>
      <c r="F235" s="4">
        <v>0</v>
      </c>
      <c r="G235" s="4">
        <f t="shared" si="11"/>
        <v>476.40086207999997</v>
      </c>
      <c r="H235" s="135"/>
      <c r="I235" s="136"/>
      <c r="J235" s="137"/>
    </row>
    <row r="236" spans="1:12" s="3" customFormat="1" ht="15.75" customHeight="1" x14ac:dyDescent="0.3">
      <c r="A236" s="4">
        <v>4</v>
      </c>
      <c r="B236" s="4" t="s">
        <v>180</v>
      </c>
      <c r="C236" s="4" t="s">
        <v>272</v>
      </c>
      <c r="D236" s="105">
        <f>(2.25*5.21+0.85*0.25+0.38*0.33+2.1*0.2+2.18*2.35+1.9*0.2+2.05*2.81+1.03*0.28+0.98*0.33+1.3*1.38+0.9*1.68)*10.764</f>
        <v>297.75053879999996</v>
      </c>
      <c r="E236" s="106"/>
      <c r="F236" s="4">
        <v>0</v>
      </c>
      <c r="G236" s="4">
        <f t="shared" si="11"/>
        <v>476.40086207999997</v>
      </c>
      <c r="H236" s="135"/>
      <c r="I236" s="136"/>
      <c r="J236" s="137"/>
    </row>
    <row r="237" spans="1:12" s="3" customFormat="1" ht="15.75" customHeight="1" x14ac:dyDescent="0.3">
      <c r="A237" s="4">
        <v>5</v>
      </c>
      <c r="B237" s="4" t="s">
        <v>180</v>
      </c>
      <c r="C237" s="105" t="s">
        <v>231</v>
      </c>
      <c r="D237" s="174"/>
      <c r="E237" s="174"/>
      <c r="F237" s="174"/>
      <c r="G237" s="174"/>
      <c r="H237" s="135"/>
      <c r="I237" s="136"/>
      <c r="J237" s="137"/>
    </row>
    <row r="238" spans="1:12" s="3" customFormat="1" x14ac:dyDescent="0.3">
      <c r="A238" s="4">
        <v>6</v>
      </c>
      <c r="B238" s="4" t="s">
        <v>180</v>
      </c>
      <c r="C238" s="4" t="s">
        <v>272</v>
      </c>
      <c r="D238" s="105">
        <f>(5.65*2+0.86*0.33+0.45*0.33+0.62*0.4+2.45*0.2+2.35*2.3+2.88*1.97+1.2*0.28+0.78*0.33+1.9*0.2+1.58*0.9+1.3*0.97+1.1*0.28)*10.764</f>
        <v>296.15316119999994</v>
      </c>
      <c r="E238" s="106"/>
      <c r="F238" s="4">
        <v>0</v>
      </c>
      <c r="G238" s="4">
        <f t="shared" si="11"/>
        <v>473.84505791999993</v>
      </c>
      <c r="H238" s="138"/>
      <c r="I238" s="139"/>
      <c r="J238" s="140"/>
    </row>
    <row r="239" spans="1:12" s="3" customFormat="1" x14ac:dyDescent="0.3">
      <c r="A239" s="141" t="s">
        <v>237</v>
      </c>
      <c r="B239" s="142"/>
      <c r="C239" s="142"/>
      <c r="D239" s="142"/>
      <c r="E239" s="142"/>
      <c r="F239" s="142"/>
      <c r="G239" s="142"/>
      <c r="H239" s="142"/>
      <c r="I239" s="142"/>
      <c r="J239" s="143"/>
    </row>
    <row r="240" spans="1:12" s="3" customFormat="1" x14ac:dyDescent="0.3">
      <c r="A240" s="4">
        <v>1</v>
      </c>
      <c r="B240" s="4" t="s">
        <v>180</v>
      </c>
      <c r="C240" s="4" t="s">
        <v>272</v>
      </c>
      <c r="D240" s="105">
        <f>(5.21*2.4+2.42*2.18+2.32*2.4+1.67*1.3+2.51*0.95)*10.764</f>
        <v>300.34896839999999</v>
      </c>
      <c r="E240" s="106"/>
      <c r="F240" s="4">
        <v>0</v>
      </c>
      <c r="G240" s="4">
        <f t="shared" ref="G240:G245" si="12">D240*1.6+F240</f>
        <v>480.55834944000003</v>
      </c>
      <c r="H240" s="132" t="str">
        <f>A239</f>
        <v>3rd to 5th Floor</v>
      </c>
      <c r="I240" s="133"/>
      <c r="J240" s="134"/>
    </row>
    <row r="241" spans="1:12" s="3" customFormat="1" x14ac:dyDescent="0.3">
      <c r="A241" s="4">
        <v>2</v>
      </c>
      <c r="B241" s="4" t="s">
        <v>180</v>
      </c>
      <c r="C241" s="4" t="s">
        <v>272</v>
      </c>
      <c r="D241" s="105">
        <f>(3.8*2.4+1.85*2.4+3.13*2.4+1.4*0.95+1.2*1.4+1.2*1.05+2.25*1.13)*10.764</f>
        <v>300.14875799999999</v>
      </c>
      <c r="E241" s="106"/>
      <c r="F241" s="4">
        <v>0</v>
      </c>
      <c r="G241" s="4">
        <f t="shared" si="12"/>
        <v>480.23801279999998</v>
      </c>
      <c r="H241" s="135"/>
      <c r="I241" s="136"/>
      <c r="J241" s="137"/>
    </row>
    <row r="242" spans="1:12" s="3" customFormat="1" x14ac:dyDescent="0.3">
      <c r="A242" s="4">
        <v>3</v>
      </c>
      <c r="B242" s="4" t="s">
        <v>180</v>
      </c>
      <c r="C242" s="4" t="s">
        <v>272</v>
      </c>
      <c r="D242" s="105">
        <f>(2.45*5.28+2.18*2.5+2.4*2.68+0.95*1.55+1.3*1.25)*10.764</f>
        <v>300.48244200000005</v>
      </c>
      <c r="E242" s="106"/>
      <c r="F242" s="4">
        <v>0</v>
      </c>
      <c r="G242" s="4">
        <f t="shared" si="12"/>
        <v>480.7719072000001</v>
      </c>
      <c r="H242" s="135"/>
      <c r="I242" s="136"/>
      <c r="J242" s="137"/>
    </row>
    <row r="243" spans="1:12" s="3" customFormat="1" ht="15.75" customHeight="1" x14ac:dyDescent="0.3">
      <c r="A243" s="4">
        <v>4</v>
      </c>
      <c r="B243" s="4" t="s">
        <v>180</v>
      </c>
      <c r="C243" s="4" t="s">
        <v>272</v>
      </c>
      <c r="D243" s="105">
        <f>(2.45*5.28+2.18*2.5+2.4*2.68+0.95*1.55+1.3*1.25)*10.764</f>
        <v>300.48244200000005</v>
      </c>
      <c r="E243" s="106"/>
      <c r="F243" s="4">
        <v>0</v>
      </c>
      <c r="G243" s="4">
        <f t="shared" si="12"/>
        <v>480.7719072000001</v>
      </c>
      <c r="H243" s="135"/>
      <c r="I243" s="136"/>
      <c r="J243" s="137"/>
    </row>
    <row r="244" spans="1:12" s="3" customFormat="1" ht="15.75" customHeight="1" x14ac:dyDescent="0.3">
      <c r="A244" s="4">
        <v>5</v>
      </c>
      <c r="B244" s="4" t="s">
        <v>180</v>
      </c>
      <c r="C244" s="4" t="s">
        <v>272</v>
      </c>
      <c r="D244" s="105">
        <f>(2.45*5.28+2.18*2.5+2.53*2.45+0.95*1.6+1.43*1.25)*10.764</f>
        <v>300.229488</v>
      </c>
      <c r="E244" s="106"/>
      <c r="F244" s="4">
        <v>0</v>
      </c>
      <c r="G244" s="4">
        <f t="shared" si="12"/>
        <v>480.36718080000003</v>
      </c>
      <c r="H244" s="135"/>
      <c r="I244" s="136"/>
      <c r="J244" s="137"/>
    </row>
    <row r="245" spans="1:12" s="3" customFormat="1" x14ac:dyDescent="0.3">
      <c r="A245" s="4">
        <v>6</v>
      </c>
      <c r="B245" s="4" t="s">
        <v>180</v>
      </c>
      <c r="C245" s="4" t="s">
        <v>272</v>
      </c>
      <c r="D245" s="105">
        <f>(5.33*2.4+2.55*2.25+2.75*2.32+1.25*1.3+1.45*0.95)*10.764</f>
        <v>300.44476799999995</v>
      </c>
      <c r="E245" s="106"/>
      <c r="F245" s="4">
        <v>0</v>
      </c>
      <c r="G245" s="4">
        <f t="shared" si="12"/>
        <v>480.71162879999997</v>
      </c>
      <c r="H245" s="138"/>
      <c r="I245" s="139"/>
      <c r="J245" s="140"/>
    </row>
    <row r="246" spans="1:12" s="3" customFormat="1" x14ac:dyDescent="0.3">
      <c r="A246" s="141" t="s">
        <v>295</v>
      </c>
      <c r="B246" s="142"/>
      <c r="C246" s="142"/>
      <c r="D246" s="142"/>
      <c r="E246" s="142"/>
      <c r="F246" s="142"/>
      <c r="G246" s="142"/>
      <c r="H246" s="142"/>
      <c r="I246" s="142"/>
      <c r="J246" s="143"/>
    </row>
    <row r="247" spans="1:12" s="3" customFormat="1" x14ac:dyDescent="0.3">
      <c r="A247" s="4">
        <v>1</v>
      </c>
      <c r="B247" s="4" t="s">
        <v>180</v>
      </c>
      <c r="C247" s="4" t="s">
        <v>272</v>
      </c>
      <c r="D247" s="105">
        <f>(5.21*2.4+2.42*2.18+2.32*2.4+1.67*1.3+2.51*0.95)*10.764</f>
        <v>300.34896839999999</v>
      </c>
      <c r="E247" s="106"/>
      <c r="F247" s="4">
        <v>0</v>
      </c>
      <c r="G247" s="4">
        <f t="shared" ref="G247:G252" si="13">D247*1.6+F247</f>
        <v>480.55834944000003</v>
      </c>
      <c r="H247" s="132" t="str">
        <f>A246</f>
        <v>6th, 8th to 13th, 15th to 19th Floor</v>
      </c>
      <c r="I247" s="133"/>
      <c r="J247" s="134"/>
    </row>
    <row r="248" spans="1:12" s="3" customFormat="1" x14ac:dyDescent="0.3">
      <c r="A248" s="4">
        <v>2</v>
      </c>
      <c r="B248" s="4" t="s">
        <v>180</v>
      </c>
      <c r="C248" s="4" t="s">
        <v>272</v>
      </c>
      <c r="D248" s="105">
        <f>(3.8*2.4+1.85*2.4+3.13*2.4+1.4*0.95+1.2*1.4+1.2*1.05+2.25*1.13)*10.764</f>
        <v>300.14875799999999</v>
      </c>
      <c r="E248" s="106"/>
      <c r="F248" s="4">
        <v>0</v>
      </c>
      <c r="G248" s="4">
        <f t="shared" si="13"/>
        <v>480.23801279999998</v>
      </c>
      <c r="H248" s="135"/>
      <c r="I248" s="136"/>
      <c r="J248" s="137"/>
    </row>
    <row r="249" spans="1:12" s="3" customFormat="1" x14ac:dyDescent="0.3">
      <c r="A249" s="4">
        <v>3</v>
      </c>
      <c r="B249" s="4" t="s">
        <v>180</v>
      </c>
      <c r="C249" s="4" t="s">
        <v>272</v>
      </c>
      <c r="D249" s="105">
        <f>(2.45*5.28+2.18*2.5+2.4*2.68+0.95*1.55+1.3*1.25)*10.764</f>
        <v>300.48244200000005</v>
      </c>
      <c r="E249" s="106"/>
      <c r="F249" s="4">
        <v>0</v>
      </c>
      <c r="G249" s="4">
        <f t="shared" si="13"/>
        <v>480.7719072000001</v>
      </c>
      <c r="H249" s="135"/>
      <c r="I249" s="136"/>
      <c r="J249" s="137"/>
    </row>
    <row r="250" spans="1:12" s="3" customFormat="1" x14ac:dyDescent="0.3">
      <c r="A250" s="4">
        <v>4</v>
      </c>
      <c r="B250" s="4" t="s">
        <v>180</v>
      </c>
      <c r="C250" s="4" t="s">
        <v>272</v>
      </c>
      <c r="D250" s="105">
        <f>(2.45*5.28+2.18*2.5+2.4*2.68+0.95*1.55+1.3*1.25)*10.764</f>
        <v>300.48244200000005</v>
      </c>
      <c r="E250" s="106"/>
      <c r="F250" s="4">
        <v>0</v>
      </c>
      <c r="G250" s="4">
        <f t="shared" si="13"/>
        <v>480.7719072000001</v>
      </c>
      <c r="H250" s="135"/>
      <c r="I250" s="136"/>
      <c r="J250" s="137"/>
    </row>
    <row r="251" spans="1:12" s="3" customFormat="1" ht="15.75" customHeight="1" x14ac:dyDescent="0.3">
      <c r="A251" s="4">
        <v>5</v>
      </c>
      <c r="B251" s="4" t="s">
        <v>180</v>
      </c>
      <c r="C251" s="4" t="s">
        <v>272</v>
      </c>
      <c r="D251" s="105">
        <f>(2.45*5.28+2.18*2.5+2.53*2.45+0.95*1.6+1.43*1.25)*10.764</f>
        <v>300.229488</v>
      </c>
      <c r="E251" s="106"/>
      <c r="F251" s="4">
        <v>0</v>
      </c>
      <c r="G251" s="4">
        <f t="shared" si="13"/>
        <v>480.36718080000003</v>
      </c>
      <c r="H251" s="135"/>
      <c r="I251" s="136"/>
      <c r="J251" s="137"/>
    </row>
    <row r="252" spans="1:12" s="3" customFormat="1" x14ac:dyDescent="0.3">
      <c r="A252" s="4">
        <v>6</v>
      </c>
      <c r="B252" s="4" t="s">
        <v>180</v>
      </c>
      <c r="C252" s="4" t="s">
        <v>272</v>
      </c>
      <c r="D252" s="105">
        <f>(5.33*2.4+2.55*2.25+2.75*2.32+1.25*1.3+1.45*0.95)*10.764</f>
        <v>300.44476799999995</v>
      </c>
      <c r="E252" s="106"/>
      <c r="F252" s="4">
        <v>0</v>
      </c>
      <c r="G252" s="4">
        <f t="shared" si="13"/>
        <v>480.71162879999997</v>
      </c>
      <c r="H252" s="138"/>
      <c r="I252" s="139"/>
      <c r="J252" s="140"/>
    </row>
    <row r="253" spans="1:12" s="3" customFormat="1" x14ac:dyDescent="0.3">
      <c r="A253" s="141" t="s">
        <v>294</v>
      </c>
      <c r="B253" s="142"/>
      <c r="C253" s="142"/>
      <c r="D253" s="142"/>
      <c r="E253" s="142"/>
      <c r="F253" s="142"/>
      <c r="G253" s="142"/>
      <c r="H253" s="142"/>
      <c r="I253" s="142"/>
      <c r="J253" s="143"/>
    </row>
    <row r="254" spans="1:12" s="3" customFormat="1" x14ac:dyDescent="0.3">
      <c r="A254" s="4">
        <v>1</v>
      </c>
      <c r="B254" s="4" t="s">
        <v>180</v>
      </c>
      <c r="C254" s="4" t="s">
        <v>272</v>
      </c>
      <c r="D254" s="105">
        <f>(5.21*2.4+2.42*2.18+2.32*2.4+1.67*1.3+2.51*0.95)*10.764</f>
        <v>300.34896839999999</v>
      </c>
      <c r="E254" s="106"/>
      <c r="F254" s="4">
        <v>0</v>
      </c>
      <c r="G254" s="4">
        <f t="shared" ref="G254:G259" si="14">D254*1.6+F254</f>
        <v>480.55834944000003</v>
      </c>
      <c r="H254" s="132" t="str">
        <f>A253</f>
        <v>20th, 22nd &amp; 23rd Floor</v>
      </c>
      <c r="I254" s="133"/>
      <c r="J254" s="134"/>
      <c r="L254" s="3">
        <f>(2.58*5.28+2.25*1.05*0.95*1.8)</f>
        <v>17.662275000000001</v>
      </c>
    </row>
    <row r="255" spans="1:12" s="3" customFormat="1" x14ac:dyDescent="0.3">
      <c r="A255" s="4">
        <v>2</v>
      </c>
      <c r="B255" s="4" t="s">
        <v>180</v>
      </c>
      <c r="C255" s="4" t="s">
        <v>272</v>
      </c>
      <c r="D255" s="105">
        <f>(3.8*2.4+1.85*2.4+3.13*2.4+1.4*0.95+1.2*1.4+1.2*1.05+2.25*1.13)*10.764</f>
        <v>300.14875799999999</v>
      </c>
      <c r="E255" s="106"/>
      <c r="F255" s="4">
        <v>0</v>
      </c>
      <c r="G255" s="4">
        <f t="shared" si="14"/>
        <v>480.23801279999998</v>
      </c>
      <c r="H255" s="135"/>
      <c r="I255" s="136"/>
      <c r="J255" s="137"/>
    </row>
    <row r="256" spans="1:12" s="3" customFormat="1" x14ac:dyDescent="0.3">
      <c r="A256" s="4">
        <v>3</v>
      </c>
      <c r="B256" s="4" t="s">
        <v>180</v>
      </c>
      <c r="C256" s="4" t="s">
        <v>272</v>
      </c>
      <c r="D256" s="105">
        <f>(2.45*5.28+2.18*2.5+2.4*2.68+0.95*1.55+1.3*1.25)*10.764</f>
        <v>300.48244200000005</v>
      </c>
      <c r="E256" s="106"/>
      <c r="F256" s="4">
        <v>0</v>
      </c>
      <c r="G256" s="4">
        <f t="shared" si="14"/>
        <v>480.7719072000001</v>
      </c>
      <c r="H256" s="135"/>
      <c r="I256" s="136"/>
      <c r="J256" s="137"/>
    </row>
    <row r="257" spans="1:12" s="3" customFormat="1" x14ac:dyDescent="0.3">
      <c r="A257" s="4">
        <v>4</v>
      </c>
      <c r="B257" s="4" t="s">
        <v>180</v>
      </c>
      <c r="C257" s="4" t="s">
        <v>272</v>
      </c>
      <c r="D257" s="105">
        <f>(2.45*5.28+2.18*2.5+2.4*2.68+0.95*1.55+1.3*1.25)*10.764</f>
        <v>300.48244200000005</v>
      </c>
      <c r="E257" s="106"/>
      <c r="F257" s="4">
        <v>0</v>
      </c>
      <c r="G257" s="4">
        <f t="shared" si="14"/>
        <v>480.7719072000001</v>
      </c>
      <c r="H257" s="135"/>
      <c r="I257" s="136"/>
      <c r="J257" s="137"/>
    </row>
    <row r="258" spans="1:12" s="3" customFormat="1" x14ac:dyDescent="0.3">
      <c r="A258" s="4">
        <v>5</v>
      </c>
      <c r="B258" s="4" t="s">
        <v>180</v>
      </c>
      <c r="C258" s="4" t="s">
        <v>272</v>
      </c>
      <c r="D258" s="105">
        <f>(2.45*5.28+2.18*2.5+2.53*2.45+0.95*1.6+1.43*1.25)*10.764</f>
        <v>300.229488</v>
      </c>
      <c r="E258" s="106"/>
      <c r="F258" s="4">
        <v>0</v>
      </c>
      <c r="G258" s="4">
        <f t="shared" si="14"/>
        <v>480.36718080000003</v>
      </c>
      <c r="H258" s="135"/>
      <c r="I258" s="136"/>
      <c r="J258" s="137"/>
    </row>
    <row r="259" spans="1:12" s="3" customFormat="1" x14ac:dyDescent="0.3">
      <c r="A259" s="4">
        <v>6</v>
      </c>
      <c r="B259" s="4" t="s">
        <v>283</v>
      </c>
      <c r="C259" s="4" t="s">
        <v>272</v>
      </c>
      <c r="D259" s="105">
        <f>(5.33*2.4+2.55*2.25+2.75*2.32+1.25*1.3+1.45*0.95)*10.764</f>
        <v>300.44476799999995</v>
      </c>
      <c r="E259" s="106"/>
      <c r="F259" s="4">
        <v>0</v>
      </c>
      <c r="G259" s="4">
        <f t="shared" si="14"/>
        <v>480.71162879999997</v>
      </c>
      <c r="H259" s="138"/>
      <c r="I259" s="139"/>
      <c r="J259" s="140"/>
    </row>
    <row r="260" spans="1:12" s="3" customFormat="1" x14ac:dyDescent="0.3">
      <c r="A260" s="141" t="s">
        <v>293</v>
      </c>
      <c r="B260" s="142"/>
      <c r="C260" s="142"/>
      <c r="D260" s="142"/>
      <c r="E260" s="142"/>
      <c r="F260" s="142"/>
      <c r="G260" s="142"/>
      <c r="H260" s="142"/>
      <c r="I260" s="142"/>
      <c r="J260" s="143"/>
    </row>
    <row r="261" spans="1:12" s="3" customFormat="1" x14ac:dyDescent="0.3">
      <c r="A261" s="4">
        <v>1</v>
      </c>
      <c r="B261" s="4" t="s">
        <v>180</v>
      </c>
      <c r="C261" s="4" t="s">
        <v>272</v>
      </c>
      <c r="D261" s="105">
        <f>(5.21*2.4+2.42*2.18+2.32*2.4+1.67*1.3+2.51*0.95)*10.764</f>
        <v>300.34896839999999</v>
      </c>
      <c r="E261" s="106"/>
      <c r="F261" s="4">
        <v>0</v>
      </c>
      <c r="G261" s="4">
        <f>D261*1.6+F261</f>
        <v>480.55834944000003</v>
      </c>
      <c r="H261" s="132" t="str">
        <f>A260</f>
        <v>7th, 14th &amp; 21st Floor (Part Refuge area)</v>
      </c>
      <c r="I261" s="133"/>
      <c r="J261" s="134"/>
      <c r="L261" s="3">
        <f>4950000/G271</f>
        <v>10295.942682734185</v>
      </c>
    </row>
    <row r="262" spans="1:12" s="3" customFormat="1" x14ac:dyDescent="0.3">
      <c r="A262" s="4">
        <v>2</v>
      </c>
      <c r="B262" s="4" t="s">
        <v>180</v>
      </c>
      <c r="C262" s="4" t="s">
        <v>272</v>
      </c>
      <c r="D262" s="105">
        <f>(3.8*2.4+1.85*2.4+3.13*2.4+1.4*0.95+1.2*1.4+1.2*1.05+2.25*1.13)*10.764</f>
        <v>300.14875799999999</v>
      </c>
      <c r="E262" s="106"/>
      <c r="F262" s="4">
        <v>0</v>
      </c>
      <c r="G262" s="4">
        <f>D262*1.6+F262</f>
        <v>480.23801279999998</v>
      </c>
      <c r="H262" s="135"/>
      <c r="I262" s="136"/>
      <c r="J262" s="137"/>
    </row>
    <row r="263" spans="1:12" s="3" customFormat="1" x14ac:dyDescent="0.3">
      <c r="A263" s="4">
        <v>3</v>
      </c>
      <c r="B263" s="4" t="s">
        <v>180</v>
      </c>
      <c r="C263" s="4" t="s">
        <v>272</v>
      </c>
      <c r="D263" s="105">
        <f>(2.45*5.28+2.18*2.5+2.4*2.68+0.95*1.55+1.3*1.25)*10.764</f>
        <v>300.48244200000005</v>
      </c>
      <c r="E263" s="106"/>
      <c r="F263" s="4">
        <v>0</v>
      </c>
      <c r="G263" s="4">
        <f>D263*1.6+F263</f>
        <v>480.7719072000001</v>
      </c>
      <c r="H263" s="135"/>
      <c r="I263" s="136"/>
      <c r="J263" s="137"/>
    </row>
    <row r="264" spans="1:12" s="3" customFormat="1" x14ac:dyDescent="0.3">
      <c r="A264" s="4">
        <v>4</v>
      </c>
      <c r="B264" s="4" t="s">
        <v>183</v>
      </c>
      <c r="C264" s="4" t="s">
        <v>296</v>
      </c>
      <c r="D264" s="144">
        <f>17.95*10.764</f>
        <v>193.21379999999999</v>
      </c>
      <c r="E264" s="145"/>
      <c r="F264" s="4">
        <v>0</v>
      </c>
      <c r="G264" s="4">
        <f>D264*1.6+F264</f>
        <v>309.14208000000002</v>
      </c>
      <c r="H264" s="135"/>
      <c r="I264" s="136"/>
      <c r="J264" s="137"/>
    </row>
    <row r="265" spans="1:12" s="3" customFormat="1" ht="15.75" customHeight="1" x14ac:dyDescent="0.3">
      <c r="A265" s="4">
        <v>5</v>
      </c>
      <c r="B265" s="132" t="s">
        <v>182</v>
      </c>
      <c r="C265" s="133"/>
      <c r="D265" s="133"/>
      <c r="E265" s="133"/>
      <c r="F265" s="133"/>
      <c r="G265" s="134"/>
      <c r="H265" s="135"/>
      <c r="I265" s="136"/>
      <c r="J265" s="137"/>
    </row>
    <row r="266" spans="1:12" s="3" customFormat="1" x14ac:dyDescent="0.3">
      <c r="A266" s="4">
        <v>6</v>
      </c>
      <c r="B266" s="138"/>
      <c r="C266" s="139"/>
      <c r="D266" s="139"/>
      <c r="E266" s="139"/>
      <c r="F266" s="139"/>
      <c r="G266" s="140"/>
      <c r="H266" s="138"/>
      <c r="I266" s="139"/>
      <c r="J266" s="140"/>
    </row>
    <row r="267" spans="1:12" s="3" customFormat="1" x14ac:dyDescent="0.3">
      <c r="A267" s="141" t="s">
        <v>290</v>
      </c>
      <c r="B267" s="142"/>
      <c r="C267" s="142"/>
      <c r="D267" s="142"/>
      <c r="E267" s="142"/>
      <c r="F267" s="142"/>
      <c r="G267" s="142"/>
      <c r="H267" s="142"/>
      <c r="I267" s="142"/>
      <c r="J267" s="143"/>
    </row>
    <row r="268" spans="1:12" s="3" customFormat="1" x14ac:dyDescent="0.3">
      <c r="A268" s="4">
        <v>1</v>
      </c>
      <c r="B268" s="105" t="s">
        <v>229</v>
      </c>
      <c r="C268" s="174"/>
      <c r="D268" s="174"/>
      <c r="E268" s="174"/>
      <c r="F268" s="174"/>
      <c r="G268" s="106"/>
      <c r="H268" s="132" t="str">
        <f>A267</f>
        <v>24th Floor For Residential, Health Center &amp; Aanganwadi</v>
      </c>
      <c r="I268" s="133"/>
      <c r="J268" s="134"/>
    </row>
    <row r="269" spans="1:12" s="3" customFormat="1" x14ac:dyDescent="0.3">
      <c r="A269" s="4">
        <v>2</v>
      </c>
      <c r="B269" s="4" t="s">
        <v>180</v>
      </c>
      <c r="C269" s="4" t="s">
        <v>272</v>
      </c>
      <c r="D269" s="105">
        <f>(3.8*2.4+1.85*2.4+3.13*2.4+1.4*0.95+1.2*1.4+1.2*1.05+2.25*1.13)*10.764</f>
        <v>300.14875799999999</v>
      </c>
      <c r="E269" s="106"/>
      <c r="F269" s="4">
        <v>0</v>
      </c>
      <c r="G269" s="4">
        <f>D269*1.6+F269</f>
        <v>480.23801279999998</v>
      </c>
      <c r="H269" s="135"/>
      <c r="I269" s="136"/>
      <c r="J269" s="137"/>
    </row>
    <row r="270" spans="1:12" s="3" customFormat="1" x14ac:dyDescent="0.3">
      <c r="A270" s="4">
        <v>3</v>
      </c>
      <c r="B270" s="4" t="s">
        <v>180</v>
      </c>
      <c r="C270" s="4" t="s">
        <v>272</v>
      </c>
      <c r="D270" s="105">
        <f>(2.45*5.28+2.18*2.5+2.4*2.68+0.95*1.55+1.3*1.25)*10.764</f>
        <v>300.48244200000005</v>
      </c>
      <c r="E270" s="106"/>
      <c r="F270" s="4">
        <v>0</v>
      </c>
      <c r="G270" s="4">
        <f>D270*1.6+F270</f>
        <v>480.7719072000001</v>
      </c>
      <c r="H270" s="135"/>
      <c r="I270" s="136"/>
      <c r="J270" s="137"/>
    </row>
    <row r="271" spans="1:12" s="3" customFormat="1" x14ac:dyDescent="0.3">
      <c r="A271" s="4">
        <v>4</v>
      </c>
      <c r="B271" s="4" t="s">
        <v>180</v>
      </c>
      <c r="C271" s="4" t="s">
        <v>272</v>
      </c>
      <c r="D271" s="105">
        <f>(2.45*5.28+2.18*2.5+2.4*2.68+0.95*1.55+1.3*1.25)*10.764</f>
        <v>300.48244200000005</v>
      </c>
      <c r="E271" s="106"/>
      <c r="F271" s="4">
        <v>0</v>
      </c>
      <c r="G271" s="4">
        <f>D271*1.6+F271</f>
        <v>480.7719072000001</v>
      </c>
      <c r="H271" s="135"/>
      <c r="I271" s="136"/>
      <c r="J271" s="137"/>
    </row>
    <row r="272" spans="1:12" s="3" customFormat="1" ht="15.75" customHeight="1" x14ac:dyDescent="0.3">
      <c r="A272" s="4">
        <v>5</v>
      </c>
      <c r="B272" s="4" t="s">
        <v>180</v>
      </c>
      <c r="C272" s="4" t="s">
        <v>272</v>
      </c>
      <c r="D272" s="105">
        <f>(2.45*5.28+2.18*2.5+2.53*2.45+0.95*1.6+1.43*1.25)*10.764</f>
        <v>300.229488</v>
      </c>
      <c r="E272" s="106"/>
      <c r="F272" s="4">
        <v>0</v>
      </c>
      <c r="G272" s="4">
        <f t="shared" ref="G272" si="15">D272*1.6+F272</f>
        <v>480.36718080000003</v>
      </c>
      <c r="H272" s="135"/>
      <c r="I272" s="136"/>
      <c r="J272" s="137"/>
    </row>
    <row r="273" spans="1:10" s="3" customFormat="1" x14ac:dyDescent="0.3">
      <c r="A273" s="4">
        <v>6</v>
      </c>
      <c r="B273" s="105" t="s">
        <v>230</v>
      </c>
      <c r="C273" s="174"/>
      <c r="D273" s="174"/>
      <c r="E273" s="174"/>
      <c r="F273" s="174"/>
      <c r="G273" s="106"/>
      <c r="H273" s="138"/>
      <c r="I273" s="139"/>
      <c r="J273" s="140"/>
    </row>
    <row r="274" spans="1:10" s="3" customFormat="1" x14ac:dyDescent="0.3">
      <c r="A274" s="141" t="s">
        <v>291</v>
      </c>
      <c r="B274" s="142"/>
      <c r="C274" s="142"/>
      <c r="D274" s="142"/>
      <c r="E274" s="142"/>
      <c r="F274" s="142"/>
      <c r="G274" s="142"/>
      <c r="H274" s="142"/>
      <c r="I274" s="142"/>
      <c r="J274" s="143"/>
    </row>
    <row r="275" spans="1:10" s="3" customFormat="1" x14ac:dyDescent="0.3">
      <c r="A275" s="4">
        <v>1</v>
      </c>
      <c r="B275" s="4" t="s">
        <v>180</v>
      </c>
      <c r="C275" s="4" t="s">
        <v>272</v>
      </c>
      <c r="D275" s="105">
        <f>(5.21*2.4+2.42*2.18+2.32*2.4+1.67*1.3+2.51*0.95)*10.764</f>
        <v>300.34896839999999</v>
      </c>
      <c r="E275" s="106"/>
      <c r="F275" s="4">
        <v>0</v>
      </c>
      <c r="G275" s="4">
        <f t="shared" ref="G275:G280" si="16">D275*1.6+F275</f>
        <v>480.55834944000003</v>
      </c>
      <c r="H275" s="132" t="str">
        <f>A274</f>
        <v>25th Floor</v>
      </c>
      <c r="I275" s="133"/>
      <c r="J275" s="134"/>
    </row>
    <row r="276" spans="1:10" s="3" customFormat="1" x14ac:dyDescent="0.3">
      <c r="A276" s="4">
        <v>2</v>
      </c>
      <c r="B276" s="4" t="s">
        <v>283</v>
      </c>
      <c r="C276" s="4" t="s">
        <v>272</v>
      </c>
      <c r="D276" s="105">
        <f>(3.8*2.4+1.85*2.4+3.13*2.4+1.4*0.95+1.2*1.4+1.2*1.05+2.25*1.13)*10.764</f>
        <v>300.14875799999999</v>
      </c>
      <c r="E276" s="106"/>
      <c r="F276" s="4">
        <v>0</v>
      </c>
      <c r="G276" s="4">
        <f t="shared" si="16"/>
        <v>480.23801279999998</v>
      </c>
      <c r="H276" s="135"/>
      <c r="I276" s="136"/>
      <c r="J276" s="137"/>
    </row>
    <row r="277" spans="1:10" s="3" customFormat="1" x14ac:dyDescent="0.3">
      <c r="A277" s="4">
        <v>3</v>
      </c>
      <c r="B277" s="4" t="s">
        <v>283</v>
      </c>
      <c r="C277" s="4" t="s">
        <v>272</v>
      </c>
      <c r="D277" s="105">
        <f>(2.45*5.28+2.18*2.5+2.4*2.68+0.95*1.55+1.3*1.25)*10.764</f>
        <v>300.48244200000005</v>
      </c>
      <c r="E277" s="106"/>
      <c r="F277" s="4">
        <v>0</v>
      </c>
      <c r="G277" s="4">
        <f t="shared" si="16"/>
        <v>480.7719072000001</v>
      </c>
      <c r="H277" s="135"/>
      <c r="I277" s="136"/>
      <c r="J277" s="137"/>
    </row>
    <row r="278" spans="1:10" s="3" customFormat="1" x14ac:dyDescent="0.3">
      <c r="A278" s="4">
        <v>4</v>
      </c>
      <c r="B278" s="4" t="s">
        <v>283</v>
      </c>
      <c r="C278" s="4" t="s">
        <v>272</v>
      </c>
      <c r="D278" s="105">
        <f>(2.45*5.28+2.18*2.5+2.4*2.68+0.95*1.55+1.3*1.25)*10.764</f>
        <v>300.48244200000005</v>
      </c>
      <c r="E278" s="106"/>
      <c r="F278" s="4">
        <v>0</v>
      </c>
      <c r="G278" s="4">
        <f t="shared" si="16"/>
        <v>480.7719072000001</v>
      </c>
      <c r="H278" s="135"/>
      <c r="I278" s="136"/>
      <c r="J278" s="137"/>
    </row>
    <row r="279" spans="1:10" s="3" customFormat="1" x14ac:dyDescent="0.3">
      <c r="A279" s="4">
        <v>5</v>
      </c>
      <c r="B279" s="4" t="s">
        <v>283</v>
      </c>
      <c r="C279" s="4" t="s">
        <v>272</v>
      </c>
      <c r="D279" s="105">
        <f>(2.45*5.28+2.18*2.5+2.53*2.45+0.95*1.6+1.43*1.25)*10.764</f>
        <v>300.229488</v>
      </c>
      <c r="E279" s="106"/>
      <c r="F279" s="4">
        <v>0</v>
      </c>
      <c r="G279" s="4">
        <f t="shared" si="16"/>
        <v>480.36718080000003</v>
      </c>
      <c r="H279" s="135"/>
      <c r="I279" s="136"/>
      <c r="J279" s="137"/>
    </row>
    <row r="280" spans="1:10" s="3" customFormat="1" x14ac:dyDescent="0.3">
      <c r="A280" s="4">
        <v>6</v>
      </c>
      <c r="B280" s="4" t="s">
        <v>283</v>
      </c>
      <c r="C280" s="4" t="s">
        <v>272</v>
      </c>
      <c r="D280" s="105">
        <f>(5.33*2.4+2.55*2.25+2.75*2.32+1.25*1.3+1.45*0.95)*10.764</f>
        <v>300.44476799999995</v>
      </c>
      <c r="E280" s="106"/>
      <c r="F280" s="4">
        <v>0</v>
      </c>
      <c r="G280" s="4">
        <f t="shared" si="16"/>
        <v>480.71162879999997</v>
      </c>
      <c r="H280" s="138"/>
      <c r="I280" s="139"/>
      <c r="J280" s="140"/>
    </row>
    <row r="281" spans="1:10" s="3" customFormat="1" x14ac:dyDescent="0.3">
      <c r="A281" s="141" t="s">
        <v>292</v>
      </c>
      <c r="B281" s="142"/>
      <c r="C281" s="142"/>
      <c r="D281" s="142"/>
      <c r="E281" s="142"/>
      <c r="F281" s="142"/>
      <c r="G281" s="142"/>
      <c r="H281" s="142"/>
      <c r="I281" s="142"/>
      <c r="J281" s="143"/>
    </row>
    <row r="282" spans="1:10" s="3" customFormat="1" x14ac:dyDescent="0.3">
      <c r="A282" s="4">
        <v>1</v>
      </c>
      <c r="B282" s="4" t="s">
        <v>283</v>
      </c>
      <c r="C282" s="4" t="s">
        <v>272</v>
      </c>
      <c r="D282" s="105">
        <f>(5.21*2.4+2.42*2.18+2.32*2.4+1.67*1.3+2.51*0.95)*10.764</f>
        <v>300.34896839999999</v>
      </c>
      <c r="E282" s="106"/>
      <c r="F282" s="4">
        <v>0</v>
      </c>
      <c r="G282" s="4">
        <f t="shared" ref="G282:G287" si="17">D282*1.6+F282</f>
        <v>480.55834944000003</v>
      </c>
      <c r="H282" s="132" t="str">
        <f>A281</f>
        <v>26th Floor</v>
      </c>
      <c r="I282" s="133"/>
      <c r="J282" s="134"/>
    </row>
    <row r="283" spans="1:10" s="3" customFormat="1" x14ac:dyDescent="0.3">
      <c r="A283" s="4">
        <v>2</v>
      </c>
      <c r="B283" s="4" t="s">
        <v>283</v>
      </c>
      <c r="C283" s="4" t="s">
        <v>272</v>
      </c>
      <c r="D283" s="105">
        <f>(3.8*2.4+1.85*2.4+3.13*2.4+1.4*0.95+1.2*1.4+1.2*1.05+2.25*1.13)*10.764</f>
        <v>300.14875799999999</v>
      </c>
      <c r="E283" s="106"/>
      <c r="F283" s="4">
        <v>0</v>
      </c>
      <c r="G283" s="4">
        <f t="shared" si="17"/>
        <v>480.23801279999998</v>
      </c>
      <c r="H283" s="135"/>
      <c r="I283" s="136"/>
      <c r="J283" s="137"/>
    </row>
    <row r="284" spans="1:10" s="3" customFormat="1" x14ac:dyDescent="0.3">
      <c r="A284" s="4">
        <v>3</v>
      </c>
      <c r="B284" s="4" t="s">
        <v>283</v>
      </c>
      <c r="C284" s="4" t="s">
        <v>272</v>
      </c>
      <c r="D284" s="105">
        <f>(2.45*5.28+2.18*2.5+2.4*2.68+0.95*1.55+1.3*1.25)*10.764</f>
        <v>300.48244200000005</v>
      </c>
      <c r="E284" s="106"/>
      <c r="F284" s="4">
        <v>0</v>
      </c>
      <c r="G284" s="4">
        <f t="shared" si="17"/>
        <v>480.7719072000001</v>
      </c>
      <c r="H284" s="135"/>
      <c r="I284" s="136"/>
      <c r="J284" s="137"/>
    </row>
    <row r="285" spans="1:10" s="3" customFormat="1" x14ac:dyDescent="0.3">
      <c r="A285" s="4">
        <v>4</v>
      </c>
      <c r="B285" s="4" t="s">
        <v>283</v>
      </c>
      <c r="C285" s="4" t="s">
        <v>272</v>
      </c>
      <c r="D285" s="105">
        <f>(2.45*5.28+2.18*2.5+2.4*2.68+0.95*1.55+1.3*1.25)*10.764</f>
        <v>300.48244200000005</v>
      </c>
      <c r="E285" s="106"/>
      <c r="F285" s="4">
        <v>0</v>
      </c>
      <c r="G285" s="4">
        <f t="shared" si="17"/>
        <v>480.7719072000001</v>
      </c>
      <c r="H285" s="135"/>
      <c r="I285" s="136"/>
      <c r="J285" s="137"/>
    </row>
    <row r="286" spans="1:10" s="3" customFormat="1" ht="15.75" customHeight="1" x14ac:dyDescent="0.3">
      <c r="A286" s="4">
        <v>5</v>
      </c>
      <c r="B286" s="4" t="s">
        <v>283</v>
      </c>
      <c r="C286" s="4" t="s">
        <v>272</v>
      </c>
      <c r="D286" s="105">
        <f>(2.45*5.28+2.18*2.5+2.53*2.45+0.95*1.6+1.43*1.25)*10.764</f>
        <v>300.229488</v>
      </c>
      <c r="E286" s="106"/>
      <c r="F286" s="4">
        <v>0</v>
      </c>
      <c r="G286" s="4">
        <f t="shared" si="17"/>
        <v>480.36718080000003</v>
      </c>
      <c r="H286" s="135"/>
      <c r="I286" s="136"/>
      <c r="J286" s="137"/>
    </row>
    <row r="287" spans="1:10" s="3" customFormat="1" x14ac:dyDescent="0.3">
      <c r="A287" s="4">
        <v>6</v>
      </c>
      <c r="B287" s="4" t="s">
        <v>283</v>
      </c>
      <c r="C287" s="4" t="s">
        <v>272</v>
      </c>
      <c r="D287" s="105">
        <f>(5.33*2.4+2.55*2.25+2.75*2.32+1.25*1.3+1.45*0.95)*10.764</f>
        <v>300.44476799999995</v>
      </c>
      <c r="E287" s="106"/>
      <c r="F287" s="4">
        <v>0</v>
      </c>
      <c r="G287" s="4">
        <f t="shared" si="17"/>
        <v>480.71162879999997</v>
      </c>
      <c r="H287" s="138"/>
      <c r="I287" s="139"/>
      <c r="J287" s="140"/>
    </row>
    <row r="288" spans="1:10" s="3" customFormat="1" x14ac:dyDescent="0.3">
      <c r="A288" s="141" t="s">
        <v>239</v>
      </c>
      <c r="B288" s="142"/>
      <c r="C288" s="142"/>
      <c r="D288" s="142"/>
      <c r="E288" s="142"/>
      <c r="F288" s="142"/>
      <c r="G288" s="142"/>
      <c r="H288" s="142"/>
      <c r="I288" s="142"/>
      <c r="J288" s="143"/>
    </row>
    <row r="289" spans="1:10" s="3" customFormat="1" x14ac:dyDescent="0.3">
      <c r="A289" s="4">
        <v>1</v>
      </c>
      <c r="B289" s="4" t="s">
        <v>183</v>
      </c>
      <c r="C289" s="4" t="s">
        <v>272</v>
      </c>
      <c r="D289" s="105">
        <f>29.62*10.764</f>
        <v>318.82968</v>
      </c>
      <c r="E289" s="106"/>
      <c r="F289" s="4">
        <v>0</v>
      </c>
      <c r="G289" s="4">
        <f t="shared" ref="G289:G294" si="18">D289*1.6+F289</f>
        <v>510.12748800000003</v>
      </c>
      <c r="H289" s="132" t="str">
        <f>A288</f>
        <v>27th Floor</v>
      </c>
      <c r="I289" s="133"/>
      <c r="J289" s="134"/>
    </row>
    <row r="290" spans="1:10" s="3" customFormat="1" x14ac:dyDescent="0.3">
      <c r="A290" s="4">
        <v>2</v>
      </c>
      <c r="B290" s="4" t="s">
        <v>183</v>
      </c>
      <c r="C290" s="4" t="s">
        <v>272</v>
      </c>
      <c r="D290" s="105">
        <f>(26.85)*10.764</f>
        <v>289.01339999999999</v>
      </c>
      <c r="E290" s="106"/>
      <c r="F290" s="4">
        <v>0</v>
      </c>
      <c r="G290" s="4">
        <f t="shared" si="18"/>
        <v>462.42144000000002</v>
      </c>
      <c r="H290" s="135"/>
      <c r="I290" s="136"/>
      <c r="J290" s="137"/>
    </row>
    <row r="291" spans="1:10" s="3" customFormat="1" ht="15.75" customHeight="1" x14ac:dyDescent="0.3">
      <c r="A291" s="4">
        <v>3</v>
      </c>
      <c r="B291" s="4" t="s">
        <v>183</v>
      </c>
      <c r="C291" s="4" t="s">
        <v>272</v>
      </c>
      <c r="D291" s="105">
        <f>24.63*10.764</f>
        <v>265.11731999999995</v>
      </c>
      <c r="E291" s="106"/>
      <c r="F291" s="4">
        <v>0</v>
      </c>
      <c r="G291" s="4">
        <f t="shared" si="18"/>
        <v>424.18771199999992</v>
      </c>
      <c r="H291" s="135"/>
      <c r="I291" s="136"/>
      <c r="J291" s="137"/>
    </row>
    <row r="292" spans="1:10" s="3" customFormat="1" x14ac:dyDescent="0.3">
      <c r="A292" s="4">
        <v>4</v>
      </c>
      <c r="B292" s="4" t="s">
        <v>183</v>
      </c>
      <c r="C292" s="4" t="s">
        <v>274</v>
      </c>
      <c r="D292" s="105">
        <f>19.88*10.764</f>
        <v>213.98831999999999</v>
      </c>
      <c r="E292" s="106"/>
      <c r="F292" s="4">
        <v>0</v>
      </c>
      <c r="G292" s="4">
        <f t="shared" si="18"/>
        <v>342.38131199999998</v>
      </c>
      <c r="H292" s="135"/>
      <c r="I292" s="136"/>
      <c r="J292" s="137"/>
    </row>
    <row r="293" spans="1:10" s="3" customFormat="1" x14ac:dyDescent="0.3">
      <c r="A293" s="4">
        <v>5</v>
      </c>
      <c r="B293" s="4" t="s">
        <v>183</v>
      </c>
      <c r="C293" s="4" t="s">
        <v>273</v>
      </c>
      <c r="D293" s="105">
        <f>44.78*10.764</f>
        <v>482.01191999999998</v>
      </c>
      <c r="E293" s="106"/>
      <c r="F293" s="4">
        <v>0</v>
      </c>
      <c r="G293" s="4">
        <f t="shared" si="18"/>
        <v>771.21907199999998</v>
      </c>
      <c r="H293" s="135"/>
      <c r="I293" s="136"/>
      <c r="J293" s="137"/>
    </row>
    <row r="294" spans="1:10" s="3" customFormat="1" x14ac:dyDescent="0.3">
      <c r="A294" s="4">
        <v>6</v>
      </c>
      <c r="B294" s="4" t="s">
        <v>183</v>
      </c>
      <c r="C294" s="4" t="s">
        <v>272</v>
      </c>
      <c r="D294" s="105">
        <f>29.32*10.764</f>
        <v>315.60048</v>
      </c>
      <c r="E294" s="106"/>
      <c r="F294" s="4">
        <v>0</v>
      </c>
      <c r="G294" s="4">
        <f t="shared" si="18"/>
        <v>504.96076800000003</v>
      </c>
      <c r="H294" s="135"/>
      <c r="I294" s="136"/>
      <c r="J294" s="137"/>
    </row>
    <row r="295" spans="1:10" s="3" customFormat="1" ht="15.75" customHeight="1" x14ac:dyDescent="0.3">
      <c r="A295" s="4">
        <v>7</v>
      </c>
      <c r="B295" s="4" t="s">
        <v>183</v>
      </c>
      <c r="C295" s="4" t="s">
        <v>273</v>
      </c>
      <c r="D295" s="105">
        <f>40.4*10.764</f>
        <v>434.86559999999997</v>
      </c>
      <c r="E295" s="106"/>
      <c r="F295" s="4">
        <v>0</v>
      </c>
      <c r="G295" s="4">
        <f>D295*1.6+F295</f>
        <v>695.78495999999996</v>
      </c>
      <c r="H295" s="138"/>
      <c r="I295" s="139"/>
      <c r="J295" s="140"/>
    </row>
    <row r="296" spans="1:10" s="3" customFormat="1" x14ac:dyDescent="0.3">
      <c r="A296" s="141" t="s">
        <v>287</v>
      </c>
      <c r="B296" s="142"/>
      <c r="C296" s="142"/>
      <c r="D296" s="142"/>
      <c r="E296" s="142"/>
      <c r="F296" s="142"/>
      <c r="G296" s="142"/>
      <c r="H296" s="142"/>
      <c r="I296" s="142"/>
      <c r="J296" s="143"/>
    </row>
    <row r="297" spans="1:10" s="3" customFormat="1" x14ac:dyDescent="0.3">
      <c r="A297" s="4">
        <v>1</v>
      </c>
      <c r="B297" s="57" t="s">
        <v>183</v>
      </c>
      <c r="C297" s="57" t="s">
        <v>272</v>
      </c>
      <c r="D297" s="144">
        <f>29.62*10.764</f>
        <v>318.82968</v>
      </c>
      <c r="E297" s="145"/>
      <c r="F297" s="4">
        <v>0</v>
      </c>
      <c r="G297" s="4">
        <f>D297*1.6+F297</f>
        <v>510.12748800000003</v>
      </c>
      <c r="H297" s="132" t="str">
        <f>A296</f>
        <v>28th Floor (Part Refuge area)</v>
      </c>
      <c r="I297" s="133"/>
      <c r="J297" s="134"/>
    </row>
    <row r="298" spans="1:10" s="3" customFormat="1" x14ac:dyDescent="0.3">
      <c r="A298" s="57">
        <v>2</v>
      </c>
      <c r="B298" s="57" t="s">
        <v>183</v>
      </c>
      <c r="C298" s="57" t="s">
        <v>272</v>
      </c>
      <c r="D298" s="144">
        <f>(26.85)*10.764</f>
        <v>289.01339999999999</v>
      </c>
      <c r="E298" s="145"/>
      <c r="F298" s="4">
        <v>0</v>
      </c>
      <c r="G298" s="4">
        <f>D298*1.6+F298</f>
        <v>462.42144000000002</v>
      </c>
      <c r="H298" s="135"/>
      <c r="I298" s="136"/>
      <c r="J298" s="137"/>
    </row>
    <row r="299" spans="1:10" s="3" customFormat="1" x14ac:dyDescent="0.3">
      <c r="A299" s="57">
        <f>A298+1</f>
        <v>3</v>
      </c>
      <c r="B299" s="57" t="s">
        <v>183</v>
      </c>
      <c r="C299" s="57" t="s">
        <v>272</v>
      </c>
      <c r="D299" s="144">
        <f>(24.63)*10.764</f>
        <v>265.11731999999995</v>
      </c>
      <c r="E299" s="145"/>
      <c r="F299" s="4">
        <v>0</v>
      </c>
      <c r="G299" s="4">
        <f>D299*1.6+F299</f>
        <v>424.18771199999992</v>
      </c>
      <c r="H299" s="135"/>
      <c r="I299" s="136"/>
      <c r="J299" s="137"/>
    </row>
    <row r="300" spans="1:10" s="3" customFormat="1" x14ac:dyDescent="0.3">
      <c r="A300" s="57">
        <f>A299+1</f>
        <v>4</v>
      </c>
      <c r="B300" s="57" t="s">
        <v>183</v>
      </c>
      <c r="C300" s="57" t="s">
        <v>274</v>
      </c>
      <c r="D300" s="144">
        <f>19.88*10.764</f>
        <v>213.98831999999999</v>
      </c>
      <c r="E300" s="145"/>
      <c r="F300" s="4">
        <v>0</v>
      </c>
      <c r="G300" s="4">
        <f>D300*1.6+F300</f>
        <v>342.38131199999998</v>
      </c>
      <c r="H300" s="135"/>
      <c r="I300" s="136"/>
      <c r="J300" s="137"/>
    </row>
    <row r="301" spans="1:10" s="3" customFormat="1" x14ac:dyDescent="0.3">
      <c r="A301" s="57">
        <f t="shared" ref="A301:A302" si="19">A300+1</f>
        <v>5</v>
      </c>
      <c r="B301" s="132" t="s">
        <v>182</v>
      </c>
      <c r="C301" s="133"/>
      <c r="D301" s="133"/>
      <c r="E301" s="133"/>
      <c r="F301" s="133"/>
      <c r="G301" s="134"/>
      <c r="H301" s="135"/>
      <c r="I301" s="136"/>
      <c r="J301" s="137"/>
    </row>
    <row r="302" spans="1:10" s="3" customFormat="1" x14ac:dyDescent="0.3">
      <c r="A302" s="57">
        <f t="shared" si="19"/>
        <v>6</v>
      </c>
      <c r="B302" s="135"/>
      <c r="C302" s="136"/>
      <c r="D302" s="136"/>
      <c r="E302" s="136"/>
      <c r="F302" s="136"/>
      <c r="G302" s="137"/>
      <c r="H302" s="135"/>
      <c r="I302" s="136"/>
      <c r="J302" s="137"/>
    </row>
    <row r="303" spans="1:10" s="3" customFormat="1" ht="15.75" customHeight="1" x14ac:dyDescent="0.3">
      <c r="A303" s="4">
        <v>7</v>
      </c>
      <c r="B303" s="138"/>
      <c r="C303" s="139"/>
      <c r="D303" s="139"/>
      <c r="E303" s="139"/>
      <c r="F303" s="139"/>
      <c r="G303" s="140"/>
      <c r="H303" s="138"/>
      <c r="I303" s="139"/>
      <c r="J303" s="140"/>
    </row>
    <row r="304" spans="1:10" s="3" customFormat="1" ht="15.75" customHeight="1" x14ac:dyDescent="0.3">
      <c r="A304" s="141" t="s">
        <v>240</v>
      </c>
      <c r="B304" s="142"/>
      <c r="C304" s="142"/>
      <c r="D304" s="142"/>
      <c r="E304" s="142"/>
      <c r="F304" s="142"/>
      <c r="G304" s="142"/>
      <c r="H304" s="142"/>
      <c r="I304" s="142"/>
      <c r="J304" s="143"/>
    </row>
    <row r="305" spans="1:10" s="3" customFormat="1" x14ac:dyDescent="0.3">
      <c r="A305" s="4">
        <v>1</v>
      </c>
      <c r="B305" s="4" t="s">
        <v>183</v>
      </c>
      <c r="C305" s="4" t="s">
        <v>272</v>
      </c>
      <c r="D305" s="105">
        <f>29.62*10.764</f>
        <v>318.82968</v>
      </c>
      <c r="E305" s="106"/>
      <c r="F305" s="4">
        <v>0</v>
      </c>
      <c r="G305" s="4">
        <f t="shared" ref="G305:G310" si="20">D305*1.6+F305</f>
        <v>510.12748800000003</v>
      </c>
      <c r="H305" s="132" t="str">
        <f>A304</f>
        <v>29th to 32nd Floor</v>
      </c>
      <c r="I305" s="133"/>
      <c r="J305" s="134"/>
    </row>
    <row r="306" spans="1:10" s="3" customFormat="1" x14ac:dyDescent="0.3">
      <c r="A306" s="4">
        <v>2</v>
      </c>
      <c r="B306" s="4" t="s">
        <v>183</v>
      </c>
      <c r="C306" s="4" t="s">
        <v>272</v>
      </c>
      <c r="D306" s="105">
        <f>(26.85)*10.764</f>
        <v>289.01339999999999</v>
      </c>
      <c r="E306" s="106"/>
      <c r="F306" s="4">
        <v>0</v>
      </c>
      <c r="G306" s="4">
        <f t="shared" si="20"/>
        <v>462.42144000000002</v>
      </c>
      <c r="H306" s="135"/>
      <c r="I306" s="136"/>
      <c r="J306" s="137"/>
    </row>
    <row r="307" spans="1:10" s="3" customFormat="1" x14ac:dyDescent="0.3">
      <c r="A307" s="4">
        <v>3</v>
      </c>
      <c r="B307" s="57" t="s">
        <v>183</v>
      </c>
      <c r="C307" s="57" t="s">
        <v>272</v>
      </c>
      <c r="D307" s="144">
        <f>(24.63)*10.764</f>
        <v>265.11731999999995</v>
      </c>
      <c r="E307" s="145"/>
      <c r="F307" s="4">
        <v>0</v>
      </c>
      <c r="G307" s="4">
        <f t="shared" si="20"/>
        <v>424.18771199999992</v>
      </c>
      <c r="H307" s="135"/>
      <c r="I307" s="136"/>
      <c r="J307" s="137"/>
    </row>
    <row r="308" spans="1:10" s="3" customFormat="1" x14ac:dyDescent="0.3">
      <c r="A308" s="4">
        <v>4</v>
      </c>
      <c r="B308" s="57" t="s">
        <v>183</v>
      </c>
      <c r="C308" s="57" t="s">
        <v>274</v>
      </c>
      <c r="D308" s="144">
        <f>19.88*10.764</f>
        <v>213.98831999999999</v>
      </c>
      <c r="E308" s="145"/>
      <c r="F308" s="4">
        <v>0</v>
      </c>
      <c r="G308" s="4">
        <f t="shared" si="20"/>
        <v>342.38131199999998</v>
      </c>
      <c r="H308" s="135"/>
      <c r="I308" s="136"/>
      <c r="J308" s="137"/>
    </row>
    <row r="309" spans="1:10" s="3" customFormat="1" x14ac:dyDescent="0.3">
      <c r="A309" s="4">
        <v>5</v>
      </c>
      <c r="B309" s="57" t="s">
        <v>183</v>
      </c>
      <c r="C309" s="57" t="s">
        <v>274</v>
      </c>
      <c r="D309" s="144">
        <f>17.97*10.764</f>
        <v>193.42907999999997</v>
      </c>
      <c r="E309" s="145"/>
      <c r="F309" s="4">
        <v>0</v>
      </c>
      <c r="G309" s="4">
        <f t="shared" si="20"/>
        <v>309.48652799999996</v>
      </c>
      <c r="H309" s="135"/>
      <c r="I309" s="136"/>
      <c r="J309" s="137"/>
    </row>
    <row r="310" spans="1:10" s="3" customFormat="1" ht="15.75" customHeight="1" x14ac:dyDescent="0.3">
      <c r="A310" s="4">
        <v>6</v>
      </c>
      <c r="B310" s="4" t="s">
        <v>183</v>
      </c>
      <c r="C310" s="4" t="s">
        <v>272</v>
      </c>
      <c r="D310" s="105">
        <f>24.4*10.764</f>
        <v>262.64159999999998</v>
      </c>
      <c r="E310" s="106"/>
      <c r="F310" s="4">
        <v>0</v>
      </c>
      <c r="G310" s="4">
        <f t="shared" si="20"/>
        <v>420.22656000000001</v>
      </c>
      <c r="H310" s="135"/>
      <c r="I310" s="136"/>
      <c r="J310" s="137"/>
    </row>
    <row r="311" spans="1:10" s="3" customFormat="1" ht="15.75" customHeight="1" x14ac:dyDescent="0.3">
      <c r="A311" s="4">
        <v>7</v>
      </c>
      <c r="B311" s="4" t="s">
        <v>183</v>
      </c>
      <c r="C311" s="4" t="s">
        <v>272</v>
      </c>
      <c r="D311" s="105">
        <f>31.93*10.764</f>
        <v>343.69451999999995</v>
      </c>
      <c r="E311" s="106"/>
      <c r="F311" s="4">
        <v>0</v>
      </c>
      <c r="G311" s="4">
        <f>D311*1.6+F311</f>
        <v>549.91123199999993</v>
      </c>
      <c r="H311" s="135"/>
      <c r="I311" s="136"/>
      <c r="J311" s="137"/>
    </row>
    <row r="312" spans="1:10" s="3" customFormat="1" x14ac:dyDescent="0.3">
      <c r="A312" s="4">
        <v>8</v>
      </c>
      <c r="B312" s="4" t="s">
        <v>183</v>
      </c>
      <c r="C312" s="4" t="s">
        <v>272</v>
      </c>
      <c r="D312" s="105">
        <f>29.28*10.764</f>
        <v>315.16991999999999</v>
      </c>
      <c r="E312" s="106"/>
      <c r="F312" s="4">
        <v>0</v>
      </c>
      <c r="G312" s="4">
        <f>D312*1.6+F312</f>
        <v>504.27187200000003</v>
      </c>
      <c r="H312" s="138"/>
      <c r="I312" s="139"/>
      <c r="J312" s="140"/>
    </row>
    <row r="313" spans="1:10" s="3" customFormat="1" x14ac:dyDescent="0.3">
      <c r="A313" s="141" t="s">
        <v>316</v>
      </c>
      <c r="B313" s="142"/>
      <c r="C313" s="142"/>
      <c r="D313" s="142"/>
      <c r="E313" s="142"/>
      <c r="F313" s="142"/>
      <c r="G313" s="142"/>
      <c r="H313" s="142"/>
      <c r="I313" s="142"/>
      <c r="J313" s="143"/>
    </row>
    <row r="314" spans="1:10" s="3" customFormat="1" ht="15.75" customHeight="1" x14ac:dyDescent="0.3">
      <c r="A314" s="4">
        <v>1</v>
      </c>
      <c r="B314" s="4" t="s">
        <v>183</v>
      </c>
      <c r="C314" s="4" t="s">
        <v>272</v>
      </c>
      <c r="D314" s="105">
        <f>29.62*10.764</f>
        <v>318.82968</v>
      </c>
      <c r="E314" s="106"/>
      <c r="F314" s="4">
        <v>0</v>
      </c>
      <c r="G314" s="4">
        <f t="shared" ref="G314:G319" si="21">D314*1.6+F314</f>
        <v>510.12748800000003</v>
      </c>
      <c r="H314" s="132" t="str">
        <f>A313</f>
        <v>33rd &amp; 34th Floor</v>
      </c>
      <c r="I314" s="133"/>
      <c r="J314" s="134"/>
    </row>
    <row r="315" spans="1:10" s="3" customFormat="1" ht="15.75" customHeight="1" x14ac:dyDescent="0.3">
      <c r="A315" s="4">
        <v>2</v>
      </c>
      <c r="B315" s="4" t="s">
        <v>183</v>
      </c>
      <c r="C315" s="4" t="s">
        <v>273</v>
      </c>
      <c r="D315" s="105">
        <f>(50.18)*10.764</f>
        <v>540.13751999999999</v>
      </c>
      <c r="E315" s="106"/>
      <c r="F315" s="4">
        <v>0</v>
      </c>
      <c r="G315" s="4">
        <f t="shared" si="21"/>
        <v>864.22003200000006</v>
      </c>
      <c r="H315" s="135"/>
      <c r="I315" s="136"/>
      <c r="J315" s="137"/>
    </row>
    <row r="316" spans="1:10" s="3" customFormat="1" x14ac:dyDescent="0.3">
      <c r="A316" s="4">
        <v>3</v>
      </c>
      <c r="B316" s="4" t="s">
        <v>183</v>
      </c>
      <c r="C316" s="4" t="s">
        <v>274</v>
      </c>
      <c r="D316" s="105">
        <f>19.88*10.764</f>
        <v>213.98831999999999</v>
      </c>
      <c r="E316" s="106"/>
      <c r="F316" s="4">
        <v>0</v>
      </c>
      <c r="G316" s="4">
        <f t="shared" si="21"/>
        <v>342.38131199999998</v>
      </c>
      <c r="H316" s="135"/>
      <c r="I316" s="136"/>
      <c r="J316" s="137"/>
    </row>
    <row r="317" spans="1:10" s="3" customFormat="1" ht="15.75" customHeight="1" x14ac:dyDescent="0.3">
      <c r="A317" s="4">
        <v>4</v>
      </c>
      <c r="B317" s="4" t="s">
        <v>183</v>
      </c>
      <c r="C317" s="4" t="s">
        <v>272</v>
      </c>
      <c r="D317" s="105">
        <f>29.32*10.764</f>
        <v>315.60048</v>
      </c>
      <c r="E317" s="106"/>
      <c r="F317" s="4">
        <v>0</v>
      </c>
      <c r="G317" s="4">
        <f t="shared" si="21"/>
        <v>504.96076800000003</v>
      </c>
      <c r="H317" s="135"/>
      <c r="I317" s="136"/>
      <c r="J317" s="137"/>
    </row>
    <row r="318" spans="1:10" s="3" customFormat="1" x14ac:dyDescent="0.3">
      <c r="A318" s="4">
        <v>5</v>
      </c>
      <c r="B318" s="4" t="s">
        <v>183</v>
      </c>
      <c r="C318" s="4" t="s">
        <v>273</v>
      </c>
      <c r="D318" s="105">
        <f>45.53*10.764</f>
        <v>490.08491999999995</v>
      </c>
      <c r="E318" s="106"/>
      <c r="F318" s="4">
        <v>0</v>
      </c>
      <c r="G318" s="4">
        <f t="shared" si="21"/>
        <v>784.13587199999995</v>
      </c>
      <c r="H318" s="135"/>
      <c r="I318" s="136"/>
      <c r="J318" s="137"/>
    </row>
    <row r="319" spans="1:10" s="1" customFormat="1" x14ac:dyDescent="0.3">
      <c r="A319" s="4">
        <v>6</v>
      </c>
      <c r="B319" s="4" t="s">
        <v>183</v>
      </c>
      <c r="C319" s="4" t="s">
        <v>272</v>
      </c>
      <c r="D319" s="105">
        <f>29.28*10.764</f>
        <v>315.16991999999999</v>
      </c>
      <c r="E319" s="106"/>
      <c r="F319" s="4">
        <v>0</v>
      </c>
      <c r="G319" s="4">
        <f t="shared" si="21"/>
        <v>504.27187200000003</v>
      </c>
      <c r="H319" s="138"/>
      <c r="I319" s="139"/>
      <c r="J319" s="140"/>
    </row>
    <row r="320" spans="1:10" s="14" customFormat="1" x14ac:dyDescent="0.3">
      <c r="A320" s="141" t="s">
        <v>267</v>
      </c>
      <c r="B320" s="142"/>
      <c r="C320" s="142"/>
      <c r="D320" s="142"/>
      <c r="E320" s="142"/>
      <c r="F320" s="142"/>
      <c r="G320" s="142"/>
      <c r="H320" s="142"/>
      <c r="I320" s="142"/>
      <c r="J320" s="143"/>
    </row>
    <row r="321" spans="1:10" x14ac:dyDescent="0.3">
      <c r="A321" s="4">
        <v>1</v>
      </c>
      <c r="B321" s="4" t="s">
        <v>183</v>
      </c>
      <c r="C321" s="4" t="s">
        <v>272</v>
      </c>
      <c r="D321" s="105">
        <f>29.62*10.764</f>
        <v>318.82968</v>
      </c>
      <c r="E321" s="106"/>
      <c r="F321" s="4">
        <v>0</v>
      </c>
      <c r="G321" s="59">
        <f t="shared" ref="G321:G328" si="22">D321*1.6+F321</f>
        <v>510.12748800000003</v>
      </c>
      <c r="H321" s="132" t="str">
        <f>A320</f>
        <v>35th Floor</v>
      </c>
      <c r="I321" s="133"/>
      <c r="J321" s="134"/>
    </row>
    <row r="322" spans="1:10" x14ac:dyDescent="0.3">
      <c r="A322" s="4">
        <f>A321+1</f>
        <v>2</v>
      </c>
      <c r="B322" s="4" t="s">
        <v>183</v>
      </c>
      <c r="C322" s="4" t="s">
        <v>272</v>
      </c>
      <c r="D322" s="105">
        <f>(26.85)*10.764</f>
        <v>289.01339999999999</v>
      </c>
      <c r="E322" s="106"/>
      <c r="F322" s="4">
        <v>0</v>
      </c>
      <c r="G322" s="59">
        <f t="shared" si="22"/>
        <v>462.42144000000002</v>
      </c>
      <c r="H322" s="135"/>
      <c r="I322" s="136"/>
      <c r="J322" s="137"/>
    </row>
    <row r="323" spans="1:10" ht="15.75" customHeight="1" x14ac:dyDescent="0.3">
      <c r="A323" s="4">
        <f t="shared" ref="A323:A328" si="23">A322+1</f>
        <v>3</v>
      </c>
      <c r="B323" s="4" t="s">
        <v>183</v>
      </c>
      <c r="C323" s="4" t="s">
        <v>272</v>
      </c>
      <c r="D323" s="105">
        <f>(24.63)*10.764</f>
        <v>265.11731999999995</v>
      </c>
      <c r="E323" s="106"/>
      <c r="F323" s="4">
        <v>0</v>
      </c>
      <c r="G323" s="59">
        <f t="shared" si="22"/>
        <v>424.18771199999992</v>
      </c>
      <c r="H323" s="135"/>
      <c r="I323" s="136"/>
      <c r="J323" s="137"/>
    </row>
    <row r="324" spans="1:10" x14ac:dyDescent="0.3">
      <c r="A324" s="4">
        <f t="shared" si="23"/>
        <v>4</v>
      </c>
      <c r="B324" s="4" t="s">
        <v>183</v>
      </c>
      <c r="C324" s="4" t="s">
        <v>274</v>
      </c>
      <c r="D324" s="105">
        <f>19.88*10.764</f>
        <v>213.98831999999999</v>
      </c>
      <c r="E324" s="106"/>
      <c r="F324" s="4">
        <v>0</v>
      </c>
      <c r="G324" s="59">
        <f t="shared" si="22"/>
        <v>342.38131199999998</v>
      </c>
      <c r="H324" s="135"/>
      <c r="I324" s="136"/>
      <c r="J324" s="137"/>
    </row>
    <row r="325" spans="1:10" x14ac:dyDescent="0.3">
      <c r="A325" s="4">
        <f t="shared" si="23"/>
        <v>5</v>
      </c>
      <c r="B325" s="4" t="s">
        <v>183</v>
      </c>
      <c r="C325" s="4" t="s">
        <v>274</v>
      </c>
      <c r="D325" s="105">
        <f>(17.97)*10.764</f>
        <v>193.42907999999997</v>
      </c>
      <c r="E325" s="106"/>
      <c r="F325" s="4">
        <v>0</v>
      </c>
      <c r="G325" s="59">
        <f t="shared" si="22"/>
        <v>309.48652799999996</v>
      </c>
      <c r="H325" s="135"/>
      <c r="I325" s="136"/>
      <c r="J325" s="137"/>
    </row>
    <row r="326" spans="1:10" x14ac:dyDescent="0.3">
      <c r="A326" s="4">
        <f t="shared" si="23"/>
        <v>6</v>
      </c>
      <c r="B326" s="4" t="s">
        <v>183</v>
      </c>
      <c r="C326" s="4" t="s">
        <v>272</v>
      </c>
      <c r="D326" s="105">
        <f>(24.4)*10.764</f>
        <v>262.64159999999998</v>
      </c>
      <c r="E326" s="106"/>
      <c r="F326" s="4">
        <v>0</v>
      </c>
      <c r="G326" s="59">
        <f t="shared" si="22"/>
        <v>420.22656000000001</v>
      </c>
      <c r="H326" s="135"/>
      <c r="I326" s="136"/>
      <c r="J326" s="137"/>
    </row>
    <row r="327" spans="1:10" x14ac:dyDescent="0.3">
      <c r="A327" s="4">
        <f t="shared" si="23"/>
        <v>7</v>
      </c>
      <c r="B327" s="4" t="s">
        <v>183</v>
      </c>
      <c r="C327" s="4" t="s">
        <v>272</v>
      </c>
      <c r="D327" s="105">
        <f>(31.93)*10.764</f>
        <v>343.69451999999995</v>
      </c>
      <c r="E327" s="106"/>
      <c r="F327" s="4">
        <v>0</v>
      </c>
      <c r="G327" s="59">
        <f t="shared" si="22"/>
        <v>549.91123199999993</v>
      </c>
      <c r="H327" s="135"/>
      <c r="I327" s="136"/>
      <c r="J327" s="137"/>
    </row>
    <row r="328" spans="1:10" x14ac:dyDescent="0.3">
      <c r="A328" s="4">
        <f t="shared" si="23"/>
        <v>8</v>
      </c>
      <c r="B328" s="4" t="s">
        <v>183</v>
      </c>
      <c r="C328" s="4" t="s">
        <v>272</v>
      </c>
      <c r="D328" s="105">
        <f>(29.28)*10.764</f>
        <v>315.16991999999999</v>
      </c>
      <c r="E328" s="106"/>
      <c r="F328" s="4">
        <v>0</v>
      </c>
      <c r="G328" s="59">
        <f t="shared" si="22"/>
        <v>504.27187200000003</v>
      </c>
      <c r="H328" s="138"/>
      <c r="I328" s="139"/>
      <c r="J328" s="140"/>
    </row>
    <row r="329" spans="1:10" x14ac:dyDescent="0.3">
      <c r="A329" s="149" t="s">
        <v>91</v>
      </c>
      <c r="B329" s="149"/>
      <c r="C329" s="149"/>
      <c r="D329" s="149"/>
      <c r="E329" s="149"/>
      <c r="F329" s="149"/>
      <c r="G329" s="149"/>
      <c r="H329" s="149"/>
      <c r="I329" s="149"/>
      <c r="J329" s="149"/>
    </row>
    <row r="330" spans="1:10" ht="288" customHeight="1" x14ac:dyDescent="0.3">
      <c r="A330" s="246" t="s">
        <v>334</v>
      </c>
      <c r="B330" s="246"/>
      <c r="C330" s="246"/>
      <c r="D330" s="246"/>
      <c r="E330" s="246"/>
      <c r="F330" s="246"/>
      <c r="G330" s="246"/>
      <c r="H330" s="246"/>
      <c r="I330" s="246"/>
      <c r="J330" s="246"/>
    </row>
    <row r="331" spans="1:10" x14ac:dyDescent="0.3">
      <c r="A331" s="247" t="s">
        <v>82</v>
      </c>
      <c r="B331" s="248"/>
      <c r="C331" s="248"/>
      <c r="D331" s="248"/>
      <c r="E331" s="248"/>
      <c r="F331" s="248"/>
      <c r="G331" s="248"/>
      <c r="H331" s="248"/>
      <c r="I331" s="248"/>
      <c r="J331" s="249"/>
    </row>
    <row r="332" spans="1:10" x14ac:dyDescent="0.3">
      <c r="A332" s="89" t="s">
        <v>83</v>
      </c>
      <c r="B332" s="90"/>
      <c r="C332" s="90"/>
      <c r="D332" s="90"/>
      <c r="E332" s="90"/>
      <c r="F332" s="90"/>
      <c r="G332" s="90"/>
      <c r="H332" s="90"/>
      <c r="I332" s="90"/>
      <c r="J332" s="164"/>
    </row>
    <row r="333" spans="1:10" x14ac:dyDescent="0.3">
      <c r="A333" s="247" t="s">
        <v>84</v>
      </c>
      <c r="B333" s="248"/>
      <c r="C333" s="248"/>
      <c r="D333" s="248"/>
      <c r="E333" s="248"/>
      <c r="F333" s="248"/>
      <c r="G333" s="248"/>
      <c r="H333" s="248"/>
      <c r="I333" s="248"/>
      <c r="J333" s="249"/>
    </row>
    <row r="334" spans="1:10" x14ac:dyDescent="0.3">
      <c r="A334" s="89" t="s">
        <v>85</v>
      </c>
      <c r="B334" s="90"/>
      <c r="C334" s="90"/>
      <c r="D334" s="90"/>
      <c r="E334" s="90"/>
      <c r="F334" s="90"/>
      <c r="G334" s="90"/>
      <c r="H334" s="90"/>
      <c r="I334" s="90"/>
      <c r="J334" s="164"/>
    </row>
    <row r="335" spans="1:10" x14ac:dyDescent="0.3">
      <c r="A335" s="89" t="s">
        <v>86</v>
      </c>
      <c r="B335" s="90"/>
      <c r="C335" s="90"/>
      <c r="D335" s="90"/>
      <c r="E335" s="90"/>
      <c r="F335" s="90"/>
      <c r="G335" s="90"/>
      <c r="H335" s="90"/>
      <c r="I335" s="90"/>
      <c r="J335" s="164"/>
    </row>
    <row r="336" spans="1:10" x14ac:dyDescent="0.3">
      <c r="A336" s="89" t="s">
        <v>87</v>
      </c>
      <c r="B336" s="90"/>
      <c r="C336" s="90"/>
      <c r="D336" s="90"/>
      <c r="E336" s="90"/>
      <c r="F336" s="90"/>
      <c r="G336" s="90"/>
      <c r="H336" s="90"/>
      <c r="I336" s="90"/>
      <c r="J336" s="164"/>
    </row>
    <row r="337" spans="1:10" ht="34.799999999999997" customHeight="1" x14ac:dyDescent="0.3">
      <c r="A337" s="91" t="s">
        <v>88</v>
      </c>
      <c r="B337" s="92"/>
      <c r="C337" s="92"/>
      <c r="D337" s="92"/>
      <c r="E337" s="92"/>
      <c r="F337" s="92"/>
      <c r="G337" s="92"/>
      <c r="H337" s="92"/>
      <c r="I337" s="92"/>
      <c r="J337" s="93"/>
    </row>
    <row r="338" spans="1:10" x14ac:dyDescent="0.3">
      <c r="A338" s="245" t="s">
        <v>163</v>
      </c>
      <c r="B338" s="245"/>
      <c r="C338" s="245" t="s">
        <v>336</v>
      </c>
      <c r="D338" s="245"/>
      <c r="E338" s="245" t="s">
        <v>164</v>
      </c>
      <c r="F338" s="245"/>
      <c r="G338" s="245"/>
      <c r="H338" s="245" t="s">
        <v>337</v>
      </c>
      <c r="I338" s="245"/>
      <c r="J338" s="245"/>
    </row>
    <row r="339" spans="1:10" x14ac:dyDescent="0.3">
      <c r="A339" s="236"/>
      <c r="B339" s="237"/>
      <c r="C339" s="237"/>
      <c r="D339" s="237"/>
      <c r="E339" s="237"/>
      <c r="F339" s="237"/>
      <c r="G339" s="237"/>
      <c r="H339" s="237"/>
      <c r="I339" s="237"/>
      <c r="J339" s="238"/>
    </row>
    <row r="340" spans="1:10" x14ac:dyDescent="0.3">
      <c r="A340" s="239"/>
      <c r="B340" s="240"/>
      <c r="C340" s="240"/>
      <c r="D340" s="240"/>
      <c r="E340" s="240"/>
      <c r="F340" s="240"/>
      <c r="G340" s="240"/>
      <c r="H340" s="240"/>
      <c r="I340" s="240"/>
      <c r="J340" s="241"/>
    </row>
    <row r="341" spans="1:10" x14ac:dyDescent="0.3">
      <c r="A341" s="239"/>
      <c r="B341" s="240"/>
      <c r="C341" s="240"/>
      <c r="D341" s="240"/>
      <c r="E341" s="240"/>
      <c r="F341" s="240"/>
      <c r="G341" s="240"/>
      <c r="H341" s="240"/>
      <c r="I341" s="240"/>
      <c r="J341" s="241"/>
    </row>
    <row r="342" spans="1:10" x14ac:dyDescent="0.3">
      <c r="A342" s="242"/>
      <c r="B342" s="243"/>
      <c r="C342" s="243"/>
      <c r="D342" s="243"/>
      <c r="E342" s="243"/>
      <c r="F342" s="243"/>
      <c r="G342" s="243"/>
      <c r="H342" s="243"/>
      <c r="I342" s="243"/>
      <c r="J342" s="244"/>
    </row>
    <row r="343" spans="1:10" x14ac:dyDescent="0.3">
      <c r="A343" s="15" t="s">
        <v>89</v>
      </c>
      <c r="B343" s="16"/>
      <c r="C343" s="16"/>
      <c r="D343" s="15" t="str">
        <f>F8</f>
        <v>Labdhi Seabreeze</v>
      </c>
      <c r="G343" s="36"/>
      <c r="H343" s="36"/>
      <c r="I343" s="36"/>
      <c r="J343" s="36"/>
    </row>
    <row r="344" spans="1:10" x14ac:dyDescent="0.3">
      <c r="A344" s="36"/>
      <c r="B344" s="36"/>
      <c r="C344" s="36"/>
      <c r="D344" s="36"/>
      <c r="E344" s="36"/>
      <c r="F344" s="36"/>
      <c r="G344" s="36"/>
      <c r="H344" s="36"/>
      <c r="I344" s="36"/>
      <c r="J344" s="36"/>
    </row>
    <row r="345" spans="1:10" x14ac:dyDescent="0.3">
      <c r="A345" s="36"/>
      <c r="B345" s="36"/>
      <c r="C345" s="36"/>
      <c r="D345" s="36"/>
      <c r="E345" s="36"/>
      <c r="F345" s="36"/>
      <c r="G345" s="36"/>
      <c r="H345" s="36"/>
      <c r="I345" s="36"/>
      <c r="J345" s="36"/>
    </row>
    <row r="346" spans="1:10" x14ac:dyDescent="0.3">
      <c r="A346" s="36"/>
      <c r="B346" s="36"/>
      <c r="C346" s="36"/>
      <c r="D346" s="36"/>
      <c r="E346" s="36"/>
      <c r="F346" s="36"/>
      <c r="G346" s="36"/>
      <c r="H346" s="36"/>
      <c r="I346" s="36"/>
      <c r="J346" s="36"/>
    </row>
    <row r="347" spans="1:10" x14ac:dyDescent="0.3">
      <c r="A347" s="36"/>
      <c r="B347" s="36"/>
      <c r="C347" s="36"/>
      <c r="D347" s="36"/>
      <c r="E347" s="36"/>
      <c r="F347" s="36"/>
      <c r="G347" s="36"/>
      <c r="H347" s="36"/>
      <c r="I347" s="36"/>
      <c r="J347" s="36"/>
    </row>
    <row r="348" spans="1:10" x14ac:dyDescent="0.3">
      <c r="A348" s="36"/>
      <c r="B348" s="36"/>
      <c r="C348" s="36"/>
      <c r="D348" s="36"/>
      <c r="E348" s="36"/>
      <c r="F348" s="36"/>
      <c r="G348" s="36"/>
      <c r="H348" s="36"/>
      <c r="I348" s="36"/>
      <c r="J348" s="36"/>
    </row>
    <row r="349" spans="1:10" x14ac:dyDescent="0.3">
      <c r="A349" s="36"/>
      <c r="B349" s="36"/>
      <c r="C349" s="36"/>
      <c r="D349" s="36"/>
      <c r="E349" s="36"/>
      <c r="F349" s="36"/>
      <c r="G349" s="36"/>
      <c r="H349" s="36"/>
      <c r="I349" s="36"/>
      <c r="J349" s="36"/>
    </row>
    <row r="350" spans="1:10" x14ac:dyDescent="0.3">
      <c r="A350" s="36"/>
      <c r="B350" s="36"/>
      <c r="C350" s="36"/>
      <c r="D350" s="36"/>
      <c r="E350" s="36"/>
      <c r="F350" s="36"/>
      <c r="G350" s="36"/>
      <c r="H350" s="36"/>
      <c r="I350" s="36"/>
      <c r="J350" s="36"/>
    </row>
    <row r="351" spans="1:10" x14ac:dyDescent="0.3">
      <c r="A351" s="36"/>
      <c r="B351" s="36"/>
      <c r="C351" s="36"/>
      <c r="D351" s="36"/>
      <c r="E351" s="36"/>
      <c r="F351" s="36"/>
      <c r="G351" s="36"/>
      <c r="H351" s="36"/>
      <c r="I351" s="36"/>
      <c r="J351" s="36"/>
    </row>
    <row r="352" spans="1:10" x14ac:dyDescent="0.3">
      <c r="A352" s="36"/>
      <c r="B352" s="36"/>
      <c r="C352" s="36"/>
      <c r="D352" s="36"/>
      <c r="E352" s="36"/>
      <c r="F352" s="36"/>
      <c r="G352" s="36"/>
      <c r="H352" s="36"/>
      <c r="I352" s="36"/>
      <c r="J352" s="36"/>
    </row>
    <row r="353" spans="1:10" x14ac:dyDescent="0.3">
      <c r="A353" s="36"/>
      <c r="B353" s="36"/>
      <c r="C353" s="36"/>
      <c r="D353" s="36"/>
      <c r="E353" s="36"/>
      <c r="F353" s="36"/>
      <c r="G353" s="36"/>
      <c r="H353" s="36"/>
      <c r="I353" s="36"/>
      <c r="J353" s="36"/>
    </row>
    <row r="354" spans="1:10" x14ac:dyDescent="0.3">
      <c r="A354" s="36"/>
      <c r="B354" s="36"/>
      <c r="C354" s="36"/>
      <c r="D354" s="36"/>
      <c r="E354" s="36"/>
      <c r="F354" s="36"/>
      <c r="G354" s="36"/>
      <c r="H354" s="36"/>
      <c r="I354" s="36"/>
      <c r="J354" s="36"/>
    </row>
    <row r="355" spans="1:10" x14ac:dyDescent="0.3">
      <c r="A355" s="36"/>
      <c r="B355" s="36"/>
      <c r="C355" s="36"/>
      <c r="D355" s="36"/>
      <c r="E355" s="36"/>
      <c r="F355" s="36"/>
      <c r="G355" s="36"/>
      <c r="H355" s="36"/>
      <c r="I355" s="36"/>
      <c r="J355" s="36"/>
    </row>
    <row r="356" spans="1:10" x14ac:dyDescent="0.3">
      <c r="A356" s="36"/>
      <c r="B356" s="36"/>
      <c r="C356" s="36"/>
      <c r="D356" s="36"/>
      <c r="E356" s="36"/>
      <c r="F356" s="36"/>
      <c r="G356" s="36"/>
      <c r="H356" s="36"/>
      <c r="I356" s="36"/>
      <c r="J356" s="36"/>
    </row>
    <row r="357" spans="1:10" ht="15" customHeight="1" x14ac:dyDescent="0.3">
      <c r="A357" s="36"/>
      <c r="B357" s="36"/>
      <c r="C357" s="36"/>
      <c r="D357" s="36"/>
      <c r="E357" s="36"/>
      <c r="F357" s="36"/>
      <c r="G357" s="36"/>
      <c r="H357" s="36"/>
      <c r="I357" s="36"/>
      <c r="J357" s="36"/>
    </row>
    <row r="358" spans="1:10" x14ac:dyDescent="0.3">
      <c r="A358" s="36"/>
      <c r="B358" s="36"/>
      <c r="C358" s="36"/>
      <c r="D358" s="36"/>
      <c r="E358" s="36"/>
      <c r="F358" s="36"/>
      <c r="G358" s="36"/>
      <c r="H358" s="36"/>
      <c r="I358" s="36"/>
      <c r="J358" s="36"/>
    </row>
    <row r="359" spans="1:10" x14ac:dyDescent="0.3">
      <c r="A359" s="36"/>
      <c r="B359" s="36"/>
      <c r="C359" s="36"/>
      <c r="D359" s="36"/>
      <c r="E359" s="36"/>
      <c r="F359" s="36"/>
      <c r="G359" s="36"/>
      <c r="H359" s="36"/>
      <c r="I359" s="36"/>
      <c r="J359" s="36"/>
    </row>
    <row r="360" spans="1:10" x14ac:dyDescent="0.3">
      <c r="A360" s="36"/>
      <c r="B360" s="36"/>
      <c r="C360" s="36"/>
      <c r="D360" s="36"/>
      <c r="E360" s="36"/>
      <c r="F360" s="36"/>
      <c r="G360" s="36"/>
      <c r="H360" s="36"/>
      <c r="I360" s="36"/>
      <c r="J360" s="36"/>
    </row>
    <row r="361" spans="1:10" x14ac:dyDescent="0.3">
      <c r="A361" s="36"/>
      <c r="B361" s="36"/>
      <c r="C361" s="36"/>
      <c r="D361" s="36"/>
      <c r="E361" s="36"/>
      <c r="F361" s="36"/>
      <c r="G361" s="36"/>
      <c r="H361" s="36"/>
      <c r="I361" s="36"/>
      <c r="J361" s="36"/>
    </row>
    <row r="362" spans="1:10" x14ac:dyDescent="0.3">
      <c r="A362" s="36"/>
      <c r="B362" s="36"/>
      <c r="C362" s="36"/>
      <c r="D362" s="36"/>
      <c r="E362" s="36"/>
      <c r="F362" s="36"/>
      <c r="G362" s="36"/>
      <c r="H362" s="36"/>
      <c r="I362" s="36"/>
      <c r="J362" s="36"/>
    </row>
    <row r="363" spans="1:10" x14ac:dyDescent="0.3">
      <c r="A363" s="36"/>
      <c r="B363" s="36"/>
      <c r="C363" s="36"/>
      <c r="D363" s="36"/>
      <c r="E363" s="36"/>
      <c r="F363" s="36"/>
      <c r="G363" s="36"/>
      <c r="H363" s="36"/>
      <c r="I363" s="36"/>
      <c r="J363" s="36"/>
    </row>
    <row r="364" spans="1:10" x14ac:dyDescent="0.3">
      <c r="G364" s="16"/>
      <c r="H364" s="16"/>
      <c r="I364" s="16"/>
      <c r="J364" s="16"/>
    </row>
    <row r="365" spans="1:10" x14ac:dyDescent="0.3">
      <c r="A365" s="16"/>
      <c r="B365" s="16"/>
      <c r="C365" s="16"/>
      <c r="D365" s="16"/>
      <c r="E365" s="16"/>
      <c r="F365" s="16"/>
      <c r="G365" s="16"/>
      <c r="H365" s="16"/>
      <c r="I365" s="16"/>
      <c r="J365" s="16"/>
    </row>
    <row r="366" spans="1:10" x14ac:dyDescent="0.3">
      <c r="A366" s="16"/>
      <c r="B366" s="16"/>
      <c r="C366" s="16"/>
      <c r="D366" s="16"/>
      <c r="E366" s="16"/>
      <c r="F366" s="16"/>
      <c r="G366" s="16"/>
      <c r="H366" s="16"/>
      <c r="I366" s="16"/>
      <c r="J366" s="16"/>
    </row>
    <row r="388" spans="1:1" x14ac:dyDescent="0.3">
      <c r="A388" s="17" t="s">
        <v>304</v>
      </c>
    </row>
    <row r="422" spans="1:1" x14ac:dyDescent="0.3">
      <c r="A422" s="17" t="s">
        <v>322</v>
      </c>
    </row>
    <row r="457" spans="1:1" x14ac:dyDescent="0.3">
      <c r="A457" s="17" t="s">
        <v>335</v>
      </c>
    </row>
    <row r="492" spans="1:1" x14ac:dyDescent="0.3">
      <c r="A492" s="17" t="s">
        <v>90</v>
      </c>
    </row>
  </sheetData>
  <sortState xmlns:xlrd2="http://schemas.microsoft.com/office/spreadsheetml/2017/richdata2" ref="C280:D281">
    <sortCondition ref="C280"/>
  </sortState>
  <mergeCells count="492">
    <mergeCell ref="B273:G273"/>
    <mergeCell ref="B268:G268"/>
    <mergeCell ref="B165:G165"/>
    <mergeCell ref="A99:B99"/>
    <mergeCell ref="D99:F99"/>
    <mergeCell ref="G99:J99"/>
    <mergeCell ref="D100:F100"/>
    <mergeCell ref="G100:J100"/>
    <mergeCell ref="A101:A102"/>
    <mergeCell ref="D101:F101"/>
    <mergeCell ref="G101:J101"/>
    <mergeCell ref="D102:F102"/>
    <mergeCell ref="G102:J102"/>
    <mergeCell ref="D215:E215"/>
    <mergeCell ref="D216:E216"/>
    <mergeCell ref="D217:E217"/>
    <mergeCell ref="H247:J252"/>
    <mergeCell ref="D212:E212"/>
    <mergeCell ref="A267:J267"/>
    <mergeCell ref="A246:J246"/>
    <mergeCell ref="H207:J212"/>
    <mergeCell ref="D189:E189"/>
    <mergeCell ref="D183:E183"/>
    <mergeCell ref="D184:E184"/>
    <mergeCell ref="D90:F90"/>
    <mergeCell ref="G90:J90"/>
    <mergeCell ref="A92:B92"/>
    <mergeCell ref="D92:F92"/>
    <mergeCell ref="G92:J92"/>
    <mergeCell ref="A52:B52"/>
    <mergeCell ref="A53:C53"/>
    <mergeCell ref="D53:E53"/>
    <mergeCell ref="F53:G53"/>
    <mergeCell ref="H53:J53"/>
    <mergeCell ref="D63:E63"/>
    <mergeCell ref="F63:G63"/>
    <mergeCell ref="H63:J63"/>
    <mergeCell ref="H64:J73"/>
    <mergeCell ref="D66:E66"/>
    <mergeCell ref="A54:J54"/>
    <mergeCell ref="A55:C55"/>
    <mergeCell ref="D55:E55"/>
    <mergeCell ref="F55:G55"/>
    <mergeCell ref="H55:J55"/>
    <mergeCell ref="A59:J59"/>
    <mergeCell ref="A60:B60"/>
    <mergeCell ref="A63:B63"/>
    <mergeCell ref="A85:F85"/>
    <mergeCell ref="D324:E324"/>
    <mergeCell ref="D325:E325"/>
    <mergeCell ref="D327:E327"/>
    <mergeCell ref="D328:E328"/>
    <mergeCell ref="H321:J328"/>
    <mergeCell ref="A253:J253"/>
    <mergeCell ref="D254:E254"/>
    <mergeCell ref="H254:J259"/>
    <mergeCell ref="D255:E255"/>
    <mergeCell ref="D256:E256"/>
    <mergeCell ref="D257:E257"/>
    <mergeCell ref="D258:E258"/>
    <mergeCell ref="D259:E259"/>
    <mergeCell ref="D270:E270"/>
    <mergeCell ref="D271:E271"/>
    <mergeCell ref="H297:J303"/>
    <mergeCell ref="A260:J260"/>
    <mergeCell ref="D269:E269"/>
    <mergeCell ref="D283:E283"/>
    <mergeCell ref="D261:E261"/>
    <mergeCell ref="H282:J287"/>
    <mergeCell ref="H289:J295"/>
    <mergeCell ref="D264:E264"/>
    <mergeCell ref="D263:E263"/>
    <mergeCell ref="A320:J320"/>
    <mergeCell ref="D322:E322"/>
    <mergeCell ref="H47:J47"/>
    <mergeCell ref="A164:J164"/>
    <mergeCell ref="H137:J142"/>
    <mergeCell ref="H144:J149"/>
    <mergeCell ref="H151:J156"/>
    <mergeCell ref="H158:J163"/>
    <mergeCell ref="H165:J170"/>
    <mergeCell ref="D156:E156"/>
    <mergeCell ref="I61:J61"/>
    <mergeCell ref="A65:B65"/>
    <mergeCell ref="D65:E65"/>
    <mergeCell ref="D68:E68"/>
    <mergeCell ref="A72:B72"/>
    <mergeCell ref="D97:F97"/>
    <mergeCell ref="G97:J97"/>
    <mergeCell ref="D163:E163"/>
    <mergeCell ref="D133:E133"/>
    <mergeCell ref="D117:E117"/>
    <mergeCell ref="D120:E120"/>
    <mergeCell ref="D235:E235"/>
    <mergeCell ref="H226:J231"/>
    <mergeCell ref="D231:E231"/>
    <mergeCell ref="H222:J224"/>
    <mergeCell ref="B224:G224"/>
    <mergeCell ref="B226:G226"/>
    <mergeCell ref="B227:G227"/>
    <mergeCell ref="B230:G230"/>
    <mergeCell ref="H233:J238"/>
    <mergeCell ref="D236:E236"/>
    <mergeCell ref="D238:E238"/>
    <mergeCell ref="C237:G237"/>
    <mergeCell ref="A232:J232"/>
    <mergeCell ref="A225:J225"/>
    <mergeCell ref="D229:E229"/>
    <mergeCell ref="D228:E228"/>
    <mergeCell ref="D242:E242"/>
    <mergeCell ref="D243:E243"/>
    <mergeCell ref="D245:E245"/>
    <mergeCell ref="D244:E244"/>
    <mergeCell ref="H240:J245"/>
    <mergeCell ref="D240:E240"/>
    <mergeCell ref="B265:G266"/>
    <mergeCell ref="G96:J96"/>
    <mergeCell ref="G103:J103"/>
    <mergeCell ref="A103:B103"/>
    <mergeCell ref="D103:F103"/>
    <mergeCell ref="A106:J106"/>
    <mergeCell ref="D96:F96"/>
    <mergeCell ref="A98:J98"/>
    <mergeCell ref="A135:J135"/>
    <mergeCell ref="D118:E118"/>
    <mergeCell ref="D128:E128"/>
    <mergeCell ref="D116:E116"/>
    <mergeCell ref="D160:E160"/>
    <mergeCell ref="D161:E161"/>
    <mergeCell ref="D162:E162"/>
    <mergeCell ref="H214:J219"/>
    <mergeCell ref="D233:E233"/>
    <mergeCell ref="D234:E234"/>
    <mergeCell ref="A157:J157"/>
    <mergeCell ref="D155:E155"/>
    <mergeCell ref="D154:E154"/>
    <mergeCell ref="D151:E151"/>
    <mergeCell ref="D152:E152"/>
    <mergeCell ref="D153:E153"/>
    <mergeCell ref="A108:J108"/>
    <mergeCell ref="A109:J109"/>
    <mergeCell ref="A110:J110"/>
    <mergeCell ref="D115:E115"/>
    <mergeCell ref="D129:E129"/>
    <mergeCell ref="D148:E148"/>
    <mergeCell ref="B140:G140"/>
    <mergeCell ref="B141:G141"/>
    <mergeCell ref="D144:E144"/>
    <mergeCell ref="D145:E145"/>
    <mergeCell ref="D146:E146"/>
    <mergeCell ref="D147:E147"/>
    <mergeCell ref="B139:G139"/>
    <mergeCell ref="D123:E123"/>
    <mergeCell ref="D119:E119"/>
    <mergeCell ref="D134:E134"/>
    <mergeCell ref="D285:E285"/>
    <mergeCell ref="D286:E286"/>
    <mergeCell ref="D287:E287"/>
    <mergeCell ref="A288:J288"/>
    <mergeCell ref="D289:E289"/>
    <mergeCell ref="D107:E107"/>
    <mergeCell ref="D125:E125"/>
    <mergeCell ref="D127:E127"/>
    <mergeCell ref="D111:E111"/>
    <mergeCell ref="D137:E137"/>
    <mergeCell ref="A143:J143"/>
    <mergeCell ref="D112:E112"/>
    <mergeCell ref="D113:E113"/>
    <mergeCell ref="D114:E114"/>
    <mergeCell ref="D121:E121"/>
    <mergeCell ref="D122:E122"/>
    <mergeCell ref="H107:J107"/>
    <mergeCell ref="H111:J134"/>
    <mergeCell ref="B138:G138"/>
    <mergeCell ref="D132:E132"/>
    <mergeCell ref="D130:E130"/>
    <mergeCell ref="D131:E131"/>
    <mergeCell ref="D124:E124"/>
    <mergeCell ref="D175:E175"/>
    <mergeCell ref="A339:J342"/>
    <mergeCell ref="A338:B338"/>
    <mergeCell ref="E338:G338"/>
    <mergeCell ref="C338:D338"/>
    <mergeCell ref="H338:J338"/>
    <mergeCell ref="A335:J335"/>
    <mergeCell ref="A336:J336"/>
    <mergeCell ref="A337:J337"/>
    <mergeCell ref="A330:J330"/>
    <mergeCell ref="A331:J331"/>
    <mergeCell ref="A332:J332"/>
    <mergeCell ref="A333:J333"/>
    <mergeCell ref="A334:J334"/>
    <mergeCell ref="A27:B27"/>
    <mergeCell ref="C27:D27"/>
    <mergeCell ref="E27:F27"/>
    <mergeCell ref="G27:H27"/>
    <mergeCell ref="I27:J27"/>
    <mergeCell ref="A18:B18"/>
    <mergeCell ref="C18:E18"/>
    <mergeCell ref="F18:G18"/>
    <mergeCell ref="H18:J18"/>
    <mergeCell ref="A19:E20"/>
    <mergeCell ref="F19:J20"/>
    <mergeCell ref="A21:E22"/>
    <mergeCell ref="F21:J22"/>
    <mergeCell ref="G28:H28"/>
    <mergeCell ref="I28:J28"/>
    <mergeCell ref="A39:E39"/>
    <mergeCell ref="F39:J39"/>
    <mergeCell ref="A35:E35"/>
    <mergeCell ref="F35:J35"/>
    <mergeCell ref="A29:B29"/>
    <mergeCell ref="C29:D29"/>
    <mergeCell ref="E29:F29"/>
    <mergeCell ref="G29:H29"/>
    <mergeCell ref="I29:J29"/>
    <mergeCell ref="A31:J31"/>
    <mergeCell ref="A32:B32"/>
    <mergeCell ref="A30:J30"/>
    <mergeCell ref="A34:J34"/>
    <mergeCell ref="A36:E36"/>
    <mergeCell ref="F36:J36"/>
    <mergeCell ref="A37:J37"/>
    <mergeCell ref="A33:B33"/>
    <mergeCell ref="C33:J33"/>
    <mergeCell ref="C32:J32"/>
    <mergeCell ref="A14:B14"/>
    <mergeCell ref="A11:E11"/>
    <mergeCell ref="F11:J11"/>
    <mergeCell ref="A12:E12"/>
    <mergeCell ref="F12:J12"/>
    <mergeCell ref="A13:B13"/>
    <mergeCell ref="C13:J13"/>
    <mergeCell ref="C14:J14"/>
    <mergeCell ref="A10:E10"/>
    <mergeCell ref="F10:J10"/>
    <mergeCell ref="A1:J1"/>
    <mergeCell ref="A2:J2"/>
    <mergeCell ref="A3:E3"/>
    <mergeCell ref="F3:J3"/>
    <mergeCell ref="A4:E4"/>
    <mergeCell ref="A8:E8"/>
    <mergeCell ref="F8:J8"/>
    <mergeCell ref="A9:E9"/>
    <mergeCell ref="F9:J9"/>
    <mergeCell ref="F4:J4"/>
    <mergeCell ref="A5:E5"/>
    <mergeCell ref="F5:J5"/>
    <mergeCell ref="A6:E6"/>
    <mergeCell ref="F6:J6"/>
    <mergeCell ref="A7:E7"/>
    <mergeCell ref="F7:J7"/>
    <mergeCell ref="A44:J4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6:B16"/>
    <mergeCell ref="C16:E16"/>
    <mergeCell ref="F16:G16"/>
    <mergeCell ref="H16:J16"/>
    <mergeCell ref="A28:B28"/>
    <mergeCell ref="C28:D28"/>
    <mergeCell ref="E28:F28"/>
    <mergeCell ref="D284:E284"/>
    <mergeCell ref="A38:E38"/>
    <mergeCell ref="F38:J38"/>
    <mergeCell ref="H45:J45"/>
    <mergeCell ref="H46:J46"/>
    <mergeCell ref="A46:B46"/>
    <mergeCell ref="C46:F46"/>
    <mergeCell ref="C50:F50"/>
    <mergeCell ref="A45:B45"/>
    <mergeCell ref="C45:F45"/>
    <mergeCell ref="A40:E40"/>
    <mergeCell ref="F40:J40"/>
    <mergeCell ref="A41:E41"/>
    <mergeCell ref="F41:J41"/>
    <mergeCell ref="A42:E42"/>
    <mergeCell ref="F42:J42"/>
    <mergeCell ref="A43:E43"/>
    <mergeCell ref="H48:J48"/>
    <mergeCell ref="C48:F48"/>
    <mergeCell ref="C49:J49"/>
    <mergeCell ref="A47:B51"/>
    <mergeCell ref="C51:J51"/>
    <mergeCell ref="C47:F47"/>
    <mergeCell ref="F43:J43"/>
    <mergeCell ref="D211:E211"/>
    <mergeCell ref="A86:F86"/>
    <mergeCell ref="G86:J86"/>
    <mergeCell ref="D95:F95"/>
    <mergeCell ref="G95:J95"/>
    <mergeCell ref="D94:F94"/>
    <mergeCell ref="G94:J94"/>
    <mergeCell ref="A88:J88"/>
    <mergeCell ref="A87:F87"/>
    <mergeCell ref="D188:E188"/>
    <mergeCell ref="C193:G193"/>
    <mergeCell ref="H193:J198"/>
    <mergeCell ref="H186:J191"/>
    <mergeCell ref="H200:J205"/>
    <mergeCell ref="D179:E179"/>
    <mergeCell ref="D180:E180"/>
    <mergeCell ref="D166:E166"/>
    <mergeCell ref="D167:E167"/>
    <mergeCell ref="A94:B94"/>
    <mergeCell ref="D191:E191"/>
    <mergeCell ref="A192:J192"/>
    <mergeCell ref="D169:E169"/>
    <mergeCell ref="D158:E158"/>
    <mergeCell ref="D159:E159"/>
    <mergeCell ref="D292:E292"/>
    <mergeCell ref="D293:E293"/>
    <mergeCell ref="D294:E294"/>
    <mergeCell ref="A313:J313"/>
    <mergeCell ref="D314:E314"/>
    <mergeCell ref="D315:E315"/>
    <mergeCell ref="D316:E316"/>
    <mergeCell ref="H314:J319"/>
    <mergeCell ref="D317:E317"/>
    <mergeCell ref="D318:E318"/>
    <mergeCell ref="D319:E319"/>
    <mergeCell ref="D297:E297"/>
    <mergeCell ref="D298:E298"/>
    <mergeCell ref="D300:E300"/>
    <mergeCell ref="D311:E311"/>
    <mergeCell ref="H305:J312"/>
    <mergeCell ref="D312:E312"/>
    <mergeCell ref="D307:E307"/>
    <mergeCell ref="D308:E308"/>
    <mergeCell ref="D309:E309"/>
    <mergeCell ref="D310:E310"/>
    <mergeCell ref="D306:E306"/>
    <mergeCell ref="D305:E305"/>
    <mergeCell ref="B301:G303"/>
    <mergeCell ref="A329:J329"/>
    <mergeCell ref="D321:E321"/>
    <mergeCell ref="D323:E323"/>
    <mergeCell ref="D326:E326"/>
    <mergeCell ref="A239:J239"/>
    <mergeCell ref="H50:J50"/>
    <mergeCell ref="A136:J136"/>
    <mergeCell ref="D142:E142"/>
    <mergeCell ref="A89:B89"/>
    <mergeCell ref="D89:F89"/>
    <mergeCell ref="G89:J89"/>
    <mergeCell ref="A91:B91"/>
    <mergeCell ref="D91:F91"/>
    <mergeCell ref="G91:J91"/>
    <mergeCell ref="A93:J93"/>
    <mergeCell ref="G87:J87"/>
    <mergeCell ref="A77:J77"/>
    <mergeCell ref="A78:F78"/>
    <mergeCell ref="G78:J78"/>
    <mergeCell ref="A75:J75"/>
    <mergeCell ref="A76:B76"/>
    <mergeCell ref="D241:E241"/>
    <mergeCell ref="D299:E299"/>
    <mergeCell ref="A296:J296"/>
    <mergeCell ref="A304:J304"/>
    <mergeCell ref="D247:E247"/>
    <mergeCell ref="D248:E248"/>
    <mergeCell ref="D249:E249"/>
    <mergeCell ref="D250:E250"/>
    <mergeCell ref="D251:E251"/>
    <mergeCell ref="D252:E252"/>
    <mergeCell ref="H261:J266"/>
    <mergeCell ref="H268:J273"/>
    <mergeCell ref="D282:E282"/>
    <mergeCell ref="D262:E262"/>
    <mergeCell ref="D295:E295"/>
    <mergeCell ref="A281:J281"/>
    <mergeCell ref="D272:E272"/>
    <mergeCell ref="A274:J274"/>
    <mergeCell ref="D275:E275"/>
    <mergeCell ref="H275:J280"/>
    <mergeCell ref="D276:E276"/>
    <mergeCell ref="D277:E277"/>
    <mergeCell ref="D278:E278"/>
    <mergeCell ref="D279:E279"/>
    <mergeCell ref="D280:E280"/>
    <mergeCell ref="D290:E290"/>
    <mergeCell ref="D291:E291"/>
    <mergeCell ref="G81:J81"/>
    <mergeCell ref="A82:F82"/>
    <mergeCell ref="A221:J221"/>
    <mergeCell ref="D222:E222"/>
    <mergeCell ref="D223:E223"/>
    <mergeCell ref="A220:J220"/>
    <mergeCell ref="D218:E218"/>
    <mergeCell ref="D219:E219"/>
    <mergeCell ref="A213:J213"/>
    <mergeCell ref="D214:E214"/>
    <mergeCell ref="D149:E149"/>
    <mergeCell ref="A171:J171"/>
    <mergeCell ref="A178:J178"/>
    <mergeCell ref="D176:E176"/>
    <mergeCell ref="D177:E177"/>
    <mergeCell ref="D173:E173"/>
    <mergeCell ref="D186:E186"/>
    <mergeCell ref="D182:E182"/>
    <mergeCell ref="A185:J185"/>
    <mergeCell ref="D168:E168"/>
    <mergeCell ref="D170:E170"/>
    <mergeCell ref="A150:J150"/>
    <mergeCell ref="D190:E190"/>
    <mergeCell ref="D210:E210"/>
    <mergeCell ref="H179:J184"/>
    <mergeCell ref="D181:E181"/>
    <mergeCell ref="A206:J206"/>
    <mergeCell ref="D207:E207"/>
    <mergeCell ref="D208:E208"/>
    <mergeCell ref="D209:E209"/>
    <mergeCell ref="G104:J104"/>
    <mergeCell ref="A97:B97"/>
    <mergeCell ref="D194:E194"/>
    <mergeCell ref="D195:E195"/>
    <mergeCell ref="D204:E204"/>
    <mergeCell ref="D205:E205"/>
    <mergeCell ref="A199:J199"/>
    <mergeCell ref="D200:E200"/>
    <mergeCell ref="D201:E201"/>
    <mergeCell ref="D202:E202"/>
    <mergeCell ref="D203:E203"/>
    <mergeCell ref="D196:E196"/>
    <mergeCell ref="D197:E197"/>
    <mergeCell ref="D198:E198"/>
    <mergeCell ref="D187:E187"/>
    <mergeCell ref="H172:J177"/>
    <mergeCell ref="D174:E174"/>
    <mergeCell ref="D126:E126"/>
    <mergeCell ref="D172:E172"/>
    <mergeCell ref="C76:J76"/>
    <mergeCell ref="A67:B67"/>
    <mergeCell ref="D67:E67"/>
    <mergeCell ref="A68:B68"/>
    <mergeCell ref="D64:E64"/>
    <mergeCell ref="D72:E72"/>
    <mergeCell ref="A73:B73"/>
    <mergeCell ref="D73:E73"/>
    <mergeCell ref="A69:B69"/>
    <mergeCell ref="A71:B71"/>
    <mergeCell ref="D71:E71"/>
    <mergeCell ref="F64:G73"/>
    <mergeCell ref="D69:E69"/>
    <mergeCell ref="A70:B70"/>
    <mergeCell ref="D70:E70"/>
    <mergeCell ref="A105:J105"/>
    <mergeCell ref="A64:B64"/>
    <mergeCell ref="A104:B104"/>
    <mergeCell ref="D104:F104"/>
    <mergeCell ref="A66:B66"/>
    <mergeCell ref="A74:J74"/>
    <mergeCell ref="A90:B90"/>
    <mergeCell ref="A83:F83"/>
    <mergeCell ref="G83:J83"/>
    <mergeCell ref="A84:F84"/>
    <mergeCell ref="G84:I84"/>
    <mergeCell ref="G85:I85"/>
    <mergeCell ref="L38:P38"/>
    <mergeCell ref="L39:P39"/>
    <mergeCell ref="L40:P40"/>
    <mergeCell ref="L41:P41"/>
    <mergeCell ref="L42:P42"/>
    <mergeCell ref="A62:B62"/>
    <mergeCell ref="C62:J62"/>
    <mergeCell ref="A56:B56"/>
    <mergeCell ref="A58:C58"/>
    <mergeCell ref="D58:J58"/>
    <mergeCell ref="E61:F61"/>
    <mergeCell ref="C60:J60"/>
    <mergeCell ref="C57:J57"/>
    <mergeCell ref="C56:J56"/>
    <mergeCell ref="A57:B57"/>
    <mergeCell ref="A79:F79"/>
    <mergeCell ref="G79:J79"/>
    <mergeCell ref="A80:F80"/>
    <mergeCell ref="G80:J80"/>
    <mergeCell ref="A81:F81"/>
  </mergeCells>
  <phoneticPr fontId="18" type="noConversion"/>
  <hyperlinks>
    <hyperlink ref="C33" r:id="rId1" xr:uid="{00000000-0004-0000-0000-000000000000}"/>
  </hyperlinks>
  <printOptions horizontalCentered="1"/>
  <pageMargins left="0.35433070866141703" right="0.39370078740157499" top="0.78740157480314998" bottom="0.59055118110236204" header="0.196850393700787" footer="0.196850393700787"/>
  <pageSetup paperSize="9" scale="98" fitToHeight="0" orientation="portrait" r:id="rId2"/>
  <headerFooter>
    <oddHeader>&amp;C&amp;G</oddHeader>
    <oddFooter>&amp;L&amp;"Times New Roman,Bold"&amp;12Ref No: &amp;F&amp;C&amp;G&amp;R&amp;"Times New Roman,Bold"&amp;12&amp;P</oddFooter>
  </headerFooter>
  <rowBreaks count="5" manualBreakCount="5">
    <brk id="342" max="9" man="1"/>
    <brk id="387" max="9" man="1"/>
    <brk id="421" max="9" man="1"/>
    <brk id="456" max="9" man="1"/>
    <brk id="491"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29"/>
  <sheetViews>
    <sheetView workbookViewId="0">
      <selection activeCell="C8" sqref="C8"/>
    </sheetView>
  </sheetViews>
  <sheetFormatPr defaultRowHeight="13.8" x14ac:dyDescent="0.25"/>
  <cols>
    <col min="1" max="1" width="20.5546875" style="19" customWidth="1"/>
    <col min="2" max="2" width="11.5546875" style="19" customWidth="1"/>
    <col min="3" max="4" width="9.109375" style="19"/>
    <col min="5" max="5" width="10.109375" style="19" customWidth="1"/>
    <col min="6" max="6" width="10.5546875" style="19" customWidth="1"/>
    <col min="7" max="7" width="9.109375" style="19"/>
    <col min="8" max="8" width="10.44140625" style="19" customWidth="1"/>
    <col min="9" max="9" width="15.44140625" style="19" customWidth="1"/>
    <col min="10" max="258" width="9.109375" style="19"/>
    <col min="259" max="259" width="11.5546875" style="19" customWidth="1"/>
    <col min="260" max="260" width="9.109375" style="19"/>
    <col min="261" max="261" width="14.5546875" style="19" customWidth="1"/>
    <col min="262" max="262" width="10.5546875" style="19" customWidth="1"/>
    <col min="263" max="514" width="9.109375" style="19"/>
    <col min="515" max="515" width="11.5546875" style="19" customWidth="1"/>
    <col min="516" max="516" width="9.109375" style="19"/>
    <col min="517" max="517" width="14.5546875" style="19" customWidth="1"/>
    <col min="518" max="518" width="10.5546875" style="19" customWidth="1"/>
    <col min="519" max="770" width="9.109375" style="19"/>
    <col min="771" max="771" width="11.5546875" style="19" customWidth="1"/>
    <col min="772" max="772" width="9.109375" style="19"/>
    <col min="773" max="773" width="14.5546875" style="19" customWidth="1"/>
    <col min="774" max="774" width="10.5546875" style="19" customWidth="1"/>
    <col min="775" max="1026" width="9.109375" style="19"/>
    <col min="1027" max="1027" width="11.5546875" style="19" customWidth="1"/>
    <col min="1028" max="1028" width="9.109375" style="19"/>
    <col min="1029" max="1029" width="14.5546875" style="19" customWidth="1"/>
    <col min="1030" max="1030" width="10.5546875" style="19" customWidth="1"/>
    <col min="1031" max="1282" width="9.109375" style="19"/>
    <col min="1283" max="1283" width="11.5546875" style="19" customWidth="1"/>
    <col min="1284" max="1284" width="9.109375" style="19"/>
    <col min="1285" max="1285" width="14.5546875" style="19" customWidth="1"/>
    <col min="1286" max="1286" width="10.5546875" style="19" customWidth="1"/>
    <col min="1287" max="1538" width="9.109375" style="19"/>
    <col min="1539" max="1539" width="11.5546875" style="19" customWidth="1"/>
    <col min="1540" max="1540" width="9.109375" style="19"/>
    <col min="1541" max="1541" width="14.5546875" style="19" customWidth="1"/>
    <col min="1542" max="1542" width="10.5546875" style="19" customWidth="1"/>
    <col min="1543" max="1794" width="9.109375" style="19"/>
    <col min="1795" max="1795" width="11.5546875" style="19" customWidth="1"/>
    <col min="1796" max="1796" width="9.109375" style="19"/>
    <col min="1797" max="1797" width="14.5546875" style="19" customWidth="1"/>
    <col min="1798" max="1798" width="10.5546875" style="19" customWidth="1"/>
    <col min="1799" max="2050" width="9.109375" style="19"/>
    <col min="2051" max="2051" width="11.5546875" style="19" customWidth="1"/>
    <col min="2052" max="2052" width="9.109375" style="19"/>
    <col min="2053" max="2053" width="14.5546875" style="19" customWidth="1"/>
    <col min="2054" max="2054" width="10.5546875" style="19" customWidth="1"/>
    <col min="2055" max="2306" width="9.109375" style="19"/>
    <col min="2307" max="2307" width="11.5546875" style="19" customWidth="1"/>
    <col min="2308" max="2308" width="9.109375" style="19"/>
    <col min="2309" max="2309" width="14.5546875" style="19" customWidth="1"/>
    <col min="2310" max="2310" width="10.5546875" style="19" customWidth="1"/>
    <col min="2311" max="2562" width="9.109375" style="19"/>
    <col min="2563" max="2563" width="11.5546875" style="19" customWidth="1"/>
    <col min="2564" max="2564" width="9.109375" style="19"/>
    <col min="2565" max="2565" width="14.5546875" style="19" customWidth="1"/>
    <col min="2566" max="2566" width="10.5546875" style="19" customWidth="1"/>
    <col min="2567" max="2818" width="9.109375" style="19"/>
    <col min="2819" max="2819" width="11.5546875" style="19" customWidth="1"/>
    <col min="2820" max="2820" width="9.109375" style="19"/>
    <col min="2821" max="2821" width="14.5546875" style="19" customWidth="1"/>
    <col min="2822" max="2822" width="10.5546875" style="19" customWidth="1"/>
    <col min="2823" max="3074" width="9.109375" style="19"/>
    <col min="3075" max="3075" width="11.5546875" style="19" customWidth="1"/>
    <col min="3076" max="3076" width="9.109375" style="19"/>
    <col min="3077" max="3077" width="14.5546875" style="19" customWidth="1"/>
    <col min="3078" max="3078" width="10.5546875" style="19" customWidth="1"/>
    <col min="3079" max="3330" width="9.109375" style="19"/>
    <col min="3331" max="3331" width="11.5546875" style="19" customWidth="1"/>
    <col min="3332" max="3332" width="9.109375" style="19"/>
    <col min="3333" max="3333" width="14.5546875" style="19" customWidth="1"/>
    <col min="3334" max="3334" width="10.5546875" style="19" customWidth="1"/>
    <col min="3335" max="3586" width="9.109375" style="19"/>
    <col min="3587" max="3587" width="11.5546875" style="19" customWidth="1"/>
    <col min="3588" max="3588" width="9.109375" style="19"/>
    <col min="3589" max="3589" width="14.5546875" style="19" customWidth="1"/>
    <col min="3590" max="3590" width="10.5546875" style="19" customWidth="1"/>
    <col min="3591" max="3842" width="9.109375" style="19"/>
    <col min="3843" max="3843" width="11.5546875" style="19" customWidth="1"/>
    <col min="3844" max="3844" width="9.109375" style="19"/>
    <col min="3845" max="3845" width="14.5546875" style="19" customWidth="1"/>
    <col min="3846" max="3846" width="10.5546875" style="19" customWidth="1"/>
    <col min="3847" max="4098" width="9.109375" style="19"/>
    <col min="4099" max="4099" width="11.5546875" style="19" customWidth="1"/>
    <col min="4100" max="4100" width="9.109375" style="19"/>
    <col min="4101" max="4101" width="14.5546875" style="19" customWidth="1"/>
    <col min="4102" max="4102" width="10.5546875" style="19" customWidth="1"/>
    <col min="4103" max="4354" width="9.109375" style="19"/>
    <col min="4355" max="4355" width="11.5546875" style="19" customWidth="1"/>
    <col min="4356" max="4356" width="9.109375" style="19"/>
    <col min="4357" max="4357" width="14.5546875" style="19" customWidth="1"/>
    <col min="4358" max="4358" width="10.5546875" style="19" customWidth="1"/>
    <col min="4359" max="4610" width="9.109375" style="19"/>
    <col min="4611" max="4611" width="11.5546875" style="19" customWidth="1"/>
    <col min="4612" max="4612" width="9.109375" style="19"/>
    <col min="4613" max="4613" width="14.5546875" style="19" customWidth="1"/>
    <col min="4614" max="4614" width="10.5546875" style="19" customWidth="1"/>
    <col min="4615" max="4866" width="9.109375" style="19"/>
    <col min="4867" max="4867" width="11.5546875" style="19" customWidth="1"/>
    <col min="4868" max="4868" width="9.109375" style="19"/>
    <col min="4869" max="4869" width="14.5546875" style="19" customWidth="1"/>
    <col min="4870" max="4870" width="10.5546875" style="19" customWidth="1"/>
    <col min="4871" max="5122" width="9.109375" style="19"/>
    <col min="5123" max="5123" width="11.5546875" style="19" customWidth="1"/>
    <col min="5124" max="5124" width="9.109375" style="19"/>
    <col min="5125" max="5125" width="14.5546875" style="19" customWidth="1"/>
    <col min="5126" max="5126" width="10.5546875" style="19" customWidth="1"/>
    <col min="5127" max="5378" width="9.109375" style="19"/>
    <col min="5379" max="5379" width="11.5546875" style="19" customWidth="1"/>
    <col min="5380" max="5380" width="9.109375" style="19"/>
    <col min="5381" max="5381" width="14.5546875" style="19" customWidth="1"/>
    <col min="5382" max="5382" width="10.5546875" style="19" customWidth="1"/>
    <col min="5383" max="5634" width="9.109375" style="19"/>
    <col min="5635" max="5635" width="11.5546875" style="19" customWidth="1"/>
    <col min="5636" max="5636" width="9.109375" style="19"/>
    <col min="5637" max="5637" width="14.5546875" style="19" customWidth="1"/>
    <col min="5638" max="5638" width="10.5546875" style="19" customWidth="1"/>
    <col min="5639" max="5890" width="9.109375" style="19"/>
    <col min="5891" max="5891" width="11.5546875" style="19" customWidth="1"/>
    <col min="5892" max="5892" width="9.109375" style="19"/>
    <col min="5893" max="5893" width="14.5546875" style="19" customWidth="1"/>
    <col min="5894" max="5894" width="10.5546875" style="19" customWidth="1"/>
    <col min="5895" max="6146" width="9.109375" style="19"/>
    <col min="6147" max="6147" width="11.5546875" style="19" customWidth="1"/>
    <col min="6148" max="6148" width="9.109375" style="19"/>
    <col min="6149" max="6149" width="14.5546875" style="19" customWidth="1"/>
    <col min="6150" max="6150" width="10.5546875" style="19" customWidth="1"/>
    <col min="6151" max="6402" width="9.109375" style="19"/>
    <col min="6403" max="6403" width="11.5546875" style="19" customWidth="1"/>
    <col min="6404" max="6404" width="9.109375" style="19"/>
    <col min="6405" max="6405" width="14.5546875" style="19" customWidth="1"/>
    <col min="6406" max="6406" width="10.5546875" style="19" customWidth="1"/>
    <col min="6407" max="6658" width="9.109375" style="19"/>
    <col min="6659" max="6659" width="11.5546875" style="19" customWidth="1"/>
    <col min="6660" max="6660" width="9.109375" style="19"/>
    <col min="6661" max="6661" width="14.5546875" style="19" customWidth="1"/>
    <col min="6662" max="6662" width="10.5546875" style="19" customWidth="1"/>
    <col min="6663" max="6914" width="9.109375" style="19"/>
    <col min="6915" max="6915" width="11.5546875" style="19" customWidth="1"/>
    <col min="6916" max="6916" width="9.109375" style="19"/>
    <col min="6917" max="6917" width="14.5546875" style="19" customWidth="1"/>
    <col min="6918" max="6918" width="10.5546875" style="19" customWidth="1"/>
    <col min="6919" max="7170" width="9.109375" style="19"/>
    <col min="7171" max="7171" width="11.5546875" style="19" customWidth="1"/>
    <col min="7172" max="7172" width="9.109375" style="19"/>
    <col min="7173" max="7173" width="14.5546875" style="19" customWidth="1"/>
    <col min="7174" max="7174" width="10.5546875" style="19" customWidth="1"/>
    <col min="7175" max="7426" width="9.109375" style="19"/>
    <col min="7427" max="7427" width="11.5546875" style="19" customWidth="1"/>
    <col min="7428" max="7428" width="9.109375" style="19"/>
    <col min="7429" max="7429" width="14.5546875" style="19" customWidth="1"/>
    <col min="7430" max="7430" width="10.5546875" style="19" customWidth="1"/>
    <col min="7431" max="7682" width="9.109375" style="19"/>
    <col min="7683" max="7683" width="11.5546875" style="19" customWidth="1"/>
    <col min="7684" max="7684" width="9.109375" style="19"/>
    <col min="7685" max="7685" width="14.5546875" style="19" customWidth="1"/>
    <col min="7686" max="7686" width="10.5546875" style="19" customWidth="1"/>
    <col min="7687" max="7938" width="9.109375" style="19"/>
    <col min="7939" max="7939" width="11.5546875" style="19" customWidth="1"/>
    <col min="7940" max="7940" width="9.109375" style="19"/>
    <col min="7941" max="7941" width="14.5546875" style="19" customWidth="1"/>
    <col min="7942" max="7942" width="10.5546875" style="19" customWidth="1"/>
    <col min="7943" max="8194" width="9.109375" style="19"/>
    <col min="8195" max="8195" width="11.5546875" style="19" customWidth="1"/>
    <col min="8196" max="8196" width="9.109375" style="19"/>
    <col min="8197" max="8197" width="14.5546875" style="19" customWidth="1"/>
    <col min="8198" max="8198" width="10.5546875" style="19" customWidth="1"/>
    <col min="8199" max="8450" width="9.109375" style="19"/>
    <col min="8451" max="8451" width="11.5546875" style="19" customWidth="1"/>
    <col min="8452" max="8452" width="9.109375" style="19"/>
    <col min="8453" max="8453" width="14.5546875" style="19" customWidth="1"/>
    <col min="8454" max="8454" width="10.5546875" style="19" customWidth="1"/>
    <col min="8455" max="8706" width="9.109375" style="19"/>
    <col min="8707" max="8707" width="11.5546875" style="19" customWidth="1"/>
    <col min="8708" max="8708" width="9.109375" style="19"/>
    <col min="8709" max="8709" width="14.5546875" style="19" customWidth="1"/>
    <col min="8710" max="8710" width="10.5546875" style="19" customWidth="1"/>
    <col min="8711" max="8962" width="9.109375" style="19"/>
    <col min="8963" max="8963" width="11.5546875" style="19" customWidth="1"/>
    <col min="8964" max="8964" width="9.109375" style="19"/>
    <col min="8965" max="8965" width="14.5546875" style="19" customWidth="1"/>
    <col min="8966" max="8966" width="10.5546875" style="19" customWidth="1"/>
    <col min="8967" max="9218" width="9.109375" style="19"/>
    <col min="9219" max="9219" width="11.5546875" style="19" customWidth="1"/>
    <col min="9220" max="9220" width="9.109375" style="19"/>
    <col min="9221" max="9221" width="14.5546875" style="19" customWidth="1"/>
    <col min="9222" max="9222" width="10.5546875" style="19" customWidth="1"/>
    <col min="9223" max="9474" width="9.109375" style="19"/>
    <col min="9475" max="9475" width="11.5546875" style="19" customWidth="1"/>
    <col min="9476" max="9476" width="9.109375" style="19"/>
    <col min="9477" max="9477" width="14.5546875" style="19" customWidth="1"/>
    <col min="9478" max="9478" width="10.5546875" style="19" customWidth="1"/>
    <col min="9479" max="9730" width="9.109375" style="19"/>
    <col min="9731" max="9731" width="11.5546875" style="19" customWidth="1"/>
    <col min="9732" max="9732" width="9.109375" style="19"/>
    <col min="9733" max="9733" width="14.5546875" style="19" customWidth="1"/>
    <col min="9734" max="9734" width="10.5546875" style="19" customWidth="1"/>
    <col min="9735" max="9986" width="9.109375" style="19"/>
    <col min="9987" max="9987" width="11.5546875" style="19" customWidth="1"/>
    <col min="9988" max="9988" width="9.109375" style="19"/>
    <col min="9989" max="9989" width="14.5546875" style="19" customWidth="1"/>
    <col min="9990" max="9990" width="10.5546875" style="19" customWidth="1"/>
    <col min="9991" max="10242" width="9.109375" style="19"/>
    <col min="10243" max="10243" width="11.5546875" style="19" customWidth="1"/>
    <col min="10244" max="10244" width="9.109375" style="19"/>
    <col min="10245" max="10245" width="14.5546875" style="19" customWidth="1"/>
    <col min="10246" max="10246" width="10.5546875" style="19" customWidth="1"/>
    <col min="10247" max="10498" width="9.109375" style="19"/>
    <col min="10499" max="10499" width="11.5546875" style="19" customWidth="1"/>
    <col min="10500" max="10500" width="9.109375" style="19"/>
    <col min="10501" max="10501" width="14.5546875" style="19" customWidth="1"/>
    <col min="10502" max="10502" width="10.5546875" style="19" customWidth="1"/>
    <col min="10503" max="10754" width="9.109375" style="19"/>
    <col min="10755" max="10755" width="11.5546875" style="19" customWidth="1"/>
    <col min="10756" max="10756" width="9.109375" style="19"/>
    <col min="10757" max="10757" width="14.5546875" style="19" customWidth="1"/>
    <col min="10758" max="10758" width="10.5546875" style="19" customWidth="1"/>
    <col min="10759" max="11010" width="9.109375" style="19"/>
    <col min="11011" max="11011" width="11.5546875" style="19" customWidth="1"/>
    <col min="11012" max="11012" width="9.109375" style="19"/>
    <col min="11013" max="11013" width="14.5546875" style="19" customWidth="1"/>
    <col min="11014" max="11014" width="10.5546875" style="19" customWidth="1"/>
    <col min="11015" max="11266" width="9.109375" style="19"/>
    <col min="11267" max="11267" width="11.5546875" style="19" customWidth="1"/>
    <col min="11268" max="11268" width="9.109375" style="19"/>
    <col min="11269" max="11269" width="14.5546875" style="19" customWidth="1"/>
    <col min="11270" max="11270" width="10.5546875" style="19" customWidth="1"/>
    <col min="11271" max="11522" width="9.109375" style="19"/>
    <col min="11523" max="11523" width="11.5546875" style="19" customWidth="1"/>
    <col min="11524" max="11524" width="9.109375" style="19"/>
    <col min="11525" max="11525" width="14.5546875" style="19" customWidth="1"/>
    <col min="11526" max="11526" width="10.5546875" style="19" customWidth="1"/>
    <col min="11527" max="11778" width="9.109375" style="19"/>
    <col min="11779" max="11779" width="11.5546875" style="19" customWidth="1"/>
    <col min="11780" max="11780" width="9.109375" style="19"/>
    <col min="11781" max="11781" width="14.5546875" style="19" customWidth="1"/>
    <col min="11782" max="11782" width="10.5546875" style="19" customWidth="1"/>
    <col min="11783" max="12034" width="9.109375" style="19"/>
    <col min="12035" max="12035" width="11.5546875" style="19" customWidth="1"/>
    <col min="12036" max="12036" width="9.109375" style="19"/>
    <col min="12037" max="12037" width="14.5546875" style="19" customWidth="1"/>
    <col min="12038" max="12038" width="10.5546875" style="19" customWidth="1"/>
    <col min="12039" max="12290" width="9.109375" style="19"/>
    <col min="12291" max="12291" width="11.5546875" style="19" customWidth="1"/>
    <col min="12292" max="12292" width="9.109375" style="19"/>
    <col min="12293" max="12293" width="14.5546875" style="19" customWidth="1"/>
    <col min="12294" max="12294" width="10.5546875" style="19" customWidth="1"/>
    <col min="12295" max="12546" width="9.109375" style="19"/>
    <col min="12547" max="12547" width="11.5546875" style="19" customWidth="1"/>
    <col min="12548" max="12548" width="9.109375" style="19"/>
    <col min="12549" max="12549" width="14.5546875" style="19" customWidth="1"/>
    <col min="12550" max="12550" width="10.5546875" style="19" customWidth="1"/>
    <col min="12551" max="12802" width="9.109375" style="19"/>
    <col min="12803" max="12803" width="11.5546875" style="19" customWidth="1"/>
    <col min="12804" max="12804" width="9.109375" style="19"/>
    <col min="12805" max="12805" width="14.5546875" style="19" customWidth="1"/>
    <col min="12806" max="12806" width="10.5546875" style="19" customWidth="1"/>
    <col min="12807" max="13058" width="9.109375" style="19"/>
    <col min="13059" max="13059" width="11.5546875" style="19" customWidth="1"/>
    <col min="13060" max="13060" width="9.109375" style="19"/>
    <col min="13061" max="13061" width="14.5546875" style="19" customWidth="1"/>
    <col min="13062" max="13062" width="10.5546875" style="19" customWidth="1"/>
    <col min="13063" max="13314" width="9.109375" style="19"/>
    <col min="13315" max="13315" width="11.5546875" style="19" customWidth="1"/>
    <col min="13316" max="13316" width="9.109375" style="19"/>
    <col min="13317" max="13317" width="14.5546875" style="19" customWidth="1"/>
    <col min="13318" max="13318" width="10.5546875" style="19" customWidth="1"/>
    <col min="13319" max="13570" width="9.109375" style="19"/>
    <col min="13571" max="13571" width="11.5546875" style="19" customWidth="1"/>
    <col min="13572" max="13572" width="9.109375" style="19"/>
    <col min="13573" max="13573" width="14.5546875" style="19" customWidth="1"/>
    <col min="13574" max="13574" width="10.5546875" style="19" customWidth="1"/>
    <col min="13575" max="13826" width="9.109375" style="19"/>
    <col min="13827" max="13827" width="11.5546875" style="19" customWidth="1"/>
    <col min="13828" max="13828" width="9.109375" style="19"/>
    <col min="13829" max="13829" width="14.5546875" style="19" customWidth="1"/>
    <col min="13830" max="13830" width="10.5546875" style="19" customWidth="1"/>
    <col min="13831" max="14082" width="9.109375" style="19"/>
    <col min="14083" max="14083" width="11.5546875" style="19" customWidth="1"/>
    <col min="14084" max="14084" width="9.109375" style="19"/>
    <col min="14085" max="14085" width="14.5546875" style="19" customWidth="1"/>
    <col min="14086" max="14086" width="10.5546875" style="19" customWidth="1"/>
    <col min="14087" max="14338" width="9.109375" style="19"/>
    <col min="14339" max="14339" width="11.5546875" style="19" customWidth="1"/>
    <col min="14340" max="14340" width="9.109375" style="19"/>
    <col min="14341" max="14341" width="14.5546875" style="19" customWidth="1"/>
    <col min="14342" max="14342" width="10.5546875" style="19" customWidth="1"/>
    <col min="14343" max="14594" width="9.109375" style="19"/>
    <col min="14595" max="14595" width="11.5546875" style="19" customWidth="1"/>
    <col min="14596" max="14596" width="9.109375" style="19"/>
    <col min="14597" max="14597" width="14.5546875" style="19" customWidth="1"/>
    <col min="14598" max="14598" width="10.5546875" style="19" customWidth="1"/>
    <col min="14599" max="14850" width="9.109375" style="19"/>
    <col min="14851" max="14851" width="11.5546875" style="19" customWidth="1"/>
    <col min="14852" max="14852" width="9.109375" style="19"/>
    <col min="14853" max="14853" width="14.5546875" style="19" customWidth="1"/>
    <col min="14854" max="14854" width="10.5546875" style="19" customWidth="1"/>
    <col min="14855" max="15106" width="9.109375" style="19"/>
    <col min="15107" max="15107" width="11.5546875" style="19" customWidth="1"/>
    <col min="15108" max="15108" width="9.109375" style="19"/>
    <col min="15109" max="15109" width="14.5546875" style="19" customWidth="1"/>
    <col min="15110" max="15110" width="10.5546875" style="19" customWidth="1"/>
    <col min="15111" max="15362" width="9.109375" style="19"/>
    <col min="15363" max="15363" width="11.5546875" style="19" customWidth="1"/>
    <col min="15364" max="15364" width="9.109375" style="19"/>
    <col min="15365" max="15365" width="14.5546875" style="19" customWidth="1"/>
    <col min="15366" max="15366" width="10.5546875" style="19" customWidth="1"/>
    <col min="15367" max="15618" width="9.109375" style="19"/>
    <col min="15619" max="15619" width="11.5546875" style="19" customWidth="1"/>
    <col min="15620" max="15620" width="9.109375" style="19"/>
    <col min="15621" max="15621" width="14.5546875" style="19" customWidth="1"/>
    <col min="15622" max="15622" width="10.5546875" style="19" customWidth="1"/>
    <col min="15623" max="15874" width="9.109375" style="19"/>
    <col min="15875" max="15875" width="11.5546875" style="19" customWidth="1"/>
    <col min="15876" max="15876" width="9.109375" style="19"/>
    <col min="15877" max="15877" width="14.5546875" style="19" customWidth="1"/>
    <col min="15878" max="15878" width="10.5546875" style="19" customWidth="1"/>
    <col min="15879" max="16130" width="9.109375" style="19"/>
    <col min="16131" max="16131" width="11.5546875" style="19" customWidth="1"/>
    <col min="16132" max="16132" width="9.109375" style="19"/>
    <col min="16133" max="16133" width="14.5546875" style="19" customWidth="1"/>
    <col min="16134" max="16134" width="10.5546875" style="19" customWidth="1"/>
    <col min="16135" max="16384" width="9.109375" style="19"/>
  </cols>
  <sheetData>
    <row r="2" spans="1:13" x14ac:dyDescent="0.25">
      <c r="A2" s="20" t="s">
        <v>126</v>
      </c>
      <c r="B2" s="20" t="s">
        <v>127</v>
      </c>
      <c r="C2" s="20" t="s">
        <v>128</v>
      </c>
      <c r="D2" s="293" t="s">
        <v>129</v>
      </c>
      <c r="E2" s="293"/>
    </row>
    <row r="3" spans="1:13" x14ac:dyDescent="0.25">
      <c r="A3" s="23">
        <v>0</v>
      </c>
      <c r="B3" s="23">
        <v>0</v>
      </c>
      <c r="C3" s="23">
        <v>1</v>
      </c>
      <c r="D3" s="294">
        <v>36</v>
      </c>
      <c r="E3" s="294"/>
    </row>
    <row r="5" spans="1:13" hidden="1" x14ac:dyDescent="0.25">
      <c r="A5" s="19" t="s">
        <v>92</v>
      </c>
      <c r="B5" s="21" t="s">
        <v>143</v>
      </c>
      <c r="C5" s="21">
        <f>D3</f>
        <v>36</v>
      </c>
      <c r="D5" s="22"/>
    </row>
    <row r="6" spans="1:13" x14ac:dyDescent="0.25">
      <c r="A6" s="19" t="s">
        <v>93</v>
      </c>
      <c r="B6" s="24">
        <v>10</v>
      </c>
      <c r="C6" s="25">
        <v>10</v>
      </c>
      <c r="D6" s="26">
        <f>((100/B6)*C6)/100</f>
        <v>1</v>
      </c>
    </row>
    <row r="7" spans="1:13" x14ac:dyDescent="0.25">
      <c r="A7" s="19" t="s">
        <v>94</v>
      </c>
      <c r="B7" s="24">
        <f>A3+B3+C3+D3</f>
        <v>37</v>
      </c>
      <c r="C7" s="25">
        <v>4</v>
      </c>
      <c r="D7" s="26">
        <f t="shared" ref="D7:D12" si="0">((100/B7)*C7)/100</f>
        <v>0.1081081081081081</v>
      </c>
      <c r="F7" s="296" t="s">
        <v>144</v>
      </c>
      <c r="G7" s="296"/>
      <c r="H7" s="27" t="s">
        <v>145</v>
      </c>
      <c r="J7" s="33"/>
    </row>
    <row r="8" spans="1:13" x14ac:dyDescent="0.25">
      <c r="A8" s="19" t="s">
        <v>99</v>
      </c>
      <c r="B8" s="24">
        <f>C5</f>
        <v>36</v>
      </c>
      <c r="C8" s="25">
        <v>0.5</v>
      </c>
      <c r="D8" s="26">
        <f t="shared" si="0"/>
        <v>1.3888888888888888E-2</v>
      </c>
      <c r="F8" s="295" t="s">
        <v>146</v>
      </c>
      <c r="G8" s="295"/>
      <c r="H8" s="24" t="s">
        <v>147</v>
      </c>
    </row>
    <row r="9" spans="1:13" x14ac:dyDescent="0.25">
      <c r="A9" s="19" t="s">
        <v>101</v>
      </c>
      <c r="B9" s="24">
        <f>C5</f>
        <v>36</v>
      </c>
      <c r="C9" s="25">
        <v>0</v>
      </c>
      <c r="D9" s="26">
        <f t="shared" si="0"/>
        <v>0</v>
      </c>
      <c r="F9" s="295" t="s">
        <v>148</v>
      </c>
      <c r="G9" s="295"/>
      <c r="H9" s="24" t="s">
        <v>149</v>
      </c>
    </row>
    <row r="10" spans="1:13" x14ac:dyDescent="0.25">
      <c r="A10" s="19" t="s">
        <v>66</v>
      </c>
      <c r="B10" s="24">
        <f>C5</f>
        <v>36</v>
      </c>
      <c r="C10" s="25">
        <v>0</v>
      </c>
      <c r="D10" s="26">
        <f t="shared" si="0"/>
        <v>0</v>
      </c>
      <c r="F10" s="295" t="s">
        <v>150</v>
      </c>
      <c r="G10" s="295"/>
      <c r="H10" s="24" t="s">
        <v>151</v>
      </c>
    </row>
    <row r="11" spans="1:13" x14ac:dyDescent="0.25">
      <c r="A11" s="28" t="s">
        <v>97</v>
      </c>
      <c r="B11" s="24">
        <f>C5</f>
        <v>36</v>
      </c>
      <c r="C11" s="25">
        <v>0</v>
      </c>
      <c r="D11" s="26">
        <f t="shared" si="0"/>
        <v>0</v>
      </c>
      <c r="F11" s="295" t="s">
        <v>152</v>
      </c>
      <c r="G11" s="295"/>
      <c r="H11" s="24" t="s">
        <v>153</v>
      </c>
    </row>
    <row r="12" spans="1:13" x14ac:dyDescent="0.25">
      <c r="A12" s="19" t="s">
        <v>67</v>
      </c>
      <c r="B12" s="24">
        <f>C5</f>
        <v>36</v>
      </c>
      <c r="C12" s="25">
        <v>0</v>
      </c>
      <c r="D12" s="26">
        <f t="shared" si="0"/>
        <v>0</v>
      </c>
      <c r="F12" s="295" t="s">
        <v>154</v>
      </c>
      <c r="G12" s="295"/>
      <c r="H12" s="24" t="s">
        <v>155</v>
      </c>
    </row>
    <row r="13" spans="1:13" x14ac:dyDescent="0.25">
      <c r="F13" s="295" t="s">
        <v>156</v>
      </c>
      <c r="G13" s="295"/>
      <c r="H13" s="24" t="s">
        <v>157</v>
      </c>
    </row>
    <row r="14" spans="1:13" hidden="1" x14ac:dyDescent="0.25">
      <c r="A14" s="20"/>
      <c r="B14" s="20" t="s">
        <v>98</v>
      </c>
      <c r="C14" s="20" t="s">
        <v>102</v>
      </c>
      <c r="G14" s="20" t="s">
        <v>93</v>
      </c>
      <c r="H14" s="20" t="s">
        <v>95</v>
      </c>
      <c r="I14" s="20" t="s">
        <v>96</v>
      </c>
      <c r="J14" s="20" t="s">
        <v>65</v>
      </c>
      <c r="K14" s="20" t="s">
        <v>66</v>
      </c>
      <c r="L14" s="20" t="s">
        <v>97</v>
      </c>
      <c r="M14" s="20" t="s">
        <v>67</v>
      </c>
    </row>
    <row r="15" spans="1:13" hidden="1" x14ac:dyDescent="0.25">
      <c r="A15" s="20" t="s">
        <v>63</v>
      </c>
      <c r="B15" s="20">
        <f>G15</f>
        <v>10</v>
      </c>
      <c r="C15" s="20">
        <f>G16</f>
        <v>30</v>
      </c>
      <c r="E15" s="293" t="s">
        <v>98</v>
      </c>
      <c r="F15" s="293"/>
      <c r="G15" s="29">
        <f>C6</f>
        <v>10</v>
      </c>
      <c r="H15" s="29">
        <f>40/B7*C7</f>
        <v>4.3243243243243246</v>
      </c>
      <c r="I15" s="29">
        <f>15/B8*C8</f>
        <v>0.20833333333333334</v>
      </c>
      <c r="J15" s="29">
        <f>10/B9*C9</f>
        <v>0</v>
      </c>
      <c r="K15" s="29">
        <f>10/B10*C10</f>
        <v>0</v>
      </c>
      <c r="L15" s="29">
        <f>5/B11*C11</f>
        <v>0</v>
      </c>
      <c r="M15" s="29">
        <f>5/B12*C12</f>
        <v>0</v>
      </c>
    </row>
    <row r="16" spans="1:13" hidden="1" x14ac:dyDescent="0.25">
      <c r="A16" s="20" t="s">
        <v>64</v>
      </c>
      <c r="B16" s="20">
        <f>H15</f>
        <v>4.3243243243243246</v>
      </c>
      <c r="C16" s="20">
        <f>H16</f>
        <v>3.2432432432432434</v>
      </c>
      <c r="E16" s="293" t="s">
        <v>100</v>
      </c>
      <c r="F16" s="293"/>
      <c r="G16" s="20">
        <f>G15+20</f>
        <v>30</v>
      </c>
      <c r="H16" s="20">
        <f>30/B7*C7</f>
        <v>3.2432432432432434</v>
      </c>
      <c r="I16" s="20">
        <f>15/B8*C8</f>
        <v>0.20833333333333334</v>
      </c>
      <c r="J16" s="20">
        <f>10/B9*C9</f>
        <v>0</v>
      </c>
      <c r="K16" s="20">
        <f>5/B10*C10</f>
        <v>0</v>
      </c>
      <c r="L16" s="20">
        <f>5/B11*C11</f>
        <v>0</v>
      </c>
      <c r="M16" s="20">
        <f>5/B12*C12</f>
        <v>0</v>
      </c>
    </row>
    <row r="17" spans="1:8" hidden="1" x14ac:dyDescent="0.25">
      <c r="A17" s="20" t="s">
        <v>96</v>
      </c>
      <c r="B17" s="20">
        <f>I15</f>
        <v>0.20833333333333334</v>
      </c>
      <c r="C17" s="20">
        <f>I16</f>
        <v>0.20833333333333334</v>
      </c>
    </row>
    <row r="18" spans="1:8" hidden="1" x14ac:dyDescent="0.25">
      <c r="A18" s="20" t="s">
        <v>65</v>
      </c>
      <c r="B18" s="20">
        <f>J15</f>
        <v>0</v>
      </c>
      <c r="C18" s="20">
        <f>J16</f>
        <v>0</v>
      </c>
    </row>
    <row r="19" spans="1:8" hidden="1" x14ac:dyDescent="0.25">
      <c r="A19" s="20" t="s">
        <v>66</v>
      </c>
      <c r="B19" s="20">
        <f>K15</f>
        <v>0</v>
      </c>
      <c r="C19" s="20">
        <f>K16</f>
        <v>0</v>
      </c>
    </row>
    <row r="20" spans="1:8" hidden="1" x14ac:dyDescent="0.25">
      <c r="A20" s="30" t="s">
        <v>97</v>
      </c>
      <c r="B20" s="20">
        <f>L15</f>
        <v>0</v>
      </c>
      <c r="C20" s="20">
        <f>L16</f>
        <v>0</v>
      </c>
    </row>
    <row r="21" spans="1:8" hidden="1" x14ac:dyDescent="0.25">
      <c r="A21" s="20" t="s">
        <v>67</v>
      </c>
      <c r="B21" s="20">
        <f>M15</f>
        <v>0</v>
      </c>
      <c r="C21" s="20">
        <f>M16</f>
        <v>0</v>
      </c>
    </row>
    <row r="22" spans="1:8" x14ac:dyDescent="0.25">
      <c r="A22" s="20" t="s">
        <v>103</v>
      </c>
      <c r="B22" s="31">
        <f>(B15+B16+B17+B18+B19+B20+B21)/100</f>
        <v>0.14532657657657658</v>
      </c>
      <c r="C22" s="31">
        <f>(C15+C16+C17+C18+C19+C20+C21)/100</f>
        <v>0.3345157657657658</v>
      </c>
      <c r="F22" s="295" t="s">
        <v>158</v>
      </c>
      <c r="G22" s="295"/>
      <c r="H22" s="24" t="s">
        <v>149</v>
      </c>
    </row>
    <row r="23" spans="1:8" x14ac:dyDescent="0.25">
      <c r="F23" s="295" t="s">
        <v>159</v>
      </c>
      <c r="G23" s="295"/>
      <c r="H23" s="24" t="s">
        <v>160</v>
      </c>
    </row>
    <row r="24" spans="1:8" x14ac:dyDescent="0.25">
      <c r="A24" s="19" t="s">
        <v>134</v>
      </c>
      <c r="B24" s="32">
        <v>0.01</v>
      </c>
      <c r="C24" s="32">
        <v>0.02</v>
      </c>
      <c r="F24" s="295" t="s">
        <v>161</v>
      </c>
      <c r="G24" s="295"/>
      <c r="H24" s="24" t="s">
        <v>162</v>
      </c>
    </row>
    <row r="25" spans="1:8" x14ac:dyDescent="0.25">
      <c r="A25" s="19" t="s">
        <v>135</v>
      </c>
      <c r="B25" s="32">
        <v>0.01</v>
      </c>
      <c r="C25" s="32">
        <v>0.03</v>
      </c>
    </row>
    <row r="26" spans="1:8" x14ac:dyDescent="0.25">
      <c r="A26" s="19" t="s">
        <v>136</v>
      </c>
      <c r="B26" s="32">
        <v>0.03</v>
      </c>
      <c r="C26" s="32">
        <v>0.08</v>
      </c>
    </row>
    <row r="27" spans="1:8" x14ac:dyDescent="0.25">
      <c r="A27" s="19" t="s">
        <v>137</v>
      </c>
      <c r="B27" s="32">
        <v>0.05</v>
      </c>
      <c r="C27" s="32">
        <v>0.15</v>
      </c>
    </row>
    <row r="28" spans="1:8" x14ac:dyDescent="0.25">
      <c r="A28" s="19" t="s">
        <v>138</v>
      </c>
      <c r="B28" s="32">
        <v>7.0000000000000007E-2</v>
      </c>
      <c r="C28" s="32">
        <v>0.2</v>
      </c>
    </row>
    <row r="29" spans="1:8" x14ac:dyDescent="0.25">
      <c r="A29" s="19" t="s">
        <v>139</v>
      </c>
      <c r="B29" s="32">
        <v>0.1</v>
      </c>
      <c r="C29" s="32">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topLeftCell="A16" workbookViewId="0">
      <selection activeCell="D29" sqref="D29"/>
    </sheetView>
  </sheetViews>
  <sheetFormatPr defaultRowHeight="14.4" x14ac:dyDescent="0.3"/>
  <cols>
    <col min="2" max="2" width="12.44140625" customWidth="1"/>
  </cols>
  <sheetData>
    <row r="2" spans="1:12" x14ac:dyDescent="0.3">
      <c r="B2" s="5" t="s">
        <v>104</v>
      </c>
      <c r="C2" s="297"/>
      <c r="D2" s="297"/>
    </row>
    <row r="3" spans="1:12" x14ac:dyDescent="0.3">
      <c r="D3" s="6"/>
      <c r="E3" s="6"/>
      <c r="F3" s="6"/>
      <c r="G3" s="6"/>
      <c r="H3" s="6"/>
      <c r="I3" s="6"/>
    </row>
    <row r="4" spans="1:12" x14ac:dyDescent="0.3">
      <c r="A4" s="5" t="s">
        <v>105</v>
      </c>
      <c r="B4" s="7" t="s">
        <v>106</v>
      </c>
      <c r="C4" s="298" t="s">
        <v>107</v>
      </c>
      <c r="D4" s="298"/>
      <c r="E4" s="298"/>
      <c r="F4" s="8"/>
      <c r="G4" s="298" t="s">
        <v>108</v>
      </c>
      <c r="H4" s="298"/>
      <c r="I4" s="298"/>
      <c r="J4" s="298" t="s">
        <v>109</v>
      </c>
      <c r="K4" s="298"/>
      <c r="L4" s="298"/>
    </row>
    <row r="5" spans="1:12" x14ac:dyDescent="0.3">
      <c r="A5" s="5">
        <v>202</v>
      </c>
      <c r="B5" s="7"/>
      <c r="C5" s="7" t="s">
        <v>110</v>
      </c>
      <c r="D5" s="7" t="s">
        <v>111</v>
      </c>
      <c r="E5" s="7" t="s">
        <v>75</v>
      </c>
      <c r="F5" s="7"/>
      <c r="G5" s="7" t="s">
        <v>110</v>
      </c>
      <c r="H5" s="7" t="s">
        <v>111</v>
      </c>
      <c r="I5" s="7" t="s">
        <v>75</v>
      </c>
      <c r="J5" s="7" t="s">
        <v>110</v>
      </c>
      <c r="K5" s="7" t="s">
        <v>111</v>
      </c>
      <c r="L5" s="7" t="s">
        <v>75</v>
      </c>
    </row>
    <row r="6" spans="1:12" x14ac:dyDescent="0.3">
      <c r="B6" s="9" t="s">
        <v>112</v>
      </c>
      <c r="C6" s="9">
        <v>2.4500000000000002</v>
      </c>
      <c r="D6" s="9">
        <v>5.15</v>
      </c>
      <c r="E6" s="9">
        <f>C6*D6</f>
        <v>12.617500000000001</v>
      </c>
      <c r="F6" s="9" t="s">
        <v>113</v>
      </c>
      <c r="G6" s="9"/>
      <c r="H6" s="9"/>
      <c r="I6" s="9">
        <f>G6*H6</f>
        <v>0</v>
      </c>
      <c r="J6" s="9"/>
      <c r="K6" s="9"/>
      <c r="L6" s="9">
        <f>J6*K6</f>
        <v>0</v>
      </c>
    </row>
    <row r="7" spans="1:12" x14ac:dyDescent="0.3">
      <c r="B7" s="9"/>
      <c r="C7" s="9"/>
      <c r="D7" s="9"/>
      <c r="E7" s="9">
        <f t="shared" ref="E7:E33" si="0">C7*D7</f>
        <v>0</v>
      </c>
      <c r="F7" s="9" t="s">
        <v>114</v>
      </c>
      <c r="G7" s="9"/>
      <c r="H7" s="9"/>
      <c r="I7" s="9">
        <f t="shared" ref="I7:I29" si="1">G7*H7</f>
        <v>0</v>
      </c>
      <c r="J7" s="9"/>
      <c r="K7" s="9"/>
      <c r="L7" s="9">
        <f t="shared" ref="L7:L29" si="2">J7*K7</f>
        <v>0</v>
      </c>
    </row>
    <row r="8" spans="1:12" x14ac:dyDescent="0.3">
      <c r="B8" s="9"/>
      <c r="C8" s="9"/>
      <c r="D8" s="9"/>
      <c r="E8" s="9">
        <f t="shared" si="0"/>
        <v>0</v>
      </c>
      <c r="F8" s="9"/>
      <c r="G8" s="9"/>
      <c r="H8" s="9"/>
      <c r="I8" s="9">
        <f t="shared" si="1"/>
        <v>0</v>
      </c>
      <c r="J8" s="9"/>
      <c r="K8" s="9"/>
      <c r="L8" s="9">
        <f t="shared" si="2"/>
        <v>0</v>
      </c>
    </row>
    <row r="9" spans="1:12" x14ac:dyDescent="0.3">
      <c r="B9" s="9" t="s">
        <v>115</v>
      </c>
      <c r="C9" s="9">
        <v>1.93</v>
      </c>
      <c r="D9" s="9">
        <v>3</v>
      </c>
      <c r="E9" s="9">
        <f t="shared" si="0"/>
        <v>5.79</v>
      </c>
      <c r="F9" s="9" t="s">
        <v>113</v>
      </c>
      <c r="G9" s="9"/>
      <c r="H9" s="9"/>
      <c r="I9" s="9">
        <f t="shared" si="1"/>
        <v>0</v>
      </c>
      <c r="J9" s="9"/>
      <c r="K9" s="9"/>
      <c r="L9" s="9">
        <f t="shared" si="2"/>
        <v>0</v>
      </c>
    </row>
    <row r="10" spans="1:12" x14ac:dyDescent="0.3">
      <c r="B10" s="9"/>
      <c r="C10" s="9"/>
      <c r="D10" s="9"/>
      <c r="E10" s="9">
        <f t="shared" si="0"/>
        <v>0</v>
      </c>
      <c r="F10" s="9" t="s">
        <v>114</v>
      </c>
      <c r="G10" s="9"/>
      <c r="H10" s="9"/>
      <c r="I10" s="9">
        <f t="shared" si="1"/>
        <v>0</v>
      </c>
      <c r="J10" s="9"/>
      <c r="K10" s="9"/>
      <c r="L10" s="9">
        <f t="shared" si="2"/>
        <v>0</v>
      </c>
    </row>
    <row r="11" spans="1:12" x14ac:dyDescent="0.3">
      <c r="B11" s="9"/>
      <c r="C11" s="9"/>
      <c r="D11" s="9"/>
      <c r="E11" s="9">
        <f t="shared" si="0"/>
        <v>0</v>
      </c>
      <c r="F11" s="9"/>
      <c r="G11" s="9"/>
      <c r="H11" s="9"/>
      <c r="I11" s="9">
        <f t="shared" si="1"/>
        <v>0</v>
      </c>
      <c r="J11" s="9"/>
      <c r="K11" s="9"/>
      <c r="L11" s="9">
        <f t="shared" si="2"/>
        <v>0</v>
      </c>
    </row>
    <row r="12" spans="1:12" x14ac:dyDescent="0.3">
      <c r="B12" s="9"/>
      <c r="C12" s="9"/>
      <c r="D12" s="9"/>
      <c r="E12" s="9">
        <f t="shared" si="0"/>
        <v>0</v>
      </c>
      <c r="F12" s="9"/>
      <c r="G12" s="9"/>
      <c r="H12" s="9"/>
      <c r="I12" s="9">
        <f t="shared" si="1"/>
        <v>0</v>
      </c>
      <c r="J12" s="9"/>
      <c r="K12" s="9"/>
      <c r="L12" s="9">
        <f t="shared" si="2"/>
        <v>0</v>
      </c>
    </row>
    <row r="13" spans="1:12" x14ac:dyDescent="0.3">
      <c r="B13" s="9" t="s">
        <v>116</v>
      </c>
      <c r="C13" s="9">
        <v>2.57</v>
      </c>
      <c r="D13" s="9">
        <v>3</v>
      </c>
      <c r="E13" s="9">
        <f t="shared" si="0"/>
        <v>7.7099999999999991</v>
      </c>
      <c r="F13" s="9" t="s">
        <v>113</v>
      </c>
      <c r="G13" s="9"/>
      <c r="H13" s="9"/>
      <c r="I13" s="9">
        <f t="shared" si="1"/>
        <v>0</v>
      </c>
      <c r="J13" s="9"/>
      <c r="K13" s="9"/>
      <c r="L13" s="9">
        <f t="shared" si="2"/>
        <v>0</v>
      </c>
    </row>
    <row r="14" spans="1:12" x14ac:dyDescent="0.3">
      <c r="B14" s="9"/>
      <c r="C14" s="9"/>
      <c r="D14" s="9"/>
      <c r="E14" s="9">
        <f t="shared" si="0"/>
        <v>0</v>
      </c>
      <c r="F14" s="9" t="s">
        <v>114</v>
      </c>
      <c r="G14" s="9"/>
      <c r="H14" s="9"/>
      <c r="I14" s="9">
        <f t="shared" si="1"/>
        <v>0</v>
      </c>
      <c r="J14" s="9"/>
      <c r="K14" s="9"/>
      <c r="L14" s="9">
        <f t="shared" si="2"/>
        <v>0</v>
      </c>
    </row>
    <row r="15" spans="1:12" x14ac:dyDescent="0.3">
      <c r="B15" s="9"/>
      <c r="C15" s="9"/>
      <c r="D15" s="9"/>
      <c r="E15" s="9">
        <f t="shared" si="0"/>
        <v>0</v>
      </c>
      <c r="F15" s="9"/>
      <c r="G15" s="9"/>
      <c r="H15" s="9"/>
      <c r="I15" s="9">
        <f t="shared" si="1"/>
        <v>0</v>
      </c>
      <c r="J15" s="9"/>
      <c r="K15" s="9"/>
      <c r="L15" s="9">
        <f t="shared" si="2"/>
        <v>0</v>
      </c>
    </row>
    <row r="16" spans="1:12" x14ac:dyDescent="0.3">
      <c r="B16" s="9"/>
      <c r="C16" s="9"/>
      <c r="D16" s="9"/>
      <c r="E16" s="9">
        <f t="shared" si="0"/>
        <v>0</v>
      </c>
      <c r="F16" s="9"/>
      <c r="G16" s="9"/>
      <c r="H16" s="9"/>
      <c r="I16" s="9">
        <f t="shared" si="1"/>
        <v>0</v>
      </c>
      <c r="J16" s="9"/>
      <c r="K16" s="9"/>
      <c r="L16" s="9">
        <f t="shared" si="2"/>
        <v>0</v>
      </c>
    </row>
    <row r="17" spans="2:12" x14ac:dyDescent="0.3">
      <c r="B17" s="9" t="s">
        <v>117</v>
      </c>
      <c r="C17" s="9"/>
      <c r="D17" s="9"/>
      <c r="E17" s="9">
        <f t="shared" si="0"/>
        <v>0</v>
      </c>
      <c r="F17" s="9" t="s">
        <v>113</v>
      </c>
      <c r="G17" s="9"/>
      <c r="H17" s="9"/>
      <c r="I17" s="9">
        <f t="shared" si="1"/>
        <v>0</v>
      </c>
      <c r="J17" s="9"/>
      <c r="K17" s="9"/>
      <c r="L17" s="9">
        <f t="shared" si="2"/>
        <v>0</v>
      </c>
    </row>
    <row r="18" spans="2:12" x14ac:dyDescent="0.3">
      <c r="B18" s="9"/>
      <c r="C18" s="9"/>
      <c r="D18" s="9"/>
      <c r="E18" s="9">
        <f t="shared" si="0"/>
        <v>0</v>
      </c>
      <c r="F18" s="9" t="s">
        <v>114</v>
      </c>
      <c r="G18" s="9"/>
      <c r="H18" s="9"/>
      <c r="I18" s="9">
        <f t="shared" si="1"/>
        <v>0</v>
      </c>
      <c r="J18" s="9"/>
      <c r="K18" s="9"/>
      <c r="L18" s="9">
        <f t="shared" si="2"/>
        <v>0</v>
      </c>
    </row>
    <row r="19" spans="2:12" x14ac:dyDescent="0.3">
      <c r="B19" s="9"/>
      <c r="C19" s="9"/>
      <c r="D19" s="9"/>
      <c r="E19" s="9">
        <f t="shared" si="0"/>
        <v>0</v>
      </c>
      <c r="F19" s="9"/>
      <c r="G19" s="9"/>
      <c r="H19" s="9"/>
      <c r="I19" s="9">
        <f t="shared" si="1"/>
        <v>0</v>
      </c>
      <c r="J19" s="9"/>
      <c r="K19" s="9"/>
      <c r="L19" s="9">
        <f t="shared" si="2"/>
        <v>0</v>
      </c>
    </row>
    <row r="20" spans="2:12" x14ac:dyDescent="0.3">
      <c r="B20" s="9" t="s">
        <v>117</v>
      </c>
      <c r="C20" s="9"/>
      <c r="D20" s="9"/>
      <c r="E20" s="9">
        <f t="shared" si="0"/>
        <v>0</v>
      </c>
      <c r="F20" s="9" t="s">
        <v>113</v>
      </c>
      <c r="G20" s="9"/>
      <c r="H20" s="9"/>
      <c r="I20" s="9">
        <f t="shared" si="1"/>
        <v>0</v>
      </c>
      <c r="J20" s="9"/>
      <c r="K20" s="9"/>
      <c r="L20" s="9">
        <f t="shared" si="2"/>
        <v>0</v>
      </c>
    </row>
    <row r="21" spans="2:12" x14ac:dyDescent="0.3">
      <c r="B21" s="9"/>
      <c r="C21" s="9"/>
      <c r="D21" s="9"/>
      <c r="E21" s="9">
        <f t="shared" si="0"/>
        <v>0</v>
      </c>
      <c r="F21" s="9" t="s">
        <v>114</v>
      </c>
      <c r="G21" s="9"/>
      <c r="H21" s="9"/>
      <c r="I21" s="9">
        <f t="shared" si="1"/>
        <v>0</v>
      </c>
      <c r="J21" s="9"/>
      <c r="K21" s="9"/>
      <c r="L21" s="9">
        <f t="shared" si="2"/>
        <v>0</v>
      </c>
    </row>
    <row r="22" spans="2:12" x14ac:dyDescent="0.3">
      <c r="B22" s="9"/>
      <c r="C22" s="9"/>
      <c r="D22" s="9"/>
      <c r="E22" s="9">
        <f t="shared" si="0"/>
        <v>0</v>
      </c>
      <c r="F22" s="9"/>
      <c r="G22" s="9"/>
      <c r="H22" s="9"/>
      <c r="I22" s="9">
        <f t="shared" si="1"/>
        <v>0</v>
      </c>
      <c r="J22" s="9"/>
      <c r="K22" s="9"/>
      <c r="L22" s="9">
        <f t="shared" si="2"/>
        <v>0</v>
      </c>
    </row>
    <row r="23" spans="2:12" x14ac:dyDescent="0.3">
      <c r="B23" s="9" t="s">
        <v>118</v>
      </c>
      <c r="C23" s="9">
        <v>1.25</v>
      </c>
      <c r="D23" s="9">
        <v>1.65</v>
      </c>
      <c r="E23" s="9">
        <f t="shared" si="0"/>
        <v>2.0625</v>
      </c>
      <c r="F23" s="9" t="s">
        <v>119</v>
      </c>
      <c r="G23" s="9"/>
      <c r="H23" s="9"/>
      <c r="I23" s="9">
        <f t="shared" si="1"/>
        <v>0</v>
      </c>
      <c r="J23" s="9"/>
      <c r="K23" s="9"/>
      <c r="L23" s="9">
        <f t="shared" si="2"/>
        <v>0</v>
      </c>
    </row>
    <row r="24" spans="2:12" x14ac:dyDescent="0.3">
      <c r="B24" s="9" t="s">
        <v>120</v>
      </c>
      <c r="C24" s="9">
        <v>1.25</v>
      </c>
      <c r="D24" s="9">
        <v>1.85</v>
      </c>
      <c r="E24" s="9">
        <f t="shared" si="0"/>
        <v>2.3125</v>
      </c>
      <c r="F24" s="9" t="s">
        <v>119</v>
      </c>
      <c r="G24" s="9"/>
      <c r="H24" s="9"/>
      <c r="I24" s="9">
        <f t="shared" si="1"/>
        <v>0</v>
      </c>
      <c r="J24" s="9"/>
      <c r="K24" s="9"/>
      <c r="L24" s="9">
        <f t="shared" si="2"/>
        <v>0</v>
      </c>
    </row>
    <row r="25" spans="2:12" x14ac:dyDescent="0.3">
      <c r="B25" s="9" t="s">
        <v>121</v>
      </c>
      <c r="C25" s="9"/>
      <c r="D25" s="9"/>
      <c r="E25" s="9">
        <f t="shared" si="0"/>
        <v>0</v>
      </c>
      <c r="F25" s="9" t="s">
        <v>119</v>
      </c>
      <c r="G25" s="9"/>
      <c r="H25" s="9"/>
      <c r="I25" s="9">
        <f t="shared" si="1"/>
        <v>0</v>
      </c>
      <c r="J25" s="9"/>
      <c r="K25" s="9"/>
      <c r="L25" s="9">
        <f t="shared" si="2"/>
        <v>0</v>
      </c>
    </row>
    <row r="26" spans="2:12" x14ac:dyDescent="0.3">
      <c r="B26" s="9"/>
      <c r="C26" s="9"/>
      <c r="D26" s="9"/>
      <c r="E26" s="9">
        <f t="shared" si="0"/>
        <v>0</v>
      </c>
      <c r="F26" s="9"/>
      <c r="G26" s="9"/>
      <c r="H26" s="9"/>
      <c r="I26" s="9">
        <f t="shared" si="1"/>
        <v>0</v>
      </c>
      <c r="J26" s="9"/>
      <c r="K26" s="9"/>
      <c r="L26" s="9">
        <f t="shared" si="2"/>
        <v>0</v>
      </c>
    </row>
    <row r="27" spans="2:12" x14ac:dyDescent="0.3">
      <c r="B27" s="9" t="s">
        <v>122</v>
      </c>
      <c r="C27" s="9">
        <v>1.24</v>
      </c>
      <c r="D27" s="9">
        <v>0.5</v>
      </c>
      <c r="E27" s="9">
        <f t="shared" si="0"/>
        <v>0.62</v>
      </c>
      <c r="F27" s="9"/>
      <c r="G27" s="9"/>
      <c r="H27" s="9"/>
      <c r="I27" s="9">
        <f t="shared" si="1"/>
        <v>0</v>
      </c>
      <c r="J27" s="9"/>
      <c r="K27" s="9"/>
      <c r="L27" s="9">
        <f t="shared" si="2"/>
        <v>0</v>
      </c>
    </row>
    <row r="28" spans="2:12" x14ac:dyDescent="0.3">
      <c r="B28" s="9" t="s">
        <v>123</v>
      </c>
      <c r="C28" s="9">
        <v>0.62</v>
      </c>
      <c r="D28" s="9">
        <v>0.5</v>
      </c>
      <c r="E28" s="9">
        <f t="shared" si="0"/>
        <v>0.31</v>
      </c>
      <c r="F28" s="9"/>
      <c r="G28" s="9"/>
      <c r="H28" s="9"/>
      <c r="I28" s="9">
        <f t="shared" si="1"/>
        <v>0</v>
      </c>
      <c r="J28" s="9"/>
      <c r="K28" s="9"/>
      <c r="L28" s="9">
        <f t="shared" si="2"/>
        <v>0</v>
      </c>
    </row>
    <row r="29" spans="2:12" x14ac:dyDescent="0.3">
      <c r="B29" s="9" t="s">
        <v>124</v>
      </c>
      <c r="C29" s="9">
        <v>0.62</v>
      </c>
      <c r="D29" s="9">
        <v>0.5</v>
      </c>
      <c r="E29" s="9">
        <f t="shared" si="0"/>
        <v>0.31</v>
      </c>
      <c r="F29" s="9"/>
      <c r="G29" s="9"/>
      <c r="H29" s="9"/>
      <c r="I29" s="9">
        <f t="shared" si="1"/>
        <v>0</v>
      </c>
      <c r="J29" s="9"/>
      <c r="K29" s="9"/>
      <c r="L29" s="9">
        <f t="shared" si="2"/>
        <v>0</v>
      </c>
    </row>
    <row r="30" spans="2:12" x14ac:dyDescent="0.3">
      <c r="B30" s="9" t="s">
        <v>125</v>
      </c>
      <c r="C30" s="9"/>
      <c r="D30" s="9"/>
      <c r="E30" s="9">
        <f t="shared" si="0"/>
        <v>0</v>
      </c>
      <c r="F30" s="9"/>
      <c r="G30" s="9"/>
      <c r="H30" s="9"/>
      <c r="I30" s="9">
        <f>G30*H30</f>
        <v>0</v>
      </c>
      <c r="J30" s="9"/>
      <c r="K30" s="9"/>
      <c r="L30" s="9">
        <f>J30*K30</f>
        <v>0</v>
      </c>
    </row>
    <row r="31" spans="2:12" x14ac:dyDescent="0.3">
      <c r="B31" s="9"/>
      <c r="C31" s="9"/>
      <c r="D31" s="9"/>
      <c r="E31" s="9">
        <f t="shared" si="0"/>
        <v>0</v>
      </c>
      <c r="F31" s="9"/>
      <c r="G31" s="9"/>
      <c r="H31" s="9"/>
      <c r="I31" s="9">
        <f>G31*H31</f>
        <v>0</v>
      </c>
      <c r="J31" s="9"/>
      <c r="K31" s="9"/>
      <c r="L31" s="9">
        <f>J31*K31</f>
        <v>0</v>
      </c>
    </row>
    <row r="32" spans="2:12" x14ac:dyDescent="0.3">
      <c r="B32" s="9"/>
      <c r="C32" s="9"/>
      <c r="D32" s="9"/>
      <c r="E32" s="9">
        <f t="shared" si="0"/>
        <v>0</v>
      </c>
      <c r="F32" s="9"/>
      <c r="G32" s="9"/>
      <c r="H32" s="9"/>
      <c r="I32" s="9">
        <f>G32*H32</f>
        <v>0</v>
      </c>
      <c r="J32" s="9"/>
      <c r="K32" s="9"/>
      <c r="L32" s="9">
        <f>J32*K32</f>
        <v>0</v>
      </c>
    </row>
    <row r="33" spans="2:12" x14ac:dyDescent="0.3">
      <c r="B33" s="9"/>
      <c r="C33" s="9"/>
      <c r="D33" s="9"/>
      <c r="E33" s="9">
        <f t="shared" si="0"/>
        <v>0</v>
      </c>
      <c r="F33" s="9"/>
      <c r="G33" s="9"/>
      <c r="H33" s="9"/>
      <c r="I33" s="9">
        <f>G33*H33</f>
        <v>0</v>
      </c>
      <c r="J33" s="9"/>
      <c r="K33" s="9"/>
      <c r="L33" s="9">
        <f>J33*K33</f>
        <v>0</v>
      </c>
    </row>
    <row r="34" spans="2:12" x14ac:dyDescent="0.3">
      <c r="B34" s="9" t="s">
        <v>76</v>
      </c>
      <c r="C34" s="9"/>
      <c r="D34" s="9">
        <f>E34*10.764</f>
        <v>341.56862999999998</v>
      </c>
      <c r="E34" s="9">
        <f>SUM(E6:E33)</f>
        <v>31.732499999999998</v>
      </c>
      <c r="F34" s="9"/>
      <c r="G34" s="9"/>
      <c r="H34" s="9">
        <f>I34*10.764</f>
        <v>0</v>
      </c>
      <c r="I34" s="9">
        <f>SUM(I6:I33)</f>
        <v>0</v>
      </c>
      <c r="J34" s="9"/>
      <c r="K34" s="9">
        <f>L34*10.764</f>
        <v>0</v>
      </c>
      <c r="L34" s="9">
        <f>SUM(L6:L33)</f>
        <v>0</v>
      </c>
    </row>
    <row r="36" spans="2:12" x14ac:dyDescent="0.3">
      <c r="D36">
        <f>D34+H34</f>
        <v>341.56862999999998</v>
      </c>
      <c r="E36">
        <f>E34+I34</f>
        <v>31.732499999999998</v>
      </c>
    </row>
  </sheetData>
  <mergeCells count="4">
    <mergeCell ref="C2:D2"/>
    <mergeCell ref="C4:E4"/>
    <mergeCell ref="G4:I4"/>
    <mergeCell ref="J4:L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7"/>
  <sheetViews>
    <sheetView topLeftCell="A72" workbookViewId="0">
      <selection activeCell="B154" sqref="B154"/>
    </sheetView>
  </sheetViews>
  <sheetFormatPr defaultRowHeight="14.4" x14ac:dyDescent="0.3"/>
  <cols>
    <col min="2" max="2" width="17.5546875" customWidth="1"/>
    <col min="12" max="12" width="26.109375" bestFit="1" customWidth="1"/>
    <col min="13" max="13" width="12.88671875" bestFit="1" customWidth="1"/>
    <col min="14" max="14" width="15.88671875" bestFit="1" customWidth="1"/>
  </cols>
  <sheetData>
    <row r="1" spans="2:14" x14ac:dyDescent="0.3">
      <c r="B1" s="9" t="s">
        <v>187</v>
      </c>
      <c r="C1" s="9" t="s">
        <v>1</v>
      </c>
      <c r="D1" s="9" t="s">
        <v>188</v>
      </c>
      <c r="E1" s="9"/>
      <c r="F1" s="9"/>
      <c r="G1" s="9"/>
      <c r="H1" s="9" t="s">
        <v>189</v>
      </c>
      <c r="I1" s="9"/>
      <c r="J1" s="9"/>
      <c r="K1" s="9"/>
      <c r="L1" s="9"/>
      <c r="M1" s="9"/>
      <c r="N1" s="9"/>
    </row>
    <row r="2" spans="2:14" x14ac:dyDescent="0.3">
      <c r="B2" s="9" t="s">
        <v>190</v>
      </c>
      <c r="C2" s="9"/>
      <c r="D2" s="9"/>
      <c r="E2" s="9"/>
      <c r="F2" s="9"/>
      <c r="G2" s="9"/>
      <c r="H2" s="9"/>
      <c r="I2" s="9"/>
      <c r="J2" s="9"/>
      <c r="K2" s="9"/>
      <c r="L2" s="9"/>
      <c r="M2" s="9"/>
      <c r="N2" s="9"/>
    </row>
    <row r="3" spans="2:14" x14ac:dyDescent="0.3">
      <c r="B3" s="9" t="s">
        <v>191</v>
      </c>
      <c r="C3" s="9" t="s">
        <v>191</v>
      </c>
      <c r="D3" s="9" t="s">
        <v>192</v>
      </c>
      <c r="E3" s="9" t="s">
        <v>193</v>
      </c>
      <c r="F3" s="9" t="s">
        <v>194</v>
      </c>
      <c r="G3" s="9" t="s">
        <v>195</v>
      </c>
      <c r="H3" s="9" t="s">
        <v>196</v>
      </c>
      <c r="I3" s="9" t="s">
        <v>197</v>
      </c>
      <c r="J3" s="9" t="s">
        <v>198</v>
      </c>
      <c r="K3" s="9" t="s">
        <v>199</v>
      </c>
      <c r="L3" s="9" t="s">
        <v>200</v>
      </c>
      <c r="M3" s="9" t="s">
        <v>201</v>
      </c>
      <c r="N3" s="9" t="s">
        <v>202</v>
      </c>
    </row>
    <row r="4" spans="2:14" x14ac:dyDescent="0.3">
      <c r="B4" s="9" t="s">
        <v>203</v>
      </c>
      <c r="C4" s="9"/>
      <c r="D4" s="9"/>
      <c r="E4" s="9"/>
      <c r="F4" s="9">
        <v>0</v>
      </c>
      <c r="G4" s="9">
        <v>0</v>
      </c>
      <c r="H4" s="9">
        <v>0</v>
      </c>
      <c r="I4" s="9">
        <v>0</v>
      </c>
      <c r="J4" s="9">
        <v>0</v>
      </c>
      <c r="K4" s="9"/>
      <c r="L4" s="9"/>
      <c r="M4" s="9"/>
      <c r="N4" s="9"/>
    </row>
    <row r="5" spans="2:14" x14ac:dyDescent="0.3">
      <c r="B5" s="9" t="s">
        <v>204</v>
      </c>
      <c r="C5" s="9"/>
      <c r="D5" s="9">
        <v>0</v>
      </c>
      <c r="E5" s="9">
        <v>0</v>
      </c>
      <c r="F5" s="9">
        <v>0</v>
      </c>
      <c r="G5" s="9">
        <v>0</v>
      </c>
      <c r="H5" s="9">
        <v>0</v>
      </c>
      <c r="I5" s="9">
        <v>0</v>
      </c>
      <c r="J5" s="9">
        <v>0</v>
      </c>
      <c r="K5" s="9"/>
      <c r="L5" s="9"/>
      <c r="M5" s="9"/>
      <c r="N5" s="9"/>
    </row>
    <row r="6" spans="2:14" x14ac:dyDescent="0.3">
      <c r="B6" s="9" t="s">
        <v>205</v>
      </c>
      <c r="C6" s="9"/>
      <c r="D6" s="9"/>
      <c r="E6" s="9"/>
      <c r="F6" s="9">
        <v>0</v>
      </c>
      <c r="G6" s="9">
        <v>0</v>
      </c>
      <c r="H6" s="9">
        <v>0</v>
      </c>
      <c r="I6" s="9">
        <v>0</v>
      </c>
      <c r="J6" s="9">
        <v>0</v>
      </c>
      <c r="K6" s="9"/>
      <c r="L6" s="9"/>
      <c r="M6" s="9"/>
      <c r="N6" s="9"/>
    </row>
    <row r="7" spans="2:14" x14ac:dyDescent="0.3">
      <c r="B7" s="9" t="s">
        <v>206</v>
      </c>
      <c r="C7" s="9"/>
      <c r="D7" s="9"/>
      <c r="E7" s="9"/>
      <c r="F7" s="9"/>
      <c r="G7" s="9"/>
      <c r="H7" s="9"/>
      <c r="I7" s="9"/>
      <c r="J7" s="9"/>
      <c r="K7" s="9"/>
      <c r="L7" s="9"/>
      <c r="M7" s="9"/>
      <c r="N7" s="9"/>
    </row>
    <row r="8" spans="2:14" x14ac:dyDescent="0.3">
      <c r="B8" s="9" t="s">
        <v>207</v>
      </c>
      <c r="C8" s="9"/>
      <c r="D8" s="9"/>
      <c r="E8" s="9"/>
      <c r="F8" s="9"/>
      <c r="G8" s="9"/>
      <c r="H8" s="9"/>
      <c r="I8" s="9"/>
      <c r="J8" s="9"/>
      <c r="K8" s="9"/>
      <c r="L8" s="9"/>
      <c r="M8" s="9"/>
      <c r="N8" s="9"/>
    </row>
    <row r="9" spans="2:14" x14ac:dyDescent="0.3">
      <c r="B9" s="9" t="s">
        <v>208</v>
      </c>
      <c r="C9" s="9"/>
      <c r="D9" s="9"/>
      <c r="E9" s="9"/>
      <c r="F9" s="9"/>
      <c r="G9" s="9"/>
      <c r="H9" s="9"/>
      <c r="I9" s="9"/>
      <c r="J9" s="9"/>
      <c r="K9" s="9"/>
      <c r="L9" s="9"/>
      <c r="M9" s="9"/>
      <c r="N9" s="9"/>
    </row>
    <row r="10" spans="2:14" x14ac:dyDescent="0.3">
      <c r="B10" s="9" t="s">
        <v>209</v>
      </c>
      <c r="C10" s="9"/>
      <c r="D10" s="9"/>
      <c r="E10" s="9"/>
      <c r="F10" s="9"/>
      <c r="G10" s="9"/>
      <c r="H10" s="9"/>
      <c r="I10" s="9"/>
      <c r="J10" s="9"/>
      <c r="K10" s="9"/>
      <c r="L10" s="9"/>
      <c r="M10" s="9"/>
      <c r="N10" s="9"/>
    </row>
    <row r="11" spans="2:14" x14ac:dyDescent="0.3">
      <c r="B11" s="9" t="s">
        <v>210</v>
      </c>
      <c r="C11" s="9"/>
      <c r="D11" s="9"/>
      <c r="E11" s="9"/>
      <c r="F11" s="9"/>
      <c r="G11" s="9"/>
      <c r="H11" s="9"/>
      <c r="I11" s="9"/>
      <c r="J11" s="9"/>
      <c r="K11" s="9"/>
      <c r="L11" s="9"/>
      <c r="M11" s="9"/>
      <c r="N11" s="9"/>
    </row>
    <row r="12" spans="2:14" x14ac:dyDescent="0.3">
      <c r="B12" s="9" t="s">
        <v>206</v>
      </c>
      <c r="C12" s="9"/>
      <c r="D12" s="9"/>
      <c r="E12" s="9"/>
      <c r="F12" s="9"/>
      <c r="G12" s="9"/>
      <c r="H12" s="9"/>
      <c r="I12" s="9"/>
      <c r="J12" s="9"/>
      <c r="K12" s="9"/>
      <c r="L12" s="9"/>
      <c r="M12" s="9"/>
      <c r="N12" s="9"/>
    </row>
    <row r="13" spans="2:14" x14ac:dyDescent="0.3">
      <c r="B13" s="9" t="s">
        <v>210</v>
      </c>
      <c r="C13" s="9"/>
      <c r="D13" s="9"/>
      <c r="E13" s="9"/>
      <c r="F13" s="9"/>
      <c r="G13" s="9"/>
      <c r="H13" s="9"/>
      <c r="I13" s="9"/>
      <c r="J13" s="9"/>
      <c r="K13" s="9"/>
      <c r="L13" s="37"/>
      <c r="M13" s="9"/>
      <c r="N13" s="9"/>
    </row>
    <row r="14" spans="2:14" x14ac:dyDescent="0.3">
      <c r="B14" s="9" t="s">
        <v>210</v>
      </c>
      <c r="C14" s="9"/>
      <c r="D14" s="9"/>
      <c r="E14" s="9"/>
      <c r="F14" s="9"/>
      <c r="G14" s="9"/>
      <c r="H14" s="9"/>
      <c r="I14" s="9"/>
      <c r="J14" s="9"/>
      <c r="K14" s="9"/>
      <c r="L14" s="37"/>
      <c r="M14" s="9"/>
      <c r="N14" s="9"/>
    </row>
    <row r="15" spans="2:14" x14ac:dyDescent="0.3">
      <c r="B15" s="9" t="s">
        <v>210</v>
      </c>
      <c r="C15" s="9"/>
      <c r="D15" s="9"/>
      <c r="E15" s="9"/>
      <c r="F15" s="9"/>
      <c r="G15" s="9"/>
      <c r="H15" s="9"/>
      <c r="I15" s="9"/>
      <c r="J15" s="9"/>
      <c r="K15" s="9"/>
      <c r="L15" s="37"/>
      <c r="M15" s="9"/>
      <c r="N15" s="9"/>
    </row>
    <row r="16" spans="2:14" x14ac:dyDescent="0.3">
      <c r="B16" s="9" t="s">
        <v>210</v>
      </c>
      <c r="C16" s="9"/>
      <c r="D16" s="9"/>
      <c r="E16" s="9"/>
      <c r="F16" s="9"/>
      <c r="G16" s="9"/>
      <c r="H16" s="9"/>
      <c r="I16" s="9"/>
      <c r="J16" s="9"/>
      <c r="K16" s="9"/>
      <c r="L16" s="37"/>
      <c r="M16" s="9"/>
      <c r="N16" s="9"/>
    </row>
    <row r="17" spans="2:14" x14ac:dyDescent="0.3">
      <c r="B17" s="9"/>
      <c r="C17" s="9"/>
      <c r="D17" s="9"/>
      <c r="E17" s="9"/>
      <c r="F17" s="9"/>
      <c r="G17" s="9"/>
      <c r="H17" s="9"/>
      <c r="I17" s="9"/>
      <c r="J17" s="9"/>
      <c r="K17" s="9"/>
      <c r="L17" s="37"/>
      <c r="M17" s="9"/>
      <c r="N17" s="9"/>
    </row>
    <row r="18" spans="2:14" x14ac:dyDescent="0.3">
      <c r="B18" s="9"/>
      <c r="C18" s="9"/>
      <c r="D18" s="9"/>
      <c r="E18" s="9"/>
      <c r="F18" s="9"/>
      <c r="G18" s="9"/>
      <c r="H18" s="9"/>
      <c r="I18" s="9"/>
      <c r="J18" s="9"/>
      <c r="K18" s="9"/>
      <c r="L18" s="37"/>
      <c r="M18" s="9"/>
      <c r="N18" s="9"/>
    </row>
    <row r="19" spans="2:14" x14ac:dyDescent="0.3">
      <c r="B19" s="9" t="s">
        <v>211</v>
      </c>
      <c r="C19" s="9"/>
      <c r="D19" s="9"/>
      <c r="E19" s="9"/>
      <c r="F19" s="9"/>
      <c r="G19" s="9"/>
      <c r="H19" s="9"/>
      <c r="I19" s="9"/>
      <c r="J19" s="9"/>
      <c r="K19" s="9"/>
      <c r="L19" s="9"/>
      <c r="M19" s="9"/>
      <c r="N19" s="9"/>
    </row>
    <row r="20" spans="2:14" x14ac:dyDescent="0.3">
      <c r="B20" s="9" t="s">
        <v>212</v>
      </c>
      <c r="C20" s="9"/>
      <c r="D20" s="9"/>
      <c r="E20" s="9"/>
      <c r="F20" s="9"/>
      <c r="G20" s="9"/>
      <c r="H20" s="9"/>
      <c r="I20" s="9"/>
      <c r="J20" s="9"/>
      <c r="K20" s="9"/>
      <c r="L20" s="9"/>
      <c r="M20" s="9"/>
      <c r="N20" s="9"/>
    </row>
    <row r="21" spans="2:14" x14ac:dyDescent="0.3">
      <c r="B21" s="9" t="s">
        <v>213</v>
      </c>
      <c r="C21" s="9"/>
      <c r="D21" s="9"/>
      <c r="E21" s="9"/>
      <c r="F21" s="9"/>
      <c r="G21" s="9"/>
      <c r="H21" s="9"/>
      <c r="I21" s="9"/>
      <c r="J21" s="9"/>
      <c r="K21" s="9"/>
      <c r="L21" s="9"/>
      <c r="M21" s="9"/>
      <c r="N21" s="9"/>
    </row>
    <row r="22" spans="2:14" x14ac:dyDescent="0.3">
      <c r="B22" s="9" t="s">
        <v>214</v>
      </c>
      <c r="C22" s="9" t="s">
        <v>215</v>
      </c>
      <c r="D22" s="9"/>
      <c r="E22" s="9"/>
      <c r="F22" s="9" t="s">
        <v>216</v>
      </c>
      <c r="G22" s="9"/>
      <c r="H22" s="9" t="s">
        <v>217</v>
      </c>
      <c r="I22" s="9"/>
      <c r="J22" s="9"/>
      <c r="K22" s="9"/>
      <c r="L22" s="9"/>
      <c r="M22" s="9"/>
      <c r="N22" s="9"/>
    </row>
    <row r="23" spans="2:14" x14ac:dyDescent="0.3">
      <c r="B23" s="9" t="s">
        <v>218</v>
      </c>
      <c r="C23" s="9"/>
      <c r="D23" s="9"/>
      <c r="E23" s="9"/>
      <c r="F23" s="9"/>
      <c r="G23" s="9"/>
      <c r="H23" s="9"/>
      <c r="I23" s="9"/>
      <c r="J23" s="9"/>
      <c r="K23" s="9"/>
      <c r="L23" s="9"/>
      <c r="M23" s="9"/>
      <c r="N23" s="9"/>
    </row>
    <row r="24" spans="2:14" x14ac:dyDescent="0.3">
      <c r="B24" s="9" t="s">
        <v>219</v>
      </c>
      <c r="C24" s="9"/>
      <c r="D24" s="9"/>
      <c r="E24" s="9"/>
      <c r="F24" s="9"/>
      <c r="G24" s="9"/>
      <c r="H24" s="9"/>
      <c r="I24" s="9"/>
      <c r="J24" s="9"/>
      <c r="K24" s="9"/>
      <c r="L24" s="9"/>
      <c r="M24" s="9"/>
      <c r="N24" s="9"/>
    </row>
    <row r="25" spans="2:14" x14ac:dyDescent="0.3">
      <c r="B25" s="9" t="s">
        <v>220</v>
      </c>
      <c r="C25" s="9"/>
      <c r="D25" s="9"/>
      <c r="E25" s="9"/>
      <c r="F25" s="9"/>
      <c r="G25" s="9"/>
      <c r="H25" s="9"/>
      <c r="I25" s="9"/>
      <c r="J25" s="9"/>
      <c r="K25" s="9"/>
      <c r="L25" s="9"/>
      <c r="M25" s="9"/>
      <c r="N25" s="9"/>
    </row>
    <row r="26" spans="2:14" x14ac:dyDescent="0.3">
      <c r="B26" s="9"/>
      <c r="C26" s="9"/>
      <c r="D26" s="9"/>
      <c r="E26" s="9"/>
      <c r="F26" s="9"/>
      <c r="G26" s="9"/>
      <c r="H26" s="9"/>
      <c r="I26" s="9"/>
      <c r="J26" s="9"/>
      <c r="K26" s="9"/>
      <c r="L26" s="9"/>
      <c r="M26" s="9"/>
      <c r="N26" s="9"/>
    </row>
    <row r="27" spans="2:14" x14ac:dyDescent="0.3">
      <c r="B27" s="9"/>
      <c r="C27" s="9"/>
      <c r="D27" s="9"/>
      <c r="E27" s="9"/>
      <c r="F27" s="9"/>
      <c r="G27" s="9"/>
      <c r="H27" s="9"/>
      <c r="I27" s="9"/>
      <c r="J27" s="9"/>
      <c r="K27" s="9"/>
      <c r="L27" s="9"/>
      <c r="M27" s="9"/>
      <c r="N27"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C%</vt:lpstr>
      <vt:lpstr>Flat detail</vt:lpstr>
      <vt:lpstr>Sheet1</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2025-05-12T10:15:03Z</cp:lastPrinted>
  <dcterms:created xsi:type="dcterms:W3CDTF">2019-07-16T09:29:46Z</dcterms:created>
  <dcterms:modified xsi:type="dcterms:W3CDTF">2025-08-19T15:30:00Z</dcterms:modified>
</cp:coreProperties>
</file>