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K:\VSJ Work\Aug 25\Axis Dump\"/>
    </mc:Choice>
  </mc:AlternateContent>
  <xr:revisionPtr revIDLastSave="0" documentId="13_ncr:1_{18240730-DF1E-463C-A42B-968ABFA7714D}"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Note" sheetId="4" r:id="rId3"/>
    <sheet name="Report (2)" sheetId="6" r:id="rId4"/>
  </sheets>
  <definedNames>
    <definedName name="_xlnm.Print_Area" localSheetId="0">Report!$A$1:$H$291</definedName>
    <definedName name="_xlnm.Print_Area" localSheetId="3">'Report (2)'!$A$1:$H$295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8" i="1" l="1"/>
  <c r="E3" i="1" l="1"/>
  <c r="D208" i="6" l="1"/>
  <c r="B188" i="6"/>
  <c r="B187" i="6"/>
  <c r="D184" i="6"/>
  <c r="F184" i="6" s="1"/>
  <c r="D183" i="6"/>
  <c r="F183" i="6" s="1"/>
  <c r="D182" i="6"/>
  <c r="F182" i="6" s="1"/>
  <c r="A182" i="6"/>
  <c r="A183" i="6" s="1"/>
  <c r="A184" i="6" s="1"/>
  <c r="G181" i="6"/>
  <c r="G182" i="6" s="1"/>
  <c r="G183" i="6" s="1"/>
  <c r="G184" i="6" s="1"/>
  <c r="D181" i="6"/>
  <c r="F181" i="6" s="1"/>
  <c r="F178" i="6"/>
  <c r="D178" i="6"/>
  <c r="D177" i="6"/>
  <c r="F177" i="6" s="1"/>
  <c r="D176" i="6"/>
  <c r="F176" i="6" s="1"/>
  <c r="A176" i="6"/>
  <c r="A177" i="6" s="1"/>
  <c r="A178" i="6" s="1"/>
  <c r="G175" i="6"/>
  <c r="G176" i="6" s="1"/>
  <c r="G177" i="6" s="1"/>
  <c r="G178" i="6" s="1"/>
  <c r="D175" i="6"/>
  <c r="F175" i="6" s="1"/>
  <c r="D173" i="6"/>
  <c r="F173" i="6" s="1"/>
  <c r="D172" i="6"/>
  <c r="F172" i="6" s="1"/>
  <c r="D171" i="6"/>
  <c r="F171" i="6" s="1"/>
  <c r="A171" i="6"/>
  <c r="A172" i="6" s="1"/>
  <c r="A173" i="6" s="1"/>
  <c r="G170" i="6"/>
  <c r="G171" i="6" s="1"/>
  <c r="G172" i="6" s="1"/>
  <c r="G173" i="6" s="1"/>
  <c r="D168" i="6"/>
  <c r="F168" i="6" s="1"/>
  <c r="D167" i="6"/>
  <c r="F167" i="6" s="1"/>
  <c r="D166" i="6"/>
  <c r="F166" i="6" s="1"/>
  <c r="A166" i="6"/>
  <c r="A167" i="6" s="1"/>
  <c r="A168" i="6" s="1"/>
  <c r="G165" i="6"/>
  <c r="G166" i="6" s="1"/>
  <c r="G167" i="6" s="1"/>
  <c r="G168" i="6" s="1"/>
  <c r="D165" i="6"/>
  <c r="F165" i="6" s="1"/>
  <c r="D163" i="6"/>
  <c r="F163" i="6" s="1"/>
  <c r="F162" i="6"/>
  <c r="D162" i="6"/>
  <c r="D161" i="6"/>
  <c r="F161" i="6" s="1"/>
  <c r="A161" i="6"/>
  <c r="A162" i="6" s="1"/>
  <c r="A163" i="6" s="1"/>
  <c r="G160" i="6"/>
  <c r="G161" i="6" s="1"/>
  <c r="G162" i="6" s="1"/>
  <c r="G163" i="6" s="1"/>
  <c r="D160" i="6"/>
  <c r="F160" i="6" s="1"/>
  <c r="D158" i="6"/>
  <c r="F158" i="6" s="1"/>
  <c r="D157" i="6"/>
  <c r="F157" i="6" s="1"/>
  <c r="D156" i="6"/>
  <c r="F156" i="6" s="1"/>
  <c r="A156" i="6"/>
  <c r="A157" i="6" s="1"/>
  <c r="A158" i="6" s="1"/>
  <c r="G155" i="6"/>
  <c r="G156" i="6" s="1"/>
  <c r="G157" i="6" s="1"/>
  <c r="G158" i="6" s="1"/>
  <c r="D155" i="6"/>
  <c r="F155" i="6" s="1"/>
  <c r="D152" i="6"/>
  <c r="F152" i="6" s="1"/>
  <c r="D151" i="6"/>
  <c r="F151" i="6" s="1"/>
  <c r="D150" i="6"/>
  <c r="F150" i="6" s="1"/>
  <c r="D149" i="6"/>
  <c r="F149" i="6" s="1"/>
  <c r="D148" i="6"/>
  <c r="F148" i="6" s="1"/>
  <c r="D147" i="6"/>
  <c r="F147" i="6" s="1"/>
  <c r="A147" i="6"/>
  <c r="A148" i="6" s="1"/>
  <c r="A149" i="6" s="1"/>
  <c r="A150" i="6" s="1"/>
  <c r="A151" i="6" s="1"/>
  <c r="A152" i="6" s="1"/>
  <c r="D146" i="6"/>
  <c r="F146" i="6" s="1"/>
  <c r="A146" i="6"/>
  <c r="G145" i="6"/>
  <c r="G146" i="6" s="1"/>
  <c r="G147" i="6" s="1"/>
  <c r="G148" i="6" s="1"/>
  <c r="G149" i="6" s="1"/>
  <c r="G150" i="6" s="1"/>
  <c r="G151" i="6" s="1"/>
  <c r="G152" i="6" s="1"/>
  <c r="D145" i="6"/>
  <c r="F145" i="6" s="1"/>
  <c r="D143" i="6"/>
  <c r="F143" i="6" s="1"/>
  <c r="D142" i="6"/>
  <c r="F142" i="6" s="1"/>
  <c r="D141" i="6"/>
  <c r="F141" i="6" s="1"/>
  <c r="D140" i="6"/>
  <c r="F140" i="6" s="1"/>
  <c r="D139" i="6"/>
  <c r="F139" i="6" s="1"/>
  <c r="D138" i="6"/>
  <c r="F138" i="6" s="1"/>
  <c r="D137" i="6"/>
  <c r="F137" i="6" s="1"/>
  <c r="A137" i="6"/>
  <c r="A138" i="6" s="1"/>
  <c r="A139" i="6" s="1"/>
  <c r="A140" i="6" s="1"/>
  <c r="A141" i="6" s="1"/>
  <c r="A142" i="6" s="1"/>
  <c r="A143" i="6" s="1"/>
  <c r="G136" i="6"/>
  <c r="G137" i="6" s="1"/>
  <c r="G138" i="6" s="1"/>
  <c r="G139" i="6" s="1"/>
  <c r="G140" i="6" s="1"/>
  <c r="G141" i="6" s="1"/>
  <c r="G142" i="6" s="1"/>
  <c r="G143" i="6" s="1"/>
  <c r="D136" i="6"/>
  <c r="F136" i="6" s="1"/>
  <c r="D134" i="6"/>
  <c r="F134" i="6" s="1"/>
  <c r="D133" i="6"/>
  <c r="F133" i="6" s="1"/>
  <c r="D132" i="6"/>
  <c r="D131" i="6"/>
  <c r="F131" i="6" s="1"/>
  <c r="D130" i="6"/>
  <c r="F130" i="6" s="1"/>
  <c r="D129" i="6"/>
  <c r="F129" i="6" s="1"/>
  <c r="A129" i="6"/>
  <c r="A130" i="6" s="1"/>
  <c r="A131" i="6" s="1"/>
  <c r="A132" i="6" s="1"/>
  <c r="A133" i="6" s="1"/>
  <c r="A134" i="6" s="1"/>
  <c r="G128" i="6"/>
  <c r="G129" i="6" s="1"/>
  <c r="G130" i="6" s="1"/>
  <c r="G131" i="6" s="1"/>
  <c r="G132" i="6" s="1"/>
  <c r="G133" i="6" s="1"/>
  <c r="G134" i="6" s="1"/>
  <c r="D128" i="6"/>
  <c r="D120" i="6"/>
  <c r="F120" i="6" s="1"/>
  <c r="G95" i="6" s="1"/>
  <c r="A120" i="6"/>
  <c r="G118" i="6"/>
  <c r="G119" i="6" s="1"/>
  <c r="G120" i="6" s="1"/>
  <c r="D116" i="6"/>
  <c r="F116" i="6" s="1"/>
  <c r="G93" i="6" s="1"/>
  <c r="D115" i="6"/>
  <c r="F115" i="6" s="1"/>
  <c r="D114" i="6"/>
  <c r="F114" i="6" s="1"/>
  <c r="D113" i="6"/>
  <c r="F113" i="6" s="1"/>
  <c r="D112" i="6"/>
  <c r="F112" i="6" s="1"/>
  <c r="G94" i="6" s="1"/>
  <c r="D111" i="6"/>
  <c r="F111" i="6" s="1"/>
  <c r="D110" i="6"/>
  <c r="F110" i="6" s="1"/>
  <c r="D109" i="6"/>
  <c r="A109" i="6"/>
  <c r="A110" i="6" s="1"/>
  <c r="A111" i="6" s="1"/>
  <c r="A112" i="6" s="1"/>
  <c r="A113" i="6" s="1"/>
  <c r="A114" i="6" s="1"/>
  <c r="A115" i="6" s="1"/>
  <c r="A116" i="6" s="1"/>
  <c r="G108" i="6"/>
  <c r="G109" i="6" s="1"/>
  <c r="G110" i="6" s="1"/>
  <c r="G111" i="6" s="1"/>
  <c r="G112" i="6" s="1"/>
  <c r="G113" i="6" s="1"/>
  <c r="G114" i="6" s="1"/>
  <c r="G115" i="6" s="1"/>
  <c r="G116" i="6" s="1"/>
  <c r="D108" i="6"/>
  <c r="F108" i="6" s="1"/>
  <c r="C99" i="6"/>
  <c r="E94" i="6"/>
  <c r="C94" i="6"/>
  <c r="E93" i="6"/>
  <c r="C93" i="6"/>
  <c r="F89" i="6"/>
  <c r="J73" i="6"/>
  <c r="J72" i="6"/>
  <c r="J71" i="6"/>
  <c r="J70" i="6"/>
  <c r="C62" i="6"/>
  <c r="D56" i="6"/>
  <c r="D51" i="6"/>
  <c r="G46" i="6"/>
  <c r="C46" i="6"/>
  <c r="E39" i="6"/>
  <c r="E40" i="6" s="1"/>
  <c r="E27" i="6"/>
  <c r="E24" i="6"/>
  <c r="E22" i="6"/>
  <c r="E7" i="6"/>
  <c r="E3" i="6"/>
  <c r="H63" i="6"/>
  <c r="E99" i="6" l="1"/>
  <c r="E100" i="6"/>
  <c r="E101" i="6" s="1"/>
  <c r="C95" i="6"/>
  <c r="E95" i="6"/>
  <c r="F128" i="6"/>
  <c r="G100" i="6" s="1"/>
  <c r="F132" i="6"/>
  <c r="C100" i="6"/>
  <c r="C101" i="6" s="1"/>
  <c r="E92" i="6"/>
  <c r="E96" i="6" s="1"/>
  <c r="D70" i="6"/>
  <c r="D73" i="6"/>
  <c r="D69" i="6"/>
  <c r="D68" i="6"/>
  <c r="D74" i="6"/>
  <c r="J68" i="6"/>
  <c r="J69" i="6" s="1"/>
  <c r="J74" i="6" s="1"/>
  <c r="J75" i="6" s="1"/>
  <c r="C67" i="6" s="1"/>
  <c r="D72" i="6"/>
  <c r="J67" i="6"/>
  <c r="C66" i="6" s="1"/>
  <c r="J65" i="6"/>
  <c r="J66" i="6"/>
  <c r="D75" i="6"/>
  <c r="D71" i="6"/>
  <c r="G99" i="6"/>
  <c r="F109" i="6"/>
  <c r="G92" i="6" s="1"/>
  <c r="G96" i="6" s="1"/>
  <c r="C92" i="6"/>
  <c r="C96" i="6" s="1"/>
  <c r="D184" i="1"/>
  <c r="F184" i="1" s="1"/>
  <c r="D183" i="1"/>
  <c r="F183" i="1" s="1"/>
  <c r="D182" i="1"/>
  <c r="F182" i="1" s="1"/>
  <c r="A182" i="1"/>
  <c r="A183" i="1" s="1"/>
  <c r="A184" i="1" s="1"/>
  <c r="G181" i="1"/>
  <c r="G182" i="1" s="1"/>
  <c r="G183" i="1" s="1"/>
  <c r="G184" i="1" s="1"/>
  <c r="D181" i="1"/>
  <c r="F181" i="1" s="1"/>
  <c r="D178" i="1"/>
  <c r="F178" i="1" s="1"/>
  <c r="D177" i="1"/>
  <c r="F177" i="1" s="1"/>
  <c r="D175" i="1"/>
  <c r="F175" i="1" s="1"/>
  <c r="D176" i="1"/>
  <c r="F176" i="1" s="1"/>
  <c r="A176" i="1"/>
  <c r="A177" i="1" s="1"/>
  <c r="A178" i="1" s="1"/>
  <c r="G175" i="1"/>
  <c r="G176" i="1" s="1"/>
  <c r="G177" i="1" s="1"/>
  <c r="G178" i="1" s="1"/>
  <c r="D173" i="1"/>
  <c r="F173" i="1" s="1"/>
  <c r="D172" i="1"/>
  <c r="F172" i="1" s="1"/>
  <c r="I172" i="1" s="1"/>
  <c r="D171" i="1"/>
  <c r="F171" i="1" s="1"/>
  <c r="A171" i="1"/>
  <c r="A172" i="1" s="1"/>
  <c r="A173" i="1" s="1"/>
  <c r="G170" i="1"/>
  <c r="G171" i="1" s="1"/>
  <c r="G172" i="1" s="1"/>
  <c r="G173" i="1" s="1"/>
  <c r="D166" i="1"/>
  <c r="F166" i="1" s="1"/>
  <c r="D165" i="1"/>
  <c r="F165" i="1" s="1"/>
  <c r="D168" i="1"/>
  <c r="F168" i="1" s="1"/>
  <c r="D167" i="1"/>
  <c r="F167" i="1" s="1"/>
  <c r="A166" i="1"/>
  <c r="A167" i="1" s="1"/>
  <c r="A168" i="1" s="1"/>
  <c r="G165" i="1"/>
  <c r="G166" i="1" s="1"/>
  <c r="G167" i="1" s="1"/>
  <c r="G168" i="1" s="1"/>
  <c r="D163" i="1"/>
  <c r="F163" i="1" s="1"/>
  <c r="D162" i="1"/>
  <c r="F162" i="1" s="1"/>
  <c r="D161" i="1"/>
  <c r="F161" i="1" s="1"/>
  <c r="J161" i="1" s="1"/>
  <c r="A161" i="1"/>
  <c r="A162" i="1" s="1"/>
  <c r="A163" i="1" s="1"/>
  <c r="G160" i="1"/>
  <c r="G161" i="1" s="1"/>
  <c r="G162" i="1" s="1"/>
  <c r="G163" i="1" s="1"/>
  <c r="D160" i="1"/>
  <c r="F160" i="1" s="1"/>
  <c r="D158" i="1"/>
  <c r="F158" i="1" s="1"/>
  <c r="D157" i="1"/>
  <c r="F157" i="1" s="1"/>
  <c r="I157" i="1" s="1"/>
  <c r="D156" i="1"/>
  <c r="F156" i="1" s="1"/>
  <c r="D155" i="1"/>
  <c r="F155" i="1" s="1"/>
  <c r="I155" i="1" s="1"/>
  <c r="A156" i="1"/>
  <c r="A157" i="1" s="1"/>
  <c r="A158" i="1" s="1"/>
  <c r="G155" i="1"/>
  <c r="G156" i="1" s="1"/>
  <c r="G157" i="1" s="1"/>
  <c r="G158" i="1" s="1"/>
  <c r="D152" i="1"/>
  <c r="F152" i="1" s="1"/>
  <c r="D151" i="1"/>
  <c r="F151" i="1" s="1"/>
  <c r="D150" i="1"/>
  <c r="F150" i="1" s="1"/>
  <c r="D149" i="1"/>
  <c r="F149" i="1" s="1"/>
  <c r="D148" i="1"/>
  <c r="F148" i="1" s="1"/>
  <c r="D147" i="1"/>
  <c r="F147" i="1" s="1"/>
  <c r="D146" i="1"/>
  <c r="F146" i="1" s="1"/>
  <c r="A146" i="1"/>
  <c r="A147" i="1" s="1"/>
  <c r="A148" i="1" s="1"/>
  <c r="A149" i="1" s="1"/>
  <c r="A150" i="1" s="1"/>
  <c r="A151" i="1" s="1"/>
  <c r="A152" i="1" s="1"/>
  <c r="G145" i="1"/>
  <c r="G146" i="1" s="1"/>
  <c r="G147" i="1" s="1"/>
  <c r="G148" i="1" s="1"/>
  <c r="G149" i="1" s="1"/>
  <c r="G150" i="1" s="1"/>
  <c r="G151" i="1" s="1"/>
  <c r="G152" i="1" s="1"/>
  <c r="D145" i="1"/>
  <c r="F145" i="1" s="1"/>
  <c r="D143" i="1"/>
  <c r="F143" i="1" s="1"/>
  <c r="D142" i="1"/>
  <c r="F142" i="1" s="1"/>
  <c r="D141" i="1"/>
  <c r="F141" i="1" s="1"/>
  <c r="D140" i="1"/>
  <c r="F140" i="1" s="1"/>
  <c r="D139" i="1"/>
  <c r="F139" i="1" s="1"/>
  <c r="D138" i="1"/>
  <c r="F138" i="1" s="1"/>
  <c r="D137" i="1"/>
  <c r="F137" i="1" s="1"/>
  <c r="D136" i="1"/>
  <c r="F136" i="1" s="1"/>
  <c r="A137" i="1"/>
  <c r="A138" i="1" s="1"/>
  <c r="A139" i="1" s="1"/>
  <c r="A140" i="1" s="1"/>
  <c r="A141" i="1" s="1"/>
  <c r="A142" i="1" s="1"/>
  <c r="A143" i="1" s="1"/>
  <c r="G136" i="1"/>
  <c r="G137" i="1" s="1"/>
  <c r="G138" i="1" s="1"/>
  <c r="G139" i="1" s="1"/>
  <c r="G140" i="1" s="1"/>
  <c r="G141" i="1" s="1"/>
  <c r="G142" i="1" s="1"/>
  <c r="G143" i="1" s="1"/>
  <c r="D134" i="1"/>
  <c r="F134" i="1" s="1"/>
  <c r="D133" i="1"/>
  <c r="F133" i="1" s="1"/>
  <c r="D132" i="1"/>
  <c r="D131" i="1"/>
  <c r="D130" i="1"/>
  <c r="D129" i="1"/>
  <c r="D128" i="1"/>
  <c r="D121" i="1"/>
  <c r="F121" i="1" s="1"/>
  <c r="G96" i="1" s="1"/>
  <c r="A121" i="1"/>
  <c r="G119" i="1"/>
  <c r="G120" i="1" s="1"/>
  <c r="G121" i="1" s="1"/>
  <c r="D117" i="1"/>
  <c r="F117" i="1" s="1"/>
  <c r="G94" i="1" s="1"/>
  <c r="D116" i="1"/>
  <c r="F116" i="1" s="1"/>
  <c r="D115" i="1"/>
  <c r="F115" i="1" s="1"/>
  <c r="D114" i="1"/>
  <c r="F114" i="1" s="1"/>
  <c r="D113" i="1"/>
  <c r="F113" i="1" s="1"/>
  <c r="G95" i="1" s="1"/>
  <c r="D112" i="1"/>
  <c r="D111" i="1"/>
  <c r="D110" i="1"/>
  <c r="D109" i="1"/>
  <c r="G101" i="6" l="1"/>
  <c r="C101" i="1"/>
  <c r="E101" i="1"/>
  <c r="C100" i="1"/>
  <c r="E100" i="1"/>
  <c r="I165" i="1"/>
  <c r="J165" i="1"/>
  <c r="F132" i="1"/>
  <c r="G100" i="1" s="1"/>
  <c r="E66" i="6"/>
  <c r="D67" i="6"/>
  <c r="G66" i="6"/>
  <c r="D60" i="6" s="1"/>
  <c r="D66" i="6"/>
  <c r="E96" i="1"/>
  <c r="E93" i="1"/>
  <c r="C94" i="1"/>
  <c r="C93" i="1"/>
  <c r="C95" i="1"/>
  <c r="C96" i="1"/>
  <c r="E94" i="1"/>
  <c r="E95" i="1"/>
  <c r="E27" i="1"/>
  <c r="E102" i="1" l="1"/>
  <c r="C102" i="1"/>
  <c r="C97" i="1"/>
  <c r="I62" i="6"/>
  <c r="C64" i="6" s="1"/>
  <c r="F61" i="6"/>
  <c r="D61" i="6"/>
  <c r="E97" i="1"/>
  <c r="F129" i="1"/>
  <c r="F130" i="1"/>
  <c r="F131" i="1"/>
  <c r="F128" i="1"/>
  <c r="A129" i="1"/>
  <c r="A130" i="1" s="1"/>
  <c r="A131" i="1" s="1"/>
  <c r="A132" i="1" s="1"/>
  <c r="A133" i="1" s="1"/>
  <c r="A134" i="1" s="1"/>
  <c r="G128" i="1"/>
  <c r="G129" i="1" s="1"/>
  <c r="G130" i="1" s="1"/>
  <c r="G131" i="1" s="1"/>
  <c r="G132" i="1" s="1"/>
  <c r="G133" i="1" s="1"/>
  <c r="G134" i="1" s="1"/>
  <c r="G101" i="1" l="1"/>
  <c r="G102" i="1" s="1"/>
  <c r="F90" i="1"/>
  <c r="F110" i="1" l="1"/>
  <c r="F111" i="1"/>
  <c r="F112" i="1"/>
  <c r="F109" i="1"/>
  <c r="G93" i="1" l="1"/>
  <c r="G97" i="1" s="1"/>
  <c r="B187" i="1"/>
  <c r="B188" i="1" l="1"/>
  <c r="F11" i="5" l="1"/>
  <c r="G11" i="5" s="1"/>
  <c r="F10" i="5"/>
  <c r="G10" i="5" s="1"/>
  <c r="F9" i="5"/>
  <c r="G9" i="5" s="1"/>
  <c r="F8" i="5"/>
  <c r="G8" i="5" s="1"/>
  <c r="F7" i="5"/>
  <c r="G7" i="5" s="1"/>
  <c r="F6" i="5"/>
  <c r="G6" i="5" s="1"/>
  <c r="F5" i="5"/>
  <c r="G5" i="5" s="1"/>
  <c r="G12" i="5" s="1"/>
  <c r="D213" i="1"/>
  <c r="A110" i="1"/>
  <c r="A111" i="1" s="1"/>
  <c r="A112" i="1" s="1"/>
  <c r="A113" i="1" s="1"/>
  <c r="A114" i="1" s="1"/>
  <c r="A115" i="1" s="1"/>
  <c r="A116" i="1" s="1"/>
  <c r="A117" i="1" s="1"/>
  <c r="G109" i="1"/>
  <c r="G110" i="1" s="1"/>
  <c r="G111" i="1" s="1"/>
  <c r="G112" i="1" s="1"/>
  <c r="G113" i="1" s="1"/>
  <c r="G114" i="1" s="1"/>
  <c r="G115" i="1" s="1"/>
  <c r="G116" i="1" s="1"/>
  <c r="G117" i="1" s="1"/>
  <c r="J74" i="1"/>
  <c r="J73" i="1"/>
  <c r="J72" i="1"/>
  <c r="J71" i="1"/>
  <c r="C63" i="1"/>
  <c r="D52" i="1"/>
  <c r="G47" i="1"/>
  <c r="C47" i="1"/>
  <c r="E40" i="1"/>
  <c r="E41" i="1" s="1"/>
  <c r="E24" i="1"/>
  <c r="E22" i="1"/>
  <c r="E7" i="1"/>
  <c r="D57" i="1"/>
  <c r="H64" i="1"/>
  <c r="D76" i="1" l="1"/>
  <c r="D74" i="1"/>
  <c r="D73" i="1"/>
  <c r="D72" i="1"/>
  <c r="D70" i="1"/>
  <c r="D69" i="1"/>
  <c r="D75" i="1"/>
  <c r="D71" i="1"/>
  <c r="J67" i="1"/>
  <c r="J68" i="1"/>
  <c r="C67" i="1" s="1"/>
  <c r="J66" i="1"/>
  <c r="J69" i="1"/>
  <c r="J70" i="1" s="1"/>
  <c r="J75" i="1" s="1"/>
  <c r="J76" i="1" s="1"/>
  <c r="C68" i="1" s="1"/>
  <c r="E67" i="1" l="1"/>
  <c r="D68" i="1"/>
  <c r="G67" i="1"/>
  <c r="D61" i="1" s="1"/>
  <c r="D67" i="1"/>
  <c r="I63" i="1" l="1"/>
  <c r="C65" i="1" s="1"/>
  <c r="F62" i="1"/>
  <c r="D62" i="1"/>
</calcChain>
</file>

<file path=xl/sharedStrings.xml><?xml version="1.0" encoding="utf-8"?>
<sst xmlns="http://schemas.openxmlformats.org/spreadsheetml/2006/main" count="779" uniqueCount="278">
  <si>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</si>
  <si>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</si>
  <si>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</si>
  <si>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</si>
  <si>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</si>
  <si>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</si>
  <si>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</si>
  <si>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</si>
  <si>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</si>
  <si>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</si>
  <si>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</si>
  <si>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</si>
  <si>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</si>
  <si>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</si>
  <si>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</si>
  <si>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</si>
  <si>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</si>
  <si>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</si>
  <si>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</si>
  <si>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</si>
  <si>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</si>
  <si>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</si>
  <si>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</si>
  <si>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</si>
  <si>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</si>
  <si>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</si>
  <si>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</si>
  <si>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</si>
  <si>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</si>
  <si>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</si>
  <si>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</si>
  <si>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</si>
  <si>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</si>
  <si>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Latitude</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</si>
  <si>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</si>
  <si>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</si>
  <si>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</si>
  <si>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</si>
  <si>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</si>
  <si>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</si>
  <si>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</si>
  <si>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</si>
  <si>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</si>
  <si>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</si>
  <si>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</si>
  <si>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</si>
  <si>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</si>
  <si>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</si>
  <si>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</si>
  <si>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</si>
  <si>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</si>
  <si>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</si>
  <si>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</si>
  <si>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</si>
  <si>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</si>
  <si>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</si>
  <si>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</si>
  <si>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</si>
  <si>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</si>
  <si>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</si>
  <si>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</si>
  <si>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</si>
  <si>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</si>
  <si>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</si>
  <si>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</si>
  <si>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</si>
  <si>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</si>
  <si>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</si>
  <si>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</si>
  <si>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</si>
  <si>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</si>
  <si>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</si>
  <si>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</si>
  <si>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</si>
  <si>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</si>
  <si>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</si>
  <si>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</si>
  <si>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</si>
  <si>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</si>
  <si>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</si>
  <si>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Commercial Area Details :</t>
  </si>
  <si>
    <t>Accessibility to the Project from the City: (Proximity to civic amenities like school, hospital, market, etc.)</t>
  </si>
  <si>
    <t>Inspected By :</t>
  </si>
  <si>
    <t>No. of Units</t>
  </si>
  <si>
    <t>1302-ELLORA FIESTA, PLOT NO. 8, SECTOR 11, OPP. JUINAGAR RAILWAY STATION, SANPADA, NAVI MUMBAI 400 706. TEL: 022-27758396/95. FAX :022-27758394.
E mail : axisbank@vsjadon.com. vsjcvaluer@gmail.com. Web site : www.vsjadon.com</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</si>
  <si>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</si>
  <si>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</si>
  <si>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</si>
  <si>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</si>
  <si>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</si>
  <si>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</si>
  <si>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</si>
  <si>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</si>
  <si>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</si>
  <si>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</si>
  <si>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</si>
  <si>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</si>
  <si>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</si>
  <si>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</si>
  <si>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</si>
  <si>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</si>
  <si>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</si>
  <si>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</si>
  <si>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</si>
  <si>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</si>
  <si>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</si>
  <si>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</si>
  <si>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</si>
  <si>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</si>
  <si>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</si>
  <si>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</si>
  <si>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</si>
  <si>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All work Completed. OC Received.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</si>
  <si>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</si>
  <si>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</si>
  <si>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</si>
  <si>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</si>
  <si>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</si>
  <si>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</si>
  <si>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</si>
  <si>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</si>
  <si>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</si>
  <si>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</si>
  <si>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</si>
  <si>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</si>
  <si>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</si>
  <si>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</si>
  <si>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</si>
  <si>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</si>
  <si>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Contact Details ( Name &amp; Contact No.)</t>
  </si>
  <si>
    <t>Valid Upto 
Date</t>
  </si>
  <si>
    <t>Nearby Landmark</t>
  </si>
  <si>
    <t>We considered Carpet area as per Approved Plan.</t>
  </si>
  <si>
    <t>We have considered rate by verifying it from market inquire.</t>
  </si>
  <si>
    <t>Car parking is subjected to authentic documentation.</t>
  </si>
  <si>
    <t>On Site, we meet Mr........(........).</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</si>
  <si>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</si>
  <si>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</si>
  <si>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</si>
  <si>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</si>
  <si>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</si>
  <si>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</si>
  <si>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</si>
  <si>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</si>
  <si>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</si>
  <si>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</si>
  <si>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</si>
  <si>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</si>
  <si>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</si>
  <si>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</si>
  <si>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</si>
  <si>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</si>
  <si>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</si>
  <si>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</si>
  <si>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</si>
  <si>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</si>
  <si>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</si>
  <si>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</si>
  <si>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Vitrified tiles flooring, Kitchen Platform, Decorative</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</si>
  <si>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</si>
  <si>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</si>
  <si>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</si>
  <si>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</si>
  <si>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</si>
  <si>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</si>
  <si>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</si>
  <si>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</si>
  <si>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</si>
  <si>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</si>
  <si>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</si>
  <si>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</si>
  <si>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</si>
  <si>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</si>
  <si>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Legal Charges</t>
  </si>
  <si>
    <t xml:space="preserve">Basement Floor for Pump room </t>
  </si>
  <si>
    <t>Ground Floor for Commercial &amp; Parking</t>
  </si>
  <si>
    <t>Shop</t>
  </si>
  <si>
    <t>Rehab</t>
  </si>
  <si>
    <t>Restaurant (Duplex with 1st Floor)</t>
  </si>
  <si>
    <t>Sale</t>
  </si>
  <si>
    <t>Bank (Duplex with 1st Floor)</t>
  </si>
  <si>
    <t>1st Floor for Commercial</t>
  </si>
  <si>
    <t>Restaurant (Duplex with Ground Floor)</t>
  </si>
  <si>
    <t>Bank (Duplex with Ground Floor)</t>
  </si>
  <si>
    <t>Polyclinic</t>
  </si>
  <si>
    <t>2nd Floor for Mechanical Parking</t>
  </si>
  <si>
    <t>4th Floor for Service Floor</t>
  </si>
  <si>
    <t>3rd Floor for Fitness Center</t>
  </si>
  <si>
    <t>5th Floor (Part Refuge Area)</t>
  </si>
  <si>
    <t>MP Room</t>
  </si>
  <si>
    <t>Sale / Rehab Flat</t>
  </si>
  <si>
    <t>1BHK</t>
  </si>
  <si>
    <t>1RK</t>
  </si>
  <si>
    <t>6th Floor</t>
  </si>
  <si>
    <t>2BHK</t>
  </si>
  <si>
    <t>7th Floor</t>
  </si>
  <si>
    <t>8th Floor for Service Floor</t>
  </si>
  <si>
    <t>9th Floor</t>
  </si>
  <si>
    <t>3.5BHK + Family Room</t>
  </si>
  <si>
    <t>10th Floor</t>
  </si>
  <si>
    <t>11th &amp; 12th Floor</t>
  </si>
  <si>
    <t>3BHK</t>
  </si>
  <si>
    <t>13th Floor (Part Refuge Area)</t>
  </si>
  <si>
    <t>Refuge Area</t>
  </si>
  <si>
    <t>14th Floor</t>
  </si>
  <si>
    <t>15th Floor (Fire Check Floor)</t>
  </si>
  <si>
    <t>16th to 21st Floor</t>
  </si>
  <si>
    <t>Sale / Rehab Unit</t>
  </si>
  <si>
    <t>Rehab Shop</t>
  </si>
  <si>
    <t>Sale Restaurant</t>
  </si>
  <si>
    <t>Rehab Bank</t>
  </si>
  <si>
    <t>Sale Polyclinic</t>
  </si>
  <si>
    <t>Sale Flat</t>
  </si>
  <si>
    <t>Rehab Flat</t>
  </si>
  <si>
    <t>Rehab Shop - 7, Rehab Bank - 1, Sale Restaurant - 1, Sale Polyclinic - 1, Sale Flat - 32, Rehab Flat - 38.</t>
  </si>
  <si>
    <t>Axis Goregaon</t>
  </si>
  <si>
    <t>M/s. Aventa Properties LLP</t>
  </si>
  <si>
    <t>Medius</t>
  </si>
  <si>
    <t>Mr. Tushar Rao - 9833405230</t>
  </si>
  <si>
    <t>1 Building</t>
  </si>
  <si>
    <t>Approved Plans, CC.</t>
  </si>
  <si>
    <t>P51900006152</t>
  </si>
  <si>
    <t>F.P No</t>
  </si>
  <si>
    <t>Proposed Redevelopment On Plot Bearing F.P. No,206 &amp; 207,t.P.S. - III, Mahim, L.J. Road, Mumbai -16.</t>
  </si>
  <si>
    <t>206 &amp; 207, TPS - III.</t>
  </si>
  <si>
    <t>Mahim</t>
  </si>
  <si>
    <t>Mumbai</t>
  </si>
  <si>
    <t>L.J.Road</t>
  </si>
  <si>
    <t>Ward G North</t>
  </si>
  <si>
    <t>1.7 Km from Mahim
Railway Station</t>
  </si>
  <si>
    <t>Next to Kashi Vishweshwar
Temple/Shobha Restaurant</t>
  </si>
  <si>
    <t>Building</t>
  </si>
  <si>
    <t>LJ Road</t>
  </si>
  <si>
    <t>Temple</t>
  </si>
  <si>
    <t>Municipal Corporation of Greater Mumbai (MCGM)</t>
  </si>
  <si>
    <t>EB/6939/GN/A</t>
  </si>
  <si>
    <t>EB/6939/GN/A/FCC/2/Amend</t>
  </si>
  <si>
    <t>This CC is further extended upto Top of 4th Service Floor as per amended approved plan dtd 14.05.2019 &amp; as per phase-II of phase Programme dtd 18.09.2019 in accordance with approval from EEBP City III vide note sheet dated 05.07.2021.</t>
  </si>
  <si>
    <t>As per RERA - 30/12/2022</t>
  </si>
  <si>
    <t>B + G/st + 1st Floor + 2nd Floor (1st to 9th level Podium) + 3rd to 25th Floor.</t>
  </si>
  <si>
    <t>B + G/st + 1st Floor + 2nd Floor (1st to 9th level Podium) + 3rd to 21st Floor.</t>
  </si>
  <si>
    <t>200/- from 15th floor</t>
  </si>
  <si>
    <t>Floor rise rate  Per Sq. Ft.</t>
  </si>
  <si>
    <t>250/- Per sq.Ft.</t>
  </si>
  <si>
    <t>Construction work is in process at the time of Visit.</t>
  </si>
  <si>
    <t>We considered Gross carpet area = Net carpet.</t>
  </si>
  <si>
    <t xml:space="preserve">Vishal </t>
  </si>
  <si>
    <t>Karan</t>
  </si>
  <si>
    <t xml:space="preserve"> Shop</t>
  </si>
  <si>
    <t xml:space="preserve"> Bank</t>
  </si>
  <si>
    <t xml:space="preserve"> Restaurant</t>
  </si>
  <si>
    <t xml:space="preserve"> Polyclinic</t>
  </si>
  <si>
    <t>2nd Floor for (1st to 9th level Podium) Mechanical Parking</t>
  </si>
  <si>
    <t>We have update revised approved floor plan &amp; C.C. (dtd. 11/04/2022)</t>
  </si>
  <si>
    <t>950 M from Matunga
Railway Station</t>
  </si>
  <si>
    <t xml:space="preserve">Total </t>
  </si>
  <si>
    <t>Sale Flats</t>
  </si>
  <si>
    <t>Rehab Flats</t>
  </si>
  <si>
    <t>Karan Misal</t>
  </si>
  <si>
    <t>We have updated the revised approved C.C. from the MCGM site (on 03/11/2022)</t>
  </si>
  <si>
    <t>Office No. 1031, Wing J, Akshar Business Park, Plot No. 03 Sector 25, Near APMC Market, 
Vashi,  Navi Mumbai, Maharashtra 400703 TEL: 022-46090378/79/80                                                                       
E mail : vsjcapf@gmail.com. Web site : www.vsjadon.com</t>
  </si>
  <si>
    <t>Construction work is in process at the time of Visit. Internal visit was not allowed.</t>
  </si>
  <si>
    <t>Rehab Shop - 7, Bank - 1, Restaurant - 1, Polyclinic - 1, 
Sale Flats - 33 Rehab Flats - 38.</t>
  </si>
  <si>
    <t>Proposed Redevelopment On Plot Bearing F.P. No,206 &amp; 207,T.P.S. - III, Mahim, L.J. Road, Mumbai -16.</t>
  </si>
  <si>
    <t>Latitude, Longitude</t>
  </si>
  <si>
    <t>19.0311574,72.8419065</t>
  </si>
  <si>
    <t>https://maps.app.goo.gl/UBjTNYcExRan5hAR7</t>
  </si>
  <si>
    <t>Location Link</t>
  </si>
  <si>
    <t>1. Vitrified tiles flooring 2. Granite Kitchen Platform 3. Decorative Enternace etc.</t>
  </si>
  <si>
    <t>Check construction properly as extra construction given earlier 10/02/2024</t>
  </si>
  <si>
    <t>EB/6939/GN/A/FCC/5/Amend</t>
  </si>
  <si>
    <t>This C.C. is endorsed and further extended up to top of 38th floor as per amended approved plans dated 03.05.2024 and approved Phase Programme dated 18.11.2024.</t>
  </si>
  <si>
    <t>As per RERA - 31/12/2026</t>
  </si>
  <si>
    <t>1B + Gr/St + P1 to P11 + 12th Floor for Amenity + 13th Service Floor + 14th to 42nd Floor</t>
  </si>
  <si>
    <t>We have updated latest CC from MCGM site (On 13/05/2025).</t>
  </si>
  <si>
    <t>Please provide revised approved floor plans.</t>
  </si>
  <si>
    <t>Kunal Kadam</t>
  </si>
  <si>
    <t>Validity of CC is expired on 02/08/2025. Please provide revised 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</si>
</sst>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0.0"/>
    <numFmt numFmtId="166" formatCode="_(* #,##0_);_(* \(#,##0\);_(* &quot;-&quot;??_);_(@_)"/>
    <numFmt numFmtId="167" formatCode="_ * #,##0_ ;_ * \-#,##0_ ;_ * &quot;-&quot;??_ ;_ @_ "/>
  </numFmts>
  <fonts count="2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u/>
      <sz val="11"/>
      <color theme="10"/>
      <name val="Calibri"/>
      <family val="2"/>
    </font>
  </fonts>
  <fills count="3">
    <fill>
      <patternFill patternType="none"/>
    </fill>
    <fill>
      <patternFill patternType="gray125"/>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5" fillId="0" borderId="0" applyNumberFormat="0" applyFill="0" applyBorder="0" applyAlignment="0" applyProtection="0"/>
  </cellStyleXfs>
  <cellXfs count="187">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7" xfId="8" applyFont="1" applyFill="1" applyBorder="1" applyAlignment="1" applyProtection="1">
      <alignment horizontal="center" vertical="top" wrapText="1"/>
      <protection locked="0"/>
    </xf>
    <xf numFmtId="0" fontId="18" fillId="0" borderId="0" xfId="0" applyFont="1" applyProtection="1">
      <protection hidden="1"/>
    </xf>
    <xf numFmtId="0" fontId="7" fillId="0" borderId="9" xfId="1" applyFont="1" applyBorder="1" applyProtection="1">
      <protection hidden="1"/>
    </xf>
    <xf numFmtId="0" fontId="7" fillId="0" borderId="0" xfId="1" applyFont="1" applyProtection="1">
      <protection hidden="1"/>
    </xf>
    <xf numFmtId="0" fontId="18" fillId="0" borderId="12"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24" fillId="0" borderId="0" xfId="1" applyFont="1"/>
    <xf numFmtId="0" fontId="7" fillId="0" borderId="10" xfId="1" applyFont="1" applyBorder="1" applyProtection="1">
      <protection hidden="1"/>
    </xf>
    <xf numFmtId="0" fontId="7" fillId="0" borderId="11" xfId="1" applyFont="1" applyBorder="1" applyProtection="1">
      <protection hidden="1"/>
    </xf>
    <xf numFmtId="0" fontId="7" fillId="0" borderId="11" xfId="1" applyFont="1" applyBorder="1"/>
    <xf numFmtId="0" fontId="18" fillId="0" borderId="11" xfId="0" applyFont="1" applyBorder="1" applyProtection="1">
      <protection hidden="1"/>
    </xf>
    <xf numFmtId="1" fontId="0" fillId="0" borderId="11" xfId="0" applyNumberFormat="1" applyBorder="1"/>
    <xf numFmtId="1" fontId="0" fillId="0" borderId="11" xfId="0" applyNumberFormat="1" applyBorder="1" applyAlignment="1">
      <alignment horizontal="right"/>
    </xf>
    <xf numFmtId="1" fontId="0" fillId="0" borderId="13"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15"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8" fillId="0" borderId="2"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1" fontId="12" fillId="0" borderId="1" xfId="0" applyNumberFormat="1" applyFont="1" applyBorder="1" applyAlignment="1" applyProtection="1">
      <alignment horizontal="center" vertical="center" wrapText="1"/>
      <protection locked="0"/>
    </xf>
    <xf numFmtId="1" fontId="17" fillId="0" borderId="1" xfId="1" applyNumberFormat="1" applyFont="1" applyBorder="1" applyAlignment="1" applyProtection="1">
      <alignment horizontal="center" vertical="center" wrapText="1"/>
      <protection locked="0"/>
    </xf>
    <xf numFmtId="0" fontId="10" fillId="0" borderId="0" xfId="0" applyFont="1" applyAlignment="1">
      <alignment horizontal="center" vertical="center"/>
    </xf>
    <xf numFmtId="1" fontId="7" fillId="0" borderId="1" xfId="1" applyNumberFormat="1" applyFont="1" applyBorder="1" applyAlignment="1" applyProtection="1">
      <alignment horizontal="center" vertical="top" wrapText="1"/>
      <protection locked="0"/>
    </xf>
    <xf numFmtId="0" fontId="7" fillId="2" borderId="0" xfId="1" applyFont="1" applyFill="1"/>
    <xf numFmtId="1" fontId="8" fillId="0" borderId="1" xfId="1" applyNumberFormat="1" applyFont="1" applyBorder="1" applyAlignment="1" applyProtection="1">
      <alignment horizontal="center" vertical="top" wrapText="1"/>
      <protection locked="0"/>
    </xf>
    <xf numFmtId="9" fontId="8" fillId="0" borderId="1" xfId="8" applyFont="1" applyFill="1" applyBorder="1" applyAlignment="1" applyProtection="1">
      <alignment horizontal="center" vertical="top" wrapText="1"/>
      <protection locked="0"/>
    </xf>
    <xf numFmtId="1" fontId="13" fillId="0" borderId="7" xfId="0" applyNumberFormat="1" applyFont="1" applyBorder="1" applyAlignment="1" applyProtection="1">
      <alignment vertical="top" wrapText="1"/>
      <protection locked="0"/>
    </xf>
    <xf numFmtId="1" fontId="13" fillId="0" borderId="22"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6" fillId="0" borderId="22"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0" fontId="8" fillId="0" borderId="1" xfId="1" applyFont="1" applyBorder="1" applyAlignment="1" applyProtection="1">
      <alignment horizontal="center" vertical="top"/>
      <protection locked="0"/>
    </xf>
    <xf numFmtId="1" fontId="8" fillId="0" borderId="7" xfId="1" applyNumberFormat="1" applyFont="1" applyBorder="1" applyAlignment="1" applyProtection="1">
      <alignment horizontal="center" vertical="center" wrapText="1"/>
      <protection locked="0"/>
    </xf>
    <xf numFmtId="1" fontId="8" fillId="0" borderId="22"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8" fillId="0" borderId="18"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165"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1" fontId="8" fillId="0" borderId="2"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21" xfId="1" applyNumberFormat="1" applyFont="1" applyBorder="1" applyAlignment="1" applyProtection="1">
      <alignment horizontal="center" vertical="top" wrapText="1"/>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67" fontId="13" fillId="0" borderId="1" xfId="9" applyNumberFormat="1" applyFont="1" applyFill="1" applyBorder="1" applyAlignment="1" applyProtection="1">
      <alignment horizontal="left" vertical="top"/>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2"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2"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167" fontId="12" fillId="0" borderId="1" xfId="9" applyNumberFormat="1" applyFont="1" applyFill="1" applyBorder="1" applyAlignment="1" applyProtection="1">
      <alignment horizontal="left" vertical="top"/>
      <protection locked="0"/>
    </xf>
    <xf numFmtId="0" fontId="10" fillId="0" borderId="1" xfId="0" applyFont="1" applyBorder="1" applyAlignment="1" applyProtection="1">
      <alignment horizontal="center" vertical="center"/>
      <protection locked="0"/>
    </xf>
    <xf numFmtId="167" fontId="12" fillId="0" borderId="1" xfId="9" applyNumberFormat="1" applyFont="1" applyFill="1" applyBorder="1" applyAlignment="1" applyProtection="1">
      <alignment horizontal="right" vertical="top"/>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1" fontId="13" fillId="0" borderId="1" xfId="0" applyNumberFormat="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9" fontId="7" fillId="0" borderId="18" xfId="8" applyFont="1" applyFill="1" applyBorder="1" applyAlignment="1" applyProtection="1">
      <alignment horizontal="center" vertical="center" wrapText="1"/>
      <protection locked="0"/>
    </xf>
    <xf numFmtId="9" fontId="7" fillId="0" borderId="19"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3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9" fontId="7" fillId="0" borderId="13" xfId="8"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13" fillId="0" borderId="1" xfId="1" applyFont="1" applyBorder="1" applyAlignment="1" applyProtection="1">
      <alignment horizontal="left" vertical="top"/>
      <protection locked="0"/>
    </xf>
    <xf numFmtId="165" fontId="12"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7" fillId="0" borderId="1" xfId="1" applyFont="1" applyBorder="1" applyAlignment="1" applyProtection="1">
      <alignment horizontal="left"/>
      <protection locked="0"/>
    </xf>
    <xf numFmtId="0" fontId="25" fillId="0" borderId="1" xfId="10" applyFill="1" applyBorder="1" applyAlignment="1" applyProtection="1">
      <alignment horizontal="left"/>
      <protection locked="0"/>
    </xf>
    <xf numFmtId="1" fontId="4" fillId="0" borderId="1" xfId="1" applyNumberFormat="1" applyFont="1" applyBorder="1" applyAlignment="1" applyProtection="1">
      <alignment horizontal="center" vertical="top" wrapText="1"/>
      <protection locked="0"/>
    </xf>
    <xf numFmtId="0" fontId="8" fillId="0" borderId="17" xfId="1" applyFont="1" applyBorder="1" applyAlignment="1" applyProtection="1">
      <alignment horizontal="left" vertical="top"/>
      <protection locked="0"/>
    </xf>
    <xf numFmtId="0" fontId="8" fillId="0" borderId="17" xfId="1" applyFont="1" applyBorder="1" applyAlignment="1" applyProtection="1">
      <alignment horizontal="center" vertical="top"/>
      <protection locked="0"/>
    </xf>
    <xf numFmtId="1" fontId="13" fillId="0" borderId="1" xfId="0" applyNumberFormat="1" applyFont="1" applyBorder="1" applyAlignment="1" applyProtection="1">
      <alignment vertical="top" wrapText="1"/>
      <protection locked="0"/>
    </xf>
    <xf numFmtId="0" fontId="12" fillId="0" borderId="7"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3" fillId="0" borderId="7" xfId="1" applyFont="1" applyBorder="1" applyAlignment="1" applyProtection="1">
      <alignment horizontal="left" vertical="top"/>
      <protection locked="0"/>
    </xf>
    <xf numFmtId="0" fontId="13" fillId="0" borderId="22"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1" fontId="10" fillId="0" borderId="1" xfId="0" applyNumberFormat="1" applyFont="1" applyBorder="1" applyAlignment="1" applyProtection="1">
      <alignment horizontal="center" vertical="center"/>
      <protection locked="0"/>
    </xf>
    <xf numFmtId="1" fontId="6" fillId="0" borderId="1" xfId="1" applyNumberFormat="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9" fillId="0" borderId="1" xfId="5" applyFont="1" applyBorder="1" applyAlignment="1">
      <alignment horizontal="left"/>
    </xf>
    <xf numFmtId="1" fontId="8" fillId="0" borderId="7" xfId="0" applyNumberFormat="1" applyFont="1" applyBorder="1" applyAlignment="1" applyProtection="1">
      <alignment vertical="top" wrapText="1"/>
      <protection locked="0"/>
    </xf>
    <xf numFmtId="1" fontId="8" fillId="0" borderId="22"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17" fillId="0" borderId="7" xfId="0" applyNumberFormat="1" applyFont="1" applyBorder="1" applyAlignment="1" applyProtection="1">
      <alignment vertical="top" wrapText="1"/>
      <protection locked="0"/>
    </xf>
    <xf numFmtId="1" fontId="17" fillId="0" borderId="22"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0" fontId="6" fillId="0" borderId="2"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8" fillId="0" borderId="16"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24" xfId="1" applyFont="1" applyBorder="1" applyAlignment="1" applyProtection="1">
      <alignment horizontal="left" vertical="top" wrapText="1"/>
      <protection locked="0"/>
    </xf>
    <xf numFmtId="0" fontId="13" fillId="0" borderId="3" xfId="1" applyFont="1" applyBorder="1" applyAlignment="1" applyProtection="1">
      <alignment horizontal="left" vertical="top"/>
      <protection locked="0"/>
    </xf>
    <xf numFmtId="0" fontId="13" fillId="0" borderId="4"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17" fillId="0" borderId="7" xfId="1" applyFont="1" applyBorder="1" applyAlignment="1" applyProtection="1">
      <alignment horizontal="left" vertical="top"/>
      <protection locked="0"/>
    </xf>
    <xf numFmtId="0" fontId="17" fillId="0" borderId="22" xfId="1" applyFont="1" applyBorder="1" applyAlignment="1" applyProtection="1">
      <alignment horizontal="left" vertical="top"/>
      <protection locked="0"/>
    </xf>
    <xf numFmtId="0" fontId="17" fillId="0" borderId="8" xfId="1" applyFont="1" applyBorder="1" applyAlignment="1" applyProtection="1">
      <alignment horizontal="left" vertical="top"/>
      <protection locked="0"/>
    </xf>
    <xf numFmtId="0" fontId="7" fillId="0" borderId="1" xfId="1" applyFont="1" applyBorder="1" applyAlignment="1" applyProtection="1">
      <alignment horizontal="center"/>
      <protection locked="0"/>
    </xf>
    <xf numFmtId="0" fontId="6" fillId="0" borderId="1" xfId="1" applyFont="1" applyBorder="1" applyAlignment="1" applyProtection="1">
      <alignment horizontal="center" vertical="top"/>
      <protection locked="0"/>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g"/><Relationship Id="rId5" Type="http://schemas.openxmlformats.org/officeDocument/2006/relationships/image" Target="../media/image5.png"/><Relationship Id="rId15" Type="http://schemas.openxmlformats.org/officeDocument/2006/relationships/image" Target="../media/image15.jp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8" Type="http://schemas.openxmlformats.org/officeDocument/2006/relationships/image" Target="../media/image25.jpeg"/><Relationship Id="rId3" Type="http://schemas.openxmlformats.org/officeDocument/2006/relationships/image" Target="../media/image20.jpeg"/><Relationship Id="rId7" Type="http://schemas.openxmlformats.org/officeDocument/2006/relationships/image" Target="../media/image24.png"/><Relationship Id="rId2" Type="http://schemas.openxmlformats.org/officeDocument/2006/relationships/image" Target="../media/image19.jpeg"/><Relationship Id="rId1" Type="http://schemas.openxmlformats.org/officeDocument/2006/relationships/image" Target="../media/image18.jpeg"/><Relationship Id="rId6" Type="http://schemas.openxmlformats.org/officeDocument/2006/relationships/image" Target="../media/image23.jpeg"/><Relationship Id="rId5" Type="http://schemas.openxmlformats.org/officeDocument/2006/relationships/image" Target="../media/image22.jpeg"/><Relationship Id="rId4" Type="http://schemas.openxmlformats.org/officeDocument/2006/relationships/image" Target="../media/image2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oneCell">
    <xdr:from>
      <xdr:col>0</xdr:col>
      <xdr:colOff>771525</xdr:colOff>
      <xdr:row>257</xdr:row>
      <xdr:rowOff>19050</xdr:rowOff>
    </xdr:from>
    <xdr:to>
      <xdr:col>7</xdr:col>
      <xdr:colOff>55665</xdr:colOff>
      <xdr:row>272</xdr:row>
      <xdr:rowOff>150577</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771525" y="55578375"/>
          <a:ext cx="5399190" cy="3131903"/>
        </a:xfrm>
        <a:prstGeom prst="rect">
          <a:avLst/>
        </a:prstGeom>
        <a:noFill/>
        <a:ln w="9525">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771525</xdr:colOff>
      <xdr:row>273</xdr:row>
      <xdr:rowOff>157205</xdr:rowOff>
    </xdr:from>
    <xdr:to>
      <xdr:col>7</xdr:col>
      <xdr:colOff>55665</xdr:colOff>
      <xdr:row>289</xdr:row>
      <xdr:rowOff>157355</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771525" y="58916930"/>
          <a:ext cx="5399190" cy="3200549"/>
        </a:xfrm>
        <a:prstGeom prst="rect">
          <a:avLst/>
        </a:prstGeom>
        <a:noFill/>
        <a:ln w="9525">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8</xdr:col>
      <xdr:colOff>939800</xdr:colOff>
      <xdr:row>212</xdr:row>
      <xdr:rowOff>163830</xdr:rowOff>
    </xdr:from>
    <xdr:to>
      <xdr:col>16</xdr:col>
      <xdr:colOff>361285</xdr:colOff>
      <xdr:row>253</xdr:row>
      <xdr:rowOff>157480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675880" y="46699170"/>
          <a:ext cx="5997545" cy="8108950"/>
          <a:chOff x="292100" y="45993050"/>
          <a:chExt cx="6090255" cy="8058150"/>
        </a:xfrm>
      </xdr:grpSpPr>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4234960" y="52352524"/>
            <a:ext cx="1618313" cy="1698676"/>
          </a:xfrm>
          <a:prstGeom prst="rect">
            <a:avLst/>
          </a:prstGeom>
          <a:ln>
            <a:solidFill>
              <a:schemeClr val="tx1"/>
            </a:solidFill>
          </a:ln>
        </xdr:spPr>
      </xdr:pic>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4234960" y="50072787"/>
            <a:ext cx="1618313" cy="2160000"/>
          </a:xfrm>
          <a:prstGeom prst="rect">
            <a:avLst/>
          </a:prstGeom>
          <a:ln>
            <a:solidFill>
              <a:schemeClr val="tx1"/>
            </a:solidFill>
          </a:ln>
        </xdr:spPr>
      </xdr:pic>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733438" y="52352524"/>
            <a:ext cx="1618313" cy="1698676"/>
          </a:xfrm>
          <a:prstGeom prst="rect">
            <a:avLst/>
          </a:prstGeom>
          <a:ln>
            <a:solidFill>
              <a:schemeClr val="tx1"/>
            </a:solidFill>
          </a:ln>
        </xdr:spPr>
      </xdr:pic>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484199" y="50072787"/>
            <a:ext cx="1618313" cy="2160000"/>
          </a:xfrm>
          <a:prstGeom prst="rect">
            <a:avLst/>
          </a:prstGeom>
          <a:ln>
            <a:solidFill>
              <a:schemeClr val="tx1"/>
            </a:solidFill>
          </a:ln>
        </xdr:spPr>
      </xdr:pic>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92100" y="45993050"/>
            <a:ext cx="2966907" cy="3960000"/>
          </a:xfrm>
          <a:prstGeom prst="rect">
            <a:avLst/>
          </a:prstGeom>
          <a:ln>
            <a:solidFill>
              <a:schemeClr val="tx1"/>
            </a:solidFill>
          </a:ln>
        </xdr:spPr>
      </xdr:pic>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733438" y="50072787"/>
            <a:ext cx="1618313" cy="2160000"/>
          </a:xfrm>
          <a:prstGeom prst="rect">
            <a:avLst/>
          </a:prstGeom>
          <a:ln>
            <a:solidFill>
              <a:schemeClr val="tx1"/>
            </a:solidFill>
          </a:ln>
        </xdr:spPr>
      </xdr:pic>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415448" y="45993050"/>
            <a:ext cx="2966907" cy="3960000"/>
          </a:xfrm>
          <a:prstGeom prst="rect">
            <a:avLst/>
          </a:prstGeom>
          <a:ln>
            <a:solidFill>
              <a:schemeClr val="tx1"/>
            </a:solidFill>
          </a:ln>
        </xdr:spPr>
      </xdr:pic>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484199" y="52352524"/>
            <a:ext cx="1618313" cy="1698676"/>
          </a:xfrm>
          <a:prstGeom prst="rect">
            <a:avLst/>
          </a:prstGeom>
          <a:ln>
            <a:solidFill>
              <a:schemeClr val="tx1"/>
            </a:solidFill>
          </a:ln>
        </xdr:spPr>
      </xdr:pic>
    </xdr:grpSp>
    <xdr:clientData/>
  </xdr:twoCellAnchor>
  <xdr:twoCellAnchor>
    <xdr:from>
      <xdr:col>0</xdr:col>
      <xdr:colOff>358140</xdr:colOff>
      <xdr:row>214</xdr:row>
      <xdr:rowOff>15240</xdr:rowOff>
    </xdr:from>
    <xdr:to>
      <xdr:col>7</xdr:col>
      <xdr:colOff>413017</xdr:colOff>
      <xdr:row>252</xdr:row>
      <xdr:rowOff>41546</xdr:rowOff>
    </xdr:to>
    <xdr:grpSp>
      <xdr:nvGrpSpPr>
        <xdr:cNvPr id="3" name="Group 2">
          <a:extLst>
            <a:ext uri="{FF2B5EF4-FFF2-40B4-BE49-F238E27FC236}">
              <a16:creationId xmlns:a16="http://schemas.microsoft.com/office/drawing/2014/main" id="{A7628994-19A2-FC2C-423B-1C9B8A419EC6}"/>
            </a:ext>
          </a:extLst>
        </xdr:cNvPr>
        <xdr:cNvGrpSpPr/>
      </xdr:nvGrpSpPr>
      <xdr:grpSpPr>
        <a:xfrm>
          <a:off x="358140" y="46946820"/>
          <a:ext cx="5937517" cy="7547246"/>
          <a:chOff x="264832" y="226081"/>
          <a:chExt cx="5937517" cy="7547246"/>
        </a:xfrm>
      </xdr:grpSpPr>
      <xdr:grpSp>
        <xdr:nvGrpSpPr>
          <xdr:cNvPr id="4" name="Group 3">
            <a:extLst>
              <a:ext uri="{FF2B5EF4-FFF2-40B4-BE49-F238E27FC236}">
                <a16:creationId xmlns:a16="http://schemas.microsoft.com/office/drawing/2014/main" id="{701DC72C-C0D8-3115-8596-87DBDA71E733}"/>
              </a:ext>
            </a:extLst>
          </xdr:cNvPr>
          <xdr:cNvGrpSpPr/>
        </xdr:nvGrpSpPr>
        <xdr:grpSpPr>
          <a:xfrm>
            <a:off x="1545996" y="5613327"/>
            <a:ext cx="3375189" cy="2160000"/>
            <a:chOff x="2557441" y="5613327"/>
            <a:chExt cx="3375189" cy="2160000"/>
          </a:xfrm>
        </xdr:grpSpPr>
        <xdr:pic>
          <xdr:nvPicPr>
            <xdr:cNvPr id="15" name="Picture 14">
              <a:extLst>
                <a:ext uri="{FF2B5EF4-FFF2-40B4-BE49-F238E27FC236}">
                  <a16:creationId xmlns:a16="http://schemas.microsoft.com/office/drawing/2014/main" id="{ACF165B1-A225-0940-330B-2540E3A622C0}"/>
                </a:ext>
              </a:extLst>
            </xdr:cNvPr>
            <xdr:cNvPicPr>
              <a:picLocks noChangeAspect="1"/>
            </xdr:cNvPicPr>
          </xdr:nvPicPr>
          <xdr:blipFill>
            <a:blip xmlns:r="http://schemas.openxmlformats.org/officeDocument/2006/relationships" r:embed="rId11" cstate="hqprint">
              <a:extLst>
                <a:ext uri="{28A0092B-C50C-407E-A947-70E740481C1C}">
                  <a14:useLocalDpi xmlns:a14="http://schemas.microsoft.com/office/drawing/2010/main"/>
                </a:ext>
              </a:extLst>
            </a:blip>
            <a:stretch>
              <a:fillRect/>
            </a:stretch>
          </xdr:blipFill>
          <xdr:spPr>
            <a:xfrm>
              <a:off x="2557441" y="5613327"/>
              <a:ext cx="1618312" cy="2160000"/>
            </a:xfrm>
            <a:prstGeom prst="rect">
              <a:avLst/>
            </a:prstGeom>
            <a:ln>
              <a:solidFill>
                <a:schemeClr val="tx1"/>
              </a:solidFill>
            </a:ln>
          </xdr:spPr>
        </xdr:pic>
        <xdr:pic>
          <xdr:nvPicPr>
            <xdr:cNvPr id="16" name="Picture 15">
              <a:extLst>
                <a:ext uri="{FF2B5EF4-FFF2-40B4-BE49-F238E27FC236}">
                  <a16:creationId xmlns:a16="http://schemas.microsoft.com/office/drawing/2014/main" id="{235BE499-56C9-5622-B670-C2042762648F}"/>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4314318" y="5613327"/>
              <a:ext cx="1618312" cy="2160000"/>
            </a:xfrm>
            <a:prstGeom prst="rect">
              <a:avLst/>
            </a:prstGeom>
            <a:ln>
              <a:solidFill>
                <a:schemeClr val="tx1"/>
              </a:solidFill>
            </a:ln>
          </xdr:spPr>
        </xdr:pic>
      </xdr:grpSp>
      <xdr:grpSp>
        <xdr:nvGrpSpPr>
          <xdr:cNvPr id="5" name="Group 4">
            <a:extLst>
              <a:ext uri="{FF2B5EF4-FFF2-40B4-BE49-F238E27FC236}">
                <a16:creationId xmlns:a16="http://schemas.microsoft.com/office/drawing/2014/main" id="{E2A6F58A-267A-E1D8-5B5A-DBD8D078D6B7}"/>
              </a:ext>
            </a:extLst>
          </xdr:cNvPr>
          <xdr:cNvGrpSpPr/>
        </xdr:nvGrpSpPr>
        <xdr:grpSpPr>
          <a:xfrm>
            <a:off x="264832" y="226081"/>
            <a:ext cx="5937517" cy="5220000"/>
            <a:chOff x="264832" y="226081"/>
            <a:chExt cx="5937517" cy="5220000"/>
          </a:xfrm>
        </xdr:grpSpPr>
        <xdr:pic>
          <xdr:nvPicPr>
            <xdr:cNvPr id="6" name="Picture 5">
              <a:extLst>
                <a:ext uri="{FF2B5EF4-FFF2-40B4-BE49-F238E27FC236}">
                  <a16:creationId xmlns:a16="http://schemas.microsoft.com/office/drawing/2014/main" id="{4B42738B-862B-C93E-4BE7-C8B7758A29B7}"/>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4314318" y="2913327"/>
              <a:ext cx="1888031" cy="2520000"/>
            </a:xfrm>
            <a:prstGeom prst="rect">
              <a:avLst/>
            </a:prstGeom>
            <a:ln>
              <a:solidFill>
                <a:schemeClr val="tx1"/>
              </a:solidFill>
            </a:ln>
          </xdr:spPr>
        </xdr:pic>
        <xdr:pic>
          <xdr:nvPicPr>
            <xdr:cNvPr id="7" name="Picture 6">
              <a:extLst>
                <a:ext uri="{FF2B5EF4-FFF2-40B4-BE49-F238E27FC236}">
                  <a16:creationId xmlns:a16="http://schemas.microsoft.com/office/drawing/2014/main" id="{AAD0C5F5-8D7F-DF19-04FE-6A06B5C68DFF}"/>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264832" y="226081"/>
              <a:ext cx="3910921" cy="5220000"/>
            </a:xfrm>
            <a:prstGeom prst="rect">
              <a:avLst/>
            </a:prstGeom>
            <a:ln>
              <a:solidFill>
                <a:schemeClr val="tx1"/>
              </a:solidFill>
            </a:ln>
          </xdr:spPr>
        </xdr:pic>
        <xdr:pic>
          <xdr:nvPicPr>
            <xdr:cNvPr id="10" name="Picture 9">
              <a:extLst>
                <a:ext uri="{FF2B5EF4-FFF2-40B4-BE49-F238E27FC236}">
                  <a16:creationId xmlns:a16="http://schemas.microsoft.com/office/drawing/2014/main" id="{C26B328D-AA17-9D90-ADA0-254520E00AA3}"/>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4314318" y="226081"/>
              <a:ext cx="1888031" cy="252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519900</xdr:colOff>
      <xdr:row>233</xdr:row>
      <xdr:rowOff>184121</xdr:rowOff>
    </xdr:from>
    <xdr:to>
      <xdr:col>5</xdr:col>
      <xdr:colOff>633650</xdr:colOff>
      <xdr:row>244</xdr:row>
      <xdr:rowOff>143846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196300" y="51742946"/>
          <a:ext cx="2876000" cy="2160000"/>
        </a:xfrm>
        <a:prstGeom prst="rect">
          <a:avLst/>
        </a:prstGeom>
        <a:ln>
          <a:solidFill>
            <a:schemeClr val="tx1"/>
          </a:solidFill>
        </a:ln>
      </xdr:spPr>
    </xdr:pic>
    <xdr:clientData/>
  </xdr:twoCellAnchor>
  <xdr:twoCellAnchor editAs="oneCell">
    <xdr:from>
      <xdr:col>5</xdr:col>
      <xdr:colOff>730625</xdr:colOff>
      <xdr:row>221</xdr:row>
      <xdr:rowOff>118891</xdr:rowOff>
    </xdr:from>
    <xdr:to>
      <xdr:col>7</xdr:col>
      <xdr:colOff>764857</xdr:colOff>
      <xdr:row>233</xdr:row>
      <xdr:rowOff>2605</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5169275" y="49277416"/>
          <a:ext cx="1710632" cy="2284014"/>
        </a:xfrm>
        <a:prstGeom prst="rect">
          <a:avLst/>
        </a:prstGeom>
        <a:ln>
          <a:solidFill>
            <a:schemeClr val="tx1"/>
          </a:solidFill>
        </a:ln>
      </xdr:spPr>
    </xdr:pic>
    <xdr:clientData/>
  </xdr:twoCellAnchor>
  <xdr:twoCellAnchor editAs="oneCell">
    <xdr:from>
      <xdr:col>3</xdr:col>
      <xdr:colOff>972124</xdr:colOff>
      <xdr:row>209</xdr:row>
      <xdr:rowOff>0</xdr:rowOff>
    </xdr:from>
    <xdr:to>
      <xdr:col>7</xdr:col>
      <xdr:colOff>673699</xdr:colOff>
      <xdr:row>221</xdr:row>
      <xdr:rowOff>31959</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562924" y="46767750"/>
          <a:ext cx="3225825" cy="2422734"/>
        </a:xfrm>
        <a:prstGeom prst="rect">
          <a:avLst/>
        </a:prstGeom>
        <a:ln>
          <a:solidFill>
            <a:schemeClr val="tx1"/>
          </a:solidFill>
        </a:ln>
      </xdr:spPr>
    </xdr:pic>
    <xdr:clientData/>
  </xdr:twoCellAnchor>
  <xdr:twoCellAnchor editAs="oneCell">
    <xdr:from>
      <xdr:col>0</xdr:col>
      <xdr:colOff>237895</xdr:colOff>
      <xdr:row>209</xdr:row>
      <xdr:rowOff>0</xdr:rowOff>
    </xdr:from>
    <xdr:to>
      <xdr:col>3</xdr:col>
      <xdr:colOff>872921</xdr:colOff>
      <xdr:row>221</xdr:row>
      <xdr:rowOff>31959</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237895" y="46767750"/>
          <a:ext cx="3225826" cy="2422734"/>
        </a:xfrm>
        <a:prstGeom prst="rect">
          <a:avLst/>
        </a:prstGeom>
        <a:ln>
          <a:solidFill>
            <a:schemeClr val="tx1"/>
          </a:solidFill>
        </a:ln>
      </xdr:spPr>
    </xdr:pic>
    <xdr:clientData/>
  </xdr:twoCellAnchor>
  <xdr:twoCellAnchor editAs="oneCell">
    <xdr:from>
      <xdr:col>0</xdr:col>
      <xdr:colOff>209550</xdr:colOff>
      <xdr:row>221</xdr:row>
      <xdr:rowOff>118891</xdr:rowOff>
    </xdr:from>
    <xdr:to>
      <xdr:col>3</xdr:col>
      <xdr:colOff>659872</xdr:colOff>
      <xdr:row>233</xdr:row>
      <xdr:rowOff>2605</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09550" y="49277416"/>
          <a:ext cx="3041122" cy="2284014"/>
        </a:xfrm>
        <a:prstGeom prst="rect">
          <a:avLst/>
        </a:prstGeom>
        <a:ln>
          <a:solidFill>
            <a:schemeClr val="tx1"/>
          </a:solidFill>
        </a:ln>
      </xdr:spPr>
    </xdr:pic>
    <xdr:clientData/>
  </xdr:twoCellAnchor>
  <xdr:twoCellAnchor editAs="oneCell">
    <xdr:from>
      <xdr:col>3</xdr:col>
      <xdr:colOff>770869</xdr:colOff>
      <xdr:row>221</xdr:row>
      <xdr:rowOff>118891</xdr:rowOff>
    </xdr:from>
    <xdr:to>
      <xdr:col>5</xdr:col>
      <xdr:colOff>633650</xdr:colOff>
      <xdr:row>233</xdr:row>
      <xdr:rowOff>2604</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3361669" y="49277416"/>
          <a:ext cx="1710631" cy="2284013"/>
        </a:xfrm>
        <a:prstGeom prst="rect">
          <a:avLst/>
        </a:prstGeom>
        <a:ln>
          <a:solidFill>
            <a:schemeClr val="tx1"/>
          </a:solidFill>
        </a:ln>
      </xdr:spPr>
    </xdr:pic>
    <xdr:clientData/>
  </xdr:twoCellAnchor>
  <xdr:twoCellAnchor editAs="oneCell">
    <xdr:from>
      <xdr:col>0</xdr:col>
      <xdr:colOff>771525</xdr:colOff>
      <xdr:row>253</xdr:row>
      <xdr:rowOff>19050</xdr:rowOff>
    </xdr:from>
    <xdr:to>
      <xdr:col>7</xdr:col>
      <xdr:colOff>55665</xdr:colOff>
      <xdr:row>268</xdr:row>
      <xdr:rowOff>150578</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771525" y="55578375"/>
          <a:ext cx="5399190" cy="3131903"/>
        </a:xfrm>
        <a:prstGeom prst="rect">
          <a:avLst/>
        </a:prstGeom>
        <a:noFill/>
        <a:ln w="9525">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771525</xdr:colOff>
      <xdr:row>269</xdr:row>
      <xdr:rowOff>157205</xdr:rowOff>
    </xdr:from>
    <xdr:to>
      <xdr:col>7</xdr:col>
      <xdr:colOff>55665</xdr:colOff>
      <xdr:row>285</xdr:row>
      <xdr:rowOff>157354</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771525" y="58916930"/>
          <a:ext cx="5399190" cy="3200549"/>
        </a:xfrm>
        <a:prstGeom prst="rect">
          <a:avLst/>
        </a:prstGeom>
        <a:noFill/>
        <a:ln w="9525">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UBjTNYcExRan5hAR7"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56"/>
  <sheetViews>
    <sheetView tabSelected="1" view="pageBreakPreview" zoomScaleNormal="100" zoomScaleSheetLayoutView="100" zoomScalePageLayoutView="85" workbookViewId="0">
      <selection activeCell="K4" sqref="K4"/>
    </sheetView>
  </sheetViews>
  <sheetFormatPr defaultColWidth="9.21875" defaultRowHeight="15.6" x14ac:dyDescent="0.3"/>
  <cols>
    <col min="1" max="1" width="11.44140625" style="42" customWidth="1"/>
    <col min="2" max="2" width="12" style="42" customWidth="1"/>
    <col min="3" max="3" width="12.77734375" style="42" customWidth="1"/>
    <col min="4" max="4" width="14.21875" style="42" customWidth="1"/>
    <col min="5" max="7" width="11.77734375" style="42" customWidth="1"/>
    <col min="8" max="8" width="12.44140625" style="42" customWidth="1"/>
    <col min="9" max="9" width="17.44140625" style="23" customWidth="1"/>
    <col min="10" max="10" width="11.44140625" style="23" customWidth="1"/>
    <col min="11" max="11" width="10.5546875" style="23" bestFit="1" customWidth="1"/>
    <col min="12" max="12" width="10.5546875" style="23" customWidth="1"/>
    <col min="13" max="13" width="11.77734375" style="23" customWidth="1"/>
    <col min="14" max="14" width="12.5546875" style="23" customWidth="1"/>
    <col min="15" max="15" width="9.77734375" style="23" customWidth="1"/>
    <col min="16" max="16" width="11.77734375" style="23" customWidth="1"/>
    <col min="17" max="247" width="9.21875" style="23"/>
    <col min="248" max="248" width="8.77734375" style="23" customWidth="1"/>
    <col min="249" max="249" width="9.77734375" style="23" customWidth="1"/>
    <col min="250" max="250" width="14.44140625" style="23" customWidth="1"/>
    <col min="251" max="251" width="7.21875" style="23" customWidth="1"/>
    <col min="252" max="252" width="5.5546875" style="23" customWidth="1"/>
    <col min="253" max="253" width="9" style="23" customWidth="1"/>
    <col min="254" max="255" width="9.77734375" style="23" customWidth="1"/>
    <col min="256" max="256" width="11.21875" style="23" customWidth="1"/>
    <col min="257" max="257" width="2.77734375" style="23" customWidth="1"/>
    <col min="258" max="258" width="3.5546875" style="23" customWidth="1"/>
    <col min="259" max="503" width="9.21875" style="23"/>
    <col min="504" max="504" width="8.77734375" style="23" customWidth="1"/>
    <col min="505" max="505" width="9.77734375" style="23" customWidth="1"/>
    <col min="506" max="506" width="14.44140625" style="23" customWidth="1"/>
    <col min="507" max="507" width="7.21875" style="23" customWidth="1"/>
    <col min="508" max="508" width="5.5546875" style="23" customWidth="1"/>
    <col min="509" max="509" width="9" style="23" customWidth="1"/>
    <col min="510" max="511" width="9.77734375" style="23" customWidth="1"/>
    <col min="512" max="512" width="11.21875" style="23" customWidth="1"/>
    <col min="513" max="513" width="2.77734375" style="23" customWidth="1"/>
    <col min="514" max="514" width="3.5546875" style="23" customWidth="1"/>
    <col min="515" max="759" width="9.21875" style="23"/>
    <col min="760" max="760" width="8.77734375" style="23" customWidth="1"/>
    <col min="761" max="761" width="9.77734375" style="23" customWidth="1"/>
    <col min="762" max="762" width="14.44140625" style="23" customWidth="1"/>
    <col min="763" max="763" width="7.21875" style="23" customWidth="1"/>
    <col min="764" max="764" width="5.5546875" style="23" customWidth="1"/>
    <col min="765" max="765" width="9" style="23" customWidth="1"/>
    <col min="766" max="767" width="9.77734375" style="23" customWidth="1"/>
    <col min="768" max="768" width="11.21875" style="23" customWidth="1"/>
    <col min="769" max="769" width="2.77734375" style="23" customWidth="1"/>
    <col min="770" max="770" width="3.5546875" style="23" customWidth="1"/>
    <col min="771" max="1015" width="9.21875" style="23"/>
    <col min="1016" max="1016" width="8.77734375" style="23" customWidth="1"/>
    <col min="1017" max="1017" width="9.77734375" style="23" customWidth="1"/>
    <col min="1018" max="1018" width="14.44140625" style="23" customWidth="1"/>
    <col min="1019" max="1019" width="7.21875" style="23" customWidth="1"/>
    <col min="1020" max="1020" width="5.5546875" style="23" customWidth="1"/>
    <col min="1021" max="1021" width="9" style="23" customWidth="1"/>
    <col min="1022" max="1023" width="9.77734375" style="23" customWidth="1"/>
    <col min="1024" max="1024" width="11.21875" style="23" customWidth="1"/>
    <col min="1025" max="1025" width="2.77734375" style="23" customWidth="1"/>
    <col min="1026" max="1026" width="3.5546875" style="23" customWidth="1"/>
    <col min="1027" max="1271" width="9.21875" style="23"/>
    <col min="1272" max="1272" width="8.77734375" style="23" customWidth="1"/>
    <col min="1273" max="1273" width="9.77734375" style="23" customWidth="1"/>
    <col min="1274" max="1274" width="14.44140625" style="23" customWidth="1"/>
    <col min="1275" max="1275" width="7.21875" style="23" customWidth="1"/>
    <col min="1276" max="1276" width="5.5546875" style="23" customWidth="1"/>
    <col min="1277" max="1277" width="9" style="23" customWidth="1"/>
    <col min="1278" max="1279" width="9.77734375" style="23" customWidth="1"/>
    <col min="1280" max="1280" width="11.21875" style="23" customWidth="1"/>
    <col min="1281" max="1281" width="2.77734375" style="23" customWidth="1"/>
    <col min="1282" max="1282" width="3.5546875" style="23" customWidth="1"/>
    <col min="1283" max="1527" width="9.21875" style="23"/>
    <col min="1528" max="1528" width="8.77734375" style="23" customWidth="1"/>
    <col min="1529" max="1529" width="9.77734375" style="23" customWidth="1"/>
    <col min="1530" max="1530" width="14.44140625" style="23" customWidth="1"/>
    <col min="1531" max="1531" width="7.21875" style="23" customWidth="1"/>
    <col min="1532" max="1532" width="5.5546875" style="23" customWidth="1"/>
    <col min="1533" max="1533" width="9" style="23" customWidth="1"/>
    <col min="1534" max="1535" width="9.77734375" style="23" customWidth="1"/>
    <col min="1536" max="1536" width="11.21875" style="23" customWidth="1"/>
    <col min="1537" max="1537" width="2.77734375" style="23" customWidth="1"/>
    <col min="1538" max="1538" width="3.5546875" style="23" customWidth="1"/>
    <col min="1539" max="1783" width="9.21875" style="23"/>
    <col min="1784" max="1784" width="8.77734375" style="23" customWidth="1"/>
    <col min="1785" max="1785" width="9.77734375" style="23" customWidth="1"/>
    <col min="1786" max="1786" width="14.44140625" style="23" customWidth="1"/>
    <col min="1787" max="1787" width="7.21875" style="23" customWidth="1"/>
    <col min="1788" max="1788" width="5.5546875" style="23" customWidth="1"/>
    <col min="1789" max="1789" width="9" style="23" customWidth="1"/>
    <col min="1790" max="1791" width="9.77734375" style="23" customWidth="1"/>
    <col min="1792" max="1792" width="11.21875" style="23" customWidth="1"/>
    <col min="1793" max="1793" width="2.77734375" style="23" customWidth="1"/>
    <col min="1794" max="1794" width="3.5546875" style="23" customWidth="1"/>
    <col min="1795" max="2039" width="9.21875" style="23"/>
    <col min="2040" max="2040" width="8.77734375" style="23" customWidth="1"/>
    <col min="2041" max="2041" width="9.77734375" style="23" customWidth="1"/>
    <col min="2042" max="2042" width="14.44140625" style="23" customWidth="1"/>
    <col min="2043" max="2043" width="7.21875" style="23" customWidth="1"/>
    <col min="2044" max="2044" width="5.5546875" style="23" customWidth="1"/>
    <col min="2045" max="2045" width="9" style="23" customWidth="1"/>
    <col min="2046" max="2047" width="9.77734375" style="23" customWidth="1"/>
    <col min="2048" max="2048" width="11.21875" style="23" customWidth="1"/>
    <col min="2049" max="2049" width="2.77734375" style="23" customWidth="1"/>
    <col min="2050" max="2050" width="3.5546875" style="23" customWidth="1"/>
    <col min="2051" max="2295" width="9.21875" style="23"/>
    <col min="2296" max="2296" width="8.77734375" style="23" customWidth="1"/>
    <col min="2297" max="2297" width="9.77734375" style="23" customWidth="1"/>
    <col min="2298" max="2298" width="14.44140625" style="23" customWidth="1"/>
    <col min="2299" max="2299" width="7.21875" style="23" customWidth="1"/>
    <col min="2300" max="2300" width="5.5546875" style="23" customWidth="1"/>
    <col min="2301" max="2301" width="9" style="23" customWidth="1"/>
    <col min="2302" max="2303" width="9.77734375" style="23" customWidth="1"/>
    <col min="2304" max="2304" width="11.21875" style="23" customWidth="1"/>
    <col min="2305" max="2305" width="2.77734375" style="23" customWidth="1"/>
    <col min="2306" max="2306" width="3.5546875" style="23" customWidth="1"/>
    <col min="2307" max="2551" width="9.21875" style="23"/>
    <col min="2552" max="2552" width="8.77734375" style="23" customWidth="1"/>
    <col min="2553" max="2553" width="9.77734375" style="23" customWidth="1"/>
    <col min="2554" max="2554" width="14.44140625" style="23" customWidth="1"/>
    <col min="2555" max="2555" width="7.21875" style="23" customWidth="1"/>
    <col min="2556" max="2556" width="5.5546875" style="23" customWidth="1"/>
    <col min="2557" max="2557" width="9" style="23" customWidth="1"/>
    <col min="2558" max="2559" width="9.77734375" style="23" customWidth="1"/>
    <col min="2560" max="2560" width="11.21875" style="23" customWidth="1"/>
    <col min="2561" max="2561" width="2.77734375" style="23" customWidth="1"/>
    <col min="2562" max="2562" width="3.5546875" style="23" customWidth="1"/>
    <col min="2563" max="2807" width="9.21875" style="23"/>
    <col min="2808" max="2808" width="8.77734375" style="23" customWidth="1"/>
    <col min="2809" max="2809" width="9.77734375" style="23" customWidth="1"/>
    <col min="2810" max="2810" width="14.44140625" style="23" customWidth="1"/>
    <col min="2811" max="2811" width="7.21875" style="23" customWidth="1"/>
    <col min="2812" max="2812" width="5.5546875" style="23" customWidth="1"/>
    <col min="2813" max="2813" width="9" style="23" customWidth="1"/>
    <col min="2814" max="2815" width="9.77734375" style="23" customWidth="1"/>
    <col min="2816" max="2816" width="11.21875" style="23" customWidth="1"/>
    <col min="2817" max="2817" width="2.77734375" style="23" customWidth="1"/>
    <col min="2818" max="2818" width="3.5546875" style="23" customWidth="1"/>
    <col min="2819" max="3063" width="9.21875" style="23"/>
    <col min="3064" max="3064" width="8.77734375" style="23" customWidth="1"/>
    <col min="3065" max="3065" width="9.77734375" style="23" customWidth="1"/>
    <col min="3066" max="3066" width="14.44140625" style="23" customWidth="1"/>
    <col min="3067" max="3067" width="7.21875" style="23" customWidth="1"/>
    <col min="3068" max="3068" width="5.5546875" style="23" customWidth="1"/>
    <col min="3069" max="3069" width="9" style="23" customWidth="1"/>
    <col min="3070" max="3071" width="9.77734375" style="23" customWidth="1"/>
    <col min="3072" max="3072" width="11.21875" style="23" customWidth="1"/>
    <col min="3073" max="3073" width="2.77734375" style="23" customWidth="1"/>
    <col min="3074" max="3074" width="3.5546875" style="23" customWidth="1"/>
    <col min="3075" max="3319" width="9.21875" style="23"/>
    <col min="3320" max="3320" width="8.77734375" style="23" customWidth="1"/>
    <col min="3321" max="3321" width="9.77734375" style="23" customWidth="1"/>
    <col min="3322" max="3322" width="14.44140625" style="23" customWidth="1"/>
    <col min="3323" max="3323" width="7.21875" style="23" customWidth="1"/>
    <col min="3324" max="3324" width="5.5546875" style="23" customWidth="1"/>
    <col min="3325" max="3325" width="9" style="23" customWidth="1"/>
    <col min="3326" max="3327" width="9.77734375" style="23" customWidth="1"/>
    <col min="3328" max="3328" width="11.21875" style="23" customWidth="1"/>
    <col min="3329" max="3329" width="2.77734375" style="23" customWidth="1"/>
    <col min="3330" max="3330" width="3.5546875" style="23" customWidth="1"/>
    <col min="3331" max="3575" width="9.21875" style="23"/>
    <col min="3576" max="3576" width="8.77734375" style="23" customWidth="1"/>
    <col min="3577" max="3577" width="9.77734375" style="23" customWidth="1"/>
    <col min="3578" max="3578" width="14.44140625" style="23" customWidth="1"/>
    <col min="3579" max="3579" width="7.21875" style="23" customWidth="1"/>
    <col min="3580" max="3580" width="5.5546875" style="23" customWidth="1"/>
    <col min="3581" max="3581" width="9" style="23" customWidth="1"/>
    <col min="3582" max="3583" width="9.77734375" style="23" customWidth="1"/>
    <col min="3584" max="3584" width="11.21875" style="23" customWidth="1"/>
    <col min="3585" max="3585" width="2.77734375" style="23" customWidth="1"/>
    <col min="3586" max="3586" width="3.5546875" style="23" customWidth="1"/>
    <col min="3587" max="3831" width="9.21875" style="23"/>
    <col min="3832" max="3832" width="8.77734375" style="23" customWidth="1"/>
    <col min="3833" max="3833" width="9.77734375" style="23" customWidth="1"/>
    <col min="3834" max="3834" width="14.44140625" style="23" customWidth="1"/>
    <col min="3835" max="3835" width="7.21875" style="23" customWidth="1"/>
    <col min="3836" max="3836" width="5.5546875" style="23" customWidth="1"/>
    <col min="3837" max="3837" width="9" style="23" customWidth="1"/>
    <col min="3838" max="3839" width="9.77734375" style="23" customWidth="1"/>
    <col min="3840" max="3840" width="11.21875" style="23" customWidth="1"/>
    <col min="3841" max="3841" width="2.77734375" style="23" customWidth="1"/>
    <col min="3842" max="3842" width="3.5546875" style="23" customWidth="1"/>
    <col min="3843" max="4087" width="9.21875" style="23"/>
    <col min="4088" max="4088" width="8.77734375" style="23" customWidth="1"/>
    <col min="4089" max="4089" width="9.77734375" style="23" customWidth="1"/>
    <col min="4090" max="4090" width="14.44140625" style="23" customWidth="1"/>
    <col min="4091" max="4091" width="7.21875" style="23" customWidth="1"/>
    <col min="4092" max="4092" width="5.5546875" style="23" customWidth="1"/>
    <col min="4093" max="4093" width="9" style="23" customWidth="1"/>
    <col min="4094" max="4095" width="9.77734375" style="23" customWidth="1"/>
    <col min="4096" max="4096" width="11.21875" style="23" customWidth="1"/>
    <col min="4097" max="4097" width="2.77734375" style="23" customWidth="1"/>
    <col min="4098" max="4098" width="3.5546875" style="23" customWidth="1"/>
    <col min="4099" max="4343" width="9.21875" style="23"/>
    <col min="4344" max="4344" width="8.77734375" style="23" customWidth="1"/>
    <col min="4345" max="4345" width="9.77734375" style="23" customWidth="1"/>
    <col min="4346" max="4346" width="14.44140625" style="23" customWidth="1"/>
    <col min="4347" max="4347" width="7.21875" style="23" customWidth="1"/>
    <col min="4348" max="4348" width="5.5546875" style="23" customWidth="1"/>
    <col min="4349" max="4349" width="9" style="23" customWidth="1"/>
    <col min="4350" max="4351" width="9.77734375" style="23" customWidth="1"/>
    <col min="4352" max="4352" width="11.21875" style="23" customWidth="1"/>
    <col min="4353" max="4353" width="2.77734375" style="23" customWidth="1"/>
    <col min="4354" max="4354" width="3.5546875" style="23" customWidth="1"/>
    <col min="4355" max="4599" width="9.21875" style="23"/>
    <col min="4600" max="4600" width="8.77734375" style="23" customWidth="1"/>
    <col min="4601" max="4601" width="9.77734375" style="23" customWidth="1"/>
    <col min="4602" max="4602" width="14.44140625" style="23" customWidth="1"/>
    <col min="4603" max="4603" width="7.21875" style="23" customWidth="1"/>
    <col min="4604" max="4604" width="5.5546875" style="23" customWidth="1"/>
    <col min="4605" max="4605" width="9" style="23" customWidth="1"/>
    <col min="4606" max="4607" width="9.77734375" style="23" customWidth="1"/>
    <col min="4608" max="4608" width="11.21875" style="23" customWidth="1"/>
    <col min="4609" max="4609" width="2.77734375" style="23" customWidth="1"/>
    <col min="4610" max="4610" width="3.5546875" style="23" customWidth="1"/>
    <col min="4611" max="4855" width="9.21875" style="23"/>
    <col min="4856" max="4856" width="8.77734375" style="23" customWidth="1"/>
    <col min="4857" max="4857" width="9.77734375" style="23" customWidth="1"/>
    <col min="4858" max="4858" width="14.44140625" style="23" customWidth="1"/>
    <col min="4859" max="4859" width="7.21875" style="23" customWidth="1"/>
    <col min="4860" max="4860" width="5.5546875" style="23" customWidth="1"/>
    <col min="4861" max="4861" width="9" style="23" customWidth="1"/>
    <col min="4862" max="4863" width="9.77734375" style="23" customWidth="1"/>
    <col min="4864" max="4864" width="11.21875" style="23" customWidth="1"/>
    <col min="4865" max="4865" width="2.77734375" style="23" customWidth="1"/>
    <col min="4866" max="4866" width="3.5546875" style="23" customWidth="1"/>
    <col min="4867" max="5111" width="9.21875" style="23"/>
    <col min="5112" max="5112" width="8.77734375" style="23" customWidth="1"/>
    <col min="5113" max="5113" width="9.77734375" style="23" customWidth="1"/>
    <col min="5114" max="5114" width="14.44140625" style="23" customWidth="1"/>
    <col min="5115" max="5115" width="7.21875" style="23" customWidth="1"/>
    <col min="5116" max="5116" width="5.5546875" style="23" customWidth="1"/>
    <col min="5117" max="5117" width="9" style="23" customWidth="1"/>
    <col min="5118" max="5119" width="9.77734375" style="23" customWidth="1"/>
    <col min="5120" max="5120" width="11.21875" style="23" customWidth="1"/>
    <col min="5121" max="5121" width="2.77734375" style="23" customWidth="1"/>
    <col min="5122" max="5122" width="3.5546875" style="23" customWidth="1"/>
    <col min="5123" max="5367" width="9.21875" style="23"/>
    <col min="5368" max="5368" width="8.77734375" style="23" customWidth="1"/>
    <col min="5369" max="5369" width="9.77734375" style="23" customWidth="1"/>
    <col min="5370" max="5370" width="14.44140625" style="23" customWidth="1"/>
    <col min="5371" max="5371" width="7.21875" style="23" customWidth="1"/>
    <col min="5372" max="5372" width="5.5546875" style="23" customWidth="1"/>
    <col min="5373" max="5373" width="9" style="23" customWidth="1"/>
    <col min="5374" max="5375" width="9.77734375" style="23" customWidth="1"/>
    <col min="5376" max="5376" width="11.21875" style="23" customWidth="1"/>
    <col min="5377" max="5377" width="2.77734375" style="23" customWidth="1"/>
    <col min="5378" max="5378" width="3.5546875" style="23" customWidth="1"/>
    <col min="5379" max="5623" width="9.21875" style="23"/>
    <col min="5624" max="5624" width="8.77734375" style="23" customWidth="1"/>
    <col min="5625" max="5625" width="9.77734375" style="23" customWidth="1"/>
    <col min="5626" max="5626" width="14.44140625" style="23" customWidth="1"/>
    <col min="5627" max="5627" width="7.21875" style="23" customWidth="1"/>
    <col min="5628" max="5628" width="5.5546875" style="23" customWidth="1"/>
    <col min="5629" max="5629" width="9" style="23" customWidth="1"/>
    <col min="5630" max="5631" width="9.77734375" style="23" customWidth="1"/>
    <col min="5632" max="5632" width="11.21875" style="23" customWidth="1"/>
    <col min="5633" max="5633" width="2.77734375" style="23" customWidth="1"/>
    <col min="5634" max="5634" width="3.5546875" style="23" customWidth="1"/>
    <col min="5635" max="5879" width="9.21875" style="23"/>
    <col min="5880" max="5880" width="8.77734375" style="23" customWidth="1"/>
    <col min="5881" max="5881" width="9.77734375" style="23" customWidth="1"/>
    <col min="5882" max="5882" width="14.44140625" style="23" customWidth="1"/>
    <col min="5883" max="5883" width="7.21875" style="23" customWidth="1"/>
    <col min="5884" max="5884" width="5.5546875" style="23" customWidth="1"/>
    <col min="5885" max="5885" width="9" style="23" customWidth="1"/>
    <col min="5886" max="5887" width="9.77734375" style="23" customWidth="1"/>
    <col min="5888" max="5888" width="11.21875" style="23" customWidth="1"/>
    <col min="5889" max="5889" width="2.77734375" style="23" customWidth="1"/>
    <col min="5890" max="5890" width="3.5546875" style="23" customWidth="1"/>
    <col min="5891" max="6135" width="9.21875" style="23"/>
    <col min="6136" max="6136" width="8.77734375" style="23" customWidth="1"/>
    <col min="6137" max="6137" width="9.77734375" style="23" customWidth="1"/>
    <col min="6138" max="6138" width="14.44140625" style="23" customWidth="1"/>
    <col min="6139" max="6139" width="7.21875" style="23" customWidth="1"/>
    <col min="6140" max="6140" width="5.5546875" style="23" customWidth="1"/>
    <col min="6141" max="6141" width="9" style="23" customWidth="1"/>
    <col min="6142" max="6143" width="9.77734375" style="23" customWidth="1"/>
    <col min="6144" max="6144" width="11.21875" style="23" customWidth="1"/>
    <col min="6145" max="6145" width="2.77734375" style="23" customWidth="1"/>
    <col min="6146" max="6146" width="3.5546875" style="23" customWidth="1"/>
    <col min="6147" max="6391" width="9.21875" style="23"/>
    <col min="6392" max="6392" width="8.77734375" style="23" customWidth="1"/>
    <col min="6393" max="6393" width="9.77734375" style="23" customWidth="1"/>
    <col min="6394" max="6394" width="14.44140625" style="23" customWidth="1"/>
    <col min="6395" max="6395" width="7.21875" style="23" customWidth="1"/>
    <col min="6396" max="6396" width="5.5546875" style="23" customWidth="1"/>
    <col min="6397" max="6397" width="9" style="23" customWidth="1"/>
    <col min="6398" max="6399" width="9.77734375" style="23" customWidth="1"/>
    <col min="6400" max="6400" width="11.21875" style="23" customWidth="1"/>
    <col min="6401" max="6401" width="2.77734375" style="23" customWidth="1"/>
    <col min="6402" max="6402" width="3.5546875" style="23" customWidth="1"/>
    <col min="6403" max="6647" width="9.21875" style="23"/>
    <col min="6648" max="6648" width="8.77734375" style="23" customWidth="1"/>
    <col min="6649" max="6649" width="9.77734375" style="23" customWidth="1"/>
    <col min="6650" max="6650" width="14.44140625" style="23" customWidth="1"/>
    <col min="6651" max="6651" width="7.21875" style="23" customWidth="1"/>
    <col min="6652" max="6652" width="5.5546875" style="23" customWidth="1"/>
    <col min="6653" max="6653" width="9" style="23" customWidth="1"/>
    <col min="6654" max="6655" width="9.77734375" style="23" customWidth="1"/>
    <col min="6656" max="6656" width="11.21875" style="23" customWidth="1"/>
    <col min="6657" max="6657" width="2.77734375" style="23" customWidth="1"/>
    <col min="6658" max="6658" width="3.5546875" style="23" customWidth="1"/>
    <col min="6659" max="6903" width="9.21875" style="23"/>
    <col min="6904" max="6904" width="8.77734375" style="23" customWidth="1"/>
    <col min="6905" max="6905" width="9.77734375" style="23" customWidth="1"/>
    <col min="6906" max="6906" width="14.44140625" style="23" customWidth="1"/>
    <col min="6907" max="6907" width="7.21875" style="23" customWidth="1"/>
    <col min="6908" max="6908" width="5.5546875" style="23" customWidth="1"/>
    <col min="6909" max="6909" width="9" style="23" customWidth="1"/>
    <col min="6910" max="6911" width="9.77734375" style="23" customWidth="1"/>
    <col min="6912" max="6912" width="11.21875" style="23" customWidth="1"/>
    <col min="6913" max="6913" width="2.77734375" style="23" customWidth="1"/>
    <col min="6914" max="6914" width="3.5546875" style="23" customWidth="1"/>
    <col min="6915" max="7159" width="9.21875" style="23"/>
    <col min="7160" max="7160" width="8.77734375" style="23" customWidth="1"/>
    <col min="7161" max="7161" width="9.77734375" style="23" customWidth="1"/>
    <col min="7162" max="7162" width="14.44140625" style="23" customWidth="1"/>
    <col min="7163" max="7163" width="7.21875" style="23" customWidth="1"/>
    <col min="7164" max="7164" width="5.5546875" style="23" customWidth="1"/>
    <col min="7165" max="7165" width="9" style="23" customWidth="1"/>
    <col min="7166" max="7167" width="9.77734375" style="23" customWidth="1"/>
    <col min="7168" max="7168" width="11.21875" style="23" customWidth="1"/>
    <col min="7169" max="7169" width="2.77734375" style="23" customWidth="1"/>
    <col min="7170" max="7170" width="3.5546875" style="23" customWidth="1"/>
    <col min="7171" max="7415" width="9.21875" style="23"/>
    <col min="7416" max="7416" width="8.77734375" style="23" customWidth="1"/>
    <col min="7417" max="7417" width="9.77734375" style="23" customWidth="1"/>
    <col min="7418" max="7418" width="14.44140625" style="23" customWidth="1"/>
    <col min="7419" max="7419" width="7.21875" style="23" customWidth="1"/>
    <col min="7420" max="7420" width="5.5546875" style="23" customWidth="1"/>
    <col min="7421" max="7421" width="9" style="23" customWidth="1"/>
    <col min="7422" max="7423" width="9.77734375" style="23" customWidth="1"/>
    <col min="7424" max="7424" width="11.21875" style="23" customWidth="1"/>
    <col min="7425" max="7425" width="2.77734375" style="23" customWidth="1"/>
    <col min="7426" max="7426" width="3.5546875" style="23" customWidth="1"/>
    <col min="7427" max="7671" width="9.21875" style="23"/>
    <col min="7672" max="7672" width="8.77734375" style="23" customWidth="1"/>
    <col min="7673" max="7673" width="9.77734375" style="23" customWidth="1"/>
    <col min="7674" max="7674" width="14.44140625" style="23" customWidth="1"/>
    <col min="7675" max="7675" width="7.21875" style="23" customWidth="1"/>
    <col min="7676" max="7676" width="5.5546875" style="23" customWidth="1"/>
    <col min="7677" max="7677" width="9" style="23" customWidth="1"/>
    <col min="7678" max="7679" width="9.77734375" style="23" customWidth="1"/>
    <col min="7680" max="7680" width="11.21875" style="23" customWidth="1"/>
    <col min="7681" max="7681" width="2.77734375" style="23" customWidth="1"/>
    <col min="7682" max="7682" width="3.5546875" style="23" customWidth="1"/>
    <col min="7683" max="7927" width="9.21875" style="23"/>
    <col min="7928" max="7928" width="8.77734375" style="23" customWidth="1"/>
    <col min="7929" max="7929" width="9.77734375" style="23" customWidth="1"/>
    <col min="7930" max="7930" width="14.44140625" style="23" customWidth="1"/>
    <col min="7931" max="7931" width="7.21875" style="23" customWidth="1"/>
    <col min="7932" max="7932" width="5.5546875" style="23" customWidth="1"/>
    <col min="7933" max="7933" width="9" style="23" customWidth="1"/>
    <col min="7934" max="7935" width="9.77734375" style="23" customWidth="1"/>
    <col min="7936" max="7936" width="11.21875" style="23" customWidth="1"/>
    <col min="7937" max="7937" width="2.77734375" style="23" customWidth="1"/>
    <col min="7938" max="7938" width="3.5546875" style="23" customWidth="1"/>
    <col min="7939" max="8183" width="9.21875" style="23"/>
    <col min="8184" max="8184" width="8.77734375" style="23" customWidth="1"/>
    <col min="8185" max="8185" width="9.77734375" style="23" customWidth="1"/>
    <col min="8186" max="8186" width="14.44140625" style="23" customWidth="1"/>
    <col min="8187" max="8187" width="7.21875" style="23" customWidth="1"/>
    <col min="8188" max="8188" width="5.5546875" style="23" customWidth="1"/>
    <col min="8189" max="8189" width="9" style="23" customWidth="1"/>
    <col min="8190" max="8191" width="9.77734375" style="23" customWidth="1"/>
    <col min="8192" max="8192" width="11.21875" style="23" customWidth="1"/>
    <col min="8193" max="8193" width="2.77734375" style="23" customWidth="1"/>
    <col min="8194" max="8194" width="3.5546875" style="23" customWidth="1"/>
    <col min="8195" max="8439" width="9.21875" style="23"/>
    <col min="8440" max="8440" width="8.77734375" style="23" customWidth="1"/>
    <col min="8441" max="8441" width="9.77734375" style="23" customWidth="1"/>
    <col min="8442" max="8442" width="14.44140625" style="23" customWidth="1"/>
    <col min="8443" max="8443" width="7.21875" style="23" customWidth="1"/>
    <col min="8444" max="8444" width="5.5546875" style="23" customWidth="1"/>
    <col min="8445" max="8445" width="9" style="23" customWidth="1"/>
    <col min="8446" max="8447" width="9.77734375" style="23" customWidth="1"/>
    <col min="8448" max="8448" width="11.21875" style="23" customWidth="1"/>
    <col min="8449" max="8449" width="2.77734375" style="23" customWidth="1"/>
    <col min="8450" max="8450" width="3.5546875" style="23" customWidth="1"/>
    <col min="8451" max="8695" width="9.21875" style="23"/>
    <col min="8696" max="8696" width="8.77734375" style="23" customWidth="1"/>
    <col min="8697" max="8697" width="9.77734375" style="23" customWidth="1"/>
    <col min="8698" max="8698" width="14.44140625" style="23" customWidth="1"/>
    <col min="8699" max="8699" width="7.21875" style="23" customWidth="1"/>
    <col min="8700" max="8700" width="5.5546875" style="23" customWidth="1"/>
    <col min="8701" max="8701" width="9" style="23" customWidth="1"/>
    <col min="8702" max="8703" width="9.77734375" style="23" customWidth="1"/>
    <col min="8704" max="8704" width="11.21875" style="23" customWidth="1"/>
    <col min="8705" max="8705" width="2.77734375" style="23" customWidth="1"/>
    <col min="8706" max="8706" width="3.5546875" style="23" customWidth="1"/>
    <col min="8707" max="8951" width="9.21875" style="23"/>
    <col min="8952" max="8952" width="8.77734375" style="23" customWidth="1"/>
    <col min="8953" max="8953" width="9.77734375" style="23" customWidth="1"/>
    <col min="8954" max="8954" width="14.44140625" style="23" customWidth="1"/>
    <col min="8955" max="8955" width="7.21875" style="23" customWidth="1"/>
    <col min="8956" max="8956" width="5.5546875" style="23" customWidth="1"/>
    <col min="8957" max="8957" width="9" style="23" customWidth="1"/>
    <col min="8958" max="8959" width="9.77734375" style="23" customWidth="1"/>
    <col min="8960" max="8960" width="11.21875" style="23" customWidth="1"/>
    <col min="8961" max="8961" width="2.77734375" style="23" customWidth="1"/>
    <col min="8962" max="8962" width="3.5546875" style="23" customWidth="1"/>
    <col min="8963" max="9207" width="9.21875" style="23"/>
    <col min="9208" max="9208" width="8.77734375" style="23" customWidth="1"/>
    <col min="9209" max="9209" width="9.77734375" style="23" customWidth="1"/>
    <col min="9210" max="9210" width="14.44140625" style="23" customWidth="1"/>
    <col min="9211" max="9211" width="7.21875" style="23" customWidth="1"/>
    <col min="9212" max="9212" width="5.5546875" style="23" customWidth="1"/>
    <col min="9213" max="9213" width="9" style="23" customWidth="1"/>
    <col min="9214" max="9215" width="9.77734375" style="23" customWidth="1"/>
    <col min="9216" max="9216" width="11.21875" style="23" customWidth="1"/>
    <col min="9217" max="9217" width="2.77734375" style="23" customWidth="1"/>
    <col min="9218" max="9218" width="3.5546875" style="23" customWidth="1"/>
    <col min="9219" max="9463" width="9.21875" style="23"/>
    <col min="9464" max="9464" width="8.77734375" style="23" customWidth="1"/>
    <col min="9465" max="9465" width="9.77734375" style="23" customWidth="1"/>
    <col min="9466" max="9466" width="14.44140625" style="23" customWidth="1"/>
    <col min="9467" max="9467" width="7.21875" style="23" customWidth="1"/>
    <col min="9468" max="9468" width="5.5546875" style="23" customWidth="1"/>
    <col min="9469" max="9469" width="9" style="23" customWidth="1"/>
    <col min="9470" max="9471" width="9.77734375" style="23" customWidth="1"/>
    <col min="9472" max="9472" width="11.21875" style="23" customWidth="1"/>
    <col min="9473" max="9473" width="2.77734375" style="23" customWidth="1"/>
    <col min="9474" max="9474" width="3.5546875" style="23" customWidth="1"/>
    <col min="9475" max="9719" width="9.21875" style="23"/>
    <col min="9720" max="9720" width="8.77734375" style="23" customWidth="1"/>
    <col min="9721" max="9721" width="9.77734375" style="23" customWidth="1"/>
    <col min="9722" max="9722" width="14.44140625" style="23" customWidth="1"/>
    <col min="9723" max="9723" width="7.21875" style="23" customWidth="1"/>
    <col min="9724" max="9724" width="5.5546875" style="23" customWidth="1"/>
    <col min="9725" max="9725" width="9" style="23" customWidth="1"/>
    <col min="9726" max="9727" width="9.77734375" style="23" customWidth="1"/>
    <col min="9728" max="9728" width="11.21875" style="23" customWidth="1"/>
    <col min="9729" max="9729" width="2.77734375" style="23" customWidth="1"/>
    <col min="9730" max="9730" width="3.5546875" style="23" customWidth="1"/>
    <col min="9731" max="9975" width="9.21875" style="23"/>
    <col min="9976" max="9976" width="8.77734375" style="23" customWidth="1"/>
    <col min="9977" max="9977" width="9.77734375" style="23" customWidth="1"/>
    <col min="9978" max="9978" width="14.44140625" style="23" customWidth="1"/>
    <col min="9979" max="9979" width="7.21875" style="23" customWidth="1"/>
    <col min="9980" max="9980" width="5.5546875" style="23" customWidth="1"/>
    <col min="9981" max="9981" width="9" style="23" customWidth="1"/>
    <col min="9982" max="9983" width="9.77734375" style="23" customWidth="1"/>
    <col min="9984" max="9984" width="11.21875" style="23" customWidth="1"/>
    <col min="9985" max="9985" width="2.77734375" style="23" customWidth="1"/>
    <col min="9986" max="9986" width="3.5546875" style="23" customWidth="1"/>
    <col min="9987" max="10231" width="9.21875" style="23"/>
    <col min="10232" max="10232" width="8.77734375" style="23" customWidth="1"/>
    <col min="10233" max="10233" width="9.77734375" style="23" customWidth="1"/>
    <col min="10234" max="10234" width="14.44140625" style="23" customWidth="1"/>
    <col min="10235" max="10235" width="7.21875" style="23" customWidth="1"/>
    <col min="10236" max="10236" width="5.5546875" style="23" customWidth="1"/>
    <col min="10237" max="10237" width="9" style="23" customWidth="1"/>
    <col min="10238" max="10239" width="9.77734375" style="23" customWidth="1"/>
    <col min="10240" max="10240" width="11.21875" style="23" customWidth="1"/>
    <col min="10241" max="10241" width="2.77734375" style="23" customWidth="1"/>
    <col min="10242" max="10242" width="3.5546875" style="23" customWidth="1"/>
    <col min="10243" max="10487" width="9.21875" style="23"/>
    <col min="10488" max="10488" width="8.77734375" style="23" customWidth="1"/>
    <col min="10489" max="10489" width="9.77734375" style="23" customWidth="1"/>
    <col min="10490" max="10490" width="14.44140625" style="23" customWidth="1"/>
    <col min="10491" max="10491" width="7.21875" style="23" customWidth="1"/>
    <col min="10492" max="10492" width="5.5546875" style="23" customWidth="1"/>
    <col min="10493" max="10493" width="9" style="23" customWidth="1"/>
    <col min="10494" max="10495" width="9.77734375" style="23" customWidth="1"/>
    <col min="10496" max="10496" width="11.21875" style="23" customWidth="1"/>
    <col min="10497" max="10497" width="2.77734375" style="23" customWidth="1"/>
    <col min="10498" max="10498" width="3.5546875" style="23" customWidth="1"/>
    <col min="10499" max="10743" width="9.21875" style="23"/>
    <col min="10744" max="10744" width="8.77734375" style="23" customWidth="1"/>
    <col min="10745" max="10745" width="9.77734375" style="23" customWidth="1"/>
    <col min="10746" max="10746" width="14.44140625" style="23" customWidth="1"/>
    <col min="10747" max="10747" width="7.21875" style="23" customWidth="1"/>
    <col min="10748" max="10748" width="5.5546875" style="23" customWidth="1"/>
    <col min="10749" max="10749" width="9" style="23" customWidth="1"/>
    <col min="10750" max="10751" width="9.77734375" style="23" customWidth="1"/>
    <col min="10752" max="10752" width="11.21875" style="23" customWidth="1"/>
    <col min="10753" max="10753" width="2.77734375" style="23" customWidth="1"/>
    <col min="10754" max="10754" width="3.5546875" style="23" customWidth="1"/>
    <col min="10755" max="10999" width="9.21875" style="23"/>
    <col min="11000" max="11000" width="8.77734375" style="23" customWidth="1"/>
    <col min="11001" max="11001" width="9.77734375" style="23" customWidth="1"/>
    <col min="11002" max="11002" width="14.44140625" style="23" customWidth="1"/>
    <col min="11003" max="11003" width="7.21875" style="23" customWidth="1"/>
    <col min="11004" max="11004" width="5.5546875" style="23" customWidth="1"/>
    <col min="11005" max="11005" width="9" style="23" customWidth="1"/>
    <col min="11006" max="11007" width="9.77734375" style="23" customWidth="1"/>
    <col min="11008" max="11008" width="11.21875" style="23" customWidth="1"/>
    <col min="11009" max="11009" width="2.77734375" style="23" customWidth="1"/>
    <col min="11010" max="11010" width="3.5546875" style="23" customWidth="1"/>
    <col min="11011" max="11255" width="9.21875" style="23"/>
    <col min="11256" max="11256" width="8.77734375" style="23" customWidth="1"/>
    <col min="11257" max="11257" width="9.77734375" style="23" customWidth="1"/>
    <col min="11258" max="11258" width="14.44140625" style="23" customWidth="1"/>
    <col min="11259" max="11259" width="7.21875" style="23" customWidth="1"/>
    <col min="11260" max="11260" width="5.5546875" style="23" customWidth="1"/>
    <col min="11261" max="11261" width="9" style="23" customWidth="1"/>
    <col min="11262" max="11263" width="9.77734375" style="23" customWidth="1"/>
    <col min="11264" max="11264" width="11.21875" style="23" customWidth="1"/>
    <col min="11265" max="11265" width="2.77734375" style="23" customWidth="1"/>
    <col min="11266" max="11266" width="3.5546875" style="23" customWidth="1"/>
    <col min="11267" max="11511" width="9.21875" style="23"/>
    <col min="11512" max="11512" width="8.77734375" style="23" customWidth="1"/>
    <col min="11513" max="11513" width="9.77734375" style="23" customWidth="1"/>
    <col min="11514" max="11514" width="14.44140625" style="23" customWidth="1"/>
    <col min="11515" max="11515" width="7.21875" style="23" customWidth="1"/>
    <col min="11516" max="11516" width="5.5546875" style="23" customWidth="1"/>
    <col min="11517" max="11517" width="9" style="23" customWidth="1"/>
    <col min="11518" max="11519" width="9.77734375" style="23" customWidth="1"/>
    <col min="11520" max="11520" width="11.21875" style="23" customWidth="1"/>
    <col min="11521" max="11521" width="2.77734375" style="23" customWidth="1"/>
    <col min="11522" max="11522" width="3.5546875" style="23" customWidth="1"/>
    <col min="11523" max="11767" width="9.21875" style="23"/>
    <col min="11768" max="11768" width="8.77734375" style="23" customWidth="1"/>
    <col min="11769" max="11769" width="9.77734375" style="23" customWidth="1"/>
    <col min="11770" max="11770" width="14.44140625" style="23" customWidth="1"/>
    <col min="11771" max="11771" width="7.21875" style="23" customWidth="1"/>
    <col min="11772" max="11772" width="5.5546875" style="23" customWidth="1"/>
    <col min="11773" max="11773" width="9" style="23" customWidth="1"/>
    <col min="11774" max="11775" width="9.77734375" style="23" customWidth="1"/>
    <col min="11776" max="11776" width="11.21875" style="23" customWidth="1"/>
    <col min="11777" max="11777" width="2.77734375" style="23" customWidth="1"/>
    <col min="11778" max="11778" width="3.5546875" style="23" customWidth="1"/>
    <col min="11779" max="12023" width="9.21875" style="23"/>
    <col min="12024" max="12024" width="8.77734375" style="23" customWidth="1"/>
    <col min="12025" max="12025" width="9.77734375" style="23" customWidth="1"/>
    <col min="12026" max="12026" width="14.44140625" style="23" customWidth="1"/>
    <col min="12027" max="12027" width="7.21875" style="23" customWidth="1"/>
    <col min="12028" max="12028" width="5.5546875" style="23" customWidth="1"/>
    <col min="12029" max="12029" width="9" style="23" customWidth="1"/>
    <col min="12030" max="12031" width="9.77734375" style="23" customWidth="1"/>
    <col min="12032" max="12032" width="11.21875" style="23" customWidth="1"/>
    <col min="12033" max="12033" width="2.77734375" style="23" customWidth="1"/>
    <col min="12034" max="12034" width="3.5546875" style="23" customWidth="1"/>
    <col min="12035" max="12279" width="9.21875" style="23"/>
    <col min="12280" max="12280" width="8.77734375" style="23" customWidth="1"/>
    <col min="12281" max="12281" width="9.77734375" style="23" customWidth="1"/>
    <col min="12282" max="12282" width="14.44140625" style="23" customWidth="1"/>
    <col min="12283" max="12283" width="7.21875" style="23" customWidth="1"/>
    <col min="12284" max="12284" width="5.5546875" style="23" customWidth="1"/>
    <col min="12285" max="12285" width="9" style="23" customWidth="1"/>
    <col min="12286" max="12287" width="9.77734375" style="23" customWidth="1"/>
    <col min="12288" max="12288" width="11.21875" style="23" customWidth="1"/>
    <col min="12289" max="12289" width="2.77734375" style="23" customWidth="1"/>
    <col min="12290" max="12290" width="3.5546875" style="23" customWidth="1"/>
    <col min="12291" max="12535" width="9.21875" style="23"/>
    <col min="12536" max="12536" width="8.77734375" style="23" customWidth="1"/>
    <col min="12537" max="12537" width="9.77734375" style="23" customWidth="1"/>
    <col min="12538" max="12538" width="14.44140625" style="23" customWidth="1"/>
    <col min="12539" max="12539" width="7.21875" style="23" customWidth="1"/>
    <col min="12540" max="12540" width="5.5546875" style="23" customWidth="1"/>
    <col min="12541" max="12541" width="9" style="23" customWidth="1"/>
    <col min="12542" max="12543" width="9.77734375" style="23" customWidth="1"/>
    <col min="12544" max="12544" width="11.21875" style="23" customWidth="1"/>
    <col min="12545" max="12545" width="2.77734375" style="23" customWidth="1"/>
    <col min="12546" max="12546" width="3.5546875" style="23" customWidth="1"/>
    <col min="12547" max="12791" width="9.21875" style="23"/>
    <col min="12792" max="12792" width="8.77734375" style="23" customWidth="1"/>
    <col min="12793" max="12793" width="9.77734375" style="23" customWidth="1"/>
    <col min="12794" max="12794" width="14.44140625" style="23" customWidth="1"/>
    <col min="12795" max="12795" width="7.21875" style="23" customWidth="1"/>
    <col min="12796" max="12796" width="5.5546875" style="23" customWidth="1"/>
    <col min="12797" max="12797" width="9" style="23" customWidth="1"/>
    <col min="12798" max="12799" width="9.77734375" style="23" customWidth="1"/>
    <col min="12800" max="12800" width="11.21875" style="23" customWidth="1"/>
    <col min="12801" max="12801" width="2.77734375" style="23" customWidth="1"/>
    <col min="12802" max="12802" width="3.5546875" style="23" customWidth="1"/>
    <col min="12803" max="13047" width="9.21875" style="23"/>
    <col min="13048" max="13048" width="8.77734375" style="23" customWidth="1"/>
    <col min="13049" max="13049" width="9.77734375" style="23" customWidth="1"/>
    <col min="13050" max="13050" width="14.44140625" style="23" customWidth="1"/>
    <col min="13051" max="13051" width="7.21875" style="23" customWidth="1"/>
    <col min="13052" max="13052" width="5.5546875" style="23" customWidth="1"/>
    <col min="13053" max="13053" width="9" style="23" customWidth="1"/>
    <col min="13054" max="13055" width="9.77734375" style="23" customWidth="1"/>
    <col min="13056" max="13056" width="11.21875" style="23" customWidth="1"/>
    <col min="13057" max="13057" width="2.77734375" style="23" customWidth="1"/>
    <col min="13058" max="13058" width="3.5546875" style="23" customWidth="1"/>
    <col min="13059" max="13303" width="9.21875" style="23"/>
    <col min="13304" max="13304" width="8.77734375" style="23" customWidth="1"/>
    <col min="13305" max="13305" width="9.77734375" style="23" customWidth="1"/>
    <col min="13306" max="13306" width="14.44140625" style="23" customWidth="1"/>
    <col min="13307" max="13307" width="7.21875" style="23" customWidth="1"/>
    <col min="13308" max="13308" width="5.5546875" style="23" customWidth="1"/>
    <col min="13309" max="13309" width="9" style="23" customWidth="1"/>
    <col min="13310" max="13311" width="9.77734375" style="23" customWidth="1"/>
    <col min="13312" max="13312" width="11.21875" style="23" customWidth="1"/>
    <col min="13313" max="13313" width="2.77734375" style="23" customWidth="1"/>
    <col min="13314" max="13314" width="3.5546875" style="23" customWidth="1"/>
    <col min="13315" max="13559" width="9.21875" style="23"/>
    <col min="13560" max="13560" width="8.77734375" style="23" customWidth="1"/>
    <col min="13561" max="13561" width="9.77734375" style="23" customWidth="1"/>
    <col min="13562" max="13562" width="14.44140625" style="23" customWidth="1"/>
    <col min="13563" max="13563" width="7.21875" style="23" customWidth="1"/>
    <col min="13564" max="13564" width="5.5546875" style="23" customWidth="1"/>
    <col min="13565" max="13565" width="9" style="23" customWidth="1"/>
    <col min="13566" max="13567" width="9.77734375" style="23" customWidth="1"/>
    <col min="13568" max="13568" width="11.21875" style="23" customWidth="1"/>
    <col min="13569" max="13569" width="2.77734375" style="23" customWidth="1"/>
    <col min="13570" max="13570" width="3.5546875" style="23" customWidth="1"/>
    <col min="13571" max="13815" width="9.21875" style="23"/>
    <col min="13816" max="13816" width="8.77734375" style="23" customWidth="1"/>
    <col min="13817" max="13817" width="9.77734375" style="23" customWidth="1"/>
    <col min="13818" max="13818" width="14.44140625" style="23" customWidth="1"/>
    <col min="13819" max="13819" width="7.21875" style="23" customWidth="1"/>
    <col min="13820" max="13820" width="5.5546875" style="23" customWidth="1"/>
    <col min="13821" max="13821" width="9" style="23" customWidth="1"/>
    <col min="13822" max="13823" width="9.77734375" style="23" customWidth="1"/>
    <col min="13824" max="13824" width="11.21875" style="23" customWidth="1"/>
    <col min="13825" max="13825" width="2.77734375" style="23" customWidth="1"/>
    <col min="13826" max="13826" width="3.5546875" style="23" customWidth="1"/>
    <col min="13827" max="14071" width="9.21875" style="23"/>
    <col min="14072" max="14072" width="8.77734375" style="23" customWidth="1"/>
    <col min="14073" max="14073" width="9.77734375" style="23" customWidth="1"/>
    <col min="14074" max="14074" width="14.44140625" style="23" customWidth="1"/>
    <col min="14075" max="14075" width="7.21875" style="23" customWidth="1"/>
    <col min="14076" max="14076" width="5.5546875" style="23" customWidth="1"/>
    <col min="14077" max="14077" width="9" style="23" customWidth="1"/>
    <col min="14078" max="14079" width="9.77734375" style="23" customWidth="1"/>
    <col min="14080" max="14080" width="11.21875" style="23" customWidth="1"/>
    <col min="14081" max="14081" width="2.77734375" style="23" customWidth="1"/>
    <col min="14082" max="14082" width="3.5546875" style="23" customWidth="1"/>
    <col min="14083" max="14327" width="9.21875" style="23"/>
    <col min="14328" max="14328" width="8.77734375" style="23" customWidth="1"/>
    <col min="14329" max="14329" width="9.77734375" style="23" customWidth="1"/>
    <col min="14330" max="14330" width="14.44140625" style="23" customWidth="1"/>
    <col min="14331" max="14331" width="7.21875" style="23" customWidth="1"/>
    <col min="14332" max="14332" width="5.5546875" style="23" customWidth="1"/>
    <col min="14333" max="14333" width="9" style="23" customWidth="1"/>
    <col min="14334" max="14335" width="9.77734375" style="23" customWidth="1"/>
    <col min="14336" max="14336" width="11.21875" style="23" customWidth="1"/>
    <col min="14337" max="14337" width="2.77734375" style="23" customWidth="1"/>
    <col min="14338" max="14338" width="3.5546875" style="23" customWidth="1"/>
    <col min="14339" max="14583" width="9.21875" style="23"/>
    <col min="14584" max="14584" width="8.77734375" style="23" customWidth="1"/>
    <col min="14585" max="14585" width="9.77734375" style="23" customWidth="1"/>
    <col min="14586" max="14586" width="14.44140625" style="23" customWidth="1"/>
    <col min="14587" max="14587" width="7.21875" style="23" customWidth="1"/>
    <col min="14588" max="14588" width="5.5546875" style="23" customWidth="1"/>
    <col min="14589" max="14589" width="9" style="23" customWidth="1"/>
    <col min="14590" max="14591" width="9.77734375" style="23" customWidth="1"/>
    <col min="14592" max="14592" width="11.21875" style="23" customWidth="1"/>
    <col min="14593" max="14593" width="2.77734375" style="23" customWidth="1"/>
    <col min="14594" max="14594" width="3.5546875" style="23" customWidth="1"/>
    <col min="14595" max="14839" width="9.21875" style="23"/>
    <col min="14840" max="14840" width="8.77734375" style="23" customWidth="1"/>
    <col min="14841" max="14841" width="9.77734375" style="23" customWidth="1"/>
    <col min="14842" max="14842" width="14.44140625" style="23" customWidth="1"/>
    <col min="14843" max="14843" width="7.21875" style="23" customWidth="1"/>
    <col min="14844" max="14844" width="5.5546875" style="23" customWidth="1"/>
    <col min="14845" max="14845" width="9" style="23" customWidth="1"/>
    <col min="14846" max="14847" width="9.77734375" style="23" customWidth="1"/>
    <col min="14848" max="14848" width="11.21875" style="23" customWidth="1"/>
    <col min="14849" max="14849" width="2.77734375" style="23" customWidth="1"/>
    <col min="14850" max="14850" width="3.5546875" style="23" customWidth="1"/>
    <col min="14851" max="15095" width="9.21875" style="23"/>
    <col min="15096" max="15096" width="8.77734375" style="23" customWidth="1"/>
    <col min="15097" max="15097" width="9.77734375" style="23" customWidth="1"/>
    <col min="15098" max="15098" width="14.44140625" style="23" customWidth="1"/>
    <col min="15099" max="15099" width="7.21875" style="23" customWidth="1"/>
    <col min="15100" max="15100" width="5.5546875" style="23" customWidth="1"/>
    <col min="15101" max="15101" width="9" style="23" customWidth="1"/>
    <col min="15102" max="15103" width="9.77734375" style="23" customWidth="1"/>
    <col min="15104" max="15104" width="11.21875" style="23" customWidth="1"/>
    <col min="15105" max="15105" width="2.77734375" style="23" customWidth="1"/>
    <col min="15106" max="15106" width="3.5546875" style="23" customWidth="1"/>
    <col min="15107" max="15351" width="9.21875" style="23"/>
    <col min="15352" max="15352" width="8.77734375" style="23" customWidth="1"/>
    <col min="15353" max="15353" width="9.77734375" style="23" customWidth="1"/>
    <col min="15354" max="15354" width="14.44140625" style="23" customWidth="1"/>
    <col min="15355" max="15355" width="7.21875" style="23" customWidth="1"/>
    <col min="15356" max="15356" width="5.5546875" style="23" customWidth="1"/>
    <col min="15357" max="15357" width="9" style="23" customWidth="1"/>
    <col min="15358" max="15359" width="9.77734375" style="23" customWidth="1"/>
    <col min="15360" max="15360" width="11.21875" style="23" customWidth="1"/>
    <col min="15361" max="15361" width="2.77734375" style="23" customWidth="1"/>
    <col min="15362" max="15362" width="3.5546875" style="23" customWidth="1"/>
    <col min="15363" max="15607" width="9.21875" style="23"/>
    <col min="15608" max="15608" width="8.77734375" style="23" customWidth="1"/>
    <col min="15609" max="15609" width="9.77734375" style="23" customWidth="1"/>
    <col min="15610" max="15610" width="14.44140625" style="23" customWidth="1"/>
    <col min="15611" max="15611" width="7.21875" style="23" customWidth="1"/>
    <col min="15612" max="15612" width="5.5546875" style="23" customWidth="1"/>
    <col min="15613" max="15613" width="9" style="23" customWidth="1"/>
    <col min="15614" max="15615" width="9.77734375" style="23" customWidth="1"/>
    <col min="15616" max="15616" width="11.21875" style="23" customWidth="1"/>
    <col min="15617" max="15617" width="2.77734375" style="23" customWidth="1"/>
    <col min="15618" max="15618" width="3.5546875" style="23" customWidth="1"/>
    <col min="15619" max="15863" width="9.21875" style="23"/>
    <col min="15864" max="15864" width="8.77734375" style="23" customWidth="1"/>
    <col min="15865" max="15865" width="9.77734375" style="23" customWidth="1"/>
    <col min="15866" max="15866" width="14.44140625" style="23" customWidth="1"/>
    <col min="15867" max="15867" width="7.21875" style="23" customWidth="1"/>
    <col min="15868" max="15868" width="5.5546875" style="23" customWidth="1"/>
    <col min="15869" max="15869" width="9" style="23" customWidth="1"/>
    <col min="15870" max="15871" width="9.77734375" style="23" customWidth="1"/>
    <col min="15872" max="15872" width="11.21875" style="23" customWidth="1"/>
    <col min="15873" max="15873" width="2.77734375" style="23" customWidth="1"/>
    <col min="15874" max="15874" width="3.5546875" style="23" customWidth="1"/>
    <col min="15875" max="16119" width="9.21875" style="23"/>
    <col min="16120" max="16120" width="8.77734375" style="23" customWidth="1"/>
    <col min="16121" max="16121" width="9.77734375" style="23" customWidth="1"/>
    <col min="16122" max="16122" width="14.44140625" style="23" customWidth="1"/>
    <col min="16123" max="16123" width="7.21875" style="23" customWidth="1"/>
    <col min="16124" max="16124" width="5.5546875" style="23" customWidth="1"/>
    <col min="16125" max="16125" width="9" style="23" customWidth="1"/>
    <col min="16126" max="16127" width="9.77734375" style="23" customWidth="1"/>
    <col min="16128" max="16128" width="11.21875" style="23" customWidth="1"/>
    <col min="16129" max="16129" width="2.77734375" style="23" customWidth="1"/>
    <col min="16130" max="16130" width="3.5546875" style="23" customWidth="1"/>
    <col min="16131" max="16384" width="9.21875" style="23"/>
  </cols>
  <sheetData>
    <row r="1" spans="1:9" ht="46.5" customHeight="1" x14ac:dyDescent="0.3">
      <c r="A1" s="145" t="s">
        <v>260</v>
      </c>
      <c r="B1" s="145"/>
      <c r="C1" s="145"/>
      <c r="D1" s="145"/>
      <c r="E1" s="145"/>
      <c r="F1" s="145"/>
      <c r="G1" s="145"/>
      <c r="H1" s="145"/>
    </row>
    <row r="2" spans="1:9" ht="16.5" customHeight="1" x14ac:dyDescent="0.3">
      <c r="A2" s="66" t="s">
        <v>0</v>
      </c>
      <c r="B2" s="66"/>
      <c r="C2" s="66"/>
      <c r="D2" s="66"/>
      <c r="E2" s="66"/>
      <c r="F2" s="66"/>
      <c r="G2" s="66"/>
      <c r="H2" s="66"/>
    </row>
    <row r="3" spans="1:9" x14ac:dyDescent="0.3">
      <c r="A3" s="104" t="s">
        <v>1</v>
      </c>
      <c r="B3" s="104"/>
      <c r="C3" s="104"/>
      <c r="D3" s="104"/>
      <c r="E3" s="144" t="str">
        <f ca="1">TEXT(TODAY(),"DD/MM/YYYY")</f>
        <v>19/08/2025</v>
      </c>
      <c r="F3" s="104"/>
      <c r="G3" s="104"/>
      <c r="H3" s="104"/>
    </row>
    <row r="4" spans="1:9" ht="15" customHeight="1" x14ac:dyDescent="0.3">
      <c r="A4" s="104" t="s">
        <v>2</v>
      </c>
      <c r="B4" s="104"/>
      <c r="C4" s="104"/>
      <c r="D4" s="104"/>
      <c r="E4" s="104" t="s">
        <v>215</v>
      </c>
      <c r="F4" s="104"/>
      <c r="G4" s="104"/>
      <c r="H4" s="104"/>
    </row>
    <row r="5" spans="1:9" x14ac:dyDescent="0.3">
      <c r="A5" s="104" t="s">
        <v>3</v>
      </c>
      <c r="B5" s="104"/>
      <c r="C5" s="104"/>
      <c r="D5" s="104"/>
      <c r="E5" s="144">
        <v>45880</v>
      </c>
      <c r="F5" s="144"/>
      <c r="G5" s="144"/>
      <c r="H5" s="144"/>
    </row>
    <row r="6" spans="1:9" ht="16.5" customHeight="1" x14ac:dyDescent="0.3">
      <c r="A6" s="104" t="s">
        <v>4</v>
      </c>
      <c r="B6" s="104"/>
      <c r="C6" s="104"/>
      <c r="D6" s="104"/>
      <c r="E6" s="104" t="s">
        <v>216</v>
      </c>
      <c r="F6" s="104"/>
      <c r="G6" s="104"/>
      <c r="H6" s="104"/>
    </row>
    <row r="7" spans="1:9" ht="15" customHeight="1" x14ac:dyDescent="0.3">
      <c r="A7" s="104" t="s">
        <v>5</v>
      </c>
      <c r="B7" s="104"/>
      <c r="C7" s="104"/>
      <c r="D7" s="104"/>
      <c r="E7" s="104" t="str">
        <f>E6</f>
        <v>M/s. Aventa Properties LLP</v>
      </c>
      <c r="F7" s="104"/>
      <c r="G7" s="104"/>
      <c r="H7" s="104"/>
    </row>
    <row r="8" spans="1:9" x14ac:dyDescent="0.3">
      <c r="A8" s="104" t="s">
        <v>6</v>
      </c>
      <c r="B8" s="104"/>
      <c r="C8" s="104"/>
      <c r="D8" s="104"/>
      <c r="E8" s="141" t="s">
        <v>217</v>
      </c>
      <c r="F8" s="141"/>
      <c r="G8" s="141"/>
      <c r="H8" s="141"/>
      <c r="I8" s="58" t="s">
        <v>269</v>
      </c>
    </row>
    <row r="9" spans="1:9" x14ac:dyDescent="0.3">
      <c r="A9" s="104" t="s">
        <v>129</v>
      </c>
      <c r="B9" s="104"/>
      <c r="C9" s="104"/>
      <c r="D9" s="104"/>
      <c r="E9" s="104" t="s">
        <v>218</v>
      </c>
      <c r="F9" s="104"/>
      <c r="G9" s="104"/>
      <c r="H9" s="104"/>
    </row>
    <row r="10" spans="1:9" x14ac:dyDescent="0.3">
      <c r="A10" s="104" t="s">
        <v>7</v>
      </c>
      <c r="B10" s="104"/>
      <c r="C10" s="104"/>
      <c r="D10" s="104"/>
      <c r="E10" s="104" t="s">
        <v>219</v>
      </c>
      <c r="F10" s="104"/>
      <c r="G10" s="104"/>
      <c r="H10" s="104"/>
    </row>
    <row r="11" spans="1:9" x14ac:dyDescent="0.3">
      <c r="A11" s="104" t="s">
        <v>8</v>
      </c>
      <c r="B11" s="104"/>
      <c r="C11" s="104"/>
      <c r="D11" s="104"/>
      <c r="E11" s="103" t="s">
        <v>220</v>
      </c>
      <c r="F11" s="103"/>
      <c r="G11" s="103"/>
      <c r="H11" s="103"/>
    </row>
    <row r="12" spans="1:9" x14ac:dyDescent="0.3">
      <c r="A12" s="104" t="s">
        <v>9</v>
      </c>
      <c r="B12" s="104"/>
      <c r="C12" s="104"/>
      <c r="D12" s="104"/>
      <c r="E12" s="103" t="s">
        <v>221</v>
      </c>
      <c r="F12" s="104"/>
      <c r="G12" s="104"/>
      <c r="H12" s="104"/>
    </row>
    <row r="13" spans="1:9" ht="30.75" customHeight="1" x14ac:dyDescent="0.3">
      <c r="A13" s="103" t="s">
        <v>10</v>
      </c>
      <c r="B13" s="103"/>
      <c r="C13" s="103" t="s">
        <v>263</v>
      </c>
      <c r="D13" s="103"/>
      <c r="E13" s="103"/>
      <c r="F13" s="103"/>
      <c r="G13" s="103"/>
      <c r="H13" s="103"/>
    </row>
    <row r="14" spans="1:9" x14ac:dyDescent="0.3">
      <c r="A14" s="102" t="s">
        <v>222</v>
      </c>
      <c r="B14" s="102"/>
      <c r="C14" s="103" t="s">
        <v>224</v>
      </c>
      <c r="D14" s="103"/>
      <c r="E14" s="103"/>
      <c r="F14" s="103"/>
      <c r="G14" s="103"/>
      <c r="H14" s="103"/>
    </row>
    <row r="15" spans="1:9" ht="15.75" customHeight="1" x14ac:dyDescent="0.3">
      <c r="A15" s="102" t="s">
        <v>11</v>
      </c>
      <c r="B15" s="102"/>
      <c r="C15" s="104" t="s">
        <v>227</v>
      </c>
      <c r="D15" s="104"/>
      <c r="E15" s="102" t="s">
        <v>77</v>
      </c>
      <c r="F15" s="102"/>
      <c r="G15" s="103" t="s">
        <v>225</v>
      </c>
      <c r="H15" s="103"/>
    </row>
    <row r="16" spans="1:9" x14ac:dyDescent="0.3">
      <c r="A16" s="77" t="s">
        <v>13</v>
      </c>
      <c r="B16" s="77"/>
      <c r="C16" s="103" t="s">
        <v>226</v>
      </c>
      <c r="D16" s="103"/>
      <c r="E16" s="102" t="s">
        <v>12</v>
      </c>
      <c r="F16" s="102"/>
      <c r="G16" s="146" t="s">
        <v>226</v>
      </c>
      <c r="H16" s="146"/>
    </row>
    <row r="17" spans="1:8" x14ac:dyDescent="0.3">
      <c r="A17" s="77" t="s">
        <v>78</v>
      </c>
      <c r="B17" s="77"/>
      <c r="C17" s="103" t="s">
        <v>228</v>
      </c>
      <c r="D17" s="103"/>
      <c r="E17" s="102" t="s">
        <v>14</v>
      </c>
      <c r="F17" s="102"/>
      <c r="G17" s="103">
        <v>400016</v>
      </c>
      <c r="H17" s="103"/>
    </row>
    <row r="18" spans="1:8" ht="32.25" customHeight="1" x14ac:dyDescent="0.3">
      <c r="A18" s="77" t="s">
        <v>131</v>
      </c>
      <c r="B18" s="77"/>
      <c r="C18" s="103" t="s">
        <v>230</v>
      </c>
      <c r="D18" s="103"/>
      <c r="E18" s="102" t="s">
        <v>15</v>
      </c>
      <c r="F18" s="102"/>
      <c r="G18" s="103" t="s">
        <v>254</v>
      </c>
      <c r="H18" s="103"/>
    </row>
    <row r="19" spans="1:8" ht="15" customHeight="1" x14ac:dyDescent="0.3">
      <c r="A19" s="102" t="s">
        <v>81</v>
      </c>
      <c r="B19" s="102"/>
      <c r="C19" s="102"/>
      <c r="D19" s="102"/>
      <c r="E19" s="104" t="s">
        <v>16</v>
      </c>
      <c r="F19" s="104"/>
      <c r="G19" s="104"/>
      <c r="H19" s="104"/>
    </row>
    <row r="20" spans="1:8" ht="18.75" customHeight="1" x14ac:dyDescent="0.3">
      <c r="A20" s="102"/>
      <c r="B20" s="102"/>
      <c r="C20" s="102"/>
      <c r="D20" s="102"/>
      <c r="E20" s="104"/>
      <c r="F20" s="104"/>
      <c r="G20" s="104"/>
      <c r="H20" s="104"/>
    </row>
    <row r="21" spans="1:8" x14ac:dyDescent="0.3">
      <c r="A21" s="102" t="s">
        <v>17</v>
      </c>
      <c r="B21" s="102"/>
      <c r="C21" s="102"/>
      <c r="D21" s="102"/>
      <c r="E21" s="103" t="s">
        <v>18</v>
      </c>
      <c r="F21" s="103"/>
      <c r="G21" s="103"/>
      <c r="H21" s="103"/>
    </row>
    <row r="22" spans="1:8" x14ac:dyDescent="0.3">
      <c r="A22" s="77" t="s">
        <v>19</v>
      </c>
      <c r="B22" s="77"/>
      <c r="C22" s="77"/>
      <c r="D22" s="77"/>
      <c r="E22" s="103" t="str">
        <f>IF(AND(G16="Mumbai"),"Upper Class","Middle Class")</f>
        <v>Upper Class</v>
      </c>
      <c r="F22" s="103"/>
      <c r="G22" s="103"/>
      <c r="H22" s="103"/>
    </row>
    <row r="23" spans="1:8" x14ac:dyDescent="0.3">
      <c r="A23" s="77" t="s">
        <v>20</v>
      </c>
      <c r="B23" s="77"/>
      <c r="C23" s="77"/>
      <c r="D23" s="77"/>
      <c r="E23" s="103" t="s">
        <v>21</v>
      </c>
      <c r="F23" s="103"/>
      <c r="G23" s="103"/>
      <c r="H23" s="103"/>
    </row>
    <row r="24" spans="1:8" ht="15.75" customHeight="1" x14ac:dyDescent="0.3">
      <c r="A24" s="77" t="s">
        <v>22</v>
      </c>
      <c r="B24" s="77"/>
      <c r="C24" s="77"/>
      <c r="D24" s="77"/>
      <c r="E24" s="103" t="str">
        <f>IF(AND(G16="Mumbai"),"Developed","Developing")</f>
        <v>Developed</v>
      </c>
      <c r="F24" s="103"/>
      <c r="G24" s="103"/>
      <c r="H24" s="103"/>
    </row>
    <row r="25" spans="1:8" x14ac:dyDescent="0.3">
      <c r="A25" s="77" t="s">
        <v>23</v>
      </c>
      <c r="B25" s="77"/>
      <c r="C25" s="77"/>
      <c r="D25" s="77"/>
      <c r="E25" s="103" t="s">
        <v>24</v>
      </c>
      <c r="F25" s="103"/>
      <c r="G25" s="103"/>
      <c r="H25" s="103"/>
    </row>
    <row r="26" spans="1:8" ht="15.75" customHeight="1" x14ac:dyDescent="0.3">
      <c r="A26" s="77" t="s">
        <v>87</v>
      </c>
      <c r="B26" s="77"/>
      <c r="C26" s="77"/>
      <c r="D26" s="77"/>
      <c r="E26" s="103" t="s">
        <v>88</v>
      </c>
      <c r="F26" s="103"/>
      <c r="G26" s="103"/>
      <c r="H26" s="103"/>
    </row>
    <row r="27" spans="1:8" ht="15" customHeight="1" x14ac:dyDescent="0.3">
      <c r="A27" s="77" t="s">
        <v>35</v>
      </c>
      <c r="B27" s="77"/>
      <c r="C27" s="77"/>
      <c r="D27" s="77"/>
      <c r="E27" s="103" t="str">
        <f>IF(AND(ISNUMBER(SEARCH("Flat",D53)),ISNUMBER(SEARCH("Shop",D53)),ISNUMBER(SEARCH("Office",D53))),"Residential + Commercial",IF(AND(ISNUMBER(SEARCH("Flat",D53)),ISNUMBER(SEARCH("Shop",D53))),"Residential + Commercial",IF(AND(ISNUMBER(SEARCH("Flat",D53)),ISNUMBER(SEARCH("Office",D53))),"Residential + Commercial",IF(AND(ISNUMBER(SEARCH("Shop",D53)),ISNUMBER(SEARCH("Office",D53))),"Commercial",IF(ISNUMBER(SEARCH("Shop",D53)),"Commercial",IF(ISNUMBER(SEARCH("Office",D53)),"Commercial",IF(ISNUMBER(SEARCH("Flat",D53)),"Residentail")))))))</f>
        <v>Residential + Commercial</v>
      </c>
      <c r="F27" s="103"/>
      <c r="G27" s="103"/>
      <c r="H27" s="103"/>
    </row>
    <row r="28" spans="1:8" ht="15.75" customHeight="1" x14ac:dyDescent="0.3">
      <c r="A28" s="77" t="s">
        <v>99</v>
      </c>
      <c r="B28" s="77"/>
      <c r="C28" s="77"/>
      <c r="D28" s="77"/>
      <c r="E28" s="103" t="s">
        <v>36</v>
      </c>
      <c r="F28" s="103"/>
      <c r="G28" s="103"/>
      <c r="H28" s="103"/>
    </row>
    <row r="29" spans="1:8" s="24" customFormat="1" x14ac:dyDescent="0.3">
      <c r="A29" s="151" t="s">
        <v>100</v>
      </c>
      <c r="B29" s="151"/>
      <c r="C29" s="150" t="s">
        <v>29</v>
      </c>
      <c r="D29" s="150"/>
      <c r="E29" s="150"/>
      <c r="F29" s="150" t="s">
        <v>31</v>
      </c>
      <c r="G29" s="150"/>
      <c r="H29" s="150"/>
    </row>
    <row r="30" spans="1:8" s="24" customFormat="1" x14ac:dyDescent="0.3">
      <c r="A30" s="147" t="s">
        <v>25</v>
      </c>
      <c r="B30" s="147" t="s">
        <v>30</v>
      </c>
      <c r="C30" s="148" t="s">
        <v>30</v>
      </c>
      <c r="D30" s="148"/>
      <c r="E30" s="148"/>
      <c r="F30" s="148" t="s">
        <v>231</v>
      </c>
      <c r="G30" s="148"/>
      <c r="H30" s="148"/>
    </row>
    <row r="31" spans="1:8" x14ac:dyDescent="0.3">
      <c r="A31" s="147" t="s">
        <v>26</v>
      </c>
      <c r="B31" s="147" t="s">
        <v>30</v>
      </c>
      <c r="C31" s="148" t="s">
        <v>30</v>
      </c>
      <c r="D31" s="148"/>
      <c r="E31" s="148"/>
      <c r="F31" s="148" t="s">
        <v>232</v>
      </c>
      <c r="G31" s="148"/>
      <c r="H31" s="148"/>
    </row>
    <row r="32" spans="1:8" s="24" customFormat="1" x14ac:dyDescent="0.3">
      <c r="A32" s="147" t="s">
        <v>28</v>
      </c>
      <c r="B32" s="147" t="s">
        <v>30</v>
      </c>
      <c r="C32" s="148" t="s">
        <v>30</v>
      </c>
      <c r="D32" s="148"/>
      <c r="E32" s="148"/>
      <c r="F32" s="148" t="s">
        <v>233</v>
      </c>
      <c r="G32" s="148"/>
      <c r="H32" s="148"/>
    </row>
    <row r="33" spans="1:8" x14ac:dyDescent="0.3">
      <c r="A33" s="147" t="s">
        <v>27</v>
      </c>
      <c r="B33" s="147" t="s">
        <v>30</v>
      </c>
      <c r="C33" s="148" t="s">
        <v>30</v>
      </c>
      <c r="D33" s="148"/>
      <c r="E33" s="148"/>
      <c r="F33" s="148" t="s">
        <v>231</v>
      </c>
      <c r="G33" s="148"/>
      <c r="H33" s="148"/>
    </row>
    <row r="34" spans="1:8" x14ac:dyDescent="0.3">
      <c r="A34" s="77" t="s">
        <v>32</v>
      </c>
      <c r="B34" s="77"/>
      <c r="C34" s="77"/>
      <c r="D34" s="77"/>
      <c r="E34" s="77"/>
      <c r="F34" s="77"/>
      <c r="G34" s="77"/>
      <c r="H34" s="77"/>
    </row>
    <row r="35" spans="1:8" ht="15.75" customHeight="1" x14ac:dyDescent="0.3">
      <c r="A35" s="66" t="s">
        <v>264</v>
      </c>
      <c r="B35" s="66"/>
      <c r="C35" s="152" t="s">
        <v>265</v>
      </c>
      <c r="D35" s="152"/>
      <c r="E35" s="152"/>
      <c r="F35" s="152"/>
      <c r="G35" s="152"/>
      <c r="H35" s="152"/>
    </row>
    <row r="36" spans="1:8" ht="15.75" customHeight="1" x14ac:dyDescent="0.3">
      <c r="A36" s="66" t="s">
        <v>267</v>
      </c>
      <c r="B36" s="66"/>
      <c r="C36" s="153" t="s">
        <v>266</v>
      </c>
      <c r="D36" s="152"/>
      <c r="E36" s="152"/>
      <c r="F36" s="152"/>
      <c r="G36" s="152"/>
      <c r="H36" s="152"/>
    </row>
    <row r="37" spans="1:8" x14ac:dyDescent="0.3">
      <c r="A37" s="126" t="s">
        <v>37</v>
      </c>
      <c r="B37" s="126"/>
      <c r="C37" s="126"/>
      <c r="D37" s="126"/>
      <c r="E37" s="126"/>
      <c r="F37" s="126"/>
      <c r="G37" s="126"/>
      <c r="H37" s="126"/>
    </row>
    <row r="38" spans="1:8" x14ac:dyDescent="0.3">
      <c r="A38" s="77" t="s">
        <v>38</v>
      </c>
      <c r="B38" s="77"/>
      <c r="C38" s="77"/>
      <c r="D38" s="77"/>
      <c r="E38" s="149">
        <v>2414.98</v>
      </c>
      <c r="F38" s="149"/>
      <c r="G38" s="149"/>
      <c r="H38" s="149"/>
    </row>
    <row r="39" spans="1:8" x14ac:dyDescent="0.3">
      <c r="A39" s="77" t="s">
        <v>39</v>
      </c>
      <c r="B39" s="77"/>
      <c r="C39" s="77"/>
      <c r="D39" s="77"/>
      <c r="E39" s="76">
        <v>1</v>
      </c>
      <c r="F39" s="76"/>
      <c r="G39" s="76"/>
      <c r="H39" s="76"/>
    </row>
    <row r="40" spans="1:8" x14ac:dyDescent="0.3">
      <c r="A40" s="77" t="s">
        <v>40</v>
      </c>
      <c r="B40" s="77"/>
      <c r="C40" s="77"/>
      <c r="D40" s="77"/>
      <c r="E40" s="76">
        <f>E42/E38-E39</f>
        <v>1.4588775062319357</v>
      </c>
      <c r="F40" s="76"/>
      <c r="G40" s="76"/>
      <c r="H40" s="76"/>
    </row>
    <row r="41" spans="1:8" x14ac:dyDescent="0.3">
      <c r="A41" s="77" t="s">
        <v>41</v>
      </c>
      <c r="B41" s="77"/>
      <c r="C41" s="77"/>
      <c r="D41" s="77"/>
      <c r="E41" s="142">
        <f>E39+E40</f>
        <v>2.4588775062319357</v>
      </c>
      <c r="F41" s="142"/>
      <c r="G41" s="142"/>
      <c r="H41" s="142"/>
    </row>
    <row r="42" spans="1:8" x14ac:dyDescent="0.3">
      <c r="A42" s="77" t="s">
        <v>98</v>
      </c>
      <c r="B42" s="77"/>
      <c r="C42" s="77"/>
      <c r="D42" s="77"/>
      <c r="E42" s="143">
        <v>5938.14</v>
      </c>
      <c r="F42" s="143"/>
      <c r="G42" s="143"/>
      <c r="H42" s="143"/>
    </row>
    <row r="43" spans="1:8" x14ac:dyDescent="0.3">
      <c r="A43" s="104" t="s">
        <v>42</v>
      </c>
      <c r="B43" s="104"/>
      <c r="C43" s="104"/>
      <c r="D43" s="104"/>
      <c r="E43" s="104" t="s">
        <v>219</v>
      </c>
      <c r="F43" s="104"/>
      <c r="G43" s="104"/>
      <c r="H43" s="104"/>
    </row>
    <row r="44" spans="1:8" x14ac:dyDescent="0.3">
      <c r="A44" s="141" t="s">
        <v>43</v>
      </c>
      <c r="B44" s="141"/>
      <c r="C44" s="141"/>
      <c r="D44" s="141"/>
      <c r="E44" s="141"/>
      <c r="F44" s="141"/>
      <c r="G44" s="141"/>
      <c r="H44" s="141"/>
    </row>
    <row r="45" spans="1:8" ht="33.75" customHeight="1" x14ac:dyDescent="0.3">
      <c r="A45" s="158" t="s">
        <v>162</v>
      </c>
      <c r="B45" s="159"/>
      <c r="C45" s="160" t="s">
        <v>234</v>
      </c>
      <c r="D45" s="161"/>
      <c r="E45" s="161"/>
      <c r="F45" s="161"/>
      <c r="G45" s="161"/>
      <c r="H45" s="162"/>
    </row>
    <row r="46" spans="1:8" ht="15.75" customHeight="1" x14ac:dyDescent="0.3">
      <c r="A46" s="91" t="s">
        <v>44</v>
      </c>
      <c r="B46" s="92"/>
      <c r="C46" s="91" t="s">
        <v>235</v>
      </c>
      <c r="D46" s="93"/>
      <c r="E46" s="92"/>
      <c r="F46" s="20" t="s">
        <v>45</v>
      </c>
      <c r="G46" s="94">
        <v>43599</v>
      </c>
      <c r="H46" s="92"/>
    </row>
    <row r="47" spans="1:8" x14ac:dyDescent="0.3">
      <c r="A47" s="91" t="s">
        <v>46</v>
      </c>
      <c r="B47" s="92"/>
      <c r="C47" s="91" t="str">
        <f>C46</f>
        <v>EB/6939/GN/A</v>
      </c>
      <c r="D47" s="93"/>
      <c r="E47" s="92"/>
      <c r="F47" s="20" t="s">
        <v>45</v>
      </c>
      <c r="G47" s="94">
        <f>G46</f>
        <v>43599</v>
      </c>
      <c r="H47" s="95"/>
    </row>
    <row r="48" spans="1:8" s="25" customFormat="1" ht="15.75" customHeight="1" x14ac:dyDescent="0.3">
      <c r="A48" s="107" t="s">
        <v>166</v>
      </c>
      <c r="B48" s="108"/>
      <c r="C48" s="91" t="s">
        <v>270</v>
      </c>
      <c r="D48" s="93"/>
      <c r="E48" s="92"/>
      <c r="F48" s="20" t="s">
        <v>45</v>
      </c>
      <c r="G48" s="94">
        <v>45737</v>
      </c>
      <c r="H48" s="95"/>
    </row>
    <row r="49" spans="1:14" s="25" customFormat="1" ht="80.55" customHeight="1" x14ac:dyDescent="0.3">
      <c r="A49" s="109"/>
      <c r="B49" s="110"/>
      <c r="C49" s="91" t="s">
        <v>271</v>
      </c>
      <c r="D49" s="93"/>
      <c r="E49" s="92"/>
      <c r="F49" s="20" t="s">
        <v>130</v>
      </c>
      <c r="G49" s="94">
        <v>45871</v>
      </c>
      <c r="H49" s="95"/>
    </row>
    <row r="50" spans="1:14" x14ac:dyDescent="0.3">
      <c r="A50" s="98" t="s">
        <v>47</v>
      </c>
      <c r="B50" s="99"/>
      <c r="C50" s="98" t="s">
        <v>113</v>
      </c>
      <c r="D50" s="100"/>
      <c r="E50" s="99"/>
      <c r="F50" s="51" t="s">
        <v>45</v>
      </c>
      <c r="G50" s="105" t="s">
        <v>30</v>
      </c>
      <c r="H50" s="106"/>
    </row>
    <row r="51" spans="1:14" x14ac:dyDescent="0.3">
      <c r="A51" s="101" t="s">
        <v>49</v>
      </c>
      <c r="B51" s="101"/>
      <c r="C51" s="101"/>
      <c r="D51" s="101"/>
      <c r="E51" s="101"/>
      <c r="F51" s="101"/>
      <c r="G51" s="101"/>
      <c r="H51" s="101"/>
    </row>
    <row r="52" spans="1:14" x14ac:dyDescent="0.3">
      <c r="A52" s="102" t="s">
        <v>97</v>
      </c>
      <c r="B52" s="102"/>
      <c r="C52" s="102"/>
      <c r="D52" s="77">
        <f>E42</f>
        <v>5938.14</v>
      </c>
      <c r="E52" s="77"/>
      <c r="F52" s="77"/>
      <c r="G52" s="77"/>
      <c r="H52" s="77"/>
    </row>
    <row r="53" spans="1:14" ht="31.5" customHeight="1" x14ac:dyDescent="0.3">
      <c r="A53" s="103" t="s">
        <v>50</v>
      </c>
      <c r="B53" s="104"/>
      <c r="C53" s="104"/>
      <c r="D53" s="103" t="s">
        <v>262</v>
      </c>
      <c r="E53" s="103"/>
      <c r="F53" s="103"/>
      <c r="G53" s="103"/>
      <c r="H53" s="103"/>
      <c r="I53" s="26"/>
    </row>
    <row r="54" spans="1:14" ht="30" customHeight="1" x14ac:dyDescent="0.3">
      <c r="A54" s="111" t="s">
        <v>51</v>
      </c>
      <c r="B54" s="112"/>
      <c r="C54" s="165"/>
      <c r="D54" s="96" t="s">
        <v>240</v>
      </c>
      <c r="E54" s="97"/>
      <c r="F54" s="97"/>
      <c r="G54" s="97"/>
      <c r="H54" s="97"/>
      <c r="J54" s="23">
        <v>25</v>
      </c>
    </row>
    <row r="55" spans="1:14" ht="31.05" customHeight="1" x14ac:dyDescent="0.3">
      <c r="A55" s="111" t="s">
        <v>95</v>
      </c>
      <c r="B55" s="112"/>
      <c r="C55" s="112"/>
      <c r="D55" s="96" t="s">
        <v>273</v>
      </c>
      <c r="E55" s="97"/>
      <c r="F55" s="97"/>
      <c r="G55" s="97"/>
      <c r="H55" s="97"/>
    </row>
    <row r="56" spans="1:14" ht="15.75" customHeight="1" x14ac:dyDescent="0.3">
      <c r="A56" s="77" t="s">
        <v>48</v>
      </c>
      <c r="B56" s="77"/>
      <c r="C56" s="77"/>
      <c r="D56" s="103" t="s">
        <v>272</v>
      </c>
      <c r="E56" s="103"/>
      <c r="F56" s="103"/>
      <c r="G56" s="103"/>
      <c r="H56" s="103"/>
      <c r="J56" s="27"/>
      <c r="K56" s="26"/>
      <c r="N56" s="26"/>
    </row>
    <row r="57" spans="1:14" ht="15.75" customHeight="1" x14ac:dyDescent="0.3">
      <c r="A57" s="77" t="s">
        <v>93</v>
      </c>
      <c r="B57" s="77"/>
      <c r="C57" s="77"/>
      <c r="D57" s="164" t="str">
        <f>(IF(G50="NA","60 Years After Completion",IF(G50&lt;&gt;"NA",""&amp;60-ROUNDDOWN((E3-G50)/360,0)&amp;" Years"," ")))</f>
        <v>60 Years After Completion</v>
      </c>
      <c r="E57" s="164"/>
      <c r="F57" s="164"/>
      <c r="G57" s="164"/>
      <c r="H57" s="164"/>
      <c r="N57" s="26"/>
    </row>
    <row r="58" spans="1:14" ht="15.75" customHeight="1" x14ac:dyDescent="0.3">
      <c r="A58" s="77" t="s">
        <v>94</v>
      </c>
      <c r="B58" s="77"/>
      <c r="C58" s="77"/>
      <c r="D58" s="102" t="s">
        <v>24</v>
      </c>
      <c r="E58" s="102"/>
      <c r="F58" s="102"/>
      <c r="G58" s="102"/>
      <c r="H58" s="102"/>
      <c r="J58" s="16"/>
      <c r="K58" s="16"/>
    </row>
    <row r="59" spans="1:14" ht="30.75" customHeight="1" x14ac:dyDescent="0.3">
      <c r="A59" s="77" t="s">
        <v>79</v>
      </c>
      <c r="B59" s="77"/>
      <c r="C59" s="77"/>
      <c r="D59" s="103" t="s">
        <v>268</v>
      </c>
      <c r="E59" s="102"/>
      <c r="F59" s="102"/>
      <c r="G59" s="102"/>
      <c r="H59" s="102"/>
    </row>
    <row r="60" spans="1:14" x14ac:dyDescent="0.3">
      <c r="A60" s="102" t="s">
        <v>159</v>
      </c>
      <c r="B60" s="102"/>
      <c r="C60" s="102"/>
      <c r="D60" s="102" t="s">
        <v>30</v>
      </c>
      <c r="E60" s="102"/>
      <c r="F60" s="102"/>
      <c r="G60" s="102"/>
      <c r="H60" s="102"/>
      <c r="I60" s="28"/>
      <c r="J60" s="28"/>
      <c r="K60" s="28"/>
      <c r="L60" s="28"/>
      <c r="M60" s="28"/>
      <c r="N60" s="28"/>
    </row>
    <row r="61" spans="1:14" ht="15.75" customHeight="1" x14ac:dyDescent="0.3">
      <c r="A61" s="77" t="s">
        <v>92</v>
      </c>
      <c r="B61" s="77"/>
      <c r="C61" s="77"/>
      <c r="D61" s="103" t="str">
        <f ca="1">(IF(G67&gt;95%,"Nothing",IF(G67&gt;0%,"Cement, Aggregate, Steel, etc",IF(G67=0%,"Work not yet Started"))))</f>
        <v>Cement, Aggregate, Steel, etc</v>
      </c>
      <c r="E61" s="103"/>
      <c r="F61" s="103"/>
      <c r="G61" s="103"/>
      <c r="H61" s="103"/>
      <c r="J61" s="16"/>
    </row>
    <row r="62" spans="1:14" ht="33.75" customHeight="1" thickBot="1" x14ac:dyDescent="0.35">
      <c r="A62" s="102" t="s">
        <v>126</v>
      </c>
      <c r="B62" s="102"/>
      <c r="C62" s="102"/>
      <c r="D62" s="103" t="str">
        <f ca="1">(IF(D61="Nothing","Yes",IF(D61="Cement, Aggregate, Steel, etc","Under Construction",IF(D61="Work not yet Started","Work not yet Started"))))</f>
        <v>Under Construction</v>
      </c>
      <c r="E62" s="103"/>
      <c r="F62" s="103" t="str">
        <f ca="1">(IF(D61="Nothing","Yes",IF(D61="Cement, Aggregate, Steel, etc","Under Construction",IF(D61="Work not yet Started","Work not yet Started"))))</f>
        <v>Under Construction</v>
      </c>
      <c r="G62" s="103"/>
      <c r="H62" s="103"/>
    </row>
    <row r="63" spans="1:14" ht="31.5" customHeight="1" x14ac:dyDescent="0.3">
      <c r="A63" s="123" t="s">
        <v>150</v>
      </c>
      <c r="B63" s="123"/>
      <c r="C63" s="128" t="str">
        <f>D55</f>
        <v>1B + Gr/St + P1 to P11 + 12th Floor for Amenity + 13th Service Floor + 14th to 42nd Floor</v>
      </c>
      <c r="D63" s="128"/>
      <c r="E63" s="128"/>
      <c r="F63" s="128"/>
      <c r="G63" s="128"/>
      <c r="H63" s="128"/>
      <c r="I63" s="15" t="str">
        <f ca="1">(IF(E67&gt;99%,"All work completed. Please provide OC.",IF(E67&gt;89.8%,"Plinth, RCC, Brick, Plaster, Flooring, Painting work Completed. Finishing work is in process.",IF(E67&lt;94%,(IF(C67=0,"Work not yet Started.",IF(D67=25%,"Piling work in process",IF(D67=50%,"Excavation work in process",IF(D67=100%,"Excavation work Completed. ","0")))&amp;(IF(C68=0%,"",IF(C68=J69,"Footing work is process",IF(C68=J70,"Footing work Completed",IF(C68=J71,"1st Basement Completed",IF(C68=J72,"1st &amp; 2nd Basement Completed",IF(C68=J73,"1st to 3rd Basement Completed",IF(C68=J74,"1st to 4th Basement Completed",IF(C68=J75,"Plinth work is process",IF(C68=J76,"Plinth work completed","0")))))))))))&amp;(IF(C69=(D64+F64+H64),", RCC Slab Completed",IF(C69&gt;0,", RCC upto "&amp;C69&amp;" Slab Completed",""))&amp;(IF(C70=H64,", Brickwork Completed",IF(C70&gt;0,", Brickwork upto "&amp;C70&amp;" Floor Completed",""))&amp;(IF(C71=H64,", Internal Plaster Completed",IF(C71&gt;0,", Internal Plaster upto "&amp;C71&amp;" Floor Completed",""))&amp;(IF(C72=H64,", External Plaster Completed",IF(C72&gt;0,", External Plaster upto "&amp;C72&amp;" Floor Completed",""))&amp;(IF(C73=H64,", Flooring Completed",IF(C73&gt;0,", Flooring upto "&amp;C73&amp;" Floor Completed",""))&amp;(IF(C74=H64,", Painting Completed",IF(C74&gt;0,", Painting upto "&amp;C74&amp;" Floor Completed",""))&amp;(IF(C75&gt;0,", Finishing upto "&amp;C75&amp;" Floor Completed","")&amp;(IF(C69&gt;0.5,".",""))))))))))))))</f>
        <v>Excavation work Completed. Plinth work completed, RCC upto 36 Slab Completed, Brickwork upto 31 Floor Completed, Internal Plaster upto 28 Floor Completed, External Plaster upto 28 Floor Completed, Flooring upto 20 Floor Completed.</v>
      </c>
      <c r="J63" s="29"/>
    </row>
    <row r="64" spans="1:14" x14ac:dyDescent="0.3">
      <c r="A64" s="52" t="s">
        <v>152</v>
      </c>
      <c r="B64" s="52">
        <v>1</v>
      </c>
      <c r="C64" s="52" t="s">
        <v>76</v>
      </c>
      <c r="D64" s="52">
        <v>1</v>
      </c>
      <c r="E64" s="52" t="s">
        <v>75</v>
      </c>
      <c r="F64" s="52">
        <v>0</v>
      </c>
      <c r="G64" s="53" t="s">
        <v>86</v>
      </c>
      <c r="H64" s="52">
        <f ca="1">--TRIM(RIGHT(SUBSTITUTE(LEFT(C63,_xlfn.AGGREGATE(16,6,FIND({0,1,2,3,4,5,6,7,8,9},C63,ROW(INDIRECT("1:"&amp;LEN(C63)))),1))," ",REPT(" ",LEN(C63))),LEN(C63)))</f>
        <v>42</v>
      </c>
      <c r="I64" s="16"/>
      <c r="J64" s="30"/>
    </row>
    <row r="65" spans="1:11" ht="48.45" customHeight="1" x14ac:dyDescent="0.3">
      <c r="A65" s="141" t="s">
        <v>96</v>
      </c>
      <c r="B65" s="141"/>
      <c r="C65" s="128" t="str">
        <f ca="1">(IF($G$50="NA",I63,"All work Completed. OC Received."))</f>
        <v>Excavation work Completed. Plinth work completed, RCC upto 36 Slab Completed, Brickwork upto 31 Floor Completed, Internal Plaster upto 28 Floor Completed, External Plaster upto 28 Floor Completed, Flooring upto 20 Floor Completed.</v>
      </c>
      <c r="D65" s="128"/>
      <c r="E65" s="128"/>
      <c r="F65" s="128"/>
      <c r="G65" s="128"/>
      <c r="H65" s="128"/>
      <c r="I65" s="16" t="s">
        <v>112</v>
      </c>
      <c r="J65" s="30"/>
    </row>
    <row r="66" spans="1:11" ht="15.75" customHeight="1" x14ac:dyDescent="0.3">
      <c r="A66" s="86" t="s">
        <v>52</v>
      </c>
      <c r="B66" s="87"/>
      <c r="C66" s="49" t="s">
        <v>149</v>
      </c>
      <c r="D66" s="49" t="s">
        <v>89</v>
      </c>
      <c r="E66" s="87" t="s">
        <v>91</v>
      </c>
      <c r="F66" s="87"/>
      <c r="G66" s="87" t="s">
        <v>90</v>
      </c>
      <c r="H66" s="129"/>
      <c r="I66" s="14" t="s">
        <v>151</v>
      </c>
      <c r="J66" s="31">
        <f ca="1">H64*25%</f>
        <v>10.5</v>
      </c>
    </row>
    <row r="67" spans="1:11" x14ac:dyDescent="0.3">
      <c r="A67" s="86" t="s">
        <v>138</v>
      </c>
      <c r="B67" s="87"/>
      <c r="C67" s="49">
        <f ca="1">J68</f>
        <v>42</v>
      </c>
      <c r="D67" s="21">
        <f ca="1">((100/H64)*C67)/100</f>
        <v>1</v>
      </c>
      <c r="E67" s="130">
        <f ca="1">(((C68/H64*10)+(40/(D64+F64+H64)*C69)+(7.5/(H64)*C70)+(7.5/(H64)*C71)+(10/H64*C72)+(10/H64*C73)+(5/H64*C74)+(5/H64*C75)+(5/H64*C76))/100)</f>
        <v>0.65452657807308967</v>
      </c>
      <c r="F67" s="131"/>
      <c r="G67" s="130">
        <f ca="1">((((C67/H64)*20)+((C68/H64)*25)+(30/(H64+F64+D64)*C69)+(5/H64*C70)+(5/H64*C71)+(5/H64*C72)+(5/H64*C73)+(0/H64*C74)+(0/H64*C75)+(5/H64*C76))/100)</f>
        <v>0.82854374307862666</v>
      </c>
      <c r="H67" s="136"/>
      <c r="I67" s="14" t="s">
        <v>107</v>
      </c>
      <c r="J67" s="32">
        <f ca="1">H64*50%</f>
        <v>21</v>
      </c>
    </row>
    <row r="68" spans="1:11" x14ac:dyDescent="0.3">
      <c r="A68" s="86" t="s">
        <v>53</v>
      </c>
      <c r="B68" s="87"/>
      <c r="C68" s="49">
        <f ca="1">J76</f>
        <v>42</v>
      </c>
      <c r="D68" s="21">
        <f ca="1">((100/H64)*C68)/100</f>
        <v>1</v>
      </c>
      <c r="E68" s="132"/>
      <c r="F68" s="133"/>
      <c r="G68" s="132"/>
      <c r="H68" s="137"/>
      <c r="I68" s="14" t="s">
        <v>108</v>
      </c>
      <c r="J68" s="32">
        <f ca="1">H64</f>
        <v>42</v>
      </c>
    </row>
    <row r="69" spans="1:11" ht="15.75" customHeight="1" x14ac:dyDescent="0.3">
      <c r="A69" s="86" t="s">
        <v>139</v>
      </c>
      <c r="B69" s="87"/>
      <c r="C69" s="49">
        <v>36</v>
      </c>
      <c r="D69" s="21">
        <f ca="1">((100/(D64+F64+H64))*C69)/100</f>
        <v>0.83720930232558144</v>
      </c>
      <c r="E69" s="132"/>
      <c r="F69" s="133"/>
      <c r="G69" s="132"/>
      <c r="H69" s="137"/>
      <c r="I69" s="14" t="s">
        <v>109</v>
      </c>
      <c r="J69" s="33">
        <f ca="1">(IF(B64&gt;1,(H64/(B64+2)),H64/4))</f>
        <v>10.5</v>
      </c>
    </row>
    <row r="70" spans="1:11" ht="15.75" customHeight="1" x14ac:dyDescent="0.3">
      <c r="A70" s="86" t="s">
        <v>146</v>
      </c>
      <c r="B70" s="87" t="s">
        <v>140</v>
      </c>
      <c r="C70" s="49">
        <v>31</v>
      </c>
      <c r="D70" s="21">
        <f ca="1">((100/H64)*C70)/100</f>
        <v>0.73809523809523814</v>
      </c>
      <c r="E70" s="132"/>
      <c r="F70" s="133"/>
      <c r="G70" s="132"/>
      <c r="H70" s="137"/>
      <c r="I70" s="14" t="s">
        <v>110</v>
      </c>
      <c r="J70" s="33">
        <f ca="1">(IF(B64&gt;1,(H64/(B64+2)+J69),H64/4+J69))</f>
        <v>21</v>
      </c>
    </row>
    <row r="71" spans="1:11" ht="15.75" customHeight="1" x14ac:dyDescent="0.3">
      <c r="A71" s="86" t="s">
        <v>147</v>
      </c>
      <c r="B71" s="87" t="s">
        <v>140</v>
      </c>
      <c r="C71" s="57">
        <v>28</v>
      </c>
      <c r="D71" s="21">
        <f ca="1">((100/H64)*C71)/100</f>
        <v>0.66666666666666674</v>
      </c>
      <c r="E71" s="132"/>
      <c r="F71" s="133"/>
      <c r="G71" s="132"/>
      <c r="H71" s="137"/>
      <c r="I71" s="14" t="s">
        <v>156</v>
      </c>
      <c r="J71" s="33">
        <f>(IF(B64&gt;1,(H64/(B64+2)+J70),0))</f>
        <v>0</v>
      </c>
    </row>
    <row r="72" spans="1:11" ht="15" customHeight="1" x14ac:dyDescent="0.3">
      <c r="A72" s="86" t="s">
        <v>145</v>
      </c>
      <c r="B72" s="87" t="s">
        <v>142</v>
      </c>
      <c r="C72" s="49">
        <v>28</v>
      </c>
      <c r="D72" s="21">
        <f ca="1">((100/(H64))*C72)/100</f>
        <v>0.66666666666666674</v>
      </c>
      <c r="E72" s="132"/>
      <c r="F72" s="133"/>
      <c r="G72" s="132"/>
      <c r="H72" s="137"/>
      <c r="I72" s="14" t="s">
        <v>153</v>
      </c>
      <c r="J72" s="33">
        <f>(IF(B64&gt;2,(H64/(B64+2)+J71),0))</f>
        <v>0</v>
      </c>
    </row>
    <row r="73" spans="1:11" ht="15.75" customHeight="1" x14ac:dyDescent="0.3">
      <c r="A73" s="86" t="s">
        <v>141</v>
      </c>
      <c r="B73" s="87" t="s">
        <v>141</v>
      </c>
      <c r="C73" s="49">
        <v>20</v>
      </c>
      <c r="D73" s="21">
        <f ca="1">((100/H64)*C73)/100</f>
        <v>0.47619047619047622</v>
      </c>
      <c r="E73" s="132"/>
      <c r="F73" s="133"/>
      <c r="G73" s="132"/>
      <c r="H73" s="137"/>
      <c r="I73" s="14" t="s">
        <v>154</v>
      </c>
      <c r="J73" s="34">
        <f>(IF(B64&gt;3,(H64/(B64+2)+J72),0))</f>
        <v>0</v>
      </c>
    </row>
    <row r="74" spans="1:11" ht="15.75" customHeight="1" x14ac:dyDescent="0.3">
      <c r="A74" s="86" t="s">
        <v>148</v>
      </c>
      <c r="B74" s="87"/>
      <c r="C74" s="49">
        <v>0</v>
      </c>
      <c r="D74" s="21">
        <f ca="1">((100/H64)*C74)/100</f>
        <v>0</v>
      </c>
      <c r="E74" s="132"/>
      <c r="F74" s="133"/>
      <c r="G74" s="132"/>
      <c r="H74" s="137"/>
      <c r="I74" s="14" t="s">
        <v>155</v>
      </c>
      <c r="J74" s="33">
        <f>(IF(B64&gt;4,(H64/(B64+2)+J73),0))</f>
        <v>0</v>
      </c>
    </row>
    <row r="75" spans="1:11" ht="15.75" customHeight="1" x14ac:dyDescent="0.3">
      <c r="A75" s="86" t="s">
        <v>143</v>
      </c>
      <c r="B75" s="87" t="s">
        <v>143</v>
      </c>
      <c r="C75" s="49">
        <v>0</v>
      </c>
      <c r="D75" s="21">
        <f ca="1">((100/(H64))*C75)/100</f>
        <v>0</v>
      </c>
      <c r="E75" s="132"/>
      <c r="F75" s="133"/>
      <c r="G75" s="132"/>
      <c r="H75" s="137"/>
      <c r="I75" s="14" t="s">
        <v>157</v>
      </c>
      <c r="J75" s="33">
        <f ca="1">(IF(B64=1,(H64/(B64+3)+J70),IF(B64=0,(H64/4+J70),IF(B64&gt;1,0))))</f>
        <v>31.5</v>
      </c>
    </row>
    <row r="76" spans="1:11" ht="16.2" thickBot="1" x14ac:dyDescent="0.35">
      <c r="A76" s="139" t="s">
        <v>144</v>
      </c>
      <c r="B76" s="140"/>
      <c r="C76" s="50">
        <v>0</v>
      </c>
      <c r="D76" s="22">
        <f ca="1">((100/(H64))*C76)/100</f>
        <v>0</v>
      </c>
      <c r="E76" s="134"/>
      <c r="F76" s="135"/>
      <c r="G76" s="134"/>
      <c r="H76" s="138"/>
      <c r="I76" s="17" t="s">
        <v>111</v>
      </c>
      <c r="J76" s="35">
        <f ca="1">(IF(B64&gt;1.5,(H64/(B64+2)+J70+MAX(0,J71-J70)+MAX(0,J72-J71)+MAX(0,J73-J72)+MAX(0,J74-J73)+MAX(0,J75-J74)),IF(B64=1,(H64/(B64+3)+J75),IF(B64=0,H64/4+J75))))</f>
        <v>42</v>
      </c>
    </row>
    <row r="77" spans="1:11" x14ac:dyDescent="0.3">
      <c r="A77" s="155" t="s">
        <v>168</v>
      </c>
      <c r="B77" s="155"/>
      <c r="C77" s="155"/>
      <c r="D77" s="155"/>
      <c r="E77" s="155"/>
      <c r="F77" s="156" t="s">
        <v>172</v>
      </c>
      <c r="G77" s="156"/>
      <c r="H77" s="156"/>
    </row>
    <row r="78" spans="1:11" x14ac:dyDescent="0.3">
      <c r="A78" s="77" t="s">
        <v>170</v>
      </c>
      <c r="B78" s="77"/>
      <c r="C78" s="77"/>
      <c r="D78" s="77"/>
      <c r="E78" s="77"/>
      <c r="F78" s="88">
        <v>29200</v>
      </c>
      <c r="G78" s="88"/>
      <c r="H78" s="88"/>
      <c r="K78" s="23">
        <f>24*0.58</f>
        <v>13.919999999999998</v>
      </c>
    </row>
    <row r="79" spans="1:11" hidden="1" x14ac:dyDescent="0.3">
      <c r="A79" s="77" t="s">
        <v>169</v>
      </c>
      <c r="B79" s="77"/>
      <c r="C79" s="77"/>
      <c r="D79" s="77"/>
      <c r="E79" s="77"/>
      <c r="F79" s="113"/>
      <c r="G79" s="113"/>
      <c r="H79" s="113"/>
    </row>
    <row r="80" spans="1:11" hidden="1" x14ac:dyDescent="0.3">
      <c r="A80" s="77" t="s">
        <v>171</v>
      </c>
      <c r="B80" s="77"/>
      <c r="C80" s="77"/>
      <c r="D80" s="77"/>
      <c r="E80" s="77"/>
      <c r="F80" s="113"/>
      <c r="G80" s="113"/>
      <c r="H80" s="113"/>
    </row>
    <row r="81" spans="1:8" s="36" customFormat="1" x14ac:dyDescent="0.25">
      <c r="A81" s="77" t="s">
        <v>242</v>
      </c>
      <c r="B81" s="77"/>
      <c r="C81" s="77"/>
      <c r="D81" s="77"/>
      <c r="E81" s="77"/>
      <c r="F81" s="115" t="s">
        <v>241</v>
      </c>
      <c r="G81" s="115"/>
      <c r="H81" s="115"/>
    </row>
    <row r="82" spans="1:8" s="36" customFormat="1" hidden="1" x14ac:dyDescent="0.25">
      <c r="A82" s="77" t="s">
        <v>101</v>
      </c>
      <c r="B82" s="77"/>
      <c r="C82" s="77"/>
      <c r="D82" s="77"/>
      <c r="E82" s="77"/>
      <c r="F82" s="113"/>
      <c r="G82" s="113"/>
      <c r="H82" s="113"/>
    </row>
    <row r="83" spans="1:8" s="36" customFormat="1" hidden="1" x14ac:dyDescent="0.25">
      <c r="A83" s="77" t="s">
        <v>102</v>
      </c>
      <c r="B83" s="77"/>
      <c r="C83" s="77"/>
      <c r="D83" s="77"/>
      <c r="E83" s="77"/>
      <c r="F83" s="113"/>
      <c r="G83" s="113"/>
      <c r="H83" s="113"/>
    </row>
    <row r="84" spans="1:8" s="36" customFormat="1" hidden="1" x14ac:dyDescent="0.25">
      <c r="A84" s="77" t="s">
        <v>173</v>
      </c>
      <c r="B84" s="77"/>
      <c r="C84" s="77"/>
      <c r="D84" s="77"/>
      <c r="E84" s="77"/>
      <c r="F84" s="113"/>
      <c r="G84" s="113"/>
      <c r="H84" s="113"/>
    </row>
    <row r="85" spans="1:8" s="36" customFormat="1" hidden="1" x14ac:dyDescent="0.25">
      <c r="A85" s="77" t="s">
        <v>103</v>
      </c>
      <c r="B85" s="77"/>
      <c r="C85" s="77"/>
      <c r="D85" s="77"/>
      <c r="E85" s="77"/>
      <c r="F85" s="113"/>
      <c r="G85" s="113"/>
      <c r="H85" s="113"/>
    </row>
    <row r="86" spans="1:8" s="36" customFormat="1" hidden="1" x14ac:dyDescent="0.25">
      <c r="A86" s="77" t="s">
        <v>104</v>
      </c>
      <c r="B86" s="77"/>
      <c r="C86" s="77"/>
      <c r="D86" s="77"/>
      <c r="E86" s="77"/>
      <c r="F86" s="113"/>
      <c r="G86" s="113"/>
      <c r="H86" s="113"/>
    </row>
    <row r="87" spans="1:8" s="36" customFormat="1" x14ac:dyDescent="0.25">
      <c r="A87" s="77" t="s">
        <v>105</v>
      </c>
      <c r="B87" s="77"/>
      <c r="C87" s="77"/>
      <c r="D87" s="77"/>
      <c r="E87" s="77"/>
      <c r="F87" s="115">
        <v>400000</v>
      </c>
      <c r="G87" s="115"/>
      <c r="H87" s="115"/>
    </row>
    <row r="88" spans="1:8" s="36" customFormat="1" hidden="1" x14ac:dyDescent="0.25">
      <c r="A88" s="77" t="s">
        <v>106</v>
      </c>
      <c r="B88" s="77"/>
      <c r="C88" s="77"/>
      <c r="D88" s="77"/>
      <c r="E88" s="77"/>
      <c r="F88" s="115"/>
      <c r="G88" s="115"/>
      <c r="H88" s="115"/>
    </row>
    <row r="89" spans="1:8" x14ac:dyDescent="0.3">
      <c r="A89" s="77" t="s">
        <v>54</v>
      </c>
      <c r="B89" s="77"/>
      <c r="C89" s="77"/>
      <c r="D89" s="77"/>
      <c r="E89" s="77"/>
      <c r="F89" s="113">
        <v>1000000</v>
      </c>
      <c r="G89" s="113"/>
      <c r="H89" s="113"/>
    </row>
    <row r="90" spans="1:8" s="37" customFormat="1" x14ac:dyDescent="0.3">
      <c r="A90" s="126" t="s">
        <v>55</v>
      </c>
      <c r="B90" s="126"/>
      <c r="C90" s="126"/>
      <c r="D90" s="126"/>
      <c r="E90" s="126"/>
      <c r="F90" s="113">
        <f>F78*0.8</f>
        <v>23360</v>
      </c>
      <c r="G90" s="113"/>
      <c r="H90" s="113"/>
    </row>
    <row r="91" spans="1:8" s="38" customFormat="1" ht="15.75" customHeight="1" x14ac:dyDescent="0.3">
      <c r="A91" s="122" t="s">
        <v>80</v>
      </c>
      <c r="B91" s="122"/>
      <c r="C91" s="122"/>
      <c r="D91" s="122"/>
      <c r="E91" s="122"/>
      <c r="F91" s="122"/>
      <c r="G91" s="122"/>
      <c r="H91" s="122"/>
    </row>
    <row r="92" spans="1:8" s="38" customFormat="1" ht="15.75" customHeight="1" x14ac:dyDescent="0.3">
      <c r="A92" s="79" t="s">
        <v>56</v>
      </c>
      <c r="B92" s="79"/>
      <c r="C92" s="114" t="s">
        <v>83</v>
      </c>
      <c r="D92" s="114"/>
      <c r="E92" s="120" t="s">
        <v>57</v>
      </c>
      <c r="F92" s="120"/>
      <c r="G92" s="79" t="s">
        <v>58</v>
      </c>
      <c r="H92" s="79"/>
    </row>
    <row r="93" spans="1:8" s="38" customFormat="1" x14ac:dyDescent="0.3">
      <c r="A93" s="118" t="s">
        <v>248</v>
      </c>
      <c r="B93" s="118"/>
      <c r="C93" s="116">
        <f>COUNT(D109:D112,D114:D116)</f>
        <v>7</v>
      </c>
      <c r="D93" s="117"/>
      <c r="E93" s="89">
        <f>SUM(D109:D112,D114:D116)</f>
        <v>1991.7705599999999</v>
      </c>
      <c r="F93" s="90"/>
      <c r="G93" s="89">
        <f>SUM(F109:F112,F114:F116)</f>
        <v>3186.8328960000003</v>
      </c>
      <c r="H93" s="90"/>
    </row>
    <row r="94" spans="1:8" s="38" customFormat="1" x14ac:dyDescent="0.3">
      <c r="A94" s="118" t="s">
        <v>249</v>
      </c>
      <c r="B94" s="118"/>
      <c r="C94" s="116">
        <f>COUNT(D117)</f>
        <v>1</v>
      </c>
      <c r="D94" s="117"/>
      <c r="E94" s="89">
        <f>SUM(D117)</f>
        <v>1194.6963599999999</v>
      </c>
      <c r="F94" s="90"/>
      <c r="G94" s="89">
        <f>SUM(F117)</f>
        <v>1911.5141759999999</v>
      </c>
      <c r="H94" s="90"/>
    </row>
    <row r="95" spans="1:8" s="38" customFormat="1" x14ac:dyDescent="0.3">
      <c r="A95" s="118" t="s">
        <v>250</v>
      </c>
      <c r="B95" s="118"/>
      <c r="C95" s="116">
        <f>COUNT(D113)</f>
        <v>1</v>
      </c>
      <c r="D95" s="117"/>
      <c r="E95" s="89">
        <f>SUM(D113)</f>
        <v>3814.7615999999994</v>
      </c>
      <c r="F95" s="90"/>
      <c r="G95" s="89">
        <f>SUM(F113)</f>
        <v>6103.618559999999</v>
      </c>
      <c r="H95" s="90"/>
    </row>
    <row r="96" spans="1:8" s="38" customFormat="1" x14ac:dyDescent="0.3">
      <c r="A96" s="118" t="s">
        <v>251</v>
      </c>
      <c r="B96" s="118"/>
      <c r="C96" s="116">
        <f>COUNT(D121)</f>
        <v>1</v>
      </c>
      <c r="D96" s="117"/>
      <c r="E96" s="89">
        <f>SUM(D121)</f>
        <v>648.10043999999994</v>
      </c>
      <c r="F96" s="90"/>
      <c r="G96" s="89">
        <f>SUM(F121)</f>
        <v>1036.9607039999999</v>
      </c>
      <c r="H96" s="90"/>
    </row>
    <row r="97" spans="1:14" s="38" customFormat="1" x14ac:dyDescent="0.3">
      <c r="A97" s="122" t="s">
        <v>161</v>
      </c>
      <c r="B97" s="122"/>
      <c r="C97" s="163">
        <f>SUM(C93:D96)</f>
        <v>10</v>
      </c>
      <c r="D97" s="114"/>
      <c r="E97" s="119">
        <f>SUM(E93:F96)</f>
        <v>7649.3289599999989</v>
      </c>
      <c r="F97" s="120"/>
      <c r="G97" s="79">
        <f>SUM(G93:H96)</f>
        <v>12238.926335999999</v>
      </c>
      <c r="H97" s="79"/>
    </row>
    <row r="98" spans="1:14" s="38" customFormat="1" x14ac:dyDescent="0.3">
      <c r="A98" s="122" t="s">
        <v>74</v>
      </c>
      <c r="B98" s="122"/>
      <c r="C98" s="122"/>
      <c r="D98" s="122"/>
      <c r="E98" s="122"/>
      <c r="F98" s="122"/>
      <c r="G98" s="122"/>
      <c r="H98" s="122"/>
    </row>
    <row r="99" spans="1:14" s="38" customFormat="1" ht="15.75" customHeight="1" x14ac:dyDescent="0.3">
      <c r="A99" s="79" t="s">
        <v>56</v>
      </c>
      <c r="B99" s="79"/>
      <c r="C99" s="114" t="s">
        <v>83</v>
      </c>
      <c r="D99" s="114"/>
      <c r="E99" s="120" t="s">
        <v>57</v>
      </c>
      <c r="F99" s="120"/>
      <c r="G99" s="79" t="s">
        <v>58</v>
      </c>
      <c r="H99" s="79"/>
    </row>
    <row r="100" spans="1:14" s="38" customFormat="1" x14ac:dyDescent="0.3">
      <c r="A100" s="118" t="s">
        <v>256</v>
      </c>
      <c r="B100" s="118"/>
      <c r="C100" s="117">
        <f>COUNT(D132,D137,D152,D156,D161,D172:D173,D177:D178)+COUNT(D181:D184)*6</f>
        <v>33</v>
      </c>
      <c r="D100" s="117"/>
      <c r="E100" s="89">
        <f>SUM(D132,D137,D152,D156,D161,D172:D173,D177:D178)+SUM(D181:D184)*6</f>
        <v>29270.652839999992</v>
      </c>
      <c r="F100" s="89"/>
      <c r="G100" s="89">
        <f>SUM(F132,F137,F152,F156,F161,F172:F173,F177:F178)+SUM(F181:F184)*6</f>
        <v>46833.044543999997</v>
      </c>
      <c r="H100" s="89"/>
    </row>
    <row r="101" spans="1:14" s="38" customFormat="1" x14ac:dyDescent="0.3">
      <c r="A101" s="118" t="s">
        <v>257</v>
      </c>
      <c r="B101" s="118"/>
      <c r="C101" s="117">
        <f>COUNT(D128:D131,D133:D134,)+COUNT(D136,D138:D143)+COUNT(D145:D151,D155,D157:D158,D160,D162:D163)+COUNT(D165:D168)*2+COUNT(D171)+COUNT(D175:D176)</f>
        <v>38</v>
      </c>
      <c r="D101" s="117"/>
      <c r="E101" s="89">
        <f>SUM(D128:D131,D133:D134,)+SUM(D136,D138:D143)+SUM(D145:D151,D155,D157:D158,D160,D162:D163)+SUM(D165:D168)*2+SUM(D171)+SUM(D175:D176)</f>
        <v>24042.362760000004</v>
      </c>
      <c r="F101" s="89"/>
      <c r="G101" s="89">
        <f>SUM(F128:F131,F133:F134,)+SUM(F136,F138:F143)+SUM(F145:F151,F155,F157:F158,F160,F162:F163)+SUM(F165:F168)*2+SUM(F171)+SUM(F175:F176)</f>
        <v>38467.780415999994</v>
      </c>
      <c r="H101" s="89"/>
    </row>
    <row r="102" spans="1:14" s="56" customFormat="1" x14ac:dyDescent="0.3">
      <c r="A102" s="122" t="s">
        <v>255</v>
      </c>
      <c r="B102" s="122"/>
      <c r="C102" s="114">
        <f>SUM(C100:C101)</f>
        <v>71</v>
      </c>
      <c r="D102" s="114"/>
      <c r="E102" s="119">
        <f>SUM(E100:E101)</f>
        <v>53313.015599999999</v>
      </c>
      <c r="F102" s="119"/>
      <c r="G102" s="119">
        <f>SUM(G100:G101)</f>
        <v>85300.824959999998</v>
      </c>
      <c r="H102" s="119"/>
    </row>
    <row r="103" spans="1:14" s="37" customFormat="1" x14ac:dyDescent="0.3">
      <c r="A103" s="66" t="s">
        <v>59</v>
      </c>
      <c r="B103" s="66"/>
      <c r="C103" s="66"/>
      <c r="D103" s="66"/>
      <c r="E103" s="66"/>
      <c r="F103" s="66"/>
      <c r="G103" s="66"/>
      <c r="H103" s="66"/>
    </row>
    <row r="104" spans="1:14" x14ac:dyDescent="0.3">
      <c r="A104" s="66" t="s">
        <v>60</v>
      </c>
      <c r="B104" s="66"/>
      <c r="C104" s="66"/>
      <c r="D104" s="66"/>
      <c r="E104" s="66"/>
      <c r="F104" s="66"/>
      <c r="G104" s="66"/>
      <c r="H104" s="66"/>
    </row>
    <row r="105" spans="1:14" ht="47.25" customHeight="1" x14ac:dyDescent="0.3">
      <c r="A105" s="121" t="s">
        <v>127</v>
      </c>
      <c r="B105" s="121" t="s">
        <v>207</v>
      </c>
      <c r="C105" s="121" t="s">
        <v>61</v>
      </c>
      <c r="D105" s="121" t="s">
        <v>62</v>
      </c>
      <c r="E105" s="154" t="s">
        <v>167</v>
      </c>
      <c r="F105" s="59" t="s">
        <v>160</v>
      </c>
      <c r="G105" s="121" t="s">
        <v>64</v>
      </c>
      <c r="H105" s="121"/>
    </row>
    <row r="106" spans="1:14" s="47" customFormat="1" x14ac:dyDescent="0.3">
      <c r="A106" s="121"/>
      <c r="B106" s="121"/>
      <c r="C106" s="121"/>
      <c r="D106" s="121"/>
      <c r="E106" s="154"/>
      <c r="F106" s="60">
        <v>0.6</v>
      </c>
      <c r="G106" s="121"/>
      <c r="H106" s="121"/>
    </row>
    <row r="107" spans="1:14" x14ac:dyDescent="0.3">
      <c r="A107" s="66" t="s">
        <v>174</v>
      </c>
      <c r="B107" s="66"/>
      <c r="C107" s="66"/>
      <c r="D107" s="66"/>
      <c r="E107" s="66"/>
      <c r="F107" s="66"/>
      <c r="G107" s="66"/>
      <c r="H107" s="66"/>
    </row>
    <row r="108" spans="1:14" s="47" customFormat="1" x14ac:dyDescent="0.3">
      <c r="A108" s="72" t="s">
        <v>175</v>
      </c>
      <c r="B108" s="72"/>
      <c r="C108" s="72"/>
      <c r="D108" s="72"/>
      <c r="E108" s="72"/>
      <c r="F108" s="72"/>
      <c r="G108" s="72"/>
      <c r="H108" s="72"/>
      <c r="J108" s="39"/>
    </row>
    <row r="109" spans="1:14" s="47" customFormat="1" x14ac:dyDescent="0.3">
      <c r="A109" s="44">
        <v>1</v>
      </c>
      <c r="B109" s="44" t="s">
        <v>177</v>
      </c>
      <c r="C109" s="44" t="s">
        <v>176</v>
      </c>
      <c r="D109" s="44">
        <f>(46.97)*10.764</f>
        <v>505.58507999999995</v>
      </c>
      <c r="E109" s="44">
        <v>0</v>
      </c>
      <c r="F109" s="44">
        <f>(D109+E109)*(($F$106)+1)</f>
        <v>808.93612799999994</v>
      </c>
      <c r="G109" s="71" t="str">
        <f>A108</f>
        <v>Ground Floor for Commercial &amp; Parking</v>
      </c>
      <c r="H109" s="71"/>
      <c r="I109" s="39"/>
      <c r="L109" s="73"/>
      <c r="M109" s="73"/>
      <c r="N109" s="39"/>
    </row>
    <row r="110" spans="1:14" s="47" customFormat="1" x14ac:dyDescent="0.3">
      <c r="A110" s="44">
        <f t="shared" ref="A110:A117" si="0">A109+1</f>
        <v>2</v>
      </c>
      <c r="B110" s="44" t="s">
        <v>177</v>
      </c>
      <c r="C110" s="44" t="s">
        <v>176</v>
      </c>
      <c r="D110" s="44">
        <f>(42.73)*10.764</f>
        <v>459.94571999999994</v>
      </c>
      <c r="E110" s="44">
        <v>0</v>
      </c>
      <c r="F110" s="44">
        <f t="shared" ref="F110:F112" si="1">(D110+E110)*(($F$106)+1)</f>
        <v>735.91315199999997</v>
      </c>
      <c r="G110" s="71" t="str">
        <f t="shared" ref="G110:G117" si="2">G109</f>
        <v>Ground Floor for Commercial &amp; Parking</v>
      </c>
      <c r="H110" s="71"/>
      <c r="I110" s="39"/>
      <c r="L110" s="73"/>
      <c r="M110" s="73"/>
      <c r="N110" s="39"/>
    </row>
    <row r="111" spans="1:14" s="47" customFormat="1" x14ac:dyDescent="0.3">
      <c r="A111" s="44">
        <f t="shared" si="0"/>
        <v>3</v>
      </c>
      <c r="B111" s="44" t="s">
        <v>177</v>
      </c>
      <c r="C111" s="44" t="s">
        <v>176</v>
      </c>
      <c r="D111" s="44">
        <f>(41.99)*10.764</f>
        <v>451.98036000000002</v>
      </c>
      <c r="E111" s="44">
        <v>0</v>
      </c>
      <c r="F111" s="44">
        <f t="shared" si="1"/>
        <v>723.16857600000003</v>
      </c>
      <c r="G111" s="71" t="str">
        <f t="shared" si="2"/>
        <v>Ground Floor for Commercial &amp; Parking</v>
      </c>
      <c r="H111" s="71"/>
      <c r="I111" s="39"/>
      <c r="L111" s="73"/>
      <c r="M111" s="73"/>
      <c r="N111" s="39"/>
    </row>
    <row r="112" spans="1:14" s="47" customFormat="1" x14ac:dyDescent="0.3">
      <c r="A112" s="44">
        <f t="shared" si="0"/>
        <v>4</v>
      </c>
      <c r="B112" s="44" t="s">
        <v>177</v>
      </c>
      <c r="C112" s="44" t="s">
        <v>176</v>
      </c>
      <c r="D112" s="44">
        <f>(46.99)*10.764</f>
        <v>505.80036000000001</v>
      </c>
      <c r="E112" s="44">
        <v>0</v>
      </c>
      <c r="F112" s="44">
        <f t="shared" si="1"/>
        <v>809.28057600000011</v>
      </c>
      <c r="G112" s="71" t="str">
        <f t="shared" si="2"/>
        <v>Ground Floor for Commercial &amp; Parking</v>
      </c>
      <c r="H112" s="71"/>
      <c r="I112" s="39"/>
      <c r="L112" s="73"/>
      <c r="M112" s="73"/>
      <c r="N112" s="39"/>
    </row>
    <row r="113" spans="1:14" s="47" customFormat="1" ht="46.8" x14ac:dyDescent="0.3">
      <c r="A113" s="44">
        <f t="shared" si="0"/>
        <v>5</v>
      </c>
      <c r="B113" s="44" t="s">
        <v>177</v>
      </c>
      <c r="C113" s="44" t="s">
        <v>178</v>
      </c>
      <c r="D113" s="44">
        <f>(354.4)*10.764</f>
        <v>3814.7615999999994</v>
      </c>
      <c r="E113" s="44">
        <v>0</v>
      </c>
      <c r="F113" s="44">
        <f t="shared" ref="F113:F116" si="3">(D113+E113)*(($F$106)+1)</f>
        <v>6103.618559999999</v>
      </c>
      <c r="G113" s="71" t="str">
        <f t="shared" si="2"/>
        <v>Ground Floor for Commercial &amp; Parking</v>
      </c>
      <c r="H113" s="71"/>
      <c r="I113" s="39"/>
      <c r="L113" s="73"/>
      <c r="M113" s="73"/>
      <c r="N113" s="39"/>
    </row>
    <row r="114" spans="1:14" s="47" customFormat="1" x14ac:dyDescent="0.3">
      <c r="A114" s="44">
        <f t="shared" si="0"/>
        <v>6</v>
      </c>
      <c r="B114" s="44" t="s">
        <v>177</v>
      </c>
      <c r="C114" s="44" t="s">
        <v>176</v>
      </c>
      <c r="D114" s="44">
        <f>(2.02)*10.764</f>
        <v>21.743279999999999</v>
      </c>
      <c r="E114" s="44">
        <v>0</v>
      </c>
      <c r="F114" s="44">
        <f t="shared" si="3"/>
        <v>34.789248000000001</v>
      </c>
      <c r="G114" s="70" t="str">
        <f t="shared" si="2"/>
        <v>Ground Floor for Commercial &amp; Parking</v>
      </c>
      <c r="H114" s="65"/>
      <c r="I114" s="39"/>
      <c r="L114" s="73"/>
      <c r="M114" s="73"/>
      <c r="N114" s="39"/>
    </row>
    <row r="115" spans="1:14" s="47" customFormat="1" x14ac:dyDescent="0.3">
      <c r="A115" s="44">
        <f t="shared" si="0"/>
        <v>7</v>
      </c>
      <c r="B115" s="44" t="s">
        <v>177</v>
      </c>
      <c r="C115" s="44" t="s">
        <v>176</v>
      </c>
      <c r="D115" s="44">
        <f>(2.17)*10.764</f>
        <v>23.357879999999998</v>
      </c>
      <c r="E115" s="44">
        <v>0</v>
      </c>
      <c r="F115" s="44">
        <f t="shared" si="3"/>
        <v>37.372608</v>
      </c>
      <c r="G115" s="70" t="str">
        <f t="shared" si="2"/>
        <v>Ground Floor for Commercial &amp; Parking</v>
      </c>
      <c r="H115" s="65"/>
      <c r="I115" s="39"/>
      <c r="L115" s="73"/>
      <c r="M115" s="73"/>
      <c r="N115" s="39"/>
    </row>
    <row r="116" spans="1:14" s="47" customFormat="1" x14ac:dyDescent="0.3">
      <c r="A116" s="44">
        <f t="shared" si="0"/>
        <v>8</v>
      </c>
      <c r="B116" s="44" t="s">
        <v>177</v>
      </c>
      <c r="C116" s="44" t="s">
        <v>176</v>
      </c>
      <c r="D116" s="44">
        <f>(2.17)*10.764</f>
        <v>23.357879999999998</v>
      </c>
      <c r="E116" s="44">
        <v>0</v>
      </c>
      <c r="F116" s="44">
        <f t="shared" si="3"/>
        <v>37.372608</v>
      </c>
      <c r="G116" s="70" t="str">
        <f t="shared" si="2"/>
        <v>Ground Floor for Commercial &amp; Parking</v>
      </c>
      <c r="H116" s="65"/>
      <c r="I116" s="39"/>
      <c r="L116" s="73"/>
      <c r="M116" s="73"/>
      <c r="N116" s="39"/>
    </row>
    <row r="117" spans="1:14" s="47" customFormat="1" ht="46.8" x14ac:dyDescent="0.3">
      <c r="A117" s="44">
        <f t="shared" si="0"/>
        <v>9</v>
      </c>
      <c r="B117" s="44" t="s">
        <v>177</v>
      </c>
      <c r="C117" s="44" t="s">
        <v>180</v>
      </c>
      <c r="D117" s="44">
        <f>(110.99)*10.764</f>
        <v>1194.6963599999999</v>
      </c>
      <c r="E117" s="44">
        <v>0</v>
      </c>
      <c r="F117" s="44">
        <f t="shared" ref="F117" si="4">(D117+E117)*(($F$106)+1)</f>
        <v>1911.5141759999999</v>
      </c>
      <c r="G117" s="70" t="str">
        <f t="shared" si="2"/>
        <v>Ground Floor for Commercial &amp; Parking</v>
      </c>
      <c r="H117" s="65"/>
      <c r="I117" s="39"/>
      <c r="L117" s="73"/>
      <c r="M117" s="73"/>
      <c r="N117" s="39"/>
    </row>
    <row r="118" spans="1:14" s="47" customFormat="1" x14ac:dyDescent="0.3">
      <c r="A118" s="67" t="s">
        <v>181</v>
      </c>
      <c r="B118" s="68"/>
      <c r="C118" s="68"/>
      <c r="D118" s="68"/>
      <c r="E118" s="68"/>
      <c r="F118" s="68"/>
      <c r="G118" s="68"/>
      <c r="H118" s="69"/>
      <c r="J118" s="39"/>
    </row>
    <row r="119" spans="1:14" s="47" customFormat="1" x14ac:dyDescent="0.3">
      <c r="A119" s="44">
        <v>5</v>
      </c>
      <c r="B119" s="44" t="s">
        <v>177</v>
      </c>
      <c r="C119" s="70" t="s">
        <v>182</v>
      </c>
      <c r="D119" s="64"/>
      <c r="E119" s="64"/>
      <c r="F119" s="65"/>
      <c r="G119" s="70" t="str">
        <f>A118</f>
        <v>1st Floor for Commercial</v>
      </c>
      <c r="H119" s="65"/>
      <c r="I119" s="39"/>
      <c r="L119" s="73"/>
      <c r="M119" s="73"/>
      <c r="N119" s="39"/>
    </row>
    <row r="120" spans="1:14" s="47" customFormat="1" x14ac:dyDescent="0.3">
      <c r="A120" s="44">
        <v>9</v>
      </c>
      <c r="B120" s="44" t="s">
        <v>177</v>
      </c>
      <c r="C120" s="70" t="s">
        <v>183</v>
      </c>
      <c r="D120" s="64"/>
      <c r="E120" s="64"/>
      <c r="F120" s="65"/>
      <c r="G120" s="70" t="str">
        <f t="shared" ref="G120:G121" si="5">G119</f>
        <v>1st Floor for Commercial</v>
      </c>
      <c r="H120" s="65"/>
      <c r="I120" s="39"/>
      <c r="L120" s="73"/>
      <c r="M120" s="73"/>
      <c r="N120" s="39"/>
    </row>
    <row r="121" spans="1:14" s="47" customFormat="1" x14ac:dyDescent="0.3">
      <c r="A121" s="44">
        <f t="shared" ref="A121" si="6">A120+1</f>
        <v>10</v>
      </c>
      <c r="B121" s="44" t="s">
        <v>177</v>
      </c>
      <c r="C121" s="44" t="s">
        <v>184</v>
      </c>
      <c r="D121" s="44">
        <f>(60.21)*10.764</f>
        <v>648.10043999999994</v>
      </c>
      <c r="E121" s="44">
        <v>0</v>
      </c>
      <c r="F121" s="44">
        <f t="shared" ref="F121" si="7">(D121+E121)*(($F$106)+1)</f>
        <v>1036.9607039999999</v>
      </c>
      <c r="G121" s="70" t="str">
        <f t="shared" si="5"/>
        <v>1st Floor for Commercial</v>
      </c>
      <c r="H121" s="65"/>
      <c r="I121" s="39"/>
      <c r="L121" s="73"/>
      <c r="M121" s="73"/>
      <c r="N121" s="39"/>
    </row>
    <row r="122" spans="1:14" x14ac:dyDescent="0.3">
      <c r="A122" s="66" t="s">
        <v>252</v>
      </c>
      <c r="B122" s="66"/>
      <c r="C122" s="66"/>
      <c r="D122" s="66"/>
      <c r="E122" s="66"/>
      <c r="F122" s="66"/>
      <c r="G122" s="66"/>
      <c r="H122" s="66"/>
    </row>
    <row r="123" spans="1:14" ht="47.25" customHeight="1" x14ac:dyDescent="0.3">
      <c r="A123" s="74" t="s">
        <v>128</v>
      </c>
      <c r="B123" s="74" t="s">
        <v>190</v>
      </c>
      <c r="C123" s="80" t="s">
        <v>61</v>
      </c>
      <c r="D123" s="80" t="s">
        <v>62</v>
      </c>
      <c r="E123" s="82" t="s">
        <v>63</v>
      </c>
      <c r="F123" s="48" t="s">
        <v>160</v>
      </c>
      <c r="G123" s="74" t="s">
        <v>64</v>
      </c>
      <c r="H123" s="84"/>
      <c r="I123" s="39"/>
    </row>
    <row r="124" spans="1:14" s="47" customFormat="1" x14ac:dyDescent="0.3">
      <c r="A124" s="75"/>
      <c r="B124" s="75"/>
      <c r="C124" s="81"/>
      <c r="D124" s="81"/>
      <c r="E124" s="83"/>
      <c r="F124" s="13">
        <v>0.6</v>
      </c>
      <c r="G124" s="75"/>
      <c r="H124" s="85"/>
      <c r="I124" s="39"/>
    </row>
    <row r="125" spans="1:14" x14ac:dyDescent="0.3">
      <c r="A125" s="66" t="s">
        <v>187</v>
      </c>
      <c r="B125" s="66"/>
      <c r="C125" s="66"/>
      <c r="D125" s="66"/>
      <c r="E125" s="66"/>
      <c r="F125" s="66"/>
      <c r="G125" s="66"/>
      <c r="H125" s="66"/>
    </row>
    <row r="126" spans="1:14" x14ac:dyDescent="0.3">
      <c r="A126" s="66" t="s">
        <v>186</v>
      </c>
      <c r="B126" s="66"/>
      <c r="C126" s="66"/>
      <c r="D126" s="66"/>
      <c r="E126" s="66"/>
      <c r="F126" s="66"/>
      <c r="G126" s="66"/>
      <c r="H126" s="66"/>
    </row>
    <row r="127" spans="1:14" s="47" customFormat="1" x14ac:dyDescent="0.3">
      <c r="A127" s="67" t="s">
        <v>188</v>
      </c>
      <c r="B127" s="68"/>
      <c r="C127" s="68"/>
      <c r="D127" s="68"/>
      <c r="E127" s="68"/>
      <c r="F127" s="68"/>
      <c r="G127" s="68"/>
      <c r="H127" s="69"/>
      <c r="J127" s="39"/>
    </row>
    <row r="128" spans="1:14" s="47" customFormat="1" x14ac:dyDescent="0.3">
      <c r="A128" s="44">
        <v>2</v>
      </c>
      <c r="B128" s="44" t="s">
        <v>177</v>
      </c>
      <c r="C128" s="44" t="s">
        <v>189</v>
      </c>
      <c r="D128" s="44">
        <f>(41.64)*10.764</f>
        <v>448.21295999999995</v>
      </c>
      <c r="E128" s="44">
        <v>0</v>
      </c>
      <c r="F128" s="44">
        <f t="shared" ref="F128:F134" si="8">D128*(($F$124)+1)+(IF(E128&lt;101,E128,IF(E128&lt;201,E128/2,IF(E128&lt;=301,E128/3,E128/4))))</f>
        <v>717.14073599999995</v>
      </c>
      <c r="G128" s="70" t="str">
        <f>A127</f>
        <v>5th Floor (Part Refuge Area)</v>
      </c>
      <c r="H128" s="65"/>
      <c r="I128" s="39"/>
      <c r="L128" s="73"/>
      <c r="M128" s="73"/>
      <c r="N128" s="39"/>
    </row>
    <row r="129" spans="1:14" s="47" customFormat="1" x14ac:dyDescent="0.3">
      <c r="A129" s="44">
        <f t="shared" ref="A129:A134" si="9">A128+1</f>
        <v>3</v>
      </c>
      <c r="B129" s="44" t="s">
        <v>177</v>
      </c>
      <c r="C129" s="44" t="s">
        <v>191</v>
      </c>
      <c r="D129" s="44">
        <f>(45.74)*10.764</f>
        <v>492.34535999999997</v>
      </c>
      <c r="E129" s="44">
        <v>0</v>
      </c>
      <c r="F129" s="44">
        <f t="shared" si="8"/>
        <v>787.75257599999998</v>
      </c>
      <c r="G129" s="70" t="str">
        <f t="shared" ref="G129:G134" si="10">G128</f>
        <v>5th Floor (Part Refuge Area)</v>
      </c>
      <c r="H129" s="65"/>
      <c r="I129" s="39"/>
      <c r="L129" s="73"/>
      <c r="M129" s="73"/>
      <c r="N129" s="39"/>
    </row>
    <row r="130" spans="1:14" s="47" customFormat="1" x14ac:dyDescent="0.3">
      <c r="A130" s="44">
        <f t="shared" si="9"/>
        <v>4</v>
      </c>
      <c r="B130" s="44" t="s">
        <v>177</v>
      </c>
      <c r="C130" s="44" t="s">
        <v>192</v>
      </c>
      <c r="D130" s="44">
        <f>(36.09)*10.764</f>
        <v>388.47275999999999</v>
      </c>
      <c r="E130" s="44">
        <v>0</v>
      </c>
      <c r="F130" s="44">
        <f t="shared" si="8"/>
        <v>621.55641600000001</v>
      </c>
      <c r="G130" s="70" t="str">
        <f t="shared" si="10"/>
        <v>5th Floor (Part Refuge Area)</v>
      </c>
      <c r="H130" s="65"/>
      <c r="I130" s="39"/>
      <c r="L130" s="73"/>
      <c r="M130" s="73"/>
      <c r="N130" s="39"/>
    </row>
    <row r="131" spans="1:14" s="47" customFormat="1" x14ac:dyDescent="0.3">
      <c r="A131" s="44">
        <f t="shared" si="9"/>
        <v>5</v>
      </c>
      <c r="B131" s="44" t="s">
        <v>177</v>
      </c>
      <c r="C131" s="44" t="s">
        <v>192</v>
      </c>
      <c r="D131" s="44">
        <f>(35.77)*10.764</f>
        <v>385.02828</v>
      </c>
      <c r="E131" s="44">
        <v>0</v>
      </c>
      <c r="F131" s="44">
        <f t="shared" si="8"/>
        <v>616.04524800000002</v>
      </c>
      <c r="G131" s="70" t="str">
        <f t="shared" si="10"/>
        <v>5th Floor (Part Refuge Area)</v>
      </c>
      <c r="H131" s="65"/>
      <c r="I131" s="39"/>
      <c r="L131" s="73"/>
      <c r="M131" s="73"/>
      <c r="N131" s="39"/>
    </row>
    <row r="132" spans="1:14" s="47" customFormat="1" x14ac:dyDescent="0.3">
      <c r="A132" s="44">
        <f t="shared" si="9"/>
        <v>6</v>
      </c>
      <c r="B132" s="44" t="s">
        <v>179</v>
      </c>
      <c r="C132" s="44" t="s">
        <v>192</v>
      </c>
      <c r="D132" s="44">
        <f>(35.77)*10.764</f>
        <v>385.02828</v>
      </c>
      <c r="E132" s="44">
        <v>0</v>
      </c>
      <c r="F132" s="44">
        <f t="shared" si="8"/>
        <v>616.04524800000002</v>
      </c>
      <c r="G132" s="70" t="str">
        <f t="shared" si="10"/>
        <v>5th Floor (Part Refuge Area)</v>
      </c>
      <c r="H132" s="65"/>
      <c r="I132" s="39"/>
      <c r="L132" s="73"/>
      <c r="M132" s="73"/>
      <c r="N132" s="39"/>
    </row>
    <row r="133" spans="1:14" s="47" customFormat="1" x14ac:dyDescent="0.3">
      <c r="A133" s="44">
        <f t="shared" si="9"/>
        <v>7</v>
      </c>
      <c r="B133" s="44" t="s">
        <v>177</v>
      </c>
      <c r="C133" s="44" t="s">
        <v>192</v>
      </c>
      <c r="D133" s="44">
        <f>(36.08)*10.764</f>
        <v>388.36511999999993</v>
      </c>
      <c r="E133" s="44">
        <v>0</v>
      </c>
      <c r="F133" s="44">
        <f t="shared" si="8"/>
        <v>621.38419199999998</v>
      </c>
      <c r="G133" s="70" t="str">
        <f t="shared" si="10"/>
        <v>5th Floor (Part Refuge Area)</v>
      </c>
      <c r="H133" s="65"/>
      <c r="I133" s="39"/>
      <c r="L133" s="73"/>
      <c r="M133" s="73"/>
      <c r="N133" s="39"/>
    </row>
    <row r="134" spans="1:14" s="47" customFormat="1" x14ac:dyDescent="0.3">
      <c r="A134" s="44">
        <f t="shared" si="9"/>
        <v>8</v>
      </c>
      <c r="B134" s="44" t="s">
        <v>177</v>
      </c>
      <c r="C134" s="44" t="s">
        <v>191</v>
      </c>
      <c r="D134" s="44">
        <f>(45.52)*10.764</f>
        <v>489.97728000000001</v>
      </c>
      <c r="E134" s="44">
        <v>0</v>
      </c>
      <c r="F134" s="44">
        <f t="shared" si="8"/>
        <v>783.96364800000003</v>
      </c>
      <c r="G134" s="70" t="str">
        <f t="shared" si="10"/>
        <v>5th Floor (Part Refuge Area)</v>
      </c>
      <c r="H134" s="65"/>
      <c r="I134" s="39"/>
      <c r="L134" s="73"/>
      <c r="M134" s="73"/>
      <c r="N134" s="39"/>
    </row>
    <row r="135" spans="1:14" s="47" customFormat="1" x14ac:dyDescent="0.3">
      <c r="A135" s="67" t="s">
        <v>193</v>
      </c>
      <c r="B135" s="68"/>
      <c r="C135" s="68"/>
      <c r="D135" s="68"/>
      <c r="E135" s="68"/>
      <c r="F135" s="68"/>
      <c r="G135" s="68"/>
      <c r="H135" s="69"/>
      <c r="J135" s="39"/>
    </row>
    <row r="136" spans="1:14" s="47" customFormat="1" x14ac:dyDescent="0.3">
      <c r="A136" s="44">
        <v>1</v>
      </c>
      <c r="B136" s="44" t="s">
        <v>177</v>
      </c>
      <c r="C136" s="44" t="s">
        <v>194</v>
      </c>
      <c r="D136" s="44">
        <f>(55.16)*10.764</f>
        <v>593.74223999999992</v>
      </c>
      <c r="E136" s="44">
        <v>0</v>
      </c>
      <c r="F136" s="44">
        <f t="shared" ref="F136:F143" si="11">D136*(($F$124)+1)+(IF(E136&lt;101,E136,IF(E136&lt;201,E136/2,IF(E136&lt;=301,E136/3,E136/4))))</f>
        <v>949.98758399999997</v>
      </c>
      <c r="G136" s="70" t="str">
        <f>A135</f>
        <v>6th Floor</v>
      </c>
      <c r="H136" s="65"/>
      <c r="I136" s="39"/>
      <c r="L136" s="73"/>
      <c r="M136" s="73"/>
      <c r="N136" s="39"/>
    </row>
    <row r="137" spans="1:14" s="47" customFormat="1" x14ac:dyDescent="0.3">
      <c r="A137" s="44">
        <f t="shared" ref="A137:A143" si="12">A136+1</f>
        <v>2</v>
      </c>
      <c r="B137" s="44" t="s">
        <v>179</v>
      </c>
      <c r="C137" s="44" t="s">
        <v>194</v>
      </c>
      <c r="D137" s="44">
        <f>(55.16)*10.764</f>
        <v>593.74223999999992</v>
      </c>
      <c r="E137" s="44">
        <v>0</v>
      </c>
      <c r="F137" s="44">
        <f t="shared" si="11"/>
        <v>949.98758399999997</v>
      </c>
      <c r="G137" s="70" t="str">
        <f t="shared" ref="G137:G143" si="13">G136</f>
        <v>6th Floor</v>
      </c>
      <c r="H137" s="65"/>
      <c r="I137" s="39"/>
      <c r="L137" s="73"/>
      <c r="M137" s="73"/>
      <c r="N137" s="39"/>
    </row>
    <row r="138" spans="1:14" s="47" customFormat="1" x14ac:dyDescent="0.3">
      <c r="A138" s="44">
        <f t="shared" si="12"/>
        <v>3</v>
      </c>
      <c r="B138" s="44" t="s">
        <v>177</v>
      </c>
      <c r="C138" s="44" t="s">
        <v>191</v>
      </c>
      <c r="D138" s="44">
        <f>(45.74)*10.764</f>
        <v>492.34535999999997</v>
      </c>
      <c r="E138" s="44">
        <v>0</v>
      </c>
      <c r="F138" s="44">
        <f t="shared" si="11"/>
        <v>787.75257599999998</v>
      </c>
      <c r="G138" s="70" t="str">
        <f t="shared" si="13"/>
        <v>6th Floor</v>
      </c>
      <c r="H138" s="65"/>
      <c r="I138" s="39"/>
      <c r="L138" s="73"/>
      <c r="M138" s="73"/>
      <c r="N138" s="39"/>
    </row>
    <row r="139" spans="1:14" s="47" customFormat="1" x14ac:dyDescent="0.3">
      <c r="A139" s="44">
        <f t="shared" si="12"/>
        <v>4</v>
      </c>
      <c r="B139" s="44" t="s">
        <v>177</v>
      </c>
      <c r="C139" s="44" t="s">
        <v>192</v>
      </c>
      <c r="D139" s="44">
        <f>(36.08)*10.764</f>
        <v>388.36511999999993</v>
      </c>
      <c r="E139" s="44">
        <v>0</v>
      </c>
      <c r="F139" s="44">
        <f t="shared" si="11"/>
        <v>621.38419199999998</v>
      </c>
      <c r="G139" s="70" t="str">
        <f t="shared" si="13"/>
        <v>6th Floor</v>
      </c>
      <c r="H139" s="65"/>
      <c r="I139" s="39"/>
      <c r="L139" s="73"/>
      <c r="M139" s="73"/>
      <c r="N139" s="39"/>
    </row>
    <row r="140" spans="1:14" s="47" customFormat="1" x14ac:dyDescent="0.3">
      <c r="A140" s="44">
        <f t="shared" si="12"/>
        <v>5</v>
      </c>
      <c r="B140" s="44" t="s">
        <v>177</v>
      </c>
      <c r="C140" s="44" t="s">
        <v>192</v>
      </c>
      <c r="D140" s="44">
        <f>(35.77)*10.764</f>
        <v>385.02828</v>
      </c>
      <c r="E140" s="44">
        <v>0</v>
      </c>
      <c r="F140" s="44">
        <f t="shared" si="11"/>
        <v>616.04524800000002</v>
      </c>
      <c r="G140" s="70" t="str">
        <f t="shared" si="13"/>
        <v>6th Floor</v>
      </c>
      <c r="H140" s="65"/>
      <c r="I140" s="39"/>
      <c r="L140" s="73"/>
      <c r="M140" s="73"/>
      <c r="N140" s="39"/>
    </row>
    <row r="141" spans="1:14" s="47" customFormat="1" x14ac:dyDescent="0.3">
      <c r="A141" s="44">
        <f t="shared" si="12"/>
        <v>6</v>
      </c>
      <c r="B141" s="44" t="s">
        <v>177</v>
      </c>
      <c r="C141" s="44" t="s">
        <v>192</v>
      </c>
      <c r="D141" s="44">
        <f>(35.77)*10.764</f>
        <v>385.02828</v>
      </c>
      <c r="E141" s="44">
        <v>0</v>
      </c>
      <c r="F141" s="44">
        <f t="shared" si="11"/>
        <v>616.04524800000002</v>
      </c>
      <c r="G141" s="70" t="str">
        <f t="shared" si="13"/>
        <v>6th Floor</v>
      </c>
      <c r="H141" s="65"/>
      <c r="I141" s="39"/>
      <c r="L141" s="73"/>
      <c r="M141" s="73"/>
      <c r="N141" s="39"/>
    </row>
    <row r="142" spans="1:14" s="47" customFormat="1" x14ac:dyDescent="0.3">
      <c r="A142" s="44">
        <f t="shared" si="12"/>
        <v>7</v>
      </c>
      <c r="B142" s="44" t="s">
        <v>177</v>
      </c>
      <c r="C142" s="44" t="s">
        <v>192</v>
      </c>
      <c r="D142" s="44">
        <f>(36.08)*10.764</f>
        <v>388.36511999999993</v>
      </c>
      <c r="E142" s="44">
        <v>0</v>
      </c>
      <c r="F142" s="44">
        <f t="shared" si="11"/>
        <v>621.38419199999998</v>
      </c>
      <c r="G142" s="70" t="str">
        <f t="shared" si="13"/>
        <v>6th Floor</v>
      </c>
      <c r="H142" s="65"/>
      <c r="I142" s="39"/>
      <c r="L142" s="73"/>
      <c r="M142" s="73"/>
      <c r="N142" s="39"/>
    </row>
    <row r="143" spans="1:14" s="47" customFormat="1" x14ac:dyDescent="0.3">
      <c r="A143" s="44">
        <f t="shared" si="12"/>
        <v>8</v>
      </c>
      <c r="B143" s="44" t="s">
        <v>177</v>
      </c>
      <c r="C143" s="44" t="s">
        <v>191</v>
      </c>
      <c r="D143" s="44">
        <f>(45.52)*10.764</f>
        <v>489.97728000000001</v>
      </c>
      <c r="E143" s="44">
        <v>0</v>
      </c>
      <c r="F143" s="44">
        <f t="shared" si="11"/>
        <v>783.96364800000003</v>
      </c>
      <c r="G143" s="70" t="str">
        <f t="shared" si="13"/>
        <v>6th Floor</v>
      </c>
      <c r="H143" s="65"/>
      <c r="I143" s="39"/>
      <c r="L143" s="73"/>
      <c r="M143" s="73"/>
      <c r="N143" s="39"/>
    </row>
    <row r="144" spans="1:14" s="47" customFormat="1" x14ac:dyDescent="0.3">
      <c r="A144" s="72" t="s">
        <v>195</v>
      </c>
      <c r="B144" s="72"/>
      <c r="C144" s="72"/>
      <c r="D144" s="72"/>
      <c r="E144" s="72"/>
      <c r="F144" s="72"/>
      <c r="G144" s="72"/>
      <c r="H144" s="72"/>
      <c r="J144" s="39"/>
    </row>
    <row r="145" spans="1:14" s="47" customFormat="1" x14ac:dyDescent="0.3">
      <c r="A145" s="44">
        <v>1</v>
      </c>
      <c r="B145" s="44" t="s">
        <v>177</v>
      </c>
      <c r="C145" s="44" t="s">
        <v>194</v>
      </c>
      <c r="D145" s="44">
        <f>(55.16)*10.764</f>
        <v>593.74223999999992</v>
      </c>
      <c r="E145" s="44">
        <v>0</v>
      </c>
      <c r="F145" s="44">
        <f t="shared" ref="F145:F152" si="14">D145*(($F$124)+1)+(IF(E145&lt;101,E145,IF(E145&lt;201,E145/2,IF(E145&lt;=301,E145/3,E145/4))))</f>
        <v>949.98758399999997</v>
      </c>
      <c r="G145" s="71" t="str">
        <f>A144</f>
        <v>7th Floor</v>
      </c>
      <c r="H145" s="71"/>
      <c r="I145" s="39"/>
      <c r="L145" s="73"/>
      <c r="M145" s="73"/>
      <c r="N145" s="39"/>
    </row>
    <row r="146" spans="1:14" s="47" customFormat="1" x14ac:dyDescent="0.3">
      <c r="A146" s="44">
        <f t="shared" ref="A146:A152" si="15">A145+1</f>
        <v>2</v>
      </c>
      <c r="B146" s="44" t="s">
        <v>177</v>
      </c>
      <c r="C146" s="44" t="s">
        <v>194</v>
      </c>
      <c r="D146" s="44">
        <f>(55.16)*10.764</f>
        <v>593.74223999999992</v>
      </c>
      <c r="E146" s="44">
        <v>0</v>
      </c>
      <c r="F146" s="44">
        <f t="shared" si="14"/>
        <v>949.98758399999997</v>
      </c>
      <c r="G146" s="71" t="str">
        <f t="shared" ref="G146:G152" si="16">G145</f>
        <v>7th Floor</v>
      </c>
      <c r="H146" s="71"/>
      <c r="I146" s="39"/>
      <c r="L146" s="73"/>
      <c r="M146" s="73"/>
      <c r="N146" s="39"/>
    </row>
    <row r="147" spans="1:14" s="47" customFormat="1" x14ac:dyDescent="0.3">
      <c r="A147" s="44">
        <f t="shared" si="15"/>
        <v>3</v>
      </c>
      <c r="B147" s="44" t="s">
        <v>177</v>
      </c>
      <c r="C147" s="44" t="s">
        <v>191</v>
      </c>
      <c r="D147" s="44">
        <f>(45.74)*10.764</f>
        <v>492.34535999999997</v>
      </c>
      <c r="E147" s="44">
        <v>0</v>
      </c>
      <c r="F147" s="44">
        <f t="shared" si="14"/>
        <v>787.75257599999998</v>
      </c>
      <c r="G147" s="71" t="str">
        <f t="shared" si="16"/>
        <v>7th Floor</v>
      </c>
      <c r="H147" s="71"/>
      <c r="I147" s="39"/>
      <c r="L147" s="73"/>
      <c r="M147" s="73"/>
      <c r="N147" s="39"/>
    </row>
    <row r="148" spans="1:14" s="47" customFormat="1" x14ac:dyDescent="0.3">
      <c r="A148" s="44">
        <f t="shared" si="15"/>
        <v>4</v>
      </c>
      <c r="B148" s="44" t="s">
        <v>177</v>
      </c>
      <c r="C148" s="44" t="s">
        <v>192</v>
      </c>
      <c r="D148" s="44">
        <f>(36.08)*10.764</f>
        <v>388.36511999999993</v>
      </c>
      <c r="E148" s="44">
        <v>0</v>
      </c>
      <c r="F148" s="44">
        <f t="shared" si="14"/>
        <v>621.38419199999998</v>
      </c>
      <c r="G148" s="71" t="str">
        <f t="shared" si="16"/>
        <v>7th Floor</v>
      </c>
      <c r="H148" s="71"/>
      <c r="I148" s="39"/>
      <c r="L148" s="73"/>
      <c r="M148" s="73"/>
      <c r="N148" s="39"/>
    </row>
    <row r="149" spans="1:14" s="47" customFormat="1" x14ac:dyDescent="0.3">
      <c r="A149" s="44">
        <f t="shared" si="15"/>
        <v>5</v>
      </c>
      <c r="B149" s="44" t="s">
        <v>177</v>
      </c>
      <c r="C149" s="44" t="s">
        <v>192</v>
      </c>
      <c r="D149" s="44">
        <f>(35.77)*10.764</f>
        <v>385.02828</v>
      </c>
      <c r="E149" s="44">
        <v>0</v>
      </c>
      <c r="F149" s="44">
        <f t="shared" si="14"/>
        <v>616.04524800000002</v>
      </c>
      <c r="G149" s="71" t="str">
        <f t="shared" si="16"/>
        <v>7th Floor</v>
      </c>
      <c r="H149" s="71"/>
      <c r="I149" s="39"/>
      <c r="L149" s="73"/>
      <c r="M149" s="73"/>
      <c r="N149" s="39"/>
    </row>
    <row r="150" spans="1:14" s="47" customFormat="1" x14ac:dyDescent="0.3">
      <c r="A150" s="44">
        <f t="shared" si="15"/>
        <v>6</v>
      </c>
      <c r="B150" s="44" t="s">
        <v>177</v>
      </c>
      <c r="C150" s="44" t="s">
        <v>192</v>
      </c>
      <c r="D150" s="44">
        <f>(35.77)*10.764</f>
        <v>385.02828</v>
      </c>
      <c r="E150" s="44">
        <v>0</v>
      </c>
      <c r="F150" s="44">
        <f t="shared" si="14"/>
        <v>616.04524800000002</v>
      </c>
      <c r="G150" s="70" t="str">
        <f t="shared" si="16"/>
        <v>7th Floor</v>
      </c>
      <c r="H150" s="65"/>
      <c r="I150" s="39"/>
      <c r="L150" s="73"/>
      <c r="M150" s="73"/>
      <c r="N150" s="39"/>
    </row>
    <row r="151" spans="1:14" s="47" customFormat="1" x14ac:dyDescent="0.3">
      <c r="A151" s="44">
        <f t="shared" si="15"/>
        <v>7</v>
      </c>
      <c r="B151" s="44" t="s">
        <v>177</v>
      </c>
      <c r="C151" s="44" t="s">
        <v>192</v>
      </c>
      <c r="D151" s="44">
        <f>(36.08)*10.764</f>
        <v>388.36511999999993</v>
      </c>
      <c r="E151" s="44">
        <v>0</v>
      </c>
      <c r="F151" s="44">
        <f t="shared" si="14"/>
        <v>621.38419199999998</v>
      </c>
      <c r="G151" s="70" t="str">
        <f t="shared" si="16"/>
        <v>7th Floor</v>
      </c>
      <c r="H151" s="65"/>
      <c r="I151" s="39"/>
      <c r="L151" s="73"/>
      <c r="M151" s="73"/>
      <c r="N151" s="39"/>
    </row>
    <row r="152" spans="1:14" s="47" customFormat="1" x14ac:dyDescent="0.3">
      <c r="A152" s="44">
        <f t="shared" si="15"/>
        <v>8</v>
      </c>
      <c r="B152" s="44" t="s">
        <v>179</v>
      </c>
      <c r="C152" s="44" t="s">
        <v>191</v>
      </c>
      <c r="D152" s="44">
        <f>(45.52)*10.764</f>
        <v>489.97728000000001</v>
      </c>
      <c r="E152" s="44">
        <v>0</v>
      </c>
      <c r="F152" s="44">
        <f t="shared" si="14"/>
        <v>783.96364800000003</v>
      </c>
      <c r="G152" s="70" t="str">
        <f t="shared" si="16"/>
        <v>7th Floor</v>
      </c>
      <c r="H152" s="65"/>
      <c r="I152" s="39"/>
      <c r="L152" s="73"/>
      <c r="M152" s="73"/>
      <c r="N152" s="39"/>
    </row>
    <row r="153" spans="1:14" x14ac:dyDescent="0.3">
      <c r="A153" s="66" t="s">
        <v>196</v>
      </c>
      <c r="B153" s="66"/>
      <c r="C153" s="66"/>
      <c r="D153" s="66"/>
      <c r="E153" s="66"/>
      <c r="F153" s="66"/>
      <c r="G153" s="66"/>
      <c r="H153" s="66"/>
    </row>
    <row r="154" spans="1:14" s="47" customFormat="1" x14ac:dyDescent="0.3">
      <c r="A154" s="67" t="s">
        <v>197</v>
      </c>
      <c r="B154" s="68"/>
      <c r="C154" s="68"/>
      <c r="D154" s="68"/>
      <c r="E154" s="68"/>
      <c r="F154" s="68"/>
      <c r="G154" s="68"/>
      <c r="H154" s="69"/>
      <c r="J154" s="39"/>
    </row>
    <row r="155" spans="1:14" s="47" customFormat="1" x14ac:dyDescent="0.3">
      <c r="A155" s="44">
        <v>1</v>
      </c>
      <c r="B155" s="44" t="s">
        <v>177</v>
      </c>
      <c r="C155" s="44" t="s">
        <v>194</v>
      </c>
      <c r="D155" s="44">
        <f>(79.12)*10.764</f>
        <v>851.64768000000004</v>
      </c>
      <c r="E155" s="44">
        <v>0</v>
      </c>
      <c r="F155" s="44">
        <f>D155*(($F$124)+1)+(IF(E155&lt;101,E155,IF(E155&lt;201,E155/2,IF(E155&lt;=301,E155/3,E155/4))))</f>
        <v>1362.6362880000001</v>
      </c>
      <c r="G155" s="70" t="str">
        <f>A154</f>
        <v>9th Floor</v>
      </c>
      <c r="H155" s="65"/>
      <c r="I155" s="39">
        <f>40000000/F155</f>
        <v>29354.861860247183</v>
      </c>
      <c r="L155" s="73"/>
      <c r="M155" s="73"/>
      <c r="N155" s="39"/>
    </row>
    <row r="156" spans="1:14" s="47" customFormat="1" ht="46.8" x14ac:dyDescent="0.3">
      <c r="A156" s="44">
        <f t="shared" ref="A156:A158" si="17">A155+1</f>
        <v>2</v>
      </c>
      <c r="B156" s="44" t="s">
        <v>179</v>
      </c>
      <c r="C156" s="44" t="s">
        <v>198</v>
      </c>
      <c r="D156" s="44">
        <f>(123.83)*10.764</f>
        <v>1332.9061199999999</v>
      </c>
      <c r="E156" s="44">
        <v>0</v>
      </c>
      <c r="F156" s="44">
        <f>D156*(($F$124)+1)+(IF(E156&lt;101,E156,IF(E156&lt;201,E156/2,IF(E156&lt;=301,E156/3,E156/4))))</f>
        <v>2132.6497919999997</v>
      </c>
      <c r="G156" s="70" t="str">
        <f t="shared" ref="G156:G158" si="18">G155</f>
        <v>9th Floor</v>
      </c>
      <c r="H156" s="65"/>
      <c r="I156" s="39"/>
      <c r="L156" s="73"/>
      <c r="M156" s="73"/>
      <c r="N156" s="39"/>
    </row>
    <row r="157" spans="1:14" s="47" customFormat="1" x14ac:dyDescent="0.3">
      <c r="A157" s="44">
        <f t="shared" si="17"/>
        <v>3</v>
      </c>
      <c r="B157" s="44" t="s">
        <v>177</v>
      </c>
      <c r="C157" s="44" t="s">
        <v>194</v>
      </c>
      <c r="D157" s="44">
        <f>(66.84)*10.764</f>
        <v>719.46576000000005</v>
      </c>
      <c r="E157" s="44">
        <v>0</v>
      </c>
      <c r="F157" s="44">
        <f>D157*(($F$124)+1)+(IF(E157&lt;101,E157,IF(E157&lt;201,E157/2,IF(E157&lt;=301,E157/3,E157/4))))</f>
        <v>1151.1452160000001</v>
      </c>
      <c r="G157" s="70" t="str">
        <f t="shared" si="18"/>
        <v>9th Floor</v>
      </c>
      <c r="H157" s="65"/>
      <c r="I157" s="39">
        <f>33500000/F157</f>
        <v>29101.454390268689</v>
      </c>
      <c r="L157" s="73"/>
      <c r="M157" s="73"/>
      <c r="N157" s="39"/>
    </row>
    <row r="158" spans="1:14" s="47" customFormat="1" x14ac:dyDescent="0.3">
      <c r="A158" s="44">
        <f t="shared" si="17"/>
        <v>4</v>
      </c>
      <c r="B158" s="44" t="s">
        <v>177</v>
      </c>
      <c r="C158" s="44" t="s">
        <v>194</v>
      </c>
      <c r="D158" s="44">
        <f>(67.27)*10.764</f>
        <v>724.09427999999991</v>
      </c>
      <c r="E158" s="44">
        <v>0</v>
      </c>
      <c r="F158" s="44">
        <f>D158*(($F$124)+1)+(IF(E158&lt;101,E158,IF(E158&lt;201,E158/2,IF(E158&lt;=301,E158/3,E158/4))))</f>
        <v>1158.5508479999999</v>
      </c>
      <c r="G158" s="70" t="str">
        <f t="shared" si="18"/>
        <v>9th Floor</v>
      </c>
      <c r="H158" s="65"/>
      <c r="I158" s="39"/>
      <c r="L158" s="73"/>
      <c r="M158" s="73"/>
      <c r="N158" s="39"/>
    </row>
    <row r="159" spans="1:14" s="47" customFormat="1" x14ac:dyDescent="0.3">
      <c r="A159" s="67" t="s">
        <v>199</v>
      </c>
      <c r="B159" s="68"/>
      <c r="C159" s="68"/>
      <c r="D159" s="68"/>
      <c r="E159" s="68"/>
      <c r="F159" s="68"/>
      <c r="G159" s="68"/>
      <c r="H159" s="69"/>
      <c r="J159" s="39"/>
    </row>
    <row r="160" spans="1:14" s="47" customFormat="1" x14ac:dyDescent="0.3">
      <c r="A160" s="44">
        <v>1</v>
      </c>
      <c r="B160" s="44" t="s">
        <v>177</v>
      </c>
      <c r="C160" s="44" t="s">
        <v>194</v>
      </c>
      <c r="D160" s="44">
        <f>(79.12)*10.764</f>
        <v>851.64768000000004</v>
      </c>
      <c r="E160" s="44">
        <v>0</v>
      </c>
      <c r="F160" s="44">
        <f>D160*(($F$124)+1)+(IF(E160&lt;101,E160,IF(E160&lt;201,E160/2,IF(E160&lt;=301,E160/3,E160/4))))</f>
        <v>1362.6362880000001</v>
      </c>
      <c r="G160" s="70" t="str">
        <f>A159</f>
        <v>10th Floor</v>
      </c>
      <c r="H160" s="65"/>
      <c r="I160" s="39"/>
      <c r="L160" s="73"/>
      <c r="M160" s="73"/>
      <c r="N160" s="39"/>
    </row>
    <row r="161" spans="1:14" s="47" customFormat="1" ht="46.8" x14ac:dyDescent="0.3">
      <c r="A161" s="44">
        <f t="shared" ref="A161:A163" si="19">A160+1</f>
        <v>2</v>
      </c>
      <c r="B161" s="44" t="s">
        <v>179</v>
      </c>
      <c r="C161" s="44" t="s">
        <v>198</v>
      </c>
      <c r="D161" s="44">
        <f>(123.83)*10.764</f>
        <v>1332.9061199999999</v>
      </c>
      <c r="E161" s="44">
        <v>0</v>
      </c>
      <c r="F161" s="44">
        <f>D161*(($F$124)+1)+(IF(E161&lt;101,E161,IF(E161&lt;201,E161/2,IF(E161&lt;=301,E161/3,E161/4))))</f>
        <v>2132.6497919999997</v>
      </c>
      <c r="G161" s="70" t="str">
        <f t="shared" ref="G161:G163" si="20">G160</f>
        <v>10th Floor</v>
      </c>
      <c r="H161" s="65"/>
      <c r="I161" s="39"/>
      <c r="J161" s="47">
        <f>F161*250</f>
        <v>533162.44799999997</v>
      </c>
      <c r="L161" s="73"/>
      <c r="M161" s="73"/>
      <c r="N161" s="39"/>
    </row>
    <row r="162" spans="1:14" s="47" customFormat="1" x14ac:dyDescent="0.3">
      <c r="A162" s="44">
        <f t="shared" si="19"/>
        <v>3</v>
      </c>
      <c r="B162" s="44" t="s">
        <v>177</v>
      </c>
      <c r="C162" s="44" t="s">
        <v>194</v>
      </c>
      <c r="D162" s="44">
        <f>(66.84)*10.764</f>
        <v>719.46576000000005</v>
      </c>
      <c r="E162" s="44">
        <v>0</v>
      </c>
      <c r="F162" s="44">
        <f>D162*(($F$124)+1)+(IF(E162&lt;101,E162,IF(E162&lt;201,E162/2,IF(E162&lt;=301,E162/3,E162/4))))</f>
        <v>1151.1452160000001</v>
      </c>
      <c r="G162" s="70" t="str">
        <f t="shared" si="20"/>
        <v>10th Floor</v>
      </c>
      <c r="H162" s="65"/>
      <c r="I162" s="39"/>
      <c r="L162" s="73"/>
      <c r="M162" s="73"/>
      <c r="N162" s="39"/>
    </row>
    <row r="163" spans="1:14" s="47" customFormat="1" x14ac:dyDescent="0.3">
      <c r="A163" s="44">
        <f t="shared" si="19"/>
        <v>4</v>
      </c>
      <c r="B163" s="44" t="s">
        <v>177</v>
      </c>
      <c r="C163" s="44" t="s">
        <v>194</v>
      </c>
      <c r="D163" s="44">
        <f>(67.27)*10.764</f>
        <v>724.09427999999991</v>
      </c>
      <c r="E163" s="44">
        <v>0</v>
      </c>
      <c r="F163" s="44">
        <f>D163*(($F$124)+1)+(IF(E163&lt;101,E163,IF(E163&lt;201,E163/2,IF(E163&lt;=301,E163/3,E163/4))))</f>
        <v>1158.5508479999999</v>
      </c>
      <c r="G163" s="70" t="str">
        <f t="shared" si="20"/>
        <v>10th Floor</v>
      </c>
      <c r="H163" s="65"/>
      <c r="I163" s="39"/>
      <c r="L163" s="73"/>
      <c r="M163" s="73"/>
      <c r="N163" s="39"/>
    </row>
    <row r="164" spans="1:14" s="47" customFormat="1" x14ac:dyDescent="0.3">
      <c r="A164" s="67" t="s">
        <v>200</v>
      </c>
      <c r="B164" s="68"/>
      <c r="C164" s="68"/>
      <c r="D164" s="68"/>
      <c r="E164" s="68"/>
      <c r="F164" s="68"/>
      <c r="G164" s="68"/>
      <c r="H164" s="69"/>
      <c r="J164" s="39"/>
    </row>
    <row r="165" spans="1:14" s="47" customFormat="1" ht="15.75" customHeight="1" x14ac:dyDescent="0.3">
      <c r="A165" s="44">
        <v>1</v>
      </c>
      <c r="B165" s="44" t="s">
        <v>177</v>
      </c>
      <c r="C165" s="44" t="s">
        <v>201</v>
      </c>
      <c r="D165" s="44">
        <f>(101.75)*10.764</f>
        <v>1095.2369999999999</v>
      </c>
      <c r="E165" s="44">
        <v>0</v>
      </c>
      <c r="F165" s="44">
        <f>D165*(($F$124)+1)+(IF(E165&lt;101,E165,IF(E165&lt;201,E165/2,IF(E165&lt;=301,E165/3,E165/4))))</f>
        <v>1752.3791999999999</v>
      </c>
      <c r="G165" s="70" t="str">
        <f>A164</f>
        <v>11th &amp; 12th Floor</v>
      </c>
      <c r="H165" s="65"/>
      <c r="I165" s="39">
        <f>52500000/F165</f>
        <v>29959.269089703874</v>
      </c>
      <c r="J165" s="47">
        <f>F165*250</f>
        <v>438094.8</v>
      </c>
      <c r="L165" s="73"/>
      <c r="M165" s="73"/>
      <c r="N165" s="39"/>
    </row>
    <row r="166" spans="1:14" s="47" customFormat="1" ht="15.75" customHeight="1" x14ac:dyDescent="0.3">
      <c r="A166" s="44">
        <f t="shared" ref="A166:A168" si="21">A165+1</f>
        <v>2</v>
      </c>
      <c r="B166" s="44" t="s">
        <v>177</v>
      </c>
      <c r="C166" s="44" t="s">
        <v>201</v>
      </c>
      <c r="D166" s="44">
        <f>(100.75)*10.764</f>
        <v>1084.473</v>
      </c>
      <c r="E166" s="44">
        <v>0</v>
      </c>
      <c r="F166" s="44">
        <f>D166*(($F$124)+1)+(IF(E166&lt;101,E166,IF(E166&lt;201,E166/2,IF(E166&lt;=301,E166/3,E166/4))))</f>
        <v>1735.1568</v>
      </c>
      <c r="G166" s="70" t="str">
        <f t="shared" ref="G166:G168" si="22">G165</f>
        <v>11th &amp; 12th Floor</v>
      </c>
      <c r="H166" s="65"/>
      <c r="I166" s="39"/>
      <c r="L166" s="73"/>
      <c r="M166" s="73"/>
      <c r="N166" s="39"/>
    </row>
    <row r="167" spans="1:14" s="47" customFormat="1" ht="15.75" customHeight="1" x14ac:dyDescent="0.3">
      <c r="A167" s="44">
        <f t="shared" si="21"/>
        <v>3</v>
      </c>
      <c r="B167" s="44" t="s">
        <v>177</v>
      </c>
      <c r="C167" s="44" t="s">
        <v>194</v>
      </c>
      <c r="D167" s="44">
        <f>(66.84)*10.764</f>
        <v>719.46576000000005</v>
      </c>
      <c r="E167" s="44">
        <v>0</v>
      </c>
      <c r="F167" s="44">
        <f>D167*(($F$124)+1)+(IF(E167&lt;101,E167,IF(E167&lt;201,E167/2,IF(E167&lt;=301,E167/3,E167/4))))</f>
        <v>1151.1452160000001</v>
      </c>
      <c r="G167" s="70" t="str">
        <f t="shared" si="22"/>
        <v>11th &amp; 12th Floor</v>
      </c>
      <c r="H167" s="65"/>
      <c r="I167" s="39"/>
      <c r="L167" s="73"/>
      <c r="M167" s="73"/>
      <c r="N167" s="39"/>
    </row>
    <row r="168" spans="1:14" s="47" customFormat="1" ht="15.75" customHeight="1" x14ac:dyDescent="0.3">
      <c r="A168" s="44">
        <f t="shared" si="21"/>
        <v>4</v>
      </c>
      <c r="B168" s="44" t="s">
        <v>177</v>
      </c>
      <c r="C168" s="44" t="s">
        <v>194</v>
      </c>
      <c r="D168" s="44">
        <f>(67.27)*10.764</f>
        <v>724.09427999999991</v>
      </c>
      <c r="E168" s="44">
        <v>0</v>
      </c>
      <c r="F168" s="44">
        <f>D168*(($F$124)+1)+(IF(E168&lt;101,E168,IF(E168&lt;201,E168/2,IF(E168&lt;=301,E168/3,E168/4))))</f>
        <v>1158.5508479999999</v>
      </c>
      <c r="G168" s="70" t="str">
        <f t="shared" si="22"/>
        <v>11th &amp; 12th Floor</v>
      </c>
      <c r="H168" s="65"/>
      <c r="I168" s="39"/>
      <c r="L168" s="73"/>
      <c r="M168" s="73"/>
      <c r="N168" s="39"/>
    </row>
    <row r="169" spans="1:14" s="47" customFormat="1" ht="15.75" customHeight="1" x14ac:dyDescent="0.3">
      <c r="A169" s="67" t="s">
        <v>202</v>
      </c>
      <c r="B169" s="68"/>
      <c r="C169" s="68"/>
      <c r="D169" s="68"/>
      <c r="E169" s="68"/>
      <c r="F169" s="68"/>
      <c r="G169" s="68"/>
      <c r="H169" s="69"/>
      <c r="J169" s="39"/>
    </row>
    <row r="170" spans="1:14" s="47" customFormat="1" x14ac:dyDescent="0.3">
      <c r="A170" s="44">
        <v>1</v>
      </c>
      <c r="B170" s="44"/>
      <c r="C170" s="64" t="s">
        <v>203</v>
      </c>
      <c r="D170" s="64"/>
      <c r="E170" s="64"/>
      <c r="F170" s="65"/>
      <c r="G170" s="70" t="str">
        <f>A169</f>
        <v>13th Floor (Part Refuge Area)</v>
      </c>
      <c r="H170" s="65"/>
      <c r="I170" s="39"/>
      <c r="L170" s="73"/>
      <c r="M170" s="73"/>
      <c r="N170" s="39"/>
    </row>
    <row r="171" spans="1:14" s="47" customFormat="1" x14ac:dyDescent="0.3">
      <c r="A171" s="44">
        <f t="shared" ref="A171:A173" si="23">A170+1</f>
        <v>2</v>
      </c>
      <c r="B171" s="44" t="s">
        <v>177</v>
      </c>
      <c r="C171" s="44" t="s">
        <v>201</v>
      </c>
      <c r="D171" s="44">
        <f>(100.75)*10.764</f>
        <v>1084.473</v>
      </c>
      <c r="E171" s="44">
        <v>0</v>
      </c>
      <c r="F171" s="44">
        <f>D171*(($F$124)+1)+(IF(E171&lt;101,E171,IF(E171&lt;201,E171/2,IF(E171&lt;=301,E171/3,E171/4))))</f>
        <v>1735.1568</v>
      </c>
      <c r="G171" s="70" t="str">
        <f t="shared" ref="G171:G173" si="24">G170</f>
        <v>13th Floor (Part Refuge Area)</v>
      </c>
      <c r="H171" s="65"/>
      <c r="I171" s="39"/>
      <c r="L171" s="73"/>
      <c r="M171" s="73"/>
      <c r="N171" s="39"/>
    </row>
    <row r="172" spans="1:14" s="47" customFormat="1" x14ac:dyDescent="0.3">
      <c r="A172" s="44">
        <f t="shared" si="23"/>
        <v>3</v>
      </c>
      <c r="B172" s="44" t="s">
        <v>179</v>
      </c>
      <c r="C172" s="44" t="s">
        <v>194</v>
      </c>
      <c r="D172" s="44">
        <f>(70.01)*10.764</f>
        <v>753.58763999999996</v>
      </c>
      <c r="E172" s="44">
        <v>0</v>
      </c>
      <c r="F172" s="44">
        <f>D172*(($F$124)+1)+(IF(E172&lt;101,E172,IF(E172&lt;201,E172/2,IF(E172&lt;=301,E172/3,E172/4))))</f>
        <v>1205.7402239999999</v>
      </c>
      <c r="G172" s="70" t="str">
        <f t="shared" si="24"/>
        <v>13th Floor (Part Refuge Area)</v>
      </c>
      <c r="H172" s="65"/>
      <c r="I172" s="39">
        <f>34900000/F172</f>
        <v>28944.87494513578</v>
      </c>
      <c r="L172" s="73"/>
      <c r="M172" s="73"/>
      <c r="N172" s="39"/>
    </row>
    <row r="173" spans="1:14" s="47" customFormat="1" x14ac:dyDescent="0.3">
      <c r="A173" s="44">
        <f t="shared" si="23"/>
        <v>4</v>
      </c>
      <c r="B173" s="44" t="s">
        <v>179</v>
      </c>
      <c r="C173" s="44" t="s">
        <v>194</v>
      </c>
      <c r="D173" s="44">
        <f>(70.06)*10.764</f>
        <v>754.12583999999993</v>
      </c>
      <c r="E173" s="44">
        <v>0</v>
      </c>
      <c r="F173" s="44">
        <f>D173*(($F$124)+1)+(IF(E173&lt;101,E173,IF(E173&lt;201,E173/2,IF(E173&lt;=301,E173/3,E173/4))))</f>
        <v>1206.6013439999999</v>
      </c>
      <c r="G173" s="70" t="str">
        <f t="shared" si="24"/>
        <v>13th Floor (Part Refuge Area)</v>
      </c>
      <c r="H173" s="65"/>
      <c r="I173" s="39"/>
      <c r="L173" s="73"/>
      <c r="M173" s="73"/>
      <c r="N173" s="39"/>
    </row>
    <row r="174" spans="1:14" s="47" customFormat="1" x14ac:dyDescent="0.3">
      <c r="A174" s="67" t="s">
        <v>204</v>
      </c>
      <c r="B174" s="68"/>
      <c r="C174" s="68"/>
      <c r="D174" s="68"/>
      <c r="E174" s="68"/>
      <c r="F174" s="68"/>
      <c r="G174" s="68"/>
      <c r="H174" s="69"/>
      <c r="J174" s="39"/>
    </row>
    <row r="175" spans="1:14" s="47" customFormat="1" x14ac:dyDescent="0.3">
      <c r="A175" s="44">
        <v>1</v>
      </c>
      <c r="B175" s="44" t="s">
        <v>177</v>
      </c>
      <c r="C175" s="44" t="s">
        <v>201</v>
      </c>
      <c r="D175" s="44">
        <f>(101.69)*10.764</f>
        <v>1094.5911599999999</v>
      </c>
      <c r="E175" s="44">
        <v>0</v>
      </c>
      <c r="F175" s="44">
        <f>D175*(($F$124)+1)+(IF(E175&lt;101,E175,IF(E175&lt;201,E175/2,IF(E175&lt;=301,E175/3,E175/4))))</f>
        <v>1751.3458559999999</v>
      </c>
      <c r="G175" s="70" t="str">
        <f>A174</f>
        <v>14th Floor</v>
      </c>
      <c r="H175" s="65"/>
      <c r="I175" s="39"/>
      <c r="L175" s="73"/>
      <c r="M175" s="73"/>
      <c r="N175" s="39"/>
    </row>
    <row r="176" spans="1:14" s="47" customFormat="1" x14ac:dyDescent="0.3">
      <c r="A176" s="44">
        <f t="shared" ref="A176:A178" si="25">A175+1</f>
        <v>2</v>
      </c>
      <c r="B176" s="44" t="s">
        <v>177</v>
      </c>
      <c r="C176" s="44" t="s">
        <v>201</v>
      </c>
      <c r="D176" s="44">
        <f>(100.75)*10.764</f>
        <v>1084.473</v>
      </c>
      <c r="E176" s="44">
        <v>0</v>
      </c>
      <c r="F176" s="44">
        <f>D176*(($F$124)+1)+(IF(E176&lt;101,E176,IF(E176&lt;201,E176/2,IF(E176&lt;=301,E176/3,E176/4))))</f>
        <v>1735.1568</v>
      </c>
      <c r="G176" s="70" t="str">
        <f t="shared" ref="G176:G178" si="26">G175</f>
        <v>14th Floor</v>
      </c>
      <c r="H176" s="65"/>
      <c r="I176" s="39"/>
      <c r="L176" s="73"/>
      <c r="M176" s="73"/>
      <c r="N176" s="39"/>
    </row>
    <row r="177" spans="1:14" s="47" customFormat="1" x14ac:dyDescent="0.3">
      <c r="A177" s="44">
        <f t="shared" si="25"/>
        <v>3</v>
      </c>
      <c r="B177" s="44" t="s">
        <v>179</v>
      </c>
      <c r="C177" s="44" t="s">
        <v>194</v>
      </c>
      <c r="D177" s="44">
        <f>(70.01)*10.764</f>
        <v>753.58763999999996</v>
      </c>
      <c r="E177" s="44">
        <v>0</v>
      </c>
      <c r="F177" s="44">
        <f>D177*(($F$124)+1)+(IF(E177&lt;101,E177,IF(E177&lt;201,E177/2,IF(E177&lt;=301,E177/3,E177/4))))</f>
        <v>1205.7402239999999</v>
      </c>
      <c r="G177" s="70" t="str">
        <f t="shared" si="26"/>
        <v>14th Floor</v>
      </c>
      <c r="H177" s="65"/>
      <c r="I177" s="39"/>
      <c r="L177" s="73"/>
      <c r="M177" s="73"/>
      <c r="N177" s="39"/>
    </row>
    <row r="178" spans="1:14" s="47" customFormat="1" x14ac:dyDescent="0.3">
      <c r="A178" s="44">
        <f t="shared" si="25"/>
        <v>4</v>
      </c>
      <c r="B178" s="44" t="s">
        <v>179</v>
      </c>
      <c r="C178" s="44" t="s">
        <v>194</v>
      </c>
      <c r="D178" s="44">
        <f>(70.06)*10.764</f>
        <v>754.12583999999993</v>
      </c>
      <c r="E178" s="44">
        <v>0</v>
      </c>
      <c r="F178" s="44">
        <f>D178*(($F$124)+1)+(IF(E178&lt;101,E178,IF(E178&lt;201,E178/2,IF(E178&lt;=301,E178/3,E178/4))))</f>
        <v>1206.6013439999999</v>
      </c>
      <c r="G178" s="70" t="str">
        <f t="shared" si="26"/>
        <v>14th Floor</v>
      </c>
      <c r="H178" s="65"/>
      <c r="I178" s="39"/>
      <c r="L178" s="73"/>
      <c r="M178" s="73"/>
      <c r="N178" s="39"/>
    </row>
    <row r="179" spans="1:14" x14ac:dyDescent="0.3">
      <c r="A179" s="66" t="s">
        <v>205</v>
      </c>
      <c r="B179" s="66"/>
      <c r="C179" s="66"/>
      <c r="D179" s="66"/>
      <c r="E179" s="66"/>
      <c r="F179" s="66"/>
      <c r="G179" s="66"/>
      <c r="H179" s="66"/>
    </row>
    <row r="180" spans="1:14" s="47" customFormat="1" x14ac:dyDescent="0.3">
      <c r="A180" s="72" t="s">
        <v>206</v>
      </c>
      <c r="B180" s="72"/>
      <c r="C180" s="72"/>
      <c r="D180" s="72"/>
      <c r="E180" s="72"/>
      <c r="F180" s="72"/>
      <c r="G180" s="72"/>
      <c r="H180" s="72"/>
      <c r="J180" s="39"/>
    </row>
    <row r="181" spans="1:14" s="47" customFormat="1" x14ac:dyDescent="0.3">
      <c r="A181" s="44">
        <v>1</v>
      </c>
      <c r="B181" s="44" t="s">
        <v>179</v>
      </c>
      <c r="C181" s="44" t="s">
        <v>201</v>
      </c>
      <c r="D181" s="44">
        <f>(101.69)*10.764</f>
        <v>1094.5911599999999</v>
      </c>
      <c r="E181" s="44">
        <v>0</v>
      </c>
      <c r="F181" s="44">
        <f>D181*(($F$124)+1)+(IF(E181&lt;101,E181,IF(E181&lt;201,E181/2,IF(E181&lt;=301,E181/3,E181/4))))</f>
        <v>1751.3458559999999</v>
      </c>
      <c r="G181" s="71" t="str">
        <f>A180</f>
        <v>16th to 21st Floor</v>
      </c>
      <c r="H181" s="71"/>
      <c r="I181" s="39"/>
      <c r="L181" s="73"/>
      <c r="M181" s="73"/>
      <c r="N181" s="39"/>
    </row>
    <row r="182" spans="1:14" s="47" customFormat="1" x14ac:dyDescent="0.3">
      <c r="A182" s="44">
        <f t="shared" ref="A182:A184" si="27">A181+1</f>
        <v>2</v>
      </c>
      <c r="B182" s="44" t="s">
        <v>179</v>
      </c>
      <c r="C182" s="44" t="s">
        <v>201</v>
      </c>
      <c r="D182" s="44">
        <f>(100.75)*10.764</f>
        <v>1084.473</v>
      </c>
      <c r="E182" s="44">
        <v>0</v>
      </c>
      <c r="F182" s="44">
        <f>D182*(($F$124)+1)+(IF(E182&lt;101,E182,IF(E182&lt;201,E182/2,IF(E182&lt;=301,E182/3,E182/4))))</f>
        <v>1735.1568</v>
      </c>
      <c r="G182" s="71" t="str">
        <f t="shared" ref="G182:G184" si="28">G181</f>
        <v>16th to 21st Floor</v>
      </c>
      <c r="H182" s="71"/>
      <c r="I182" s="39"/>
      <c r="L182" s="73"/>
      <c r="M182" s="73"/>
      <c r="N182" s="39"/>
    </row>
    <row r="183" spans="1:14" s="47" customFormat="1" x14ac:dyDescent="0.3">
      <c r="A183" s="44">
        <f t="shared" si="27"/>
        <v>3</v>
      </c>
      <c r="B183" s="44" t="s">
        <v>179</v>
      </c>
      <c r="C183" s="44" t="s">
        <v>194</v>
      </c>
      <c r="D183" s="44">
        <f>(70.01)*10.764</f>
        <v>753.58763999999996</v>
      </c>
      <c r="E183" s="44">
        <v>0</v>
      </c>
      <c r="F183" s="44">
        <f>D183*(($F$124)+1)+(IF(E183&lt;101,E183,IF(E183&lt;201,E183/2,IF(E183&lt;=301,E183/3,E183/4))))</f>
        <v>1205.7402239999999</v>
      </c>
      <c r="G183" s="71" t="str">
        <f t="shared" si="28"/>
        <v>16th to 21st Floor</v>
      </c>
      <c r="H183" s="71"/>
      <c r="I183" s="39"/>
      <c r="L183" s="73"/>
      <c r="M183" s="73"/>
      <c r="N183" s="39"/>
    </row>
    <row r="184" spans="1:14" s="47" customFormat="1" x14ac:dyDescent="0.3">
      <c r="A184" s="44">
        <f t="shared" si="27"/>
        <v>4</v>
      </c>
      <c r="B184" s="44" t="s">
        <v>179</v>
      </c>
      <c r="C184" s="44" t="s">
        <v>194</v>
      </c>
      <c r="D184" s="44">
        <f>(70.06)*10.764</f>
        <v>754.12583999999993</v>
      </c>
      <c r="E184" s="44">
        <v>0</v>
      </c>
      <c r="F184" s="44">
        <f>D184*(($F$124)+1)+(IF(E184&lt;101,E184,IF(E184&lt;201,E184/2,IF(E184&lt;=301,E184/3,E184/4))))</f>
        <v>1206.6013439999999</v>
      </c>
      <c r="G184" s="71" t="str">
        <f t="shared" si="28"/>
        <v>16th to 21st Floor</v>
      </c>
      <c r="H184" s="71"/>
      <c r="I184" s="39"/>
      <c r="L184" s="73"/>
      <c r="M184" s="73"/>
      <c r="N184" s="39"/>
    </row>
    <row r="185" spans="1:14" s="38" customFormat="1" x14ac:dyDescent="0.3">
      <c r="A185" s="127" t="s">
        <v>72</v>
      </c>
      <c r="B185" s="127"/>
      <c r="C185" s="127"/>
      <c r="D185" s="127"/>
      <c r="E185" s="127"/>
      <c r="F185" s="127"/>
      <c r="G185" s="127"/>
      <c r="H185" s="127"/>
    </row>
    <row r="186" spans="1:14" s="38" customFormat="1" x14ac:dyDescent="0.3">
      <c r="A186" s="54" t="s">
        <v>164</v>
      </c>
      <c r="B186" s="157" t="s">
        <v>261</v>
      </c>
      <c r="C186" s="157"/>
      <c r="D186" s="157"/>
      <c r="E186" s="157"/>
      <c r="F186" s="157"/>
      <c r="G186" s="157"/>
      <c r="H186" s="157"/>
    </row>
    <row r="187" spans="1:14" s="38" customFormat="1" x14ac:dyDescent="0.3">
      <c r="A187" s="54" t="s">
        <v>164</v>
      </c>
      <c r="B187" s="157" t="str">
        <f>(IF(F123="Saleable area Loading :","We have considered Saleable area of Flats as per our Calculation.","We considered Saleable area of Flat as per Builder area Sheet."))</f>
        <v>We have considered Saleable area of Flats as per our Calculation.</v>
      </c>
      <c r="C187" s="157"/>
      <c r="D187" s="157"/>
      <c r="E187" s="157"/>
      <c r="F187" s="157"/>
      <c r="G187" s="157"/>
      <c r="H187" s="157"/>
    </row>
    <row r="188" spans="1:14" s="38" customFormat="1" x14ac:dyDescent="0.3">
      <c r="A188" s="54" t="s">
        <v>164</v>
      </c>
      <c r="B188" s="157" t="str">
        <f>(IF(F105="Saleable area Loading :","We have considered Saleable area of Commercial as per our Calculation.","We considered Saleable area of Commercial as per Builder area Sheet."))</f>
        <v>We have considered Saleable area of Commercial as per our Calculation.</v>
      </c>
      <c r="C188" s="157"/>
      <c r="D188" s="157"/>
      <c r="E188" s="157"/>
      <c r="F188" s="157"/>
      <c r="G188" s="157"/>
      <c r="H188" s="157"/>
    </row>
    <row r="189" spans="1:14" s="38" customFormat="1" x14ac:dyDescent="0.3">
      <c r="A189" s="46" t="s">
        <v>164</v>
      </c>
      <c r="B189" s="157" t="s">
        <v>132</v>
      </c>
      <c r="C189" s="157"/>
      <c r="D189" s="157"/>
      <c r="E189" s="157"/>
      <c r="F189" s="157"/>
      <c r="G189" s="157"/>
      <c r="H189" s="157"/>
    </row>
    <row r="190" spans="1:14" s="38" customFormat="1" x14ac:dyDescent="0.3">
      <c r="A190" s="46" t="s">
        <v>164</v>
      </c>
      <c r="B190" s="157" t="s">
        <v>245</v>
      </c>
      <c r="C190" s="157"/>
      <c r="D190" s="157"/>
      <c r="E190" s="157"/>
      <c r="F190" s="157"/>
      <c r="G190" s="157"/>
      <c r="H190" s="157"/>
    </row>
    <row r="191" spans="1:14" s="38" customFormat="1" x14ac:dyDescent="0.3">
      <c r="A191" s="46" t="s">
        <v>164</v>
      </c>
      <c r="B191" s="157" t="s">
        <v>163</v>
      </c>
      <c r="C191" s="157"/>
      <c r="D191" s="157"/>
      <c r="E191" s="157"/>
      <c r="F191" s="157"/>
      <c r="G191" s="157"/>
      <c r="H191" s="157"/>
    </row>
    <row r="192" spans="1:14" s="38" customFormat="1" x14ac:dyDescent="0.3">
      <c r="A192" s="46" t="s">
        <v>164</v>
      </c>
      <c r="B192" s="61" t="s">
        <v>133</v>
      </c>
      <c r="C192" s="62"/>
      <c r="D192" s="62"/>
      <c r="E192" s="62"/>
      <c r="F192" s="62"/>
      <c r="G192" s="62"/>
      <c r="H192" s="63"/>
    </row>
    <row r="193" spans="1:8" s="38" customFormat="1" ht="34.5" customHeight="1" x14ac:dyDescent="0.3">
      <c r="A193" s="46" t="s">
        <v>164</v>
      </c>
      <c r="B193" s="61" t="s">
        <v>165</v>
      </c>
      <c r="C193" s="62"/>
      <c r="D193" s="62"/>
      <c r="E193" s="62"/>
      <c r="F193" s="62"/>
      <c r="G193" s="62"/>
      <c r="H193" s="63"/>
    </row>
    <row r="194" spans="1:8" s="38" customFormat="1" x14ac:dyDescent="0.3">
      <c r="A194" s="46" t="s">
        <v>164</v>
      </c>
      <c r="B194" s="61" t="s">
        <v>134</v>
      </c>
      <c r="C194" s="62"/>
      <c r="D194" s="62"/>
      <c r="E194" s="62"/>
      <c r="F194" s="62"/>
      <c r="G194" s="62"/>
      <c r="H194" s="63"/>
    </row>
    <row r="195" spans="1:8" s="38" customFormat="1" hidden="1" x14ac:dyDescent="0.3">
      <c r="A195" s="46" t="s">
        <v>164</v>
      </c>
      <c r="B195" s="61" t="s">
        <v>135</v>
      </c>
      <c r="C195" s="62"/>
      <c r="D195" s="62"/>
      <c r="E195" s="62"/>
      <c r="F195" s="62"/>
      <c r="G195" s="62"/>
      <c r="H195" s="63"/>
    </row>
    <row r="196" spans="1:8" s="38" customFormat="1" x14ac:dyDescent="0.3">
      <c r="A196" s="46" t="s">
        <v>164</v>
      </c>
      <c r="B196" s="61" t="s">
        <v>253</v>
      </c>
      <c r="C196" s="62"/>
      <c r="D196" s="62"/>
      <c r="E196" s="62"/>
      <c r="F196" s="62"/>
      <c r="G196" s="62"/>
      <c r="H196" s="63"/>
    </row>
    <row r="197" spans="1:8" s="38" customFormat="1" x14ac:dyDescent="0.3">
      <c r="A197" s="46" t="s">
        <v>164</v>
      </c>
      <c r="B197" s="61" t="s">
        <v>259</v>
      </c>
      <c r="C197" s="62"/>
      <c r="D197" s="62"/>
      <c r="E197" s="62"/>
      <c r="F197" s="62"/>
      <c r="G197" s="62"/>
      <c r="H197" s="63"/>
    </row>
    <row r="198" spans="1:8" s="38" customFormat="1" x14ac:dyDescent="0.3">
      <c r="A198" s="46" t="s">
        <v>164</v>
      </c>
      <c r="B198" s="61" t="s">
        <v>274</v>
      </c>
      <c r="C198" s="62"/>
      <c r="D198" s="62"/>
      <c r="E198" s="62"/>
      <c r="F198" s="62"/>
      <c r="G198" s="62"/>
      <c r="H198" s="63"/>
    </row>
    <row r="199" spans="1:8" s="38" customFormat="1" x14ac:dyDescent="0.3">
      <c r="A199" s="46" t="s">
        <v>164</v>
      </c>
      <c r="B199" s="61" t="s">
        <v>277</v>
      </c>
      <c r="C199" s="62"/>
      <c r="D199" s="62"/>
      <c r="E199" s="62"/>
      <c r="F199" s="62"/>
      <c r="G199" s="62"/>
      <c r="H199" s="63"/>
    </row>
    <row r="200" spans="1:8" s="38" customFormat="1" x14ac:dyDescent="0.3">
      <c r="A200" s="46" t="s">
        <v>164</v>
      </c>
      <c r="B200" s="61" t="s">
        <v>275</v>
      </c>
      <c r="C200" s="62"/>
      <c r="D200" s="62"/>
      <c r="E200" s="62"/>
      <c r="F200" s="62"/>
      <c r="G200" s="62"/>
      <c r="H200" s="63"/>
    </row>
    <row r="201" spans="1:8" x14ac:dyDescent="0.3">
      <c r="A201" s="101" t="s">
        <v>65</v>
      </c>
      <c r="B201" s="101"/>
      <c r="C201" s="101"/>
      <c r="D201" s="101"/>
      <c r="E201" s="101"/>
      <c r="F201" s="101"/>
      <c r="G201" s="101"/>
      <c r="H201" s="101"/>
    </row>
    <row r="202" spans="1:8" x14ac:dyDescent="0.3">
      <c r="A202" s="77" t="s">
        <v>66</v>
      </c>
      <c r="B202" s="77"/>
      <c r="C202" s="77"/>
      <c r="D202" s="77"/>
      <c r="E202" s="77"/>
      <c r="F202" s="77"/>
      <c r="G202" s="77"/>
      <c r="H202" s="77"/>
    </row>
    <row r="203" spans="1:8" ht="15.75" customHeight="1" x14ac:dyDescent="0.3">
      <c r="A203" s="78" t="s">
        <v>67</v>
      </c>
      <c r="B203" s="78"/>
      <c r="C203" s="78"/>
      <c r="D203" s="78"/>
      <c r="E203" s="78"/>
      <c r="F203" s="78"/>
      <c r="G203" s="78"/>
      <c r="H203" s="78"/>
    </row>
    <row r="204" spans="1:8" x14ac:dyDescent="0.3">
      <c r="A204" s="77" t="s">
        <v>68</v>
      </c>
      <c r="B204" s="77"/>
      <c r="C204" s="77"/>
      <c r="D204" s="77"/>
      <c r="E204" s="77"/>
      <c r="F204" s="77"/>
      <c r="G204" s="77"/>
      <c r="H204" s="77"/>
    </row>
    <row r="205" spans="1:8" x14ac:dyDescent="0.3">
      <c r="A205" s="77" t="s">
        <v>69</v>
      </c>
      <c r="B205" s="77"/>
      <c r="C205" s="77"/>
      <c r="D205" s="77"/>
      <c r="E205" s="77"/>
      <c r="F205" s="77"/>
      <c r="G205" s="77"/>
      <c r="H205" s="77"/>
    </row>
    <row r="206" spans="1:8" x14ac:dyDescent="0.3">
      <c r="A206" s="77" t="s">
        <v>136</v>
      </c>
      <c r="B206" s="77"/>
      <c r="C206" s="77"/>
      <c r="D206" s="77"/>
      <c r="E206" s="77"/>
      <c r="F206" s="77"/>
      <c r="G206" s="77"/>
      <c r="H206" s="77"/>
    </row>
    <row r="207" spans="1:8" ht="35.25" customHeight="1" x14ac:dyDescent="0.3">
      <c r="A207" s="102" t="s">
        <v>137</v>
      </c>
      <c r="B207" s="102"/>
      <c r="C207" s="102"/>
      <c r="D207" s="102"/>
      <c r="E207" s="102"/>
      <c r="F207" s="102"/>
      <c r="G207" s="102"/>
      <c r="H207" s="102"/>
    </row>
    <row r="208" spans="1:8" x14ac:dyDescent="0.3">
      <c r="A208" s="125" t="s">
        <v>82</v>
      </c>
      <c r="B208" s="125"/>
      <c r="C208" s="125" t="s">
        <v>258</v>
      </c>
      <c r="D208" s="125"/>
      <c r="E208" s="125" t="s">
        <v>114</v>
      </c>
      <c r="F208" s="125"/>
      <c r="G208" s="125" t="s">
        <v>276</v>
      </c>
      <c r="H208" s="125"/>
    </row>
    <row r="209" spans="1:8" x14ac:dyDescent="0.3">
      <c r="A209" s="124" t="s">
        <v>85</v>
      </c>
      <c r="B209" s="124"/>
      <c r="C209" s="124"/>
      <c r="D209" s="124"/>
      <c r="E209" s="124"/>
      <c r="F209" s="124"/>
      <c r="G209" s="124"/>
      <c r="H209" s="124"/>
    </row>
    <row r="210" spans="1:8" x14ac:dyDescent="0.3">
      <c r="A210" s="124"/>
      <c r="B210" s="124"/>
      <c r="C210" s="124"/>
      <c r="D210" s="124"/>
      <c r="E210" s="124"/>
      <c r="F210" s="124"/>
      <c r="G210" s="124"/>
      <c r="H210" s="124"/>
    </row>
    <row r="211" spans="1:8" x14ac:dyDescent="0.3">
      <c r="A211" s="124"/>
      <c r="B211" s="124"/>
      <c r="C211" s="124"/>
      <c r="D211" s="124"/>
      <c r="E211" s="124"/>
      <c r="F211" s="124"/>
      <c r="G211" s="124"/>
      <c r="H211" s="124"/>
    </row>
    <row r="212" spans="1:8" x14ac:dyDescent="0.3">
      <c r="A212" s="124"/>
      <c r="B212" s="124"/>
      <c r="C212" s="124"/>
      <c r="D212" s="124"/>
      <c r="E212" s="124"/>
      <c r="F212" s="124"/>
      <c r="G212" s="124"/>
      <c r="H212" s="124"/>
    </row>
    <row r="213" spans="1:8" x14ac:dyDescent="0.3">
      <c r="A213" s="40" t="s">
        <v>70</v>
      </c>
      <c r="B213" s="41"/>
      <c r="C213" s="41"/>
      <c r="D213" s="40" t="str">
        <f>E8</f>
        <v>Medius</v>
      </c>
      <c r="F213" s="41"/>
      <c r="G213" s="41"/>
      <c r="H213" s="41"/>
    </row>
    <row r="214" spans="1:8" x14ac:dyDescent="0.3">
      <c r="A214" s="41"/>
      <c r="B214" s="41"/>
      <c r="C214" s="41"/>
      <c r="D214" s="41"/>
      <c r="E214" s="41"/>
      <c r="F214" s="41"/>
      <c r="G214" s="41"/>
      <c r="H214" s="41"/>
    </row>
    <row r="215" spans="1:8" x14ac:dyDescent="0.3">
      <c r="A215" s="41"/>
      <c r="B215" s="41"/>
      <c r="C215" s="41"/>
      <c r="D215" s="41"/>
      <c r="E215" s="41"/>
      <c r="F215" s="41"/>
      <c r="G215" s="41"/>
      <c r="H215" s="41"/>
    </row>
    <row r="216" spans="1:8" ht="15" customHeight="1" x14ac:dyDescent="0.3"/>
    <row r="256" spans="1:1" x14ac:dyDescent="0.3">
      <c r="A256" s="43" t="s">
        <v>71</v>
      </c>
    </row>
  </sheetData>
  <mergeCells count="402">
    <mergeCell ref="A45:B45"/>
    <mergeCell ref="C45:H45"/>
    <mergeCell ref="B191:H191"/>
    <mergeCell ref="F79:H79"/>
    <mergeCell ref="A79:E79"/>
    <mergeCell ref="D105:D106"/>
    <mergeCell ref="A81:E81"/>
    <mergeCell ref="A82:E82"/>
    <mergeCell ref="F87:H87"/>
    <mergeCell ref="A94:B94"/>
    <mergeCell ref="A88:E88"/>
    <mergeCell ref="C94:D94"/>
    <mergeCell ref="E94:F94"/>
    <mergeCell ref="G94:H94"/>
    <mergeCell ref="A97:B97"/>
    <mergeCell ref="C97:D97"/>
    <mergeCell ref="C63:H63"/>
    <mergeCell ref="D56:H56"/>
    <mergeCell ref="A58:C58"/>
    <mergeCell ref="A71:B71"/>
    <mergeCell ref="D57:H57"/>
    <mergeCell ref="D54:H54"/>
    <mergeCell ref="A54:C54"/>
    <mergeCell ref="A57:C57"/>
    <mergeCell ref="L133:M133"/>
    <mergeCell ref="L134:M134"/>
    <mergeCell ref="B192:H192"/>
    <mergeCell ref="B188:H188"/>
    <mergeCell ref="B186:H186"/>
    <mergeCell ref="B187:H187"/>
    <mergeCell ref="B189:H189"/>
    <mergeCell ref="B190:H190"/>
    <mergeCell ref="G131:H131"/>
    <mergeCell ref="L136:M136"/>
    <mergeCell ref="G137:H137"/>
    <mergeCell ref="L137:M137"/>
    <mergeCell ref="G138:H138"/>
    <mergeCell ref="L138:M138"/>
    <mergeCell ref="G139:H139"/>
    <mergeCell ref="L139:M139"/>
    <mergeCell ref="G140:H140"/>
    <mergeCell ref="L140:M140"/>
    <mergeCell ref="G136:H136"/>
    <mergeCell ref="L141:M141"/>
    <mergeCell ref="G142:H142"/>
    <mergeCell ref="L142:M142"/>
    <mergeCell ref="L143:M143"/>
    <mergeCell ref="L145:M145"/>
    <mergeCell ref="L112:M112"/>
    <mergeCell ref="L111:M111"/>
    <mergeCell ref="L110:M110"/>
    <mergeCell ref="L109:M109"/>
    <mergeCell ref="A74:B74"/>
    <mergeCell ref="C100:D100"/>
    <mergeCell ref="E100:F100"/>
    <mergeCell ref="G100:H100"/>
    <mergeCell ref="F84:H84"/>
    <mergeCell ref="A78:E78"/>
    <mergeCell ref="A108:H108"/>
    <mergeCell ref="E105:E106"/>
    <mergeCell ref="G105:H106"/>
    <mergeCell ref="A83:E83"/>
    <mergeCell ref="F83:H83"/>
    <mergeCell ref="A84:E84"/>
    <mergeCell ref="A86:E86"/>
    <mergeCell ref="F80:H80"/>
    <mergeCell ref="A85:E85"/>
    <mergeCell ref="A80:E80"/>
    <mergeCell ref="A77:E77"/>
    <mergeCell ref="F77:H77"/>
    <mergeCell ref="F82:H82"/>
    <mergeCell ref="F81:H81"/>
    <mergeCell ref="A38:D38"/>
    <mergeCell ref="E38:H38"/>
    <mergeCell ref="F30:H30"/>
    <mergeCell ref="F31:H31"/>
    <mergeCell ref="C29:E29"/>
    <mergeCell ref="F32:H32"/>
    <mergeCell ref="F33:H33"/>
    <mergeCell ref="A35:B35"/>
    <mergeCell ref="F29:H29"/>
    <mergeCell ref="A30:B30"/>
    <mergeCell ref="A29:B29"/>
    <mergeCell ref="C30:E30"/>
    <mergeCell ref="A31:B31"/>
    <mergeCell ref="C31:E31"/>
    <mergeCell ref="A34:H34"/>
    <mergeCell ref="A33:B33"/>
    <mergeCell ref="A37:H37"/>
    <mergeCell ref="C33:E33"/>
    <mergeCell ref="A36:B36"/>
    <mergeCell ref="C35:H35"/>
    <mergeCell ref="C36:H36"/>
    <mergeCell ref="E23:H23"/>
    <mergeCell ref="A25:D25"/>
    <mergeCell ref="E25:H25"/>
    <mergeCell ref="A22:D22"/>
    <mergeCell ref="E22:H22"/>
    <mergeCell ref="A26:D26"/>
    <mergeCell ref="E26:H26"/>
    <mergeCell ref="A23:D23"/>
    <mergeCell ref="A32:B32"/>
    <mergeCell ref="C32:E32"/>
    <mergeCell ref="A27:D27"/>
    <mergeCell ref="E27:H27"/>
    <mergeCell ref="A28:D28"/>
    <mergeCell ref="E28:H28"/>
    <mergeCell ref="A24:D24"/>
    <mergeCell ref="E24:H24"/>
    <mergeCell ref="E19:H20"/>
    <mergeCell ref="E12:H12"/>
    <mergeCell ref="A13:B13"/>
    <mergeCell ref="C13:H13"/>
    <mergeCell ref="C14:H14"/>
    <mergeCell ref="A21:D21"/>
    <mergeCell ref="E21:H21"/>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 ref="A19:D20"/>
    <mergeCell ref="A1:H1"/>
    <mergeCell ref="A2:H2"/>
    <mergeCell ref="A3:D3"/>
    <mergeCell ref="E3:H3"/>
    <mergeCell ref="A4:D4"/>
    <mergeCell ref="A8:D8"/>
    <mergeCell ref="E8:H8"/>
    <mergeCell ref="A9:D9"/>
    <mergeCell ref="E9:H9"/>
    <mergeCell ref="E4:H4"/>
    <mergeCell ref="A10:D10"/>
    <mergeCell ref="E10:H10"/>
    <mergeCell ref="A5:D5"/>
    <mergeCell ref="E5:H5"/>
    <mergeCell ref="A6:D6"/>
    <mergeCell ref="E6:H6"/>
    <mergeCell ref="A7:D7"/>
    <mergeCell ref="E7:H7"/>
    <mergeCell ref="A14:B14"/>
    <mergeCell ref="A11:D11"/>
    <mergeCell ref="E11:H11"/>
    <mergeCell ref="A12:D12"/>
    <mergeCell ref="A40:D40"/>
    <mergeCell ref="E40:H40"/>
    <mergeCell ref="E41:H41"/>
    <mergeCell ref="E42:H42"/>
    <mergeCell ref="E43:H43"/>
    <mergeCell ref="A41:D41"/>
    <mergeCell ref="A42:D42"/>
    <mergeCell ref="A43:D43"/>
    <mergeCell ref="A44:H44"/>
    <mergeCell ref="A56:C56"/>
    <mergeCell ref="D58:H58"/>
    <mergeCell ref="C65:H65"/>
    <mergeCell ref="A68:B68"/>
    <mergeCell ref="A70:B70"/>
    <mergeCell ref="E66:F66"/>
    <mergeCell ref="A59:C59"/>
    <mergeCell ref="D59:H59"/>
    <mergeCell ref="A62:C62"/>
    <mergeCell ref="D62:H62"/>
    <mergeCell ref="A60:C60"/>
    <mergeCell ref="D60:H60"/>
    <mergeCell ref="A61:C61"/>
    <mergeCell ref="D61:H61"/>
    <mergeCell ref="A67:B67"/>
    <mergeCell ref="G66:H66"/>
    <mergeCell ref="E67:F76"/>
    <mergeCell ref="G67:H76"/>
    <mergeCell ref="A75:B75"/>
    <mergeCell ref="A76:B76"/>
    <mergeCell ref="A73:B73"/>
    <mergeCell ref="A66:B66"/>
    <mergeCell ref="A69:B69"/>
    <mergeCell ref="A65:B65"/>
    <mergeCell ref="A63:B63"/>
    <mergeCell ref="A209:H212"/>
    <mergeCell ref="A208:B208"/>
    <mergeCell ref="E208:F208"/>
    <mergeCell ref="C208:D208"/>
    <mergeCell ref="G208:H208"/>
    <mergeCell ref="A91:H91"/>
    <mergeCell ref="A89:E89"/>
    <mergeCell ref="F89:H89"/>
    <mergeCell ref="A90:E90"/>
    <mergeCell ref="F90:H90"/>
    <mergeCell ref="A100:B100"/>
    <mergeCell ref="A93:B93"/>
    <mergeCell ref="A204:H204"/>
    <mergeCell ref="A98:H98"/>
    <mergeCell ref="A207:H207"/>
    <mergeCell ref="A205:H205"/>
    <mergeCell ref="A185:H185"/>
    <mergeCell ref="C105:C106"/>
    <mergeCell ref="B123:B124"/>
    <mergeCell ref="G111:H111"/>
    <mergeCell ref="G112:H112"/>
    <mergeCell ref="G116:H116"/>
    <mergeCell ref="A201:H201"/>
    <mergeCell ref="A202:H202"/>
    <mergeCell ref="E99:F99"/>
    <mergeCell ref="E92:F92"/>
    <mergeCell ref="A103:H103"/>
    <mergeCell ref="A92:B92"/>
    <mergeCell ref="B105:B106"/>
    <mergeCell ref="A105:A106"/>
    <mergeCell ref="C123:C124"/>
    <mergeCell ref="B194:H194"/>
    <mergeCell ref="B195:H195"/>
    <mergeCell ref="G121:H121"/>
    <mergeCell ref="G133:H133"/>
    <mergeCell ref="G134:H134"/>
    <mergeCell ref="A135:H135"/>
    <mergeCell ref="A144:H144"/>
    <mergeCell ref="G145:H145"/>
    <mergeCell ref="G146:H146"/>
    <mergeCell ref="G151:H151"/>
    <mergeCell ref="G101:H101"/>
    <mergeCell ref="B193:H193"/>
    <mergeCell ref="A102:B102"/>
    <mergeCell ref="C102:D102"/>
    <mergeCell ref="E102:F102"/>
    <mergeCell ref="G102:H102"/>
    <mergeCell ref="F85:H85"/>
    <mergeCell ref="C92:D92"/>
    <mergeCell ref="F88:H88"/>
    <mergeCell ref="F86:H86"/>
    <mergeCell ref="A104:H104"/>
    <mergeCell ref="G92:H92"/>
    <mergeCell ref="A87:E87"/>
    <mergeCell ref="C93:D93"/>
    <mergeCell ref="E93:F93"/>
    <mergeCell ref="A95:B95"/>
    <mergeCell ref="A101:B101"/>
    <mergeCell ref="C95:D95"/>
    <mergeCell ref="E95:F95"/>
    <mergeCell ref="G95:H95"/>
    <mergeCell ref="A96:B96"/>
    <mergeCell ref="C96:D96"/>
    <mergeCell ref="E96:F96"/>
    <mergeCell ref="G96:H96"/>
    <mergeCell ref="E97:F97"/>
    <mergeCell ref="G97:H97"/>
    <mergeCell ref="C99:D99"/>
    <mergeCell ref="G99:H99"/>
    <mergeCell ref="C101:D101"/>
    <mergeCell ref="E101:F101"/>
    <mergeCell ref="D55:H55"/>
    <mergeCell ref="C47:E47"/>
    <mergeCell ref="A50:B50"/>
    <mergeCell ref="C50:E50"/>
    <mergeCell ref="A47:B47"/>
    <mergeCell ref="A51:H51"/>
    <mergeCell ref="A52:C52"/>
    <mergeCell ref="A53:C53"/>
    <mergeCell ref="D53:H53"/>
    <mergeCell ref="G50:H50"/>
    <mergeCell ref="G47:H47"/>
    <mergeCell ref="A48:B49"/>
    <mergeCell ref="A55:C55"/>
    <mergeCell ref="L113:M113"/>
    <mergeCell ref="G114:H114"/>
    <mergeCell ref="L114:M114"/>
    <mergeCell ref="G115:H115"/>
    <mergeCell ref="L115:M115"/>
    <mergeCell ref="E39:H39"/>
    <mergeCell ref="A39:D39"/>
    <mergeCell ref="A206:H206"/>
    <mergeCell ref="A203:H203"/>
    <mergeCell ref="A99:B99"/>
    <mergeCell ref="D123:D124"/>
    <mergeCell ref="E123:E124"/>
    <mergeCell ref="G123:H124"/>
    <mergeCell ref="A72:B72"/>
    <mergeCell ref="F78:H78"/>
    <mergeCell ref="G93:H93"/>
    <mergeCell ref="A46:B46"/>
    <mergeCell ref="C46:E46"/>
    <mergeCell ref="C49:E49"/>
    <mergeCell ref="G49:H49"/>
    <mergeCell ref="G46:H46"/>
    <mergeCell ref="G48:H48"/>
    <mergeCell ref="D52:H52"/>
    <mergeCell ref="C48:E48"/>
    <mergeCell ref="L121:M121"/>
    <mergeCell ref="C119:F119"/>
    <mergeCell ref="C120:F120"/>
    <mergeCell ref="A122:H122"/>
    <mergeCell ref="A125:H125"/>
    <mergeCell ref="A126:H126"/>
    <mergeCell ref="G132:H132"/>
    <mergeCell ref="L132:M132"/>
    <mergeCell ref="L116:M116"/>
    <mergeCell ref="G117:H117"/>
    <mergeCell ref="L117:M117"/>
    <mergeCell ref="A118:H118"/>
    <mergeCell ref="G119:H119"/>
    <mergeCell ref="L119:M119"/>
    <mergeCell ref="G120:H120"/>
    <mergeCell ref="L120:M120"/>
    <mergeCell ref="A123:A124"/>
    <mergeCell ref="L131:M131"/>
    <mergeCell ref="G128:H128"/>
    <mergeCell ref="L128:M128"/>
    <mergeCell ref="G129:H129"/>
    <mergeCell ref="L129:M129"/>
    <mergeCell ref="G130:H130"/>
    <mergeCell ref="L130:M130"/>
    <mergeCell ref="L146:M146"/>
    <mergeCell ref="G141:H141"/>
    <mergeCell ref="L147:M147"/>
    <mergeCell ref="G148:H148"/>
    <mergeCell ref="L148:M148"/>
    <mergeCell ref="G143:H143"/>
    <mergeCell ref="G149:H149"/>
    <mergeCell ref="L149:M149"/>
    <mergeCell ref="G150:H150"/>
    <mergeCell ref="L150:M150"/>
    <mergeCell ref="L151:M151"/>
    <mergeCell ref="G147:H147"/>
    <mergeCell ref="L152:M152"/>
    <mergeCell ref="A153:H153"/>
    <mergeCell ref="L155:M155"/>
    <mergeCell ref="G156:H156"/>
    <mergeCell ref="L156:M156"/>
    <mergeCell ref="G157:H157"/>
    <mergeCell ref="L157:M157"/>
    <mergeCell ref="G152:H152"/>
    <mergeCell ref="L165:M165"/>
    <mergeCell ref="L158:M158"/>
    <mergeCell ref="A159:H159"/>
    <mergeCell ref="G160:H160"/>
    <mergeCell ref="L160:M160"/>
    <mergeCell ref="G161:H161"/>
    <mergeCell ref="L161:M161"/>
    <mergeCell ref="G162:H162"/>
    <mergeCell ref="L162:M162"/>
    <mergeCell ref="G163:H163"/>
    <mergeCell ref="L163:M163"/>
    <mergeCell ref="G158:H158"/>
    <mergeCell ref="L170:M170"/>
    <mergeCell ref="G171:H171"/>
    <mergeCell ref="L171:M171"/>
    <mergeCell ref="G172:H172"/>
    <mergeCell ref="L172:M172"/>
    <mergeCell ref="G173:H173"/>
    <mergeCell ref="L173:M173"/>
    <mergeCell ref="L166:M166"/>
    <mergeCell ref="G167:H167"/>
    <mergeCell ref="L167:M167"/>
    <mergeCell ref="G168:H168"/>
    <mergeCell ref="L168:M168"/>
    <mergeCell ref="L181:M181"/>
    <mergeCell ref="G182:H182"/>
    <mergeCell ref="L182:M182"/>
    <mergeCell ref="G183:H183"/>
    <mergeCell ref="L183:M183"/>
    <mergeCell ref="G184:H184"/>
    <mergeCell ref="L184:M184"/>
    <mergeCell ref="L175:M175"/>
    <mergeCell ref="G176:H176"/>
    <mergeCell ref="L176:M176"/>
    <mergeCell ref="G177:H177"/>
    <mergeCell ref="L177:M177"/>
    <mergeCell ref="G178:H178"/>
    <mergeCell ref="L178:M178"/>
    <mergeCell ref="B200:H200"/>
    <mergeCell ref="A107:H107"/>
    <mergeCell ref="G113:H113"/>
    <mergeCell ref="A127:H127"/>
    <mergeCell ref="G166:H166"/>
    <mergeCell ref="A154:H154"/>
    <mergeCell ref="A180:H180"/>
    <mergeCell ref="G181:H181"/>
    <mergeCell ref="A169:H169"/>
    <mergeCell ref="G170:H170"/>
    <mergeCell ref="G155:H155"/>
    <mergeCell ref="G109:H109"/>
    <mergeCell ref="G110:H110"/>
    <mergeCell ref="B199:H199"/>
    <mergeCell ref="B198:H198"/>
    <mergeCell ref="B197:H197"/>
    <mergeCell ref="C170:F170"/>
    <mergeCell ref="A179:H179"/>
    <mergeCell ref="A174:H174"/>
    <mergeCell ref="G175:H175"/>
    <mergeCell ref="A164:H164"/>
    <mergeCell ref="G165:H165"/>
    <mergeCell ref="B196:H196"/>
  </mergeCells>
  <hyperlinks>
    <hyperlink ref="C36" r:id="rId1" xr:uid="{00000000-0004-0000-0000-000000000000}"/>
  </hyperlinks>
  <printOptions horizontalCentered="1"/>
  <pageMargins left="0.39370078740157499" right="0.39370078740157499" top="0.78740157480314998" bottom="0.78740157480314998" header="0.15748031496063" footer="0.196850393700787"/>
  <pageSetup paperSize="2" fitToHeight="0" orientation="portrait" r:id="rId2"/>
  <headerFooter>
    <oddHeader>&amp;C&amp;G</oddHeader>
    <oddFooter>&amp;L&amp;"Times New Roman,Bold"&amp;12Ref No: &amp;F&amp;C&amp;G&amp;R&amp;"Times New Roman,Bold"&amp;12&amp;P</oddFooter>
  </headerFooter>
  <rowBreaks count="3" manualBreakCount="3">
    <brk id="62" max="7" man="1"/>
    <brk id="212" max="16383" man="1"/>
    <brk id="255"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C20" sqref="C20"/>
    </sheetView>
  </sheetViews>
  <sheetFormatPr defaultColWidth="8.77734375" defaultRowHeight="14.4" x14ac:dyDescent="0.3"/>
  <cols>
    <col min="1" max="1" width="8.77734375" style="1"/>
    <col min="2" max="2" width="22.21875" style="1" customWidth="1"/>
    <col min="3" max="3" width="37" style="1" customWidth="1"/>
    <col min="4" max="5" width="11.44140625" style="1" customWidth="1"/>
    <col min="6" max="6" width="14" style="1" customWidth="1"/>
    <col min="7" max="7" width="20" style="1" customWidth="1"/>
    <col min="8" max="8" width="16.44140625" style="1" customWidth="1"/>
    <col min="9" max="16384" width="8.77734375" style="1"/>
  </cols>
  <sheetData>
    <row r="1" spans="1:9" ht="15" customHeight="1" x14ac:dyDescent="0.3"/>
    <row r="2" spans="1:9" ht="15" customHeight="1" x14ac:dyDescent="0.3">
      <c r="A2" s="2"/>
      <c r="B2" s="2"/>
      <c r="C2" s="2"/>
      <c r="D2" s="2"/>
      <c r="E2" s="2"/>
      <c r="F2" s="2"/>
      <c r="G2" s="2"/>
      <c r="H2" s="2"/>
    </row>
    <row r="3" spans="1:9" ht="15.75" customHeight="1" x14ac:dyDescent="0.3">
      <c r="A3" s="2"/>
      <c r="B3" s="166" t="s">
        <v>115</v>
      </c>
      <c r="C3" s="166"/>
      <c r="D3" s="166"/>
      <c r="E3" s="166"/>
      <c r="F3" s="166"/>
      <c r="G3" s="166"/>
      <c r="H3" s="166"/>
    </row>
    <row r="4" spans="1:9" x14ac:dyDescent="0.3">
      <c r="A4" s="2"/>
      <c r="B4" s="3" t="s">
        <v>116</v>
      </c>
      <c r="C4" s="3" t="s">
        <v>117</v>
      </c>
      <c r="D4" s="3" t="s">
        <v>73</v>
      </c>
      <c r="E4" s="3" t="s">
        <v>118</v>
      </c>
      <c r="F4" s="3" t="s">
        <v>124</v>
      </c>
      <c r="G4" s="3" t="s">
        <v>125</v>
      </c>
      <c r="H4" s="3" t="s">
        <v>119</v>
      </c>
    </row>
    <row r="5" spans="1:9" ht="15" customHeight="1" x14ac:dyDescent="0.3">
      <c r="A5" s="2"/>
      <c r="B5" s="5" t="s">
        <v>120</v>
      </c>
      <c r="C5" s="6"/>
      <c r="D5" s="5"/>
      <c r="E5" s="5"/>
      <c r="F5" s="7">
        <f>E5*1.6</f>
        <v>0</v>
      </c>
      <c r="G5" s="7" t="e">
        <f>H5/F5</f>
        <v>#DIV/0!</v>
      </c>
      <c r="H5" s="8"/>
    </row>
    <row r="6" spans="1:9" x14ac:dyDescent="0.3">
      <c r="A6" s="2"/>
      <c r="B6" s="5" t="s">
        <v>120</v>
      </c>
      <c r="C6" s="9"/>
      <c r="D6" s="5"/>
      <c r="E6" s="5"/>
      <c r="F6" s="7">
        <f t="shared" ref="F6:F11" si="0">E6*1.6</f>
        <v>0</v>
      </c>
      <c r="G6" s="7" t="e">
        <f t="shared" ref="G6:G11" si="1">H6/F6</f>
        <v>#DIV/0!</v>
      </c>
      <c r="H6" s="8"/>
    </row>
    <row r="7" spans="1:9" ht="15" customHeight="1" x14ac:dyDescent="0.3">
      <c r="A7" s="2"/>
      <c r="B7" s="5" t="s">
        <v>120</v>
      </c>
      <c r="C7" s="6"/>
      <c r="D7" s="5"/>
      <c r="E7" s="5"/>
      <c r="F7" s="7">
        <f t="shared" si="0"/>
        <v>0</v>
      </c>
      <c r="G7" s="7" t="e">
        <f t="shared" si="1"/>
        <v>#DIV/0!</v>
      </c>
      <c r="H7" s="8"/>
    </row>
    <row r="8" spans="1:9" x14ac:dyDescent="0.3">
      <c r="A8" s="2"/>
      <c r="B8" s="5" t="s">
        <v>120</v>
      </c>
      <c r="C8" s="9"/>
      <c r="D8" s="5"/>
      <c r="E8" s="5"/>
      <c r="F8" s="7">
        <f t="shared" si="0"/>
        <v>0</v>
      </c>
      <c r="G8" s="7" t="e">
        <f t="shared" si="1"/>
        <v>#DIV/0!</v>
      </c>
      <c r="H8" s="8"/>
    </row>
    <row r="9" spans="1:9" ht="15" customHeight="1" x14ac:dyDescent="0.3">
      <c r="A9" s="2"/>
      <c r="B9" s="5" t="s">
        <v>120</v>
      </c>
      <c r="C9" s="9"/>
      <c r="D9" s="5"/>
      <c r="E9" s="5"/>
      <c r="F9" s="7">
        <f t="shared" si="0"/>
        <v>0</v>
      </c>
      <c r="G9" s="7" t="e">
        <f t="shared" si="1"/>
        <v>#DIV/0!</v>
      </c>
      <c r="H9" s="8"/>
    </row>
    <row r="10" spans="1:9" ht="15" customHeight="1" x14ac:dyDescent="0.3">
      <c r="A10" s="2"/>
      <c r="B10" s="5" t="s">
        <v>121</v>
      </c>
      <c r="C10" s="6"/>
      <c r="D10" s="5"/>
      <c r="E10" s="5"/>
      <c r="F10" s="7">
        <f t="shared" si="0"/>
        <v>0</v>
      </c>
      <c r="G10" s="7" t="e">
        <f t="shared" si="1"/>
        <v>#DIV/0!</v>
      </c>
      <c r="H10" s="8"/>
    </row>
    <row r="11" spans="1:9" ht="15" customHeight="1" x14ac:dyDescent="0.3">
      <c r="A11" s="2"/>
      <c r="B11" s="5" t="s">
        <v>121</v>
      </c>
      <c r="C11" s="6"/>
      <c r="D11" s="5"/>
      <c r="E11" s="5"/>
      <c r="F11" s="7">
        <f t="shared" si="0"/>
        <v>0</v>
      </c>
      <c r="G11" s="7" t="e">
        <f t="shared" si="1"/>
        <v>#DIV/0!</v>
      </c>
      <c r="H11" s="8"/>
    </row>
    <row r="12" spans="1:9" ht="15" customHeight="1" x14ac:dyDescent="0.3">
      <c r="A12" s="2"/>
      <c r="B12" s="10" t="s">
        <v>122</v>
      </c>
      <c r="C12" s="5"/>
      <c r="D12" s="5"/>
      <c r="E12" s="5"/>
      <c r="F12" s="5"/>
      <c r="G12" s="11" t="e">
        <f>AVERAGE(G5:G11)</f>
        <v>#DIV/0!</v>
      </c>
      <c r="H12" s="5"/>
    </row>
    <row r="13" spans="1:9" ht="15" customHeight="1" x14ac:dyDescent="0.3">
      <c r="B13" s="10" t="s">
        <v>123</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zoomScale="70" zoomScaleNormal="70" workbookViewId="0">
      <selection activeCell="E24" sqref="E24"/>
    </sheetView>
  </sheetViews>
  <sheetFormatPr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52"/>
  <sheetViews>
    <sheetView view="pageLayout" topLeftCell="A269" zoomScaleNormal="100" zoomScaleSheetLayoutView="110" workbookViewId="0">
      <selection activeCell="H238" sqref="H238"/>
    </sheetView>
  </sheetViews>
  <sheetFormatPr defaultColWidth="9.21875" defaultRowHeight="15.6" x14ac:dyDescent="0.3"/>
  <cols>
    <col min="1" max="1" width="11.44140625" style="42" customWidth="1"/>
    <col min="2" max="2" width="12" style="42" customWidth="1"/>
    <col min="3" max="3" width="12.77734375" style="42" customWidth="1"/>
    <col min="4" max="4" width="14.21875" style="42" customWidth="1"/>
    <col min="5" max="7" width="11.77734375" style="42" customWidth="1"/>
    <col min="8" max="8" width="12.44140625" style="42" customWidth="1"/>
    <col min="9" max="9" width="17.44140625" style="23" customWidth="1"/>
    <col min="10" max="10" width="11.44140625" style="23" customWidth="1"/>
    <col min="11" max="11" width="10.5546875" style="23" bestFit="1" customWidth="1"/>
    <col min="12" max="12" width="10.5546875" style="23" customWidth="1"/>
    <col min="13" max="13" width="11.77734375" style="23" customWidth="1"/>
    <col min="14" max="14" width="12.5546875" style="23" customWidth="1"/>
    <col min="15" max="15" width="9.77734375" style="23" customWidth="1"/>
    <col min="16" max="16" width="11.77734375" style="23" customWidth="1"/>
    <col min="17" max="247" width="9.21875" style="23"/>
    <col min="248" max="248" width="8.77734375" style="23" customWidth="1"/>
    <col min="249" max="249" width="9.77734375" style="23" customWidth="1"/>
    <col min="250" max="250" width="14.44140625" style="23" customWidth="1"/>
    <col min="251" max="251" width="7.21875" style="23" customWidth="1"/>
    <col min="252" max="252" width="5.5546875" style="23" customWidth="1"/>
    <col min="253" max="253" width="9" style="23" customWidth="1"/>
    <col min="254" max="255" width="9.77734375" style="23" customWidth="1"/>
    <col min="256" max="256" width="11.21875" style="23" customWidth="1"/>
    <col min="257" max="257" width="2.77734375" style="23" customWidth="1"/>
    <col min="258" max="258" width="3.5546875" style="23" customWidth="1"/>
    <col min="259" max="503" width="9.21875" style="23"/>
    <col min="504" max="504" width="8.77734375" style="23" customWidth="1"/>
    <col min="505" max="505" width="9.77734375" style="23" customWidth="1"/>
    <col min="506" max="506" width="14.44140625" style="23" customWidth="1"/>
    <col min="507" max="507" width="7.21875" style="23" customWidth="1"/>
    <col min="508" max="508" width="5.5546875" style="23" customWidth="1"/>
    <col min="509" max="509" width="9" style="23" customWidth="1"/>
    <col min="510" max="511" width="9.77734375" style="23" customWidth="1"/>
    <col min="512" max="512" width="11.21875" style="23" customWidth="1"/>
    <col min="513" max="513" width="2.77734375" style="23" customWidth="1"/>
    <col min="514" max="514" width="3.5546875" style="23" customWidth="1"/>
    <col min="515" max="759" width="9.21875" style="23"/>
    <col min="760" max="760" width="8.77734375" style="23" customWidth="1"/>
    <col min="761" max="761" width="9.77734375" style="23" customWidth="1"/>
    <col min="762" max="762" width="14.44140625" style="23" customWidth="1"/>
    <col min="763" max="763" width="7.21875" style="23" customWidth="1"/>
    <col min="764" max="764" width="5.5546875" style="23" customWidth="1"/>
    <col min="765" max="765" width="9" style="23" customWidth="1"/>
    <col min="766" max="767" width="9.77734375" style="23" customWidth="1"/>
    <col min="768" max="768" width="11.21875" style="23" customWidth="1"/>
    <col min="769" max="769" width="2.77734375" style="23" customWidth="1"/>
    <col min="770" max="770" width="3.5546875" style="23" customWidth="1"/>
    <col min="771" max="1015" width="9.21875" style="23"/>
    <col min="1016" max="1016" width="8.77734375" style="23" customWidth="1"/>
    <col min="1017" max="1017" width="9.77734375" style="23" customWidth="1"/>
    <col min="1018" max="1018" width="14.44140625" style="23" customWidth="1"/>
    <col min="1019" max="1019" width="7.21875" style="23" customWidth="1"/>
    <col min="1020" max="1020" width="5.5546875" style="23" customWidth="1"/>
    <col min="1021" max="1021" width="9" style="23" customWidth="1"/>
    <col min="1022" max="1023" width="9.77734375" style="23" customWidth="1"/>
    <col min="1024" max="1024" width="11.21875" style="23" customWidth="1"/>
    <col min="1025" max="1025" width="2.77734375" style="23" customWidth="1"/>
    <col min="1026" max="1026" width="3.5546875" style="23" customWidth="1"/>
    <col min="1027" max="1271" width="9.21875" style="23"/>
    <col min="1272" max="1272" width="8.77734375" style="23" customWidth="1"/>
    <col min="1273" max="1273" width="9.77734375" style="23" customWidth="1"/>
    <col min="1274" max="1274" width="14.44140625" style="23" customWidth="1"/>
    <col min="1275" max="1275" width="7.21875" style="23" customWidth="1"/>
    <col min="1276" max="1276" width="5.5546875" style="23" customWidth="1"/>
    <col min="1277" max="1277" width="9" style="23" customWidth="1"/>
    <col min="1278" max="1279" width="9.77734375" style="23" customWidth="1"/>
    <col min="1280" max="1280" width="11.21875" style="23" customWidth="1"/>
    <col min="1281" max="1281" width="2.77734375" style="23" customWidth="1"/>
    <col min="1282" max="1282" width="3.5546875" style="23" customWidth="1"/>
    <col min="1283" max="1527" width="9.21875" style="23"/>
    <col min="1528" max="1528" width="8.77734375" style="23" customWidth="1"/>
    <col min="1529" max="1529" width="9.77734375" style="23" customWidth="1"/>
    <col min="1530" max="1530" width="14.44140625" style="23" customWidth="1"/>
    <col min="1531" max="1531" width="7.21875" style="23" customWidth="1"/>
    <col min="1532" max="1532" width="5.5546875" style="23" customWidth="1"/>
    <col min="1533" max="1533" width="9" style="23" customWidth="1"/>
    <col min="1534" max="1535" width="9.77734375" style="23" customWidth="1"/>
    <col min="1536" max="1536" width="11.21875" style="23" customWidth="1"/>
    <col min="1537" max="1537" width="2.77734375" style="23" customWidth="1"/>
    <col min="1538" max="1538" width="3.5546875" style="23" customWidth="1"/>
    <col min="1539" max="1783" width="9.21875" style="23"/>
    <col min="1784" max="1784" width="8.77734375" style="23" customWidth="1"/>
    <col min="1785" max="1785" width="9.77734375" style="23" customWidth="1"/>
    <col min="1786" max="1786" width="14.44140625" style="23" customWidth="1"/>
    <col min="1787" max="1787" width="7.21875" style="23" customWidth="1"/>
    <col min="1788" max="1788" width="5.5546875" style="23" customWidth="1"/>
    <col min="1789" max="1789" width="9" style="23" customWidth="1"/>
    <col min="1790" max="1791" width="9.77734375" style="23" customWidth="1"/>
    <col min="1792" max="1792" width="11.21875" style="23" customWidth="1"/>
    <col min="1793" max="1793" width="2.77734375" style="23" customWidth="1"/>
    <col min="1794" max="1794" width="3.5546875" style="23" customWidth="1"/>
    <col min="1795" max="2039" width="9.21875" style="23"/>
    <col min="2040" max="2040" width="8.77734375" style="23" customWidth="1"/>
    <col min="2041" max="2041" width="9.77734375" style="23" customWidth="1"/>
    <col min="2042" max="2042" width="14.44140625" style="23" customWidth="1"/>
    <col min="2043" max="2043" width="7.21875" style="23" customWidth="1"/>
    <col min="2044" max="2044" width="5.5546875" style="23" customWidth="1"/>
    <col min="2045" max="2045" width="9" style="23" customWidth="1"/>
    <col min="2046" max="2047" width="9.77734375" style="23" customWidth="1"/>
    <col min="2048" max="2048" width="11.21875" style="23" customWidth="1"/>
    <col min="2049" max="2049" width="2.77734375" style="23" customWidth="1"/>
    <col min="2050" max="2050" width="3.5546875" style="23" customWidth="1"/>
    <col min="2051" max="2295" width="9.21875" style="23"/>
    <col min="2296" max="2296" width="8.77734375" style="23" customWidth="1"/>
    <col min="2297" max="2297" width="9.77734375" style="23" customWidth="1"/>
    <col min="2298" max="2298" width="14.44140625" style="23" customWidth="1"/>
    <col min="2299" max="2299" width="7.21875" style="23" customWidth="1"/>
    <col min="2300" max="2300" width="5.5546875" style="23" customWidth="1"/>
    <col min="2301" max="2301" width="9" style="23" customWidth="1"/>
    <col min="2302" max="2303" width="9.77734375" style="23" customWidth="1"/>
    <col min="2304" max="2304" width="11.21875" style="23" customWidth="1"/>
    <col min="2305" max="2305" width="2.77734375" style="23" customWidth="1"/>
    <col min="2306" max="2306" width="3.5546875" style="23" customWidth="1"/>
    <col min="2307" max="2551" width="9.21875" style="23"/>
    <col min="2552" max="2552" width="8.77734375" style="23" customWidth="1"/>
    <col min="2553" max="2553" width="9.77734375" style="23" customWidth="1"/>
    <col min="2554" max="2554" width="14.44140625" style="23" customWidth="1"/>
    <col min="2555" max="2555" width="7.21875" style="23" customWidth="1"/>
    <col min="2556" max="2556" width="5.5546875" style="23" customWidth="1"/>
    <col min="2557" max="2557" width="9" style="23" customWidth="1"/>
    <col min="2558" max="2559" width="9.77734375" style="23" customWidth="1"/>
    <col min="2560" max="2560" width="11.21875" style="23" customWidth="1"/>
    <col min="2561" max="2561" width="2.77734375" style="23" customWidth="1"/>
    <col min="2562" max="2562" width="3.5546875" style="23" customWidth="1"/>
    <col min="2563" max="2807" width="9.21875" style="23"/>
    <col min="2808" max="2808" width="8.77734375" style="23" customWidth="1"/>
    <col min="2809" max="2809" width="9.77734375" style="23" customWidth="1"/>
    <col min="2810" max="2810" width="14.44140625" style="23" customWidth="1"/>
    <col min="2811" max="2811" width="7.21875" style="23" customWidth="1"/>
    <col min="2812" max="2812" width="5.5546875" style="23" customWidth="1"/>
    <col min="2813" max="2813" width="9" style="23" customWidth="1"/>
    <col min="2814" max="2815" width="9.77734375" style="23" customWidth="1"/>
    <col min="2816" max="2816" width="11.21875" style="23" customWidth="1"/>
    <col min="2817" max="2817" width="2.77734375" style="23" customWidth="1"/>
    <col min="2818" max="2818" width="3.5546875" style="23" customWidth="1"/>
    <col min="2819" max="3063" width="9.21875" style="23"/>
    <col min="3064" max="3064" width="8.77734375" style="23" customWidth="1"/>
    <col min="3065" max="3065" width="9.77734375" style="23" customWidth="1"/>
    <col min="3066" max="3066" width="14.44140625" style="23" customWidth="1"/>
    <col min="3067" max="3067" width="7.21875" style="23" customWidth="1"/>
    <col min="3068" max="3068" width="5.5546875" style="23" customWidth="1"/>
    <col min="3069" max="3069" width="9" style="23" customWidth="1"/>
    <col min="3070" max="3071" width="9.77734375" style="23" customWidth="1"/>
    <col min="3072" max="3072" width="11.21875" style="23" customWidth="1"/>
    <col min="3073" max="3073" width="2.77734375" style="23" customWidth="1"/>
    <col min="3074" max="3074" width="3.5546875" style="23" customWidth="1"/>
    <col min="3075" max="3319" width="9.21875" style="23"/>
    <col min="3320" max="3320" width="8.77734375" style="23" customWidth="1"/>
    <col min="3321" max="3321" width="9.77734375" style="23" customWidth="1"/>
    <col min="3322" max="3322" width="14.44140625" style="23" customWidth="1"/>
    <col min="3323" max="3323" width="7.21875" style="23" customWidth="1"/>
    <col min="3324" max="3324" width="5.5546875" style="23" customWidth="1"/>
    <col min="3325" max="3325" width="9" style="23" customWidth="1"/>
    <col min="3326" max="3327" width="9.77734375" style="23" customWidth="1"/>
    <col min="3328" max="3328" width="11.21875" style="23" customWidth="1"/>
    <col min="3329" max="3329" width="2.77734375" style="23" customWidth="1"/>
    <col min="3330" max="3330" width="3.5546875" style="23" customWidth="1"/>
    <col min="3331" max="3575" width="9.21875" style="23"/>
    <col min="3576" max="3576" width="8.77734375" style="23" customWidth="1"/>
    <col min="3577" max="3577" width="9.77734375" style="23" customWidth="1"/>
    <col min="3578" max="3578" width="14.44140625" style="23" customWidth="1"/>
    <col min="3579" max="3579" width="7.21875" style="23" customWidth="1"/>
    <col min="3580" max="3580" width="5.5546875" style="23" customWidth="1"/>
    <col min="3581" max="3581" width="9" style="23" customWidth="1"/>
    <col min="3582" max="3583" width="9.77734375" style="23" customWidth="1"/>
    <col min="3584" max="3584" width="11.21875" style="23" customWidth="1"/>
    <col min="3585" max="3585" width="2.77734375" style="23" customWidth="1"/>
    <col min="3586" max="3586" width="3.5546875" style="23" customWidth="1"/>
    <col min="3587" max="3831" width="9.21875" style="23"/>
    <col min="3832" max="3832" width="8.77734375" style="23" customWidth="1"/>
    <col min="3833" max="3833" width="9.77734375" style="23" customWidth="1"/>
    <col min="3834" max="3834" width="14.44140625" style="23" customWidth="1"/>
    <col min="3835" max="3835" width="7.21875" style="23" customWidth="1"/>
    <col min="3836" max="3836" width="5.5546875" style="23" customWidth="1"/>
    <col min="3837" max="3837" width="9" style="23" customWidth="1"/>
    <col min="3838" max="3839" width="9.77734375" style="23" customWidth="1"/>
    <col min="3840" max="3840" width="11.21875" style="23" customWidth="1"/>
    <col min="3841" max="3841" width="2.77734375" style="23" customWidth="1"/>
    <col min="3842" max="3842" width="3.5546875" style="23" customWidth="1"/>
    <col min="3843" max="4087" width="9.21875" style="23"/>
    <col min="4088" max="4088" width="8.77734375" style="23" customWidth="1"/>
    <col min="4089" max="4089" width="9.77734375" style="23" customWidth="1"/>
    <col min="4090" max="4090" width="14.44140625" style="23" customWidth="1"/>
    <col min="4091" max="4091" width="7.21875" style="23" customWidth="1"/>
    <col min="4092" max="4092" width="5.5546875" style="23" customWidth="1"/>
    <col min="4093" max="4093" width="9" style="23" customWidth="1"/>
    <col min="4094" max="4095" width="9.77734375" style="23" customWidth="1"/>
    <col min="4096" max="4096" width="11.21875" style="23" customWidth="1"/>
    <col min="4097" max="4097" width="2.77734375" style="23" customWidth="1"/>
    <col min="4098" max="4098" width="3.5546875" style="23" customWidth="1"/>
    <col min="4099" max="4343" width="9.21875" style="23"/>
    <col min="4344" max="4344" width="8.77734375" style="23" customWidth="1"/>
    <col min="4345" max="4345" width="9.77734375" style="23" customWidth="1"/>
    <col min="4346" max="4346" width="14.44140625" style="23" customWidth="1"/>
    <col min="4347" max="4347" width="7.21875" style="23" customWidth="1"/>
    <col min="4348" max="4348" width="5.5546875" style="23" customWidth="1"/>
    <col min="4349" max="4349" width="9" style="23" customWidth="1"/>
    <col min="4350" max="4351" width="9.77734375" style="23" customWidth="1"/>
    <col min="4352" max="4352" width="11.21875" style="23" customWidth="1"/>
    <col min="4353" max="4353" width="2.77734375" style="23" customWidth="1"/>
    <col min="4354" max="4354" width="3.5546875" style="23" customWidth="1"/>
    <col min="4355" max="4599" width="9.21875" style="23"/>
    <col min="4600" max="4600" width="8.77734375" style="23" customWidth="1"/>
    <col min="4601" max="4601" width="9.77734375" style="23" customWidth="1"/>
    <col min="4602" max="4602" width="14.44140625" style="23" customWidth="1"/>
    <col min="4603" max="4603" width="7.21875" style="23" customWidth="1"/>
    <col min="4604" max="4604" width="5.5546875" style="23" customWidth="1"/>
    <col min="4605" max="4605" width="9" style="23" customWidth="1"/>
    <col min="4606" max="4607" width="9.77734375" style="23" customWidth="1"/>
    <col min="4608" max="4608" width="11.21875" style="23" customWidth="1"/>
    <col min="4609" max="4609" width="2.77734375" style="23" customWidth="1"/>
    <col min="4610" max="4610" width="3.5546875" style="23" customWidth="1"/>
    <col min="4611" max="4855" width="9.21875" style="23"/>
    <col min="4856" max="4856" width="8.77734375" style="23" customWidth="1"/>
    <col min="4857" max="4857" width="9.77734375" style="23" customWidth="1"/>
    <col min="4858" max="4858" width="14.44140625" style="23" customWidth="1"/>
    <col min="4859" max="4859" width="7.21875" style="23" customWidth="1"/>
    <col min="4860" max="4860" width="5.5546875" style="23" customWidth="1"/>
    <col min="4861" max="4861" width="9" style="23" customWidth="1"/>
    <col min="4862" max="4863" width="9.77734375" style="23" customWidth="1"/>
    <col min="4864" max="4864" width="11.21875" style="23" customWidth="1"/>
    <col min="4865" max="4865" width="2.77734375" style="23" customWidth="1"/>
    <col min="4866" max="4866" width="3.5546875" style="23" customWidth="1"/>
    <col min="4867" max="5111" width="9.21875" style="23"/>
    <col min="5112" max="5112" width="8.77734375" style="23" customWidth="1"/>
    <col min="5113" max="5113" width="9.77734375" style="23" customWidth="1"/>
    <col min="5114" max="5114" width="14.44140625" style="23" customWidth="1"/>
    <col min="5115" max="5115" width="7.21875" style="23" customWidth="1"/>
    <col min="5116" max="5116" width="5.5546875" style="23" customWidth="1"/>
    <col min="5117" max="5117" width="9" style="23" customWidth="1"/>
    <col min="5118" max="5119" width="9.77734375" style="23" customWidth="1"/>
    <col min="5120" max="5120" width="11.21875" style="23" customWidth="1"/>
    <col min="5121" max="5121" width="2.77734375" style="23" customWidth="1"/>
    <col min="5122" max="5122" width="3.5546875" style="23" customWidth="1"/>
    <col min="5123" max="5367" width="9.21875" style="23"/>
    <col min="5368" max="5368" width="8.77734375" style="23" customWidth="1"/>
    <col min="5369" max="5369" width="9.77734375" style="23" customWidth="1"/>
    <col min="5370" max="5370" width="14.44140625" style="23" customWidth="1"/>
    <col min="5371" max="5371" width="7.21875" style="23" customWidth="1"/>
    <col min="5372" max="5372" width="5.5546875" style="23" customWidth="1"/>
    <col min="5373" max="5373" width="9" style="23" customWidth="1"/>
    <col min="5374" max="5375" width="9.77734375" style="23" customWidth="1"/>
    <col min="5376" max="5376" width="11.21875" style="23" customWidth="1"/>
    <col min="5377" max="5377" width="2.77734375" style="23" customWidth="1"/>
    <col min="5378" max="5378" width="3.5546875" style="23" customWidth="1"/>
    <col min="5379" max="5623" width="9.21875" style="23"/>
    <col min="5624" max="5624" width="8.77734375" style="23" customWidth="1"/>
    <col min="5625" max="5625" width="9.77734375" style="23" customWidth="1"/>
    <col min="5626" max="5626" width="14.44140625" style="23" customWidth="1"/>
    <col min="5627" max="5627" width="7.21875" style="23" customWidth="1"/>
    <col min="5628" max="5628" width="5.5546875" style="23" customWidth="1"/>
    <col min="5629" max="5629" width="9" style="23" customWidth="1"/>
    <col min="5630" max="5631" width="9.77734375" style="23" customWidth="1"/>
    <col min="5632" max="5632" width="11.21875" style="23" customWidth="1"/>
    <col min="5633" max="5633" width="2.77734375" style="23" customWidth="1"/>
    <col min="5634" max="5634" width="3.5546875" style="23" customWidth="1"/>
    <col min="5635" max="5879" width="9.21875" style="23"/>
    <col min="5880" max="5880" width="8.77734375" style="23" customWidth="1"/>
    <col min="5881" max="5881" width="9.77734375" style="23" customWidth="1"/>
    <col min="5882" max="5882" width="14.44140625" style="23" customWidth="1"/>
    <col min="5883" max="5883" width="7.21875" style="23" customWidth="1"/>
    <col min="5884" max="5884" width="5.5546875" style="23" customWidth="1"/>
    <col min="5885" max="5885" width="9" style="23" customWidth="1"/>
    <col min="5886" max="5887" width="9.77734375" style="23" customWidth="1"/>
    <col min="5888" max="5888" width="11.21875" style="23" customWidth="1"/>
    <col min="5889" max="5889" width="2.77734375" style="23" customWidth="1"/>
    <col min="5890" max="5890" width="3.5546875" style="23" customWidth="1"/>
    <col min="5891" max="6135" width="9.21875" style="23"/>
    <col min="6136" max="6136" width="8.77734375" style="23" customWidth="1"/>
    <col min="6137" max="6137" width="9.77734375" style="23" customWidth="1"/>
    <col min="6138" max="6138" width="14.44140625" style="23" customWidth="1"/>
    <col min="6139" max="6139" width="7.21875" style="23" customWidth="1"/>
    <col min="6140" max="6140" width="5.5546875" style="23" customWidth="1"/>
    <col min="6141" max="6141" width="9" style="23" customWidth="1"/>
    <col min="6142" max="6143" width="9.77734375" style="23" customWidth="1"/>
    <col min="6144" max="6144" width="11.21875" style="23" customWidth="1"/>
    <col min="6145" max="6145" width="2.77734375" style="23" customWidth="1"/>
    <col min="6146" max="6146" width="3.5546875" style="23" customWidth="1"/>
    <col min="6147" max="6391" width="9.21875" style="23"/>
    <col min="6392" max="6392" width="8.77734375" style="23" customWidth="1"/>
    <col min="6393" max="6393" width="9.77734375" style="23" customWidth="1"/>
    <col min="6394" max="6394" width="14.44140625" style="23" customWidth="1"/>
    <col min="6395" max="6395" width="7.21875" style="23" customWidth="1"/>
    <col min="6396" max="6396" width="5.5546875" style="23" customWidth="1"/>
    <col min="6397" max="6397" width="9" style="23" customWidth="1"/>
    <col min="6398" max="6399" width="9.77734375" style="23" customWidth="1"/>
    <col min="6400" max="6400" width="11.21875" style="23" customWidth="1"/>
    <col min="6401" max="6401" width="2.77734375" style="23" customWidth="1"/>
    <col min="6402" max="6402" width="3.5546875" style="23" customWidth="1"/>
    <col min="6403" max="6647" width="9.21875" style="23"/>
    <col min="6648" max="6648" width="8.77734375" style="23" customWidth="1"/>
    <col min="6649" max="6649" width="9.77734375" style="23" customWidth="1"/>
    <col min="6650" max="6650" width="14.44140625" style="23" customWidth="1"/>
    <col min="6651" max="6651" width="7.21875" style="23" customWidth="1"/>
    <col min="6652" max="6652" width="5.5546875" style="23" customWidth="1"/>
    <col min="6653" max="6653" width="9" style="23" customWidth="1"/>
    <col min="6654" max="6655" width="9.77734375" style="23" customWidth="1"/>
    <col min="6656" max="6656" width="11.21875" style="23" customWidth="1"/>
    <col min="6657" max="6657" width="2.77734375" style="23" customWidth="1"/>
    <col min="6658" max="6658" width="3.5546875" style="23" customWidth="1"/>
    <col min="6659" max="6903" width="9.21875" style="23"/>
    <col min="6904" max="6904" width="8.77734375" style="23" customWidth="1"/>
    <col min="6905" max="6905" width="9.77734375" style="23" customWidth="1"/>
    <col min="6906" max="6906" width="14.44140625" style="23" customWidth="1"/>
    <col min="6907" max="6907" width="7.21875" style="23" customWidth="1"/>
    <col min="6908" max="6908" width="5.5546875" style="23" customWidth="1"/>
    <col min="6909" max="6909" width="9" style="23" customWidth="1"/>
    <col min="6910" max="6911" width="9.77734375" style="23" customWidth="1"/>
    <col min="6912" max="6912" width="11.21875" style="23" customWidth="1"/>
    <col min="6913" max="6913" width="2.77734375" style="23" customWidth="1"/>
    <col min="6914" max="6914" width="3.5546875" style="23" customWidth="1"/>
    <col min="6915" max="7159" width="9.21875" style="23"/>
    <col min="7160" max="7160" width="8.77734375" style="23" customWidth="1"/>
    <col min="7161" max="7161" width="9.77734375" style="23" customWidth="1"/>
    <col min="7162" max="7162" width="14.44140625" style="23" customWidth="1"/>
    <col min="7163" max="7163" width="7.21875" style="23" customWidth="1"/>
    <col min="7164" max="7164" width="5.5546875" style="23" customWidth="1"/>
    <col min="7165" max="7165" width="9" style="23" customWidth="1"/>
    <col min="7166" max="7167" width="9.77734375" style="23" customWidth="1"/>
    <col min="7168" max="7168" width="11.21875" style="23" customWidth="1"/>
    <col min="7169" max="7169" width="2.77734375" style="23" customWidth="1"/>
    <col min="7170" max="7170" width="3.5546875" style="23" customWidth="1"/>
    <col min="7171" max="7415" width="9.21875" style="23"/>
    <col min="7416" max="7416" width="8.77734375" style="23" customWidth="1"/>
    <col min="7417" max="7417" width="9.77734375" style="23" customWidth="1"/>
    <col min="7418" max="7418" width="14.44140625" style="23" customWidth="1"/>
    <col min="7419" max="7419" width="7.21875" style="23" customWidth="1"/>
    <col min="7420" max="7420" width="5.5546875" style="23" customWidth="1"/>
    <col min="7421" max="7421" width="9" style="23" customWidth="1"/>
    <col min="7422" max="7423" width="9.77734375" style="23" customWidth="1"/>
    <col min="7424" max="7424" width="11.21875" style="23" customWidth="1"/>
    <col min="7425" max="7425" width="2.77734375" style="23" customWidth="1"/>
    <col min="7426" max="7426" width="3.5546875" style="23" customWidth="1"/>
    <col min="7427" max="7671" width="9.21875" style="23"/>
    <col min="7672" max="7672" width="8.77734375" style="23" customWidth="1"/>
    <col min="7673" max="7673" width="9.77734375" style="23" customWidth="1"/>
    <col min="7674" max="7674" width="14.44140625" style="23" customWidth="1"/>
    <col min="7675" max="7675" width="7.21875" style="23" customWidth="1"/>
    <col min="7676" max="7676" width="5.5546875" style="23" customWidth="1"/>
    <col min="7677" max="7677" width="9" style="23" customWidth="1"/>
    <col min="7678" max="7679" width="9.77734375" style="23" customWidth="1"/>
    <col min="7680" max="7680" width="11.21875" style="23" customWidth="1"/>
    <col min="7681" max="7681" width="2.77734375" style="23" customWidth="1"/>
    <col min="7682" max="7682" width="3.5546875" style="23" customWidth="1"/>
    <col min="7683" max="7927" width="9.21875" style="23"/>
    <col min="7928" max="7928" width="8.77734375" style="23" customWidth="1"/>
    <col min="7929" max="7929" width="9.77734375" style="23" customWidth="1"/>
    <col min="7930" max="7930" width="14.44140625" style="23" customWidth="1"/>
    <col min="7931" max="7931" width="7.21875" style="23" customWidth="1"/>
    <col min="7932" max="7932" width="5.5546875" style="23" customWidth="1"/>
    <col min="7933" max="7933" width="9" style="23" customWidth="1"/>
    <col min="7934" max="7935" width="9.77734375" style="23" customWidth="1"/>
    <col min="7936" max="7936" width="11.21875" style="23" customWidth="1"/>
    <col min="7937" max="7937" width="2.77734375" style="23" customWidth="1"/>
    <col min="7938" max="7938" width="3.5546875" style="23" customWidth="1"/>
    <col min="7939" max="8183" width="9.21875" style="23"/>
    <col min="8184" max="8184" width="8.77734375" style="23" customWidth="1"/>
    <col min="8185" max="8185" width="9.77734375" style="23" customWidth="1"/>
    <col min="8186" max="8186" width="14.44140625" style="23" customWidth="1"/>
    <col min="8187" max="8187" width="7.21875" style="23" customWidth="1"/>
    <col min="8188" max="8188" width="5.5546875" style="23" customWidth="1"/>
    <col min="8189" max="8189" width="9" style="23" customWidth="1"/>
    <col min="8190" max="8191" width="9.77734375" style="23" customWidth="1"/>
    <col min="8192" max="8192" width="11.21875" style="23" customWidth="1"/>
    <col min="8193" max="8193" width="2.77734375" style="23" customWidth="1"/>
    <col min="8194" max="8194" width="3.5546875" style="23" customWidth="1"/>
    <col min="8195" max="8439" width="9.21875" style="23"/>
    <col min="8440" max="8440" width="8.77734375" style="23" customWidth="1"/>
    <col min="8441" max="8441" width="9.77734375" style="23" customWidth="1"/>
    <col min="8442" max="8442" width="14.44140625" style="23" customWidth="1"/>
    <col min="8443" max="8443" width="7.21875" style="23" customWidth="1"/>
    <col min="8444" max="8444" width="5.5546875" style="23" customWidth="1"/>
    <col min="8445" max="8445" width="9" style="23" customWidth="1"/>
    <col min="8446" max="8447" width="9.77734375" style="23" customWidth="1"/>
    <col min="8448" max="8448" width="11.21875" style="23" customWidth="1"/>
    <col min="8449" max="8449" width="2.77734375" style="23" customWidth="1"/>
    <col min="8450" max="8450" width="3.5546875" style="23" customWidth="1"/>
    <col min="8451" max="8695" width="9.21875" style="23"/>
    <col min="8696" max="8696" width="8.77734375" style="23" customWidth="1"/>
    <col min="8697" max="8697" width="9.77734375" style="23" customWidth="1"/>
    <col min="8698" max="8698" width="14.44140625" style="23" customWidth="1"/>
    <col min="8699" max="8699" width="7.21875" style="23" customWidth="1"/>
    <col min="8700" max="8700" width="5.5546875" style="23" customWidth="1"/>
    <col min="8701" max="8701" width="9" style="23" customWidth="1"/>
    <col min="8702" max="8703" width="9.77734375" style="23" customWidth="1"/>
    <col min="8704" max="8704" width="11.21875" style="23" customWidth="1"/>
    <col min="8705" max="8705" width="2.77734375" style="23" customWidth="1"/>
    <col min="8706" max="8706" width="3.5546875" style="23" customWidth="1"/>
    <col min="8707" max="8951" width="9.21875" style="23"/>
    <col min="8952" max="8952" width="8.77734375" style="23" customWidth="1"/>
    <col min="8953" max="8953" width="9.77734375" style="23" customWidth="1"/>
    <col min="8954" max="8954" width="14.44140625" style="23" customWidth="1"/>
    <col min="8955" max="8955" width="7.21875" style="23" customWidth="1"/>
    <col min="8956" max="8956" width="5.5546875" style="23" customWidth="1"/>
    <col min="8957" max="8957" width="9" style="23" customWidth="1"/>
    <col min="8958" max="8959" width="9.77734375" style="23" customWidth="1"/>
    <col min="8960" max="8960" width="11.21875" style="23" customWidth="1"/>
    <col min="8961" max="8961" width="2.77734375" style="23" customWidth="1"/>
    <col min="8962" max="8962" width="3.5546875" style="23" customWidth="1"/>
    <col min="8963" max="9207" width="9.21875" style="23"/>
    <col min="9208" max="9208" width="8.77734375" style="23" customWidth="1"/>
    <col min="9209" max="9209" width="9.77734375" style="23" customWidth="1"/>
    <col min="9210" max="9210" width="14.44140625" style="23" customWidth="1"/>
    <col min="9211" max="9211" width="7.21875" style="23" customWidth="1"/>
    <col min="9212" max="9212" width="5.5546875" style="23" customWidth="1"/>
    <col min="9213" max="9213" width="9" style="23" customWidth="1"/>
    <col min="9214" max="9215" width="9.77734375" style="23" customWidth="1"/>
    <col min="9216" max="9216" width="11.21875" style="23" customWidth="1"/>
    <col min="9217" max="9217" width="2.77734375" style="23" customWidth="1"/>
    <col min="9218" max="9218" width="3.5546875" style="23" customWidth="1"/>
    <col min="9219" max="9463" width="9.21875" style="23"/>
    <col min="9464" max="9464" width="8.77734375" style="23" customWidth="1"/>
    <col min="9465" max="9465" width="9.77734375" style="23" customWidth="1"/>
    <col min="9466" max="9466" width="14.44140625" style="23" customWidth="1"/>
    <col min="9467" max="9467" width="7.21875" style="23" customWidth="1"/>
    <col min="9468" max="9468" width="5.5546875" style="23" customWidth="1"/>
    <col min="9469" max="9469" width="9" style="23" customWidth="1"/>
    <col min="9470" max="9471" width="9.77734375" style="23" customWidth="1"/>
    <col min="9472" max="9472" width="11.21875" style="23" customWidth="1"/>
    <col min="9473" max="9473" width="2.77734375" style="23" customWidth="1"/>
    <col min="9474" max="9474" width="3.5546875" style="23" customWidth="1"/>
    <col min="9475" max="9719" width="9.21875" style="23"/>
    <col min="9720" max="9720" width="8.77734375" style="23" customWidth="1"/>
    <col min="9721" max="9721" width="9.77734375" style="23" customWidth="1"/>
    <col min="9722" max="9722" width="14.44140625" style="23" customWidth="1"/>
    <col min="9723" max="9723" width="7.21875" style="23" customWidth="1"/>
    <col min="9724" max="9724" width="5.5546875" style="23" customWidth="1"/>
    <col min="9725" max="9725" width="9" style="23" customWidth="1"/>
    <col min="9726" max="9727" width="9.77734375" style="23" customWidth="1"/>
    <col min="9728" max="9728" width="11.21875" style="23" customWidth="1"/>
    <col min="9729" max="9729" width="2.77734375" style="23" customWidth="1"/>
    <col min="9730" max="9730" width="3.5546875" style="23" customWidth="1"/>
    <col min="9731" max="9975" width="9.21875" style="23"/>
    <col min="9976" max="9976" width="8.77734375" style="23" customWidth="1"/>
    <col min="9977" max="9977" width="9.77734375" style="23" customWidth="1"/>
    <col min="9978" max="9978" width="14.44140625" style="23" customWidth="1"/>
    <col min="9979" max="9979" width="7.21875" style="23" customWidth="1"/>
    <col min="9980" max="9980" width="5.5546875" style="23" customWidth="1"/>
    <col min="9981" max="9981" width="9" style="23" customWidth="1"/>
    <col min="9982" max="9983" width="9.77734375" style="23" customWidth="1"/>
    <col min="9984" max="9984" width="11.21875" style="23" customWidth="1"/>
    <col min="9985" max="9985" width="2.77734375" style="23" customWidth="1"/>
    <col min="9986" max="9986" width="3.5546875" style="23" customWidth="1"/>
    <col min="9987" max="10231" width="9.21875" style="23"/>
    <col min="10232" max="10232" width="8.77734375" style="23" customWidth="1"/>
    <col min="10233" max="10233" width="9.77734375" style="23" customWidth="1"/>
    <col min="10234" max="10234" width="14.44140625" style="23" customWidth="1"/>
    <col min="10235" max="10235" width="7.21875" style="23" customWidth="1"/>
    <col min="10236" max="10236" width="5.5546875" style="23" customWidth="1"/>
    <col min="10237" max="10237" width="9" style="23" customWidth="1"/>
    <col min="10238" max="10239" width="9.77734375" style="23" customWidth="1"/>
    <col min="10240" max="10240" width="11.21875" style="23" customWidth="1"/>
    <col min="10241" max="10241" width="2.77734375" style="23" customWidth="1"/>
    <col min="10242" max="10242" width="3.5546875" style="23" customWidth="1"/>
    <col min="10243" max="10487" width="9.21875" style="23"/>
    <col min="10488" max="10488" width="8.77734375" style="23" customWidth="1"/>
    <col min="10489" max="10489" width="9.77734375" style="23" customWidth="1"/>
    <col min="10490" max="10490" width="14.44140625" style="23" customWidth="1"/>
    <col min="10491" max="10491" width="7.21875" style="23" customWidth="1"/>
    <col min="10492" max="10492" width="5.5546875" style="23" customWidth="1"/>
    <col min="10493" max="10493" width="9" style="23" customWidth="1"/>
    <col min="10494" max="10495" width="9.77734375" style="23" customWidth="1"/>
    <col min="10496" max="10496" width="11.21875" style="23" customWidth="1"/>
    <col min="10497" max="10497" width="2.77734375" style="23" customWidth="1"/>
    <col min="10498" max="10498" width="3.5546875" style="23" customWidth="1"/>
    <col min="10499" max="10743" width="9.21875" style="23"/>
    <col min="10744" max="10744" width="8.77734375" style="23" customWidth="1"/>
    <col min="10745" max="10745" width="9.77734375" style="23" customWidth="1"/>
    <col min="10746" max="10746" width="14.44140625" style="23" customWidth="1"/>
    <col min="10747" max="10747" width="7.21875" style="23" customWidth="1"/>
    <col min="10748" max="10748" width="5.5546875" style="23" customWidth="1"/>
    <col min="10749" max="10749" width="9" style="23" customWidth="1"/>
    <col min="10750" max="10751" width="9.77734375" style="23" customWidth="1"/>
    <col min="10752" max="10752" width="11.21875" style="23" customWidth="1"/>
    <col min="10753" max="10753" width="2.77734375" style="23" customWidth="1"/>
    <col min="10754" max="10754" width="3.5546875" style="23" customWidth="1"/>
    <col min="10755" max="10999" width="9.21875" style="23"/>
    <col min="11000" max="11000" width="8.77734375" style="23" customWidth="1"/>
    <col min="11001" max="11001" width="9.77734375" style="23" customWidth="1"/>
    <col min="11002" max="11002" width="14.44140625" style="23" customWidth="1"/>
    <col min="11003" max="11003" width="7.21875" style="23" customWidth="1"/>
    <col min="11004" max="11004" width="5.5546875" style="23" customWidth="1"/>
    <col min="11005" max="11005" width="9" style="23" customWidth="1"/>
    <col min="11006" max="11007" width="9.77734375" style="23" customWidth="1"/>
    <col min="11008" max="11008" width="11.21875" style="23" customWidth="1"/>
    <col min="11009" max="11009" width="2.77734375" style="23" customWidth="1"/>
    <col min="11010" max="11010" width="3.5546875" style="23" customWidth="1"/>
    <col min="11011" max="11255" width="9.21875" style="23"/>
    <col min="11256" max="11256" width="8.77734375" style="23" customWidth="1"/>
    <col min="11257" max="11257" width="9.77734375" style="23" customWidth="1"/>
    <col min="11258" max="11258" width="14.44140625" style="23" customWidth="1"/>
    <col min="11259" max="11259" width="7.21875" style="23" customWidth="1"/>
    <col min="11260" max="11260" width="5.5546875" style="23" customWidth="1"/>
    <col min="11261" max="11261" width="9" style="23" customWidth="1"/>
    <col min="11262" max="11263" width="9.77734375" style="23" customWidth="1"/>
    <col min="11264" max="11264" width="11.21875" style="23" customWidth="1"/>
    <col min="11265" max="11265" width="2.77734375" style="23" customWidth="1"/>
    <col min="11266" max="11266" width="3.5546875" style="23" customWidth="1"/>
    <col min="11267" max="11511" width="9.21875" style="23"/>
    <col min="11512" max="11512" width="8.77734375" style="23" customWidth="1"/>
    <col min="11513" max="11513" width="9.77734375" style="23" customWidth="1"/>
    <col min="11514" max="11514" width="14.44140625" style="23" customWidth="1"/>
    <col min="11515" max="11515" width="7.21875" style="23" customWidth="1"/>
    <col min="11516" max="11516" width="5.5546875" style="23" customWidth="1"/>
    <col min="11517" max="11517" width="9" style="23" customWidth="1"/>
    <col min="11518" max="11519" width="9.77734375" style="23" customWidth="1"/>
    <col min="11520" max="11520" width="11.21875" style="23" customWidth="1"/>
    <col min="11521" max="11521" width="2.77734375" style="23" customWidth="1"/>
    <col min="11522" max="11522" width="3.5546875" style="23" customWidth="1"/>
    <col min="11523" max="11767" width="9.21875" style="23"/>
    <col min="11768" max="11768" width="8.77734375" style="23" customWidth="1"/>
    <col min="11769" max="11769" width="9.77734375" style="23" customWidth="1"/>
    <col min="11770" max="11770" width="14.44140625" style="23" customWidth="1"/>
    <col min="11771" max="11771" width="7.21875" style="23" customWidth="1"/>
    <col min="11772" max="11772" width="5.5546875" style="23" customWidth="1"/>
    <col min="11773" max="11773" width="9" style="23" customWidth="1"/>
    <col min="11774" max="11775" width="9.77734375" style="23" customWidth="1"/>
    <col min="11776" max="11776" width="11.21875" style="23" customWidth="1"/>
    <col min="11777" max="11777" width="2.77734375" style="23" customWidth="1"/>
    <col min="11778" max="11778" width="3.5546875" style="23" customWidth="1"/>
    <col min="11779" max="12023" width="9.21875" style="23"/>
    <col min="12024" max="12024" width="8.77734375" style="23" customWidth="1"/>
    <col min="12025" max="12025" width="9.77734375" style="23" customWidth="1"/>
    <col min="12026" max="12026" width="14.44140625" style="23" customWidth="1"/>
    <col min="12027" max="12027" width="7.21875" style="23" customWidth="1"/>
    <col min="12028" max="12028" width="5.5546875" style="23" customWidth="1"/>
    <col min="12029" max="12029" width="9" style="23" customWidth="1"/>
    <col min="12030" max="12031" width="9.77734375" style="23" customWidth="1"/>
    <col min="12032" max="12032" width="11.21875" style="23" customWidth="1"/>
    <col min="12033" max="12033" width="2.77734375" style="23" customWidth="1"/>
    <col min="12034" max="12034" width="3.5546875" style="23" customWidth="1"/>
    <col min="12035" max="12279" width="9.21875" style="23"/>
    <col min="12280" max="12280" width="8.77734375" style="23" customWidth="1"/>
    <col min="12281" max="12281" width="9.77734375" style="23" customWidth="1"/>
    <col min="12282" max="12282" width="14.44140625" style="23" customWidth="1"/>
    <col min="12283" max="12283" width="7.21875" style="23" customWidth="1"/>
    <col min="12284" max="12284" width="5.5546875" style="23" customWidth="1"/>
    <col min="12285" max="12285" width="9" style="23" customWidth="1"/>
    <col min="12286" max="12287" width="9.77734375" style="23" customWidth="1"/>
    <col min="12288" max="12288" width="11.21875" style="23" customWidth="1"/>
    <col min="12289" max="12289" width="2.77734375" style="23" customWidth="1"/>
    <col min="12290" max="12290" width="3.5546875" style="23" customWidth="1"/>
    <col min="12291" max="12535" width="9.21875" style="23"/>
    <col min="12536" max="12536" width="8.77734375" style="23" customWidth="1"/>
    <col min="12537" max="12537" width="9.77734375" style="23" customWidth="1"/>
    <col min="12538" max="12538" width="14.44140625" style="23" customWidth="1"/>
    <col min="12539" max="12539" width="7.21875" style="23" customWidth="1"/>
    <col min="12540" max="12540" width="5.5546875" style="23" customWidth="1"/>
    <col min="12541" max="12541" width="9" style="23" customWidth="1"/>
    <col min="12542" max="12543" width="9.77734375" style="23" customWidth="1"/>
    <col min="12544" max="12544" width="11.21875" style="23" customWidth="1"/>
    <col min="12545" max="12545" width="2.77734375" style="23" customWidth="1"/>
    <col min="12546" max="12546" width="3.5546875" style="23" customWidth="1"/>
    <col min="12547" max="12791" width="9.21875" style="23"/>
    <col min="12792" max="12792" width="8.77734375" style="23" customWidth="1"/>
    <col min="12793" max="12793" width="9.77734375" style="23" customWidth="1"/>
    <col min="12794" max="12794" width="14.44140625" style="23" customWidth="1"/>
    <col min="12795" max="12795" width="7.21875" style="23" customWidth="1"/>
    <col min="12796" max="12796" width="5.5546875" style="23" customWidth="1"/>
    <col min="12797" max="12797" width="9" style="23" customWidth="1"/>
    <col min="12798" max="12799" width="9.77734375" style="23" customWidth="1"/>
    <col min="12800" max="12800" width="11.21875" style="23" customWidth="1"/>
    <col min="12801" max="12801" width="2.77734375" style="23" customWidth="1"/>
    <col min="12802" max="12802" width="3.5546875" style="23" customWidth="1"/>
    <col min="12803" max="13047" width="9.21875" style="23"/>
    <col min="13048" max="13048" width="8.77734375" style="23" customWidth="1"/>
    <col min="13049" max="13049" width="9.77734375" style="23" customWidth="1"/>
    <col min="13050" max="13050" width="14.44140625" style="23" customWidth="1"/>
    <col min="13051" max="13051" width="7.21875" style="23" customWidth="1"/>
    <col min="13052" max="13052" width="5.5546875" style="23" customWidth="1"/>
    <col min="13053" max="13053" width="9" style="23" customWidth="1"/>
    <col min="13054" max="13055" width="9.77734375" style="23" customWidth="1"/>
    <col min="13056" max="13056" width="11.21875" style="23" customWidth="1"/>
    <col min="13057" max="13057" width="2.77734375" style="23" customWidth="1"/>
    <col min="13058" max="13058" width="3.5546875" style="23" customWidth="1"/>
    <col min="13059" max="13303" width="9.21875" style="23"/>
    <col min="13304" max="13304" width="8.77734375" style="23" customWidth="1"/>
    <col min="13305" max="13305" width="9.77734375" style="23" customWidth="1"/>
    <col min="13306" max="13306" width="14.44140625" style="23" customWidth="1"/>
    <col min="13307" max="13307" width="7.21875" style="23" customWidth="1"/>
    <col min="13308" max="13308" width="5.5546875" style="23" customWidth="1"/>
    <col min="13309" max="13309" width="9" style="23" customWidth="1"/>
    <col min="13310" max="13311" width="9.77734375" style="23" customWidth="1"/>
    <col min="13312" max="13312" width="11.21875" style="23" customWidth="1"/>
    <col min="13313" max="13313" width="2.77734375" style="23" customWidth="1"/>
    <col min="13314" max="13314" width="3.5546875" style="23" customWidth="1"/>
    <col min="13315" max="13559" width="9.21875" style="23"/>
    <col min="13560" max="13560" width="8.77734375" style="23" customWidth="1"/>
    <col min="13561" max="13561" width="9.77734375" style="23" customWidth="1"/>
    <col min="13562" max="13562" width="14.44140625" style="23" customWidth="1"/>
    <col min="13563" max="13563" width="7.21875" style="23" customWidth="1"/>
    <col min="13564" max="13564" width="5.5546875" style="23" customWidth="1"/>
    <col min="13565" max="13565" width="9" style="23" customWidth="1"/>
    <col min="13566" max="13567" width="9.77734375" style="23" customWidth="1"/>
    <col min="13568" max="13568" width="11.21875" style="23" customWidth="1"/>
    <col min="13569" max="13569" width="2.77734375" style="23" customWidth="1"/>
    <col min="13570" max="13570" width="3.5546875" style="23" customWidth="1"/>
    <col min="13571" max="13815" width="9.21875" style="23"/>
    <col min="13816" max="13816" width="8.77734375" style="23" customWidth="1"/>
    <col min="13817" max="13817" width="9.77734375" style="23" customWidth="1"/>
    <col min="13818" max="13818" width="14.44140625" style="23" customWidth="1"/>
    <col min="13819" max="13819" width="7.21875" style="23" customWidth="1"/>
    <col min="13820" max="13820" width="5.5546875" style="23" customWidth="1"/>
    <col min="13821" max="13821" width="9" style="23" customWidth="1"/>
    <col min="13822" max="13823" width="9.77734375" style="23" customWidth="1"/>
    <col min="13824" max="13824" width="11.21875" style="23" customWidth="1"/>
    <col min="13825" max="13825" width="2.77734375" style="23" customWidth="1"/>
    <col min="13826" max="13826" width="3.5546875" style="23" customWidth="1"/>
    <col min="13827" max="14071" width="9.21875" style="23"/>
    <col min="14072" max="14072" width="8.77734375" style="23" customWidth="1"/>
    <col min="14073" max="14073" width="9.77734375" style="23" customWidth="1"/>
    <col min="14074" max="14074" width="14.44140625" style="23" customWidth="1"/>
    <col min="14075" max="14075" width="7.21875" style="23" customWidth="1"/>
    <col min="14076" max="14076" width="5.5546875" style="23" customWidth="1"/>
    <col min="14077" max="14077" width="9" style="23" customWidth="1"/>
    <col min="14078" max="14079" width="9.77734375" style="23" customWidth="1"/>
    <col min="14080" max="14080" width="11.21875" style="23" customWidth="1"/>
    <col min="14081" max="14081" width="2.77734375" style="23" customWidth="1"/>
    <col min="14082" max="14082" width="3.5546875" style="23" customWidth="1"/>
    <col min="14083" max="14327" width="9.21875" style="23"/>
    <col min="14328" max="14328" width="8.77734375" style="23" customWidth="1"/>
    <col min="14329" max="14329" width="9.77734375" style="23" customWidth="1"/>
    <col min="14330" max="14330" width="14.44140625" style="23" customWidth="1"/>
    <col min="14331" max="14331" width="7.21875" style="23" customWidth="1"/>
    <col min="14332" max="14332" width="5.5546875" style="23" customWidth="1"/>
    <col min="14333" max="14333" width="9" style="23" customWidth="1"/>
    <col min="14334" max="14335" width="9.77734375" style="23" customWidth="1"/>
    <col min="14336" max="14336" width="11.21875" style="23" customWidth="1"/>
    <col min="14337" max="14337" width="2.77734375" style="23" customWidth="1"/>
    <col min="14338" max="14338" width="3.5546875" style="23" customWidth="1"/>
    <col min="14339" max="14583" width="9.21875" style="23"/>
    <col min="14584" max="14584" width="8.77734375" style="23" customWidth="1"/>
    <col min="14585" max="14585" width="9.77734375" style="23" customWidth="1"/>
    <col min="14586" max="14586" width="14.44140625" style="23" customWidth="1"/>
    <col min="14587" max="14587" width="7.21875" style="23" customWidth="1"/>
    <col min="14588" max="14588" width="5.5546875" style="23" customWidth="1"/>
    <col min="14589" max="14589" width="9" style="23" customWidth="1"/>
    <col min="14590" max="14591" width="9.77734375" style="23" customWidth="1"/>
    <col min="14592" max="14592" width="11.21875" style="23" customWidth="1"/>
    <col min="14593" max="14593" width="2.77734375" style="23" customWidth="1"/>
    <col min="14594" max="14594" width="3.5546875" style="23" customWidth="1"/>
    <col min="14595" max="14839" width="9.21875" style="23"/>
    <col min="14840" max="14840" width="8.77734375" style="23" customWidth="1"/>
    <col min="14841" max="14841" width="9.77734375" style="23" customWidth="1"/>
    <col min="14842" max="14842" width="14.44140625" style="23" customWidth="1"/>
    <col min="14843" max="14843" width="7.21875" style="23" customWidth="1"/>
    <col min="14844" max="14844" width="5.5546875" style="23" customWidth="1"/>
    <col min="14845" max="14845" width="9" style="23" customWidth="1"/>
    <col min="14846" max="14847" width="9.77734375" style="23" customWidth="1"/>
    <col min="14848" max="14848" width="11.21875" style="23" customWidth="1"/>
    <col min="14849" max="14849" width="2.77734375" style="23" customWidth="1"/>
    <col min="14850" max="14850" width="3.5546875" style="23" customWidth="1"/>
    <col min="14851" max="15095" width="9.21875" style="23"/>
    <col min="15096" max="15096" width="8.77734375" style="23" customWidth="1"/>
    <col min="15097" max="15097" width="9.77734375" style="23" customWidth="1"/>
    <col min="15098" max="15098" width="14.44140625" style="23" customWidth="1"/>
    <col min="15099" max="15099" width="7.21875" style="23" customWidth="1"/>
    <col min="15100" max="15100" width="5.5546875" style="23" customWidth="1"/>
    <col min="15101" max="15101" width="9" style="23" customWidth="1"/>
    <col min="15102" max="15103" width="9.77734375" style="23" customWidth="1"/>
    <col min="15104" max="15104" width="11.21875" style="23" customWidth="1"/>
    <col min="15105" max="15105" width="2.77734375" style="23" customWidth="1"/>
    <col min="15106" max="15106" width="3.5546875" style="23" customWidth="1"/>
    <col min="15107" max="15351" width="9.21875" style="23"/>
    <col min="15352" max="15352" width="8.77734375" style="23" customWidth="1"/>
    <col min="15353" max="15353" width="9.77734375" style="23" customWidth="1"/>
    <col min="15354" max="15354" width="14.44140625" style="23" customWidth="1"/>
    <col min="15355" max="15355" width="7.21875" style="23" customWidth="1"/>
    <col min="15356" max="15356" width="5.5546875" style="23" customWidth="1"/>
    <col min="15357" max="15357" width="9" style="23" customWidth="1"/>
    <col min="15358" max="15359" width="9.77734375" style="23" customWidth="1"/>
    <col min="15360" max="15360" width="11.21875" style="23" customWidth="1"/>
    <col min="15361" max="15361" width="2.77734375" style="23" customWidth="1"/>
    <col min="15362" max="15362" width="3.5546875" style="23" customWidth="1"/>
    <col min="15363" max="15607" width="9.21875" style="23"/>
    <col min="15608" max="15608" width="8.77734375" style="23" customWidth="1"/>
    <col min="15609" max="15609" width="9.77734375" style="23" customWidth="1"/>
    <col min="15610" max="15610" width="14.44140625" style="23" customWidth="1"/>
    <col min="15611" max="15611" width="7.21875" style="23" customWidth="1"/>
    <col min="15612" max="15612" width="5.5546875" style="23" customWidth="1"/>
    <col min="15613" max="15613" width="9" style="23" customWidth="1"/>
    <col min="15614" max="15615" width="9.77734375" style="23" customWidth="1"/>
    <col min="15616" max="15616" width="11.21875" style="23" customWidth="1"/>
    <col min="15617" max="15617" width="2.77734375" style="23" customWidth="1"/>
    <col min="15618" max="15618" width="3.5546875" style="23" customWidth="1"/>
    <col min="15619" max="15863" width="9.21875" style="23"/>
    <col min="15864" max="15864" width="8.77734375" style="23" customWidth="1"/>
    <col min="15865" max="15865" width="9.77734375" style="23" customWidth="1"/>
    <col min="15866" max="15866" width="14.44140625" style="23" customWidth="1"/>
    <col min="15867" max="15867" width="7.21875" style="23" customWidth="1"/>
    <col min="15868" max="15868" width="5.5546875" style="23" customWidth="1"/>
    <col min="15869" max="15869" width="9" style="23" customWidth="1"/>
    <col min="15870" max="15871" width="9.77734375" style="23" customWidth="1"/>
    <col min="15872" max="15872" width="11.21875" style="23" customWidth="1"/>
    <col min="15873" max="15873" width="2.77734375" style="23" customWidth="1"/>
    <col min="15874" max="15874" width="3.5546875" style="23" customWidth="1"/>
    <col min="15875" max="16119" width="9.21875" style="23"/>
    <col min="16120" max="16120" width="8.77734375" style="23" customWidth="1"/>
    <col min="16121" max="16121" width="9.77734375" style="23" customWidth="1"/>
    <col min="16122" max="16122" width="14.44140625" style="23" customWidth="1"/>
    <col min="16123" max="16123" width="7.21875" style="23" customWidth="1"/>
    <col min="16124" max="16124" width="5.5546875" style="23" customWidth="1"/>
    <col min="16125" max="16125" width="9" style="23" customWidth="1"/>
    <col min="16126" max="16127" width="9.77734375" style="23" customWidth="1"/>
    <col min="16128" max="16128" width="11.21875" style="23" customWidth="1"/>
    <col min="16129" max="16129" width="2.77734375" style="23" customWidth="1"/>
    <col min="16130" max="16130" width="3.5546875" style="23" customWidth="1"/>
    <col min="16131" max="16384" width="9.21875" style="23"/>
  </cols>
  <sheetData>
    <row r="1" spans="1:8" ht="46.5" customHeight="1" x14ac:dyDescent="0.3">
      <c r="A1" s="145" t="s">
        <v>84</v>
      </c>
      <c r="B1" s="145"/>
      <c r="C1" s="145"/>
      <c r="D1" s="145"/>
      <c r="E1" s="145"/>
      <c r="F1" s="145"/>
      <c r="G1" s="145"/>
      <c r="H1" s="145"/>
    </row>
    <row r="2" spans="1:8" ht="16.5" customHeight="1" x14ac:dyDescent="0.3">
      <c r="A2" s="66" t="s">
        <v>0</v>
      </c>
      <c r="B2" s="66"/>
      <c r="C2" s="66"/>
      <c r="D2" s="66"/>
      <c r="E2" s="66"/>
      <c r="F2" s="66"/>
      <c r="G2" s="66"/>
      <c r="H2" s="66"/>
    </row>
    <row r="3" spans="1:8" x14ac:dyDescent="0.3">
      <c r="A3" s="104" t="s">
        <v>1</v>
      </c>
      <c r="B3" s="104"/>
      <c r="C3" s="104"/>
      <c r="D3" s="104"/>
      <c r="E3" s="104" t="str">
        <f ca="1">TEXT(TODAY(),"DD/MM/YYYY")</f>
        <v>19/08/2025</v>
      </c>
      <c r="F3" s="104"/>
      <c r="G3" s="104"/>
      <c r="H3" s="104"/>
    </row>
    <row r="4" spans="1:8" ht="15" customHeight="1" x14ac:dyDescent="0.3">
      <c r="A4" s="104" t="s">
        <v>2</v>
      </c>
      <c r="B4" s="104"/>
      <c r="C4" s="104"/>
      <c r="D4" s="104"/>
      <c r="E4" s="104" t="s">
        <v>215</v>
      </c>
      <c r="F4" s="104"/>
      <c r="G4" s="104"/>
      <c r="H4" s="104"/>
    </row>
    <row r="5" spans="1:8" x14ac:dyDescent="0.3">
      <c r="A5" s="104" t="s">
        <v>3</v>
      </c>
      <c r="B5" s="104"/>
      <c r="C5" s="104"/>
      <c r="D5" s="104"/>
      <c r="E5" s="144">
        <v>44659</v>
      </c>
      <c r="F5" s="144"/>
      <c r="G5" s="144"/>
      <c r="H5" s="144"/>
    </row>
    <row r="6" spans="1:8" ht="16.5" customHeight="1" x14ac:dyDescent="0.3">
      <c r="A6" s="104" t="s">
        <v>4</v>
      </c>
      <c r="B6" s="104"/>
      <c r="C6" s="104"/>
      <c r="D6" s="104"/>
      <c r="E6" s="104" t="s">
        <v>216</v>
      </c>
      <c r="F6" s="104"/>
      <c r="G6" s="104"/>
      <c r="H6" s="104"/>
    </row>
    <row r="7" spans="1:8" ht="15" customHeight="1" x14ac:dyDescent="0.3">
      <c r="A7" s="104" t="s">
        <v>5</v>
      </c>
      <c r="B7" s="104"/>
      <c r="C7" s="104"/>
      <c r="D7" s="104"/>
      <c r="E7" s="104" t="str">
        <f>E6</f>
        <v>M/s. Aventa Properties LLP</v>
      </c>
      <c r="F7" s="104"/>
      <c r="G7" s="104"/>
      <c r="H7" s="104"/>
    </row>
    <row r="8" spans="1:8" x14ac:dyDescent="0.3">
      <c r="A8" s="104" t="s">
        <v>6</v>
      </c>
      <c r="B8" s="104"/>
      <c r="C8" s="104"/>
      <c r="D8" s="104"/>
      <c r="E8" s="104" t="s">
        <v>217</v>
      </c>
      <c r="F8" s="104"/>
      <c r="G8" s="104"/>
      <c r="H8" s="104"/>
    </row>
    <row r="9" spans="1:8" x14ac:dyDescent="0.3">
      <c r="A9" s="104" t="s">
        <v>129</v>
      </c>
      <c r="B9" s="104"/>
      <c r="C9" s="104"/>
      <c r="D9" s="104"/>
      <c r="E9" s="104" t="s">
        <v>218</v>
      </c>
      <c r="F9" s="104"/>
      <c r="G9" s="104"/>
      <c r="H9" s="104"/>
    </row>
    <row r="10" spans="1:8" x14ac:dyDescent="0.3">
      <c r="A10" s="104" t="s">
        <v>7</v>
      </c>
      <c r="B10" s="104"/>
      <c r="C10" s="104"/>
      <c r="D10" s="104"/>
      <c r="E10" s="104" t="s">
        <v>219</v>
      </c>
      <c r="F10" s="104"/>
      <c r="G10" s="104"/>
      <c r="H10" s="104"/>
    </row>
    <row r="11" spans="1:8" x14ac:dyDescent="0.3">
      <c r="A11" s="104" t="s">
        <v>8</v>
      </c>
      <c r="B11" s="104"/>
      <c r="C11" s="104"/>
      <c r="D11" s="104"/>
      <c r="E11" s="103" t="s">
        <v>220</v>
      </c>
      <c r="F11" s="103"/>
      <c r="G11" s="103"/>
      <c r="H11" s="103"/>
    </row>
    <row r="12" spans="1:8" x14ac:dyDescent="0.3">
      <c r="A12" s="104" t="s">
        <v>9</v>
      </c>
      <c r="B12" s="104"/>
      <c r="C12" s="104"/>
      <c r="D12" s="104"/>
      <c r="E12" s="103" t="s">
        <v>221</v>
      </c>
      <c r="F12" s="104"/>
      <c r="G12" s="104"/>
      <c r="H12" s="104"/>
    </row>
    <row r="13" spans="1:8" ht="30.75" customHeight="1" x14ac:dyDescent="0.3">
      <c r="A13" s="103" t="s">
        <v>10</v>
      </c>
      <c r="B13" s="103"/>
      <c r="C13" s="103" t="s">
        <v>223</v>
      </c>
      <c r="D13" s="103"/>
      <c r="E13" s="103"/>
      <c r="F13" s="103"/>
      <c r="G13" s="103"/>
      <c r="H13" s="103"/>
    </row>
    <row r="14" spans="1:8" x14ac:dyDescent="0.3">
      <c r="A14" s="102" t="s">
        <v>222</v>
      </c>
      <c r="B14" s="102"/>
      <c r="C14" s="103" t="s">
        <v>224</v>
      </c>
      <c r="D14" s="103"/>
      <c r="E14" s="103"/>
      <c r="F14" s="103"/>
      <c r="G14" s="103"/>
      <c r="H14" s="103"/>
    </row>
    <row r="15" spans="1:8" ht="15.75" customHeight="1" x14ac:dyDescent="0.3">
      <c r="A15" s="102" t="s">
        <v>11</v>
      </c>
      <c r="B15" s="102"/>
      <c r="C15" s="104" t="s">
        <v>227</v>
      </c>
      <c r="D15" s="104"/>
      <c r="E15" s="102" t="s">
        <v>77</v>
      </c>
      <c r="F15" s="102"/>
      <c r="G15" s="103" t="s">
        <v>225</v>
      </c>
      <c r="H15" s="103"/>
    </row>
    <row r="16" spans="1:8" x14ac:dyDescent="0.3">
      <c r="A16" s="77" t="s">
        <v>13</v>
      </c>
      <c r="B16" s="77"/>
      <c r="C16" s="103" t="s">
        <v>226</v>
      </c>
      <c r="D16" s="103"/>
      <c r="E16" s="102" t="s">
        <v>12</v>
      </c>
      <c r="F16" s="102"/>
      <c r="G16" s="146" t="s">
        <v>226</v>
      </c>
      <c r="H16" s="146"/>
    </row>
    <row r="17" spans="1:8" x14ac:dyDescent="0.3">
      <c r="A17" s="77" t="s">
        <v>78</v>
      </c>
      <c r="B17" s="77"/>
      <c r="C17" s="103" t="s">
        <v>228</v>
      </c>
      <c r="D17" s="103"/>
      <c r="E17" s="102" t="s">
        <v>14</v>
      </c>
      <c r="F17" s="102"/>
      <c r="G17" s="103">
        <v>400016</v>
      </c>
      <c r="H17" s="103"/>
    </row>
    <row r="18" spans="1:8" ht="32.25" customHeight="1" x14ac:dyDescent="0.3">
      <c r="A18" s="77" t="s">
        <v>131</v>
      </c>
      <c r="B18" s="77"/>
      <c r="C18" s="103" t="s">
        <v>230</v>
      </c>
      <c r="D18" s="103"/>
      <c r="E18" s="102" t="s">
        <v>15</v>
      </c>
      <c r="F18" s="102"/>
      <c r="G18" s="103" t="s">
        <v>229</v>
      </c>
      <c r="H18" s="103"/>
    </row>
    <row r="19" spans="1:8" ht="15" customHeight="1" x14ac:dyDescent="0.3">
      <c r="A19" s="102" t="s">
        <v>81</v>
      </c>
      <c r="B19" s="102"/>
      <c r="C19" s="102"/>
      <c r="D19" s="102"/>
      <c r="E19" s="104" t="s">
        <v>16</v>
      </c>
      <c r="F19" s="104"/>
      <c r="G19" s="104"/>
      <c r="H19" s="104"/>
    </row>
    <row r="20" spans="1:8" ht="18.75" customHeight="1" x14ac:dyDescent="0.3">
      <c r="A20" s="102"/>
      <c r="B20" s="102"/>
      <c r="C20" s="102"/>
      <c r="D20" s="102"/>
      <c r="E20" s="104"/>
      <c r="F20" s="104"/>
      <c r="G20" s="104"/>
      <c r="H20" s="104"/>
    </row>
    <row r="21" spans="1:8" ht="15" customHeight="1" x14ac:dyDescent="0.3">
      <c r="A21" s="102" t="s">
        <v>17</v>
      </c>
      <c r="B21" s="102"/>
      <c r="C21" s="102"/>
      <c r="D21" s="102"/>
      <c r="E21" s="103" t="s">
        <v>18</v>
      </c>
      <c r="F21" s="103"/>
      <c r="G21" s="103"/>
      <c r="H21" s="103"/>
    </row>
    <row r="22" spans="1:8" ht="15" customHeight="1" x14ac:dyDescent="0.3">
      <c r="A22" s="77" t="s">
        <v>19</v>
      </c>
      <c r="B22" s="77"/>
      <c r="C22" s="77"/>
      <c r="D22" s="77"/>
      <c r="E22" s="103" t="str">
        <f>IF(AND(G16="Mumbai"),"Upper Class","Middle Class")</f>
        <v>Upper Class</v>
      </c>
      <c r="F22" s="103"/>
      <c r="G22" s="103"/>
      <c r="H22" s="103"/>
    </row>
    <row r="23" spans="1:8" x14ac:dyDescent="0.3">
      <c r="A23" s="77" t="s">
        <v>20</v>
      </c>
      <c r="B23" s="77"/>
      <c r="C23" s="77"/>
      <c r="D23" s="77"/>
      <c r="E23" s="103" t="s">
        <v>21</v>
      </c>
      <c r="F23" s="103"/>
      <c r="G23" s="103"/>
      <c r="H23" s="103"/>
    </row>
    <row r="24" spans="1:8" ht="15.75" customHeight="1" x14ac:dyDescent="0.3">
      <c r="A24" s="77" t="s">
        <v>22</v>
      </c>
      <c r="B24" s="77"/>
      <c r="C24" s="77"/>
      <c r="D24" s="77"/>
      <c r="E24" s="103" t="str">
        <f>IF(AND(G16="Mumbai"),"Developed","Developing")</f>
        <v>Developed</v>
      </c>
      <c r="F24" s="103"/>
      <c r="G24" s="103"/>
      <c r="H24" s="103"/>
    </row>
    <row r="25" spans="1:8" x14ac:dyDescent="0.3">
      <c r="A25" s="77" t="s">
        <v>23</v>
      </c>
      <c r="B25" s="77"/>
      <c r="C25" s="77"/>
      <c r="D25" s="77"/>
      <c r="E25" s="103" t="s">
        <v>24</v>
      </c>
      <c r="F25" s="103"/>
      <c r="G25" s="103"/>
      <c r="H25" s="103"/>
    </row>
    <row r="26" spans="1:8" ht="15.75" customHeight="1" x14ac:dyDescent="0.3">
      <c r="A26" s="77" t="s">
        <v>87</v>
      </c>
      <c r="B26" s="77"/>
      <c r="C26" s="77"/>
      <c r="D26" s="77"/>
      <c r="E26" s="103" t="s">
        <v>88</v>
      </c>
      <c r="F26" s="103"/>
      <c r="G26" s="103"/>
      <c r="H26" s="103"/>
    </row>
    <row r="27" spans="1:8" ht="15" customHeight="1" x14ac:dyDescent="0.3">
      <c r="A27" s="77" t="s">
        <v>35</v>
      </c>
      <c r="B27" s="77"/>
      <c r="C27" s="77"/>
      <c r="D27" s="77"/>
      <c r="E27" s="103" t="str">
        <f>IF(AND(ISNUMBER(SEARCH("Flat",D52)),ISNUMBER(SEARCH("Shop",D52)),ISNUMBER(SEARCH("Office",D52))),"Residential + Commercial",IF(AND(ISNUMBER(SEARCH("Flat",D52)),ISNUMBER(SEARCH("Shop",D52))),"Residential + Commercial",IF(AND(ISNUMBER(SEARCH("Flat",D52)),ISNUMBER(SEARCH("Office",D52))),"Residential + Commercial",IF(AND(ISNUMBER(SEARCH("Shop",D52)),ISNUMBER(SEARCH("Office",D52))),"Commercial",IF(ISNUMBER(SEARCH("Shop",D52)),"Commercial",IF(ISNUMBER(SEARCH("Office",D52)),"Commercial",IF(ISNUMBER(SEARCH("Flat",D52)),"Residentail")))))))</f>
        <v>Residential + Commercial</v>
      </c>
      <c r="F27" s="103"/>
      <c r="G27" s="103"/>
      <c r="H27" s="103"/>
    </row>
    <row r="28" spans="1:8" ht="15.75" customHeight="1" x14ac:dyDescent="0.3">
      <c r="A28" s="77" t="s">
        <v>99</v>
      </c>
      <c r="B28" s="77"/>
      <c r="C28" s="77"/>
      <c r="D28" s="77"/>
      <c r="E28" s="103" t="s">
        <v>36</v>
      </c>
      <c r="F28" s="103"/>
      <c r="G28" s="103"/>
      <c r="H28" s="103"/>
    </row>
    <row r="29" spans="1:8" s="24" customFormat="1" x14ac:dyDescent="0.3">
      <c r="A29" s="151" t="s">
        <v>100</v>
      </c>
      <c r="B29" s="151"/>
      <c r="C29" s="150" t="s">
        <v>29</v>
      </c>
      <c r="D29" s="150"/>
      <c r="E29" s="150"/>
      <c r="F29" s="150" t="s">
        <v>31</v>
      </c>
      <c r="G29" s="150"/>
      <c r="H29" s="150"/>
    </row>
    <row r="30" spans="1:8" s="24" customFormat="1" x14ac:dyDescent="0.3">
      <c r="A30" s="147" t="s">
        <v>25</v>
      </c>
      <c r="B30" s="147" t="s">
        <v>30</v>
      </c>
      <c r="C30" s="148" t="s">
        <v>30</v>
      </c>
      <c r="D30" s="148"/>
      <c r="E30" s="148"/>
      <c r="F30" s="148" t="s">
        <v>231</v>
      </c>
      <c r="G30" s="148"/>
      <c r="H30" s="148"/>
    </row>
    <row r="31" spans="1:8" x14ac:dyDescent="0.3">
      <c r="A31" s="147" t="s">
        <v>26</v>
      </c>
      <c r="B31" s="147" t="s">
        <v>30</v>
      </c>
      <c r="C31" s="148" t="s">
        <v>30</v>
      </c>
      <c r="D31" s="148"/>
      <c r="E31" s="148"/>
      <c r="F31" s="148" t="s">
        <v>232</v>
      </c>
      <c r="G31" s="148"/>
      <c r="H31" s="148"/>
    </row>
    <row r="32" spans="1:8" s="24" customFormat="1" x14ac:dyDescent="0.3">
      <c r="A32" s="147" t="s">
        <v>28</v>
      </c>
      <c r="B32" s="147" t="s">
        <v>30</v>
      </c>
      <c r="C32" s="148" t="s">
        <v>30</v>
      </c>
      <c r="D32" s="148"/>
      <c r="E32" s="148"/>
      <c r="F32" s="148" t="s">
        <v>233</v>
      </c>
      <c r="G32" s="148"/>
      <c r="H32" s="148"/>
    </row>
    <row r="33" spans="1:8" x14ac:dyDescent="0.3">
      <c r="A33" s="147" t="s">
        <v>27</v>
      </c>
      <c r="B33" s="147" t="s">
        <v>30</v>
      </c>
      <c r="C33" s="148" t="s">
        <v>30</v>
      </c>
      <c r="D33" s="148"/>
      <c r="E33" s="148"/>
      <c r="F33" s="148" t="s">
        <v>231</v>
      </c>
      <c r="G33" s="148"/>
      <c r="H33" s="148"/>
    </row>
    <row r="34" spans="1:8" x14ac:dyDescent="0.3">
      <c r="A34" s="77" t="s">
        <v>32</v>
      </c>
      <c r="B34" s="77"/>
      <c r="C34" s="77"/>
      <c r="D34" s="77"/>
      <c r="E34" s="77"/>
      <c r="F34" s="77"/>
      <c r="G34" s="77"/>
      <c r="H34" s="77"/>
    </row>
    <row r="35" spans="1:8" ht="15.75" customHeight="1" x14ac:dyDescent="0.3">
      <c r="A35" s="66" t="s">
        <v>33</v>
      </c>
      <c r="B35" s="66"/>
      <c r="C35" s="185">
        <v>19.031157400000001</v>
      </c>
      <c r="D35" s="185"/>
      <c r="E35" s="66" t="s">
        <v>34</v>
      </c>
      <c r="F35" s="66"/>
      <c r="G35" s="186">
        <v>72.841906499999993</v>
      </c>
      <c r="H35" s="186"/>
    </row>
    <row r="36" spans="1:8" x14ac:dyDescent="0.3">
      <c r="A36" s="126" t="s">
        <v>37</v>
      </c>
      <c r="B36" s="126"/>
      <c r="C36" s="126"/>
      <c r="D36" s="126"/>
      <c r="E36" s="126"/>
      <c r="F36" s="126"/>
      <c r="G36" s="126"/>
      <c r="H36" s="126"/>
    </row>
    <row r="37" spans="1:8" x14ac:dyDescent="0.3">
      <c r="A37" s="77" t="s">
        <v>38</v>
      </c>
      <c r="B37" s="77"/>
      <c r="C37" s="77"/>
      <c r="D37" s="77"/>
      <c r="E37" s="149">
        <v>2414.98</v>
      </c>
      <c r="F37" s="149"/>
      <c r="G37" s="149"/>
      <c r="H37" s="149"/>
    </row>
    <row r="38" spans="1:8" x14ac:dyDescent="0.3">
      <c r="A38" s="77" t="s">
        <v>39</v>
      </c>
      <c r="B38" s="77"/>
      <c r="C38" s="77"/>
      <c r="D38" s="77"/>
      <c r="E38" s="76">
        <v>1</v>
      </c>
      <c r="F38" s="76"/>
      <c r="G38" s="76"/>
      <c r="H38" s="76"/>
    </row>
    <row r="39" spans="1:8" x14ac:dyDescent="0.3">
      <c r="A39" s="77" t="s">
        <v>40</v>
      </c>
      <c r="B39" s="77"/>
      <c r="C39" s="77"/>
      <c r="D39" s="77"/>
      <c r="E39" s="76">
        <f>E41/E37-E38</f>
        <v>1.4588775062319357</v>
      </c>
      <c r="F39" s="76"/>
      <c r="G39" s="76"/>
      <c r="H39" s="76"/>
    </row>
    <row r="40" spans="1:8" x14ac:dyDescent="0.3">
      <c r="A40" s="77" t="s">
        <v>41</v>
      </c>
      <c r="B40" s="77"/>
      <c r="C40" s="77"/>
      <c r="D40" s="77"/>
      <c r="E40" s="142">
        <f>E38+E39</f>
        <v>2.4588775062319357</v>
      </c>
      <c r="F40" s="142"/>
      <c r="G40" s="142"/>
      <c r="H40" s="142"/>
    </row>
    <row r="41" spans="1:8" x14ac:dyDescent="0.3">
      <c r="A41" s="77" t="s">
        <v>98</v>
      </c>
      <c r="B41" s="77"/>
      <c r="C41" s="77"/>
      <c r="D41" s="77"/>
      <c r="E41" s="143">
        <v>5938.14</v>
      </c>
      <c r="F41" s="143"/>
      <c r="G41" s="143"/>
      <c r="H41" s="143"/>
    </row>
    <row r="42" spans="1:8" x14ac:dyDescent="0.3">
      <c r="A42" s="104" t="s">
        <v>42</v>
      </c>
      <c r="B42" s="104"/>
      <c r="C42" s="104"/>
      <c r="D42" s="104"/>
      <c r="E42" s="104" t="s">
        <v>219</v>
      </c>
      <c r="F42" s="104"/>
      <c r="G42" s="104"/>
      <c r="H42" s="104"/>
    </row>
    <row r="43" spans="1:8" x14ac:dyDescent="0.3">
      <c r="A43" s="126" t="s">
        <v>43</v>
      </c>
      <c r="B43" s="126"/>
      <c r="C43" s="126"/>
      <c r="D43" s="126"/>
      <c r="E43" s="126"/>
      <c r="F43" s="126"/>
      <c r="G43" s="126"/>
      <c r="H43" s="126"/>
    </row>
    <row r="44" spans="1:8" ht="33.75" customHeight="1" x14ac:dyDescent="0.3">
      <c r="A44" s="91" t="s">
        <v>162</v>
      </c>
      <c r="B44" s="92"/>
      <c r="C44" s="182" t="s">
        <v>234</v>
      </c>
      <c r="D44" s="183"/>
      <c r="E44" s="183"/>
      <c r="F44" s="183"/>
      <c r="G44" s="183"/>
      <c r="H44" s="184"/>
    </row>
    <row r="45" spans="1:8" ht="15.75" customHeight="1" x14ac:dyDescent="0.3">
      <c r="A45" s="91" t="s">
        <v>44</v>
      </c>
      <c r="B45" s="92"/>
      <c r="C45" s="91" t="s">
        <v>235</v>
      </c>
      <c r="D45" s="93"/>
      <c r="E45" s="92"/>
      <c r="F45" s="20" t="s">
        <v>45</v>
      </c>
      <c r="G45" s="94">
        <v>43599</v>
      </c>
      <c r="H45" s="92"/>
    </row>
    <row r="46" spans="1:8" x14ac:dyDescent="0.3">
      <c r="A46" s="91" t="s">
        <v>46</v>
      </c>
      <c r="B46" s="92"/>
      <c r="C46" s="91" t="str">
        <f>C45</f>
        <v>EB/6939/GN/A</v>
      </c>
      <c r="D46" s="93"/>
      <c r="E46" s="92"/>
      <c r="F46" s="20" t="s">
        <v>45</v>
      </c>
      <c r="G46" s="94">
        <f>G45</f>
        <v>43599</v>
      </c>
      <c r="H46" s="95"/>
    </row>
    <row r="47" spans="1:8" s="25" customFormat="1" ht="15.75" customHeight="1" x14ac:dyDescent="0.3">
      <c r="A47" s="107" t="s">
        <v>166</v>
      </c>
      <c r="B47" s="108"/>
      <c r="C47" s="91" t="s">
        <v>236</v>
      </c>
      <c r="D47" s="93"/>
      <c r="E47" s="92"/>
      <c r="F47" s="20" t="s">
        <v>45</v>
      </c>
      <c r="G47" s="94">
        <v>44410</v>
      </c>
      <c r="H47" s="95"/>
    </row>
    <row r="48" spans="1:8" s="25" customFormat="1" ht="97.5" customHeight="1" x14ac:dyDescent="0.3">
      <c r="A48" s="109"/>
      <c r="B48" s="110"/>
      <c r="C48" s="91" t="s">
        <v>237</v>
      </c>
      <c r="D48" s="93"/>
      <c r="E48" s="92"/>
      <c r="F48" s="20" t="s">
        <v>130</v>
      </c>
      <c r="G48" s="94">
        <v>44682</v>
      </c>
      <c r="H48" s="95"/>
    </row>
    <row r="49" spans="1:14" ht="33" customHeight="1" x14ac:dyDescent="0.3">
      <c r="A49" s="98" t="s">
        <v>47</v>
      </c>
      <c r="B49" s="99"/>
      <c r="C49" s="98" t="s">
        <v>113</v>
      </c>
      <c r="D49" s="100"/>
      <c r="E49" s="99"/>
      <c r="F49" s="51" t="s">
        <v>45</v>
      </c>
      <c r="G49" s="105" t="s">
        <v>30</v>
      </c>
      <c r="H49" s="106"/>
    </row>
    <row r="50" spans="1:14" x14ac:dyDescent="0.3">
      <c r="A50" s="101" t="s">
        <v>49</v>
      </c>
      <c r="B50" s="101"/>
      <c r="C50" s="101"/>
      <c r="D50" s="101"/>
      <c r="E50" s="101"/>
      <c r="F50" s="101"/>
      <c r="G50" s="101"/>
      <c r="H50" s="101"/>
    </row>
    <row r="51" spans="1:14" x14ac:dyDescent="0.3">
      <c r="A51" s="102" t="s">
        <v>97</v>
      </c>
      <c r="B51" s="102"/>
      <c r="C51" s="102"/>
      <c r="D51" s="77">
        <f>E41</f>
        <v>5938.14</v>
      </c>
      <c r="E51" s="77"/>
      <c r="F51" s="77"/>
      <c r="G51" s="77"/>
      <c r="H51" s="77"/>
    </row>
    <row r="52" spans="1:14" ht="32.25" customHeight="1" x14ac:dyDescent="0.3">
      <c r="A52" s="103" t="s">
        <v>50</v>
      </c>
      <c r="B52" s="104"/>
      <c r="C52" s="104"/>
      <c r="D52" s="103" t="s">
        <v>214</v>
      </c>
      <c r="E52" s="103"/>
      <c r="F52" s="103"/>
      <c r="G52" s="103"/>
      <c r="H52" s="103"/>
      <c r="I52" s="26"/>
    </row>
    <row r="53" spans="1:14" ht="30" customHeight="1" x14ac:dyDescent="0.3">
      <c r="A53" s="111" t="s">
        <v>51</v>
      </c>
      <c r="B53" s="112"/>
      <c r="C53" s="165"/>
      <c r="D53" s="96" t="s">
        <v>240</v>
      </c>
      <c r="E53" s="97"/>
      <c r="F53" s="97"/>
      <c r="G53" s="97"/>
      <c r="H53" s="97"/>
    </row>
    <row r="54" spans="1:14" ht="30.75" customHeight="1" x14ac:dyDescent="0.3">
      <c r="A54" s="111" t="s">
        <v>95</v>
      </c>
      <c r="B54" s="112"/>
      <c r="C54" s="112"/>
      <c r="D54" s="96" t="s">
        <v>239</v>
      </c>
      <c r="E54" s="97"/>
      <c r="F54" s="97"/>
      <c r="G54" s="97"/>
      <c r="H54" s="97"/>
    </row>
    <row r="55" spans="1:14" ht="15.75" customHeight="1" x14ac:dyDescent="0.3">
      <c r="A55" s="77" t="s">
        <v>48</v>
      </c>
      <c r="B55" s="77"/>
      <c r="C55" s="77"/>
      <c r="D55" s="103" t="s">
        <v>238</v>
      </c>
      <c r="E55" s="103"/>
      <c r="F55" s="103"/>
      <c r="G55" s="103"/>
      <c r="H55" s="103"/>
      <c r="J55" s="27"/>
      <c r="K55" s="26"/>
      <c r="N55" s="26"/>
    </row>
    <row r="56" spans="1:14" ht="15.75" customHeight="1" x14ac:dyDescent="0.3">
      <c r="A56" s="77" t="s">
        <v>93</v>
      </c>
      <c r="B56" s="77"/>
      <c r="C56" s="77"/>
      <c r="D56" s="164" t="str">
        <f>(IF(G49="NA","60 Years After Completion",IF(G49&lt;&gt;"NA",""&amp;60-ROUNDDOWN((E3-G49)/360,0)&amp;" Years"," ")))</f>
        <v>60 Years After Completion</v>
      </c>
      <c r="E56" s="164"/>
      <c r="F56" s="164"/>
      <c r="G56" s="164"/>
      <c r="H56" s="164"/>
      <c r="N56" s="26"/>
    </row>
    <row r="57" spans="1:14" ht="15.75" customHeight="1" x14ac:dyDescent="0.3">
      <c r="A57" s="77" t="s">
        <v>94</v>
      </c>
      <c r="B57" s="77"/>
      <c r="C57" s="77"/>
      <c r="D57" s="102" t="s">
        <v>24</v>
      </c>
      <c r="E57" s="102"/>
      <c r="F57" s="102"/>
      <c r="G57" s="102"/>
      <c r="H57" s="102"/>
      <c r="J57" s="16"/>
      <c r="K57" s="16"/>
    </row>
    <row r="58" spans="1:14" ht="15" customHeight="1" x14ac:dyDescent="0.3">
      <c r="A58" s="77" t="s">
        <v>79</v>
      </c>
      <c r="B58" s="77"/>
      <c r="C58" s="77"/>
      <c r="D58" s="103" t="s">
        <v>158</v>
      </c>
      <c r="E58" s="102"/>
      <c r="F58" s="102"/>
      <c r="G58" s="102"/>
      <c r="H58" s="102"/>
    </row>
    <row r="59" spans="1:14" x14ac:dyDescent="0.3">
      <c r="A59" s="102" t="s">
        <v>159</v>
      </c>
      <c r="B59" s="102"/>
      <c r="C59" s="102"/>
      <c r="D59" s="102" t="s">
        <v>30</v>
      </c>
      <c r="E59" s="102"/>
      <c r="F59" s="102"/>
      <c r="G59" s="102"/>
      <c r="H59" s="102"/>
      <c r="I59" s="28"/>
      <c r="J59" s="28"/>
      <c r="K59" s="28"/>
      <c r="L59" s="28"/>
      <c r="M59" s="28"/>
      <c r="N59" s="28"/>
    </row>
    <row r="60" spans="1:14" ht="15.75" customHeight="1" x14ac:dyDescent="0.3">
      <c r="A60" s="181" t="s">
        <v>92</v>
      </c>
      <c r="B60" s="181"/>
      <c r="C60" s="181"/>
      <c r="D60" s="96" t="str">
        <f ca="1">(IF(G66&gt;95%,"Nothing",IF(G66&gt;0%,"Cement, Aggregate, Steel, etc",IF(G66=0%,"Work not yet Started"))))</f>
        <v>Cement, Aggregate, Steel, etc</v>
      </c>
      <c r="E60" s="96"/>
      <c r="F60" s="96"/>
      <c r="G60" s="96"/>
      <c r="H60" s="96"/>
      <c r="J60" s="16"/>
    </row>
    <row r="61" spans="1:14" ht="33.75" customHeight="1" thickBot="1" x14ac:dyDescent="0.35">
      <c r="A61" s="173" t="s">
        <v>126</v>
      </c>
      <c r="B61" s="173"/>
      <c r="C61" s="173"/>
      <c r="D61" s="96" t="str">
        <f ca="1">(IF(D60="Nothing","Yes",IF(D60="Cement, Aggregate, Steel, etc","Under Construction",IF(D60="Work not yet Started","Work not yet Started"))))</f>
        <v>Under Construction</v>
      </c>
      <c r="E61" s="96"/>
      <c r="F61" s="96" t="str">
        <f ca="1">(IF(D60="Nothing","Yes",IF(D60="Cement, Aggregate, Steel, etc","Under Construction",IF(D60="Work not yet Started","Work not yet Started"))))</f>
        <v>Under Construction</v>
      </c>
      <c r="G61" s="96"/>
      <c r="H61" s="96"/>
    </row>
    <row r="62" spans="1:14" ht="15.75" customHeight="1" x14ac:dyDescent="0.3">
      <c r="A62" s="174" t="s">
        <v>150</v>
      </c>
      <c r="B62" s="175"/>
      <c r="C62" s="176" t="str">
        <f>D54</f>
        <v>B + G/st + 1st Floor + 2nd Floor (1st to 9th level Podium) + 3rd to 25th Floor.</v>
      </c>
      <c r="D62" s="177"/>
      <c r="E62" s="177"/>
      <c r="F62" s="177"/>
      <c r="G62" s="177"/>
      <c r="H62" s="178"/>
      <c r="I62" s="15" t="str">
        <f ca="1">(IF(E66&gt;99%,"All work completed. Please provide OC.",IF(E66&gt;89.8%,"Plinth, RCC, Brick, Plaster, Flooring, Painting work Completed. Finishing work is in process.",IF(E66&lt;94%,(IF(C66=0,"Work not yet Started.",IF(D66=25%,"Piling work in process",IF(D66=50%,"Excavation work in process",IF(D66=100%,"Excavation work Completed. ","0")))&amp;(IF(C67=0%,"",IF(C67=J68,"Footing work is process",IF(C67=J69,"Footing work Completed",IF(C67=J70,"1st Basement Completed",IF(C67=J71,"1st &amp; 2nd Basement Completed",IF(C67=J72,"1st to 3rd Basement Completed",IF(C67=J73,"1st to 4th Basement Completed",IF(C67=J74,"Plinth work is process",IF(C67=J75,"Plinth work completed","0")))))))))))&amp;(IF(C68=(D63+F63+H63),", RCC Slab Completed",IF(C68&gt;0,", RCC upto "&amp;C68&amp;" Slab Completed",""))&amp;(IF(C69=H63,", Brickwork Completed",IF(C69&gt;0,", Brickwork upto "&amp;C69&amp;" Floor Completed",""))&amp;(IF(C70=H63,", Internal Plaster Completed",IF(C70&gt;0,", Internal Plaster upto "&amp;C70&amp;" Floor Completed",""))&amp;(IF(C71=H63,", External Plaster Completed",IF(C71&gt;0,", External Plaster upto "&amp;C71&amp;" Floor Completed",""))&amp;(IF(C72=H63,", Flooring Completed",IF(C72&gt;0,", Flooring upto "&amp;C72&amp;" Floor Completed",""))&amp;(IF(C73=H63,", Painting Completed",IF(C73&gt;0,", Painting upto "&amp;C73&amp;" Floor Completed",""))&amp;(IF(C74&gt;0,", Finishing upto "&amp;C74&amp;" Floor Completed","")&amp;(IF(C68&gt;0.5,".",""))))))))))))))</f>
        <v>Excavation work Completed. Plinth work completed, RCC upto 6 Slab Completed.</v>
      </c>
      <c r="J62" s="29"/>
    </row>
    <row r="63" spans="1:14" x14ac:dyDescent="0.3">
      <c r="A63" s="18" t="s">
        <v>152</v>
      </c>
      <c r="B63" s="52">
        <v>1</v>
      </c>
      <c r="C63" s="52" t="s">
        <v>76</v>
      </c>
      <c r="D63" s="52">
        <v>1</v>
      </c>
      <c r="E63" s="52" t="s">
        <v>75</v>
      </c>
      <c r="F63" s="52">
        <v>9</v>
      </c>
      <c r="G63" s="53" t="s">
        <v>86</v>
      </c>
      <c r="H63" s="19">
        <f ca="1">--TRIM(RIGHT(SUBSTITUTE(LEFT(C62,_xlfn.AGGREGATE(16,6,FIND({0,1,2,3,4,5,6,7,8,9},C62,ROW(INDIRECT("1:"&amp;LEN(C62)))),1))," ",REPT(" ",LEN(C62))),LEN(C62)))</f>
        <v>25</v>
      </c>
      <c r="I63" s="16"/>
      <c r="J63" s="30"/>
    </row>
    <row r="64" spans="1:14" x14ac:dyDescent="0.3">
      <c r="A64" s="179" t="s">
        <v>96</v>
      </c>
      <c r="B64" s="141"/>
      <c r="C64" s="128" t="str">
        <f ca="1">(IF($G$49="NA",I62,"All work Completed. OC Received."))</f>
        <v>Excavation work Completed. Plinth work completed, RCC upto 6 Slab Completed.</v>
      </c>
      <c r="D64" s="128"/>
      <c r="E64" s="128"/>
      <c r="F64" s="128"/>
      <c r="G64" s="128"/>
      <c r="H64" s="180"/>
      <c r="I64" s="16" t="s">
        <v>112</v>
      </c>
      <c r="J64" s="30"/>
    </row>
    <row r="65" spans="1:10" ht="15.75" customHeight="1" x14ac:dyDescent="0.3">
      <c r="A65" s="86" t="s">
        <v>52</v>
      </c>
      <c r="B65" s="87"/>
      <c r="C65" s="49" t="s">
        <v>149</v>
      </c>
      <c r="D65" s="49" t="s">
        <v>89</v>
      </c>
      <c r="E65" s="87" t="s">
        <v>91</v>
      </c>
      <c r="F65" s="87"/>
      <c r="G65" s="87" t="s">
        <v>90</v>
      </c>
      <c r="H65" s="129"/>
      <c r="I65" s="14" t="s">
        <v>151</v>
      </c>
      <c r="J65" s="31">
        <f ca="1">H63*25%</f>
        <v>6.25</v>
      </c>
    </row>
    <row r="66" spans="1:10" x14ac:dyDescent="0.3">
      <c r="A66" s="86" t="s">
        <v>138</v>
      </c>
      <c r="B66" s="87"/>
      <c r="C66" s="49">
        <f ca="1">J67</f>
        <v>25</v>
      </c>
      <c r="D66" s="21">
        <f ca="1">((100/H63)*C66)/100</f>
        <v>1</v>
      </c>
      <c r="E66" s="130">
        <f ca="1">(((C67/H63*10)+(40/(D63+F63+H63)*C68)+(7.5/(H63)*C69)+(7.5/(H63)*C70)+(10/H63*C71)+(10/H63*C72)+(5/H63*C73)+(5/H63*C74)+(5/H63*C75))/100)</f>
        <v>0.16857142857142857</v>
      </c>
      <c r="F66" s="131"/>
      <c r="G66" s="130">
        <f ca="1">((((C66/H63)*20)+((C67/H63)*25)+(30/(H63+F63+D63)*C68)+(5/H63*C69)+(5/H63*C70)+(5/H63*C71)+(5/H63*C72)+(0/H63*C73)+(0/H63*C74)+(5/H63*C75))/100)</f>
        <v>0.50142857142857133</v>
      </c>
      <c r="H66" s="136"/>
      <c r="I66" s="14" t="s">
        <v>107</v>
      </c>
      <c r="J66" s="32">
        <f ca="1">H63*50%</f>
        <v>12.5</v>
      </c>
    </row>
    <row r="67" spans="1:10" x14ac:dyDescent="0.3">
      <c r="A67" s="86" t="s">
        <v>53</v>
      </c>
      <c r="B67" s="87"/>
      <c r="C67" s="49">
        <f ca="1">J75</f>
        <v>25</v>
      </c>
      <c r="D67" s="21">
        <f ca="1">((100/H63)*C67)/100</f>
        <v>1</v>
      </c>
      <c r="E67" s="132"/>
      <c r="F67" s="133"/>
      <c r="G67" s="132"/>
      <c r="H67" s="137"/>
      <c r="I67" s="14" t="s">
        <v>108</v>
      </c>
      <c r="J67" s="32">
        <f ca="1">H63</f>
        <v>25</v>
      </c>
    </row>
    <row r="68" spans="1:10" ht="15.75" customHeight="1" x14ac:dyDescent="0.3">
      <c r="A68" s="86" t="s">
        <v>139</v>
      </c>
      <c r="B68" s="87"/>
      <c r="C68" s="49">
        <v>6</v>
      </c>
      <c r="D68" s="21">
        <f ca="1">((100/(D63+F63+H63))*C68)/100</f>
        <v>0.17142857142857143</v>
      </c>
      <c r="E68" s="132"/>
      <c r="F68" s="133"/>
      <c r="G68" s="132"/>
      <c r="H68" s="137"/>
      <c r="I68" s="14" t="s">
        <v>109</v>
      </c>
      <c r="J68" s="33">
        <f ca="1">(IF(B63&gt;1,(H63/(B63+2)),H63/4))</f>
        <v>6.25</v>
      </c>
    </row>
    <row r="69" spans="1:10" ht="15.75" customHeight="1" x14ac:dyDescent="0.3">
      <c r="A69" s="86" t="s">
        <v>146</v>
      </c>
      <c r="B69" s="87" t="s">
        <v>140</v>
      </c>
      <c r="C69" s="49">
        <v>0</v>
      </c>
      <c r="D69" s="21">
        <f ca="1">((100/H63)*C69)/100</f>
        <v>0</v>
      </c>
      <c r="E69" s="132"/>
      <c r="F69" s="133"/>
      <c r="G69" s="132"/>
      <c r="H69" s="137"/>
      <c r="I69" s="14" t="s">
        <v>110</v>
      </c>
      <c r="J69" s="33">
        <f ca="1">(IF(B63&gt;1,(H63/(B63+2)+J68),H63/4+J68))</f>
        <v>12.5</v>
      </c>
    </row>
    <row r="70" spans="1:10" ht="15.75" customHeight="1" x14ac:dyDescent="0.3">
      <c r="A70" s="86" t="s">
        <v>147</v>
      </c>
      <c r="B70" s="87" t="s">
        <v>140</v>
      </c>
      <c r="C70" s="49">
        <v>0</v>
      </c>
      <c r="D70" s="21">
        <f ca="1">((100/H63)*C70)/100</f>
        <v>0</v>
      </c>
      <c r="E70" s="132"/>
      <c r="F70" s="133"/>
      <c r="G70" s="132"/>
      <c r="H70" s="137"/>
      <c r="I70" s="14" t="s">
        <v>156</v>
      </c>
      <c r="J70" s="33">
        <f>(IF(B63&gt;1,(H63/(B63+2)+J69),0))</f>
        <v>0</v>
      </c>
    </row>
    <row r="71" spans="1:10" ht="15" customHeight="1" x14ac:dyDescent="0.3">
      <c r="A71" s="86" t="s">
        <v>145</v>
      </c>
      <c r="B71" s="87" t="s">
        <v>142</v>
      </c>
      <c r="C71" s="49">
        <v>0</v>
      </c>
      <c r="D71" s="21">
        <f ca="1">((100/(H63))*C71)/100</f>
        <v>0</v>
      </c>
      <c r="E71" s="132"/>
      <c r="F71" s="133"/>
      <c r="G71" s="132"/>
      <c r="H71" s="137"/>
      <c r="I71" s="14" t="s">
        <v>153</v>
      </c>
      <c r="J71" s="33">
        <f>(IF(B63&gt;2,(H63/(B63+2)+J70),0))</f>
        <v>0</v>
      </c>
    </row>
    <row r="72" spans="1:10" ht="15.75" customHeight="1" x14ac:dyDescent="0.3">
      <c r="A72" s="86" t="s">
        <v>141</v>
      </c>
      <c r="B72" s="87" t="s">
        <v>141</v>
      </c>
      <c r="C72" s="49">
        <v>0</v>
      </c>
      <c r="D72" s="21">
        <f ca="1">((100/H63)*C72)/100</f>
        <v>0</v>
      </c>
      <c r="E72" s="132"/>
      <c r="F72" s="133"/>
      <c r="G72" s="132"/>
      <c r="H72" s="137"/>
      <c r="I72" s="14" t="s">
        <v>154</v>
      </c>
      <c r="J72" s="34">
        <f>(IF(B63&gt;3,(H63/(B63+2)+J71),0))</f>
        <v>0</v>
      </c>
    </row>
    <row r="73" spans="1:10" ht="15.75" customHeight="1" x14ac:dyDescent="0.3">
      <c r="A73" s="86" t="s">
        <v>148</v>
      </c>
      <c r="B73" s="87"/>
      <c r="C73" s="49">
        <v>0</v>
      </c>
      <c r="D73" s="21">
        <f ca="1">((100/H63)*C73)/100</f>
        <v>0</v>
      </c>
      <c r="E73" s="132"/>
      <c r="F73" s="133"/>
      <c r="G73" s="132"/>
      <c r="H73" s="137"/>
      <c r="I73" s="14" t="s">
        <v>155</v>
      </c>
      <c r="J73" s="33">
        <f>(IF(B63&gt;4,(H63/(B63+2)+J72),0))</f>
        <v>0</v>
      </c>
    </row>
    <row r="74" spans="1:10" ht="15.75" customHeight="1" x14ac:dyDescent="0.3">
      <c r="A74" s="86" t="s">
        <v>143</v>
      </c>
      <c r="B74" s="87" t="s">
        <v>143</v>
      </c>
      <c r="C74" s="49">
        <v>0</v>
      </c>
      <c r="D74" s="21">
        <f ca="1">((100/(H63))*C74)/100</f>
        <v>0</v>
      </c>
      <c r="E74" s="132"/>
      <c r="F74" s="133"/>
      <c r="G74" s="132"/>
      <c r="H74" s="137"/>
      <c r="I74" s="14" t="s">
        <v>157</v>
      </c>
      <c r="J74" s="33">
        <f ca="1">(IF(B63=1,(H63/(B63+3)+J69),IF(B63=0,(H63/4+J69),IF(B63&gt;1,0))))</f>
        <v>18.75</v>
      </c>
    </row>
    <row r="75" spans="1:10" ht="16.2" thickBot="1" x14ac:dyDescent="0.35">
      <c r="A75" s="139" t="s">
        <v>144</v>
      </c>
      <c r="B75" s="140"/>
      <c r="C75" s="50">
        <v>0</v>
      </c>
      <c r="D75" s="22">
        <f ca="1">((100/(H63))*C75)/100</f>
        <v>0</v>
      </c>
      <c r="E75" s="134"/>
      <c r="F75" s="135"/>
      <c r="G75" s="134"/>
      <c r="H75" s="138"/>
      <c r="I75" s="17" t="s">
        <v>111</v>
      </c>
      <c r="J75" s="35">
        <f ca="1">(IF(B63&gt;1.5,(H63/(B63+2)+J69+MAX(0,J70-J69)+MAX(0,J71-J70)+MAX(0,J72-J71)+MAX(0,J73-J72)+MAX(0,J74-J73)),IF(B63=1,(H63/(B63+3)+J74),IF(B63=0,H63/4+J74))))</f>
        <v>25</v>
      </c>
    </row>
    <row r="76" spans="1:10" x14ac:dyDescent="0.3">
      <c r="A76" s="155" t="s">
        <v>168</v>
      </c>
      <c r="B76" s="155"/>
      <c r="C76" s="155"/>
      <c r="D76" s="155"/>
      <c r="E76" s="155"/>
      <c r="F76" s="156" t="s">
        <v>172</v>
      </c>
      <c r="G76" s="156"/>
      <c r="H76" s="156"/>
    </row>
    <row r="77" spans="1:10" x14ac:dyDescent="0.3">
      <c r="A77" s="77" t="s">
        <v>170</v>
      </c>
      <c r="B77" s="77"/>
      <c r="C77" s="77"/>
      <c r="D77" s="77"/>
      <c r="E77" s="77"/>
      <c r="F77" s="113">
        <v>33200</v>
      </c>
      <c r="G77" s="113"/>
      <c r="H77" s="113"/>
    </row>
    <row r="78" spans="1:10" hidden="1" x14ac:dyDescent="0.3">
      <c r="A78" s="77" t="s">
        <v>169</v>
      </c>
      <c r="B78" s="77"/>
      <c r="C78" s="77"/>
      <c r="D78" s="77"/>
      <c r="E78" s="77"/>
      <c r="F78" s="113"/>
      <c r="G78" s="113"/>
      <c r="H78" s="113"/>
    </row>
    <row r="79" spans="1:10" hidden="1" x14ac:dyDescent="0.3">
      <c r="A79" s="77" t="s">
        <v>171</v>
      </c>
      <c r="B79" s="77"/>
      <c r="C79" s="77"/>
      <c r="D79" s="77"/>
      <c r="E79" s="77"/>
      <c r="F79" s="113"/>
      <c r="G79" s="113"/>
      <c r="H79" s="113"/>
    </row>
    <row r="80" spans="1:10" s="36" customFormat="1" x14ac:dyDescent="0.25">
      <c r="A80" s="77" t="s">
        <v>242</v>
      </c>
      <c r="B80" s="77"/>
      <c r="C80" s="77"/>
      <c r="D80" s="77"/>
      <c r="E80" s="77"/>
      <c r="F80" s="115" t="s">
        <v>241</v>
      </c>
      <c r="G80" s="115"/>
      <c r="H80" s="115"/>
    </row>
    <row r="81" spans="1:8" s="36" customFormat="1" x14ac:dyDescent="0.25">
      <c r="A81" s="77" t="s">
        <v>101</v>
      </c>
      <c r="B81" s="77"/>
      <c r="C81" s="77"/>
      <c r="D81" s="77"/>
      <c r="E81" s="77"/>
      <c r="F81" s="113"/>
      <c r="G81" s="113"/>
      <c r="H81" s="113"/>
    </row>
    <row r="82" spans="1:8" s="36" customFormat="1" x14ac:dyDescent="0.25">
      <c r="A82" s="77" t="s">
        <v>102</v>
      </c>
      <c r="B82" s="77"/>
      <c r="C82" s="77"/>
      <c r="D82" s="77"/>
      <c r="E82" s="77"/>
      <c r="F82" s="113"/>
      <c r="G82" s="113"/>
      <c r="H82" s="113"/>
    </row>
    <row r="83" spans="1:8" s="36" customFormat="1" x14ac:dyDescent="0.25">
      <c r="A83" s="77" t="s">
        <v>173</v>
      </c>
      <c r="B83" s="77"/>
      <c r="C83" s="77"/>
      <c r="D83" s="77"/>
      <c r="E83" s="77"/>
      <c r="F83" s="113"/>
      <c r="G83" s="113"/>
      <c r="H83" s="113"/>
    </row>
    <row r="84" spans="1:8" s="36" customFormat="1" x14ac:dyDescent="0.25">
      <c r="A84" s="77" t="s">
        <v>103</v>
      </c>
      <c r="B84" s="77"/>
      <c r="C84" s="77"/>
      <c r="D84" s="77"/>
      <c r="E84" s="77"/>
      <c r="F84" s="113"/>
      <c r="G84" s="113"/>
      <c r="H84" s="113"/>
    </row>
    <row r="85" spans="1:8" s="36" customFormat="1" x14ac:dyDescent="0.25">
      <c r="A85" s="77" t="s">
        <v>104</v>
      </c>
      <c r="B85" s="77"/>
      <c r="C85" s="77"/>
      <c r="D85" s="77"/>
      <c r="E85" s="77"/>
      <c r="F85" s="113"/>
      <c r="G85" s="113"/>
      <c r="H85" s="113"/>
    </row>
    <row r="86" spans="1:8" s="36" customFormat="1" x14ac:dyDescent="0.25">
      <c r="A86" s="77" t="s">
        <v>105</v>
      </c>
      <c r="B86" s="77"/>
      <c r="C86" s="77"/>
      <c r="D86" s="77"/>
      <c r="E86" s="77"/>
      <c r="F86" s="115" t="s">
        <v>243</v>
      </c>
      <c r="G86" s="115"/>
      <c r="H86" s="115"/>
    </row>
    <row r="87" spans="1:8" s="36" customFormat="1" x14ac:dyDescent="0.25">
      <c r="A87" s="77" t="s">
        <v>106</v>
      </c>
      <c r="B87" s="77"/>
      <c r="C87" s="77"/>
      <c r="D87" s="77"/>
      <c r="E87" s="77"/>
      <c r="F87" s="115"/>
      <c r="G87" s="115"/>
      <c r="H87" s="115"/>
    </row>
    <row r="88" spans="1:8" x14ac:dyDescent="0.3">
      <c r="A88" s="77" t="s">
        <v>54</v>
      </c>
      <c r="B88" s="77"/>
      <c r="C88" s="77"/>
      <c r="D88" s="77"/>
      <c r="E88" s="77"/>
      <c r="F88" s="113">
        <v>800000</v>
      </c>
      <c r="G88" s="113"/>
      <c r="H88" s="113"/>
    </row>
    <row r="89" spans="1:8" s="37" customFormat="1" x14ac:dyDescent="0.3">
      <c r="A89" s="126" t="s">
        <v>55</v>
      </c>
      <c r="B89" s="126"/>
      <c r="C89" s="126"/>
      <c r="D89" s="126"/>
      <c r="E89" s="126"/>
      <c r="F89" s="113">
        <f>F77*0.8</f>
        <v>26560</v>
      </c>
      <c r="G89" s="113"/>
      <c r="H89" s="113"/>
    </row>
    <row r="90" spans="1:8" s="38" customFormat="1" ht="15.75" customHeight="1" x14ac:dyDescent="0.3">
      <c r="A90" s="122" t="s">
        <v>80</v>
      </c>
      <c r="B90" s="122"/>
      <c r="C90" s="122"/>
      <c r="D90" s="122"/>
      <c r="E90" s="122"/>
      <c r="F90" s="122"/>
      <c r="G90" s="122"/>
      <c r="H90" s="122"/>
    </row>
    <row r="91" spans="1:8" s="38" customFormat="1" ht="15.75" customHeight="1" x14ac:dyDescent="0.3">
      <c r="A91" s="79" t="s">
        <v>56</v>
      </c>
      <c r="B91" s="79"/>
      <c r="C91" s="114" t="s">
        <v>83</v>
      </c>
      <c r="D91" s="114"/>
      <c r="E91" s="120" t="s">
        <v>57</v>
      </c>
      <c r="F91" s="120"/>
      <c r="G91" s="79" t="s">
        <v>58</v>
      </c>
      <c r="H91" s="79"/>
    </row>
    <row r="92" spans="1:8" s="38" customFormat="1" x14ac:dyDescent="0.3">
      <c r="A92" s="118" t="s">
        <v>208</v>
      </c>
      <c r="B92" s="118"/>
      <c r="C92" s="116">
        <f>COUNT(D108:D111,D113:D115)</f>
        <v>7</v>
      </c>
      <c r="D92" s="117"/>
      <c r="E92" s="89">
        <f>SUM(D108:D111,D113:D115)</f>
        <v>1991.7705599999999</v>
      </c>
      <c r="F92" s="90"/>
      <c r="G92" s="89">
        <f>SUM(F108:F111,F113:F115)</f>
        <v>3186.8328960000003</v>
      </c>
      <c r="H92" s="90"/>
    </row>
    <row r="93" spans="1:8" s="38" customFormat="1" x14ac:dyDescent="0.3">
      <c r="A93" s="118" t="s">
        <v>210</v>
      </c>
      <c r="B93" s="118"/>
      <c r="C93" s="116">
        <f>COUNT(D116)</f>
        <v>1</v>
      </c>
      <c r="D93" s="117"/>
      <c r="E93" s="89">
        <f>SUM(D116)</f>
        <v>1194.6963599999999</v>
      </c>
      <c r="F93" s="90"/>
      <c r="G93" s="89">
        <f>SUM(F116)</f>
        <v>1911.5141759999999</v>
      </c>
      <c r="H93" s="90"/>
    </row>
    <row r="94" spans="1:8" s="38" customFormat="1" x14ac:dyDescent="0.3">
      <c r="A94" s="118" t="s">
        <v>209</v>
      </c>
      <c r="B94" s="118"/>
      <c r="C94" s="116">
        <f>COUNT(D112)</f>
        <v>1</v>
      </c>
      <c r="D94" s="117"/>
      <c r="E94" s="89">
        <f>SUM(D112)</f>
        <v>3814.7615999999994</v>
      </c>
      <c r="F94" s="90"/>
      <c r="G94" s="89">
        <f>SUM(F112)</f>
        <v>6103.618559999999</v>
      </c>
      <c r="H94" s="90"/>
    </row>
    <row r="95" spans="1:8" s="38" customFormat="1" x14ac:dyDescent="0.3">
      <c r="A95" s="118" t="s">
        <v>211</v>
      </c>
      <c r="B95" s="118"/>
      <c r="C95" s="116">
        <f>COUNT(D120)</f>
        <v>1</v>
      </c>
      <c r="D95" s="117"/>
      <c r="E95" s="89">
        <f>SUM(D120)</f>
        <v>648.10043999999994</v>
      </c>
      <c r="F95" s="90"/>
      <c r="G95" s="89">
        <f>SUM(F120)</f>
        <v>1036.9607039999999</v>
      </c>
      <c r="H95" s="90"/>
    </row>
    <row r="96" spans="1:8" s="38" customFormat="1" x14ac:dyDescent="0.3">
      <c r="A96" s="122" t="s">
        <v>161</v>
      </c>
      <c r="B96" s="122"/>
      <c r="C96" s="163">
        <f>SUM(C92:D95)</f>
        <v>10</v>
      </c>
      <c r="D96" s="114"/>
      <c r="E96" s="119">
        <f>SUM(E92:F95)</f>
        <v>7649.3289599999989</v>
      </c>
      <c r="F96" s="120"/>
      <c r="G96" s="79">
        <f>SUM(G92:H95)</f>
        <v>12238.926335999999</v>
      </c>
      <c r="H96" s="79"/>
    </row>
    <row r="97" spans="1:14" s="38" customFormat="1" x14ac:dyDescent="0.3">
      <c r="A97" s="122" t="s">
        <v>74</v>
      </c>
      <c r="B97" s="122"/>
      <c r="C97" s="122"/>
      <c r="D97" s="122"/>
      <c r="E97" s="122"/>
      <c r="F97" s="122"/>
      <c r="G97" s="122"/>
      <c r="H97" s="122"/>
    </row>
    <row r="98" spans="1:14" s="38" customFormat="1" ht="15.75" customHeight="1" x14ac:dyDescent="0.3">
      <c r="A98" s="79" t="s">
        <v>56</v>
      </c>
      <c r="B98" s="79"/>
      <c r="C98" s="114" t="s">
        <v>83</v>
      </c>
      <c r="D98" s="114"/>
      <c r="E98" s="120" t="s">
        <v>57</v>
      </c>
      <c r="F98" s="120"/>
      <c r="G98" s="79" t="s">
        <v>58</v>
      </c>
      <c r="H98" s="79"/>
    </row>
    <row r="99" spans="1:14" s="38" customFormat="1" x14ac:dyDescent="0.3">
      <c r="A99" s="118" t="s">
        <v>212</v>
      </c>
      <c r="B99" s="118"/>
      <c r="C99" s="117">
        <f>COUNT(D132)+COUNT(D137)+COUNT(D152)+COUNT(D156)+COUNT(D161)+COUNT(D172)+COUNT(D177:D178)+COUNT(D181:D184)*6</f>
        <v>32</v>
      </c>
      <c r="D99" s="117"/>
      <c r="E99" s="89">
        <f>SUM(D132)+SUM(D137)+SUM(D152)+SUM(D156)+SUM(D161)+SUM(D172)+SUM(D177:D178)+SUM(D181:D184)*6</f>
        <v>28516.526999999995</v>
      </c>
      <c r="F99" s="89"/>
      <c r="G99" s="89">
        <f>SUM(F132)+SUM(F137)+SUM(F152)+SUM(F156)+SUM(F161)+SUM(F172)+SUM(F177:F178)+SUM(F181:F184)*6</f>
        <v>45626.443199999994</v>
      </c>
      <c r="H99" s="89"/>
    </row>
    <row r="100" spans="1:14" s="38" customFormat="1" x14ac:dyDescent="0.3">
      <c r="A100" s="118" t="s">
        <v>213</v>
      </c>
      <c r="B100" s="118"/>
      <c r="C100" s="117">
        <f>COUNT(D128:D131,D133:D134)+COUNT(D136,D138:D143)+COUNT(D145:D151)+COUNT(D155,D157:D158)+COUNT(D160,D162:D163)+COUNT(D165:D168)*2+COUNT(D171,D173)+COUNT(D175:D176)</f>
        <v>38</v>
      </c>
      <c r="D100" s="117"/>
      <c r="E100" s="89">
        <f>SUM(D128:D131,D133:D134)+SUM(D136,D138:D143)+SUM(D145:D151)+SUM(D155,D157:D158)+SUM(D160,D162:D163)+SUM(D165:D168)*2+SUM(D171,D173)+SUM(D175:D176)</f>
        <v>24796.488599999997</v>
      </c>
      <c r="F100" s="89"/>
      <c r="G100" s="89">
        <f>SUM(F128:F131,F133:F134)+SUM(F136,F138:F143)+SUM(F145:F151)+SUM(F155,F157:F158)+SUM(F160,F162:F163)+SUM(F165:F168)*2+SUM(F171,F173)+SUM(F175:F176)</f>
        <v>39674.381759999997</v>
      </c>
      <c r="H100" s="89"/>
    </row>
    <row r="101" spans="1:14" s="38" customFormat="1" x14ac:dyDescent="0.3">
      <c r="A101" s="122" t="s">
        <v>161</v>
      </c>
      <c r="B101" s="122"/>
      <c r="C101" s="114">
        <f>SUM(C99:D100)</f>
        <v>70</v>
      </c>
      <c r="D101" s="114"/>
      <c r="E101" s="119">
        <f>SUM(E99:F100)</f>
        <v>53313.015599999992</v>
      </c>
      <c r="F101" s="120"/>
      <c r="G101" s="79">
        <f>SUM(G99:H100)</f>
        <v>85300.824959999998</v>
      </c>
      <c r="H101" s="79"/>
    </row>
    <row r="102" spans="1:14" s="37" customFormat="1" x14ac:dyDescent="0.3">
      <c r="A102" s="66" t="s">
        <v>59</v>
      </c>
      <c r="B102" s="66"/>
      <c r="C102" s="66"/>
      <c r="D102" s="66"/>
      <c r="E102" s="66"/>
      <c r="F102" s="66"/>
      <c r="G102" s="66"/>
      <c r="H102" s="66"/>
    </row>
    <row r="103" spans="1:14" x14ac:dyDescent="0.3">
      <c r="A103" s="66" t="s">
        <v>60</v>
      </c>
      <c r="B103" s="66"/>
      <c r="C103" s="66"/>
      <c r="D103" s="66"/>
      <c r="E103" s="66"/>
      <c r="F103" s="66"/>
      <c r="G103" s="66"/>
      <c r="H103" s="66"/>
    </row>
    <row r="104" spans="1:14" ht="47.25" customHeight="1" x14ac:dyDescent="0.3">
      <c r="A104" s="80" t="s">
        <v>127</v>
      </c>
      <c r="B104" s="80" t="s">
        <v>207</v>
      </c>
      <c r="C104" s="80" t="s">
        <v>61</v>
      </c>
      <c r="D104" s="80" t="s">
        <v>62</v>
      </c>
      <c r="E104" s="82" t="s">
        <v>167</v>
      </c>
      <c r="F104" s="48" t="s">
        <v>160</v>
      </c>
      <c r="G104" s="74" t="s">
        <v>64</v>
      </c>
      <c r="H104" s="84"/>
    </row>
    <row r="105" spans="1:14" s="47" customFormat="1" x14ac:dyDescent="0.3">
      <c r="A105" s="81"/>
      <c r="B105" s="81"/>
      <c r="C105" s="81"/>
      <c r="D105" s="81"/>
      <c r="E105" s="83"/>
      <c r="F105" s="13">
        <v>0.6</v>
      </c>
      <c r="G105" s="75"/>
      <c r="H105" s="85"/>
    </row>
    <row r="106" spans="1:14" x14ac:dyDescent="0.3">
      <c r="A106" s="66" t="s">
        <v>174</v>
      </c>
      <c r="B106" s="66"/>
      <c r="C106" s="66"/>
      <c r="D106" s="66"/>
      <c r="E106" s="66"/>
      <c r="F106" s="66"/>
      <c r="G106" s="66"/>
      <c r="H106" s="66"/>
    </row>
    <row r="107" spans="1:14" s="47" customFormat="1" x14ac:dyDescent="0.3">
      <c r="A107" s="67" t="s">
        <v>175</v>
      </c>
      <c r="B107" s="68"/>
      <c r="C107" s="68"/>
      <c r="D107" s="68"/>
      <c r="E107" s="68"/>
      <c r="F107" s="68"/>
      <c r="G107" s="68"/>
      <c r="H107" s="69"/>
      <c r="J107" s="39"/>
    </row>
    <row r="108" spans="1:14" s="47" customFormat="1" x14ac:dyDescent="0.3">
      <c r="A108" s="44">
        <v>1</v>
      </c>
      <c r="B108" s="44" t="s">
        <v>177</v>
      </c>
      <c r="C108" s="44" t="s">
        <v>176</v>
      </c>
      <c r="D108" s="44">
        <f>(46.97)*10.764</f>
        <v>505.58507999999995</v>
      </c>
      <c r="E108" s="44">
        <v>0</v>
      </c>
      <c r="F108" s="44">
        <f>(D108+E108)*(($F$105)+1)</f>
        <v>808.93612799999994</v>
      </c>
      <c r="G108" s="70" t="str">
        <f>A107</f>
        <v>Ground Floor for Commercial &amp; Parking</v>
      </c>
      <c r="H108" s="65"/>
      <c r="I108" s="39"/>
      <c r="L108" s="73"/>
      <c r="M108" s="73"/>
      <c r="N108" s="39"/>
    </row>
    <row r="109" spans="1:14" s="47" customFormat="1" x14ac:dyDescent="0.3">
      <c r="A109" s="44">
        <f t="shared" ref="A109:A116" si="0">A108+1</f>
        <v>2</v>
      </c>
      <c r="B109" s="44" t="s">
        <v>177</v>
      </c>
      <c r="C109" s="44" t="s">
        <v>176</v>
      </c>
      <c r="D109" s="44">
        <f>(42.73)*10.764</f>
        <v>459.94571999999994</v>
      </c>
      <c r="E109" s="44">
        <v>0</v>
      </c>
      <c r="F109" s="44">
        <f t="shared" ref="F109:F116" si="1">(D109+E109)*(($F$105)+1)</f>
        <v>735.91315199999997</v>
      </c>
      <c r="G109" s="70" t="str">
        <f t="shared" ref="G109:G116" si="2">G108</f>
        <v>Ground Floor for Commercial &amp; Parking</v>
      </c>
      <c r="H109" s="65"/>
      <c r="I109" s="39"/>
      <c r="L109" s="73"/>
      <c r="M109" s="73"/>
      <c r="N109" s="39"/>
    </row>
    <row r="110" spans="1:14" s="47" customFormat="1" x14ac:dyDescent="0.3">
      <c r="A110" s="44">
        <f t="shared" si="0"/>
        <v>3</v>
      </c>
      <c r="B110" s="44" t="s">
        <v>177</v>
      </c>
      <c r="C110" s="44" t="s">
        <v>176</v>
      </c>
      <c r="D110" s="44">
        <f>(41.99)*10.764</f>
        <v>451.98036000000002</v>
      </c>
      <c r="E110" s="44">
        <v>0</v>
      </c>
      <c r="F110" s="44">
        <f t="shared" si="1"/>
        <v>723.16857600000003</v>
      </c>
      <c r="G110" s="70" t="str">
        <f t="shared" si="2"/>
        <v>Ground Floor for Commercial &amp; Parking</v>
      </c>
      <c r="H110" s="65"/>
      <c r="I110" s="39"/>
      <c r="L110" s="73"/>
      <c r="M110" s="73"/>
      <c r="N110" s="39"/>
    </row>
    <row r="111" spans="1:14" s="47" customFormat="1" x14ac:dyDescent="0.3">
      <c r="A111" s="44">
        <f t="shared" si="0"/>
        <v>4</v>
      </c>
      <c r="B111" s="44" t="s">
        <v>177</v>
      </c>
      <c r="C111" s="44" t="s">
        <v>176</v>
      </c>
      <c r="D111" s="44">
        <f>(46.99)*10.764</f>
        <v>505.80036000000001</v>
      </c>
      <c r="E111" s="44">
        <v>0</v>
      </c>
      <c r="F111" s="44">
        <f t="shared" si="1"/>
        <v>809.28057600000011</v>
      </c>
      <c r="G111" s="70" t="str">
        <f t="shared" si="2"/>
        <v>Ground Floor for Commercial &amp; Parking</v>
      </c>
      <c r="H111" s="65"/>
      <c r="I111" s="39"/>
      <c r="L111" s="73"/>
      <c r="M111" s="73"/>
      <c r="N111" s="39"/>
    </row>
    <row r="112" spans="1:14" s="47" customFormat="1" ht="46.8" x14ac:dyDescent="0.3">
      <c r="A112" s="44">
        <f t="shared" si="0"/>
        <v>5</v>
      </c>
      <c r="B112" s="45" t="s">
        <v>179</v>
      </c>
      <c r="C112" s="44" t="s">
        <v>178</v>
      </c>
      <c r="D112" s="44">
        <f>(354.4)*10.764</f>
        <v>3814.7615999999994</v>
      </c>
      <c r="E112" s="44">
        <v>0</v>
      </c>
      <c r="F112" s="44">
        <f t="shared" si="1"/>
        <v>6103.618559999999</v>
      </c>
      <c r="G112" s="70" t="str">
        <f t="shared" si="2"/>
        <v>Ground Floor for Commercial &amp; Parking</v>
      </c>
      <c r="H112" s="65"/>
      <c r="I112" s="39"/>
      <c r="L112" s="73"/>
      <c r="M112" s="73"/>
      <c r="N112" s="39"/>
    </row>
    <row r="113" spans="1:14" s="47" customFormat="1" x14ac:dyDescent="0.3">
      <c r="A113" s="44">
        <f t="shared" si="0"/>
        <v>6</v>
      </c>
      <c r="B113" s="44" t="s">
        <v>177</v>
      </c>
      <c r="C113" s="44" t="s">
        <v>176</v>
      </c>
      <c r="D113" s="44">
        <f>(2.02)*10.764</f>
        <v>21.743279999999999</v>
      </c>
      <c r="E113" s="44">
        <v>0</v>
      </c>
      <c r="F113" s="44">
        <f t="shared" si="1"/>
        <v>34.789248000000001</v>
      </c>
      <c r="G113" s="70" t="str">
        <f t="shared" si="2"/>
        <v>Ground Floor for Commercial &amp; Parking</v>
      </c>
      <c r="H113" s="65"/>
      <c r="I113" s="39"/>
      <c r="L113" s="73"/>
      <c r="M113" s="73"/>
      <c r="N113" s="39"/>
    </row>
    <row r="114" spans="1:14" s="47" customFormat="1" x14ac:dyDescent="0.3">
      <c r="A114" s="44">
        <f t="shared" si="0"/>
        <v>7</v>
      </c>
      <c r="B114" s="44" t="s">
        <v>177</v>
      </c>
      <c r="C114" s="44" t="s">
        <v>176</v>
      </c>
      <c r="D114" s="44">
        <f>(2.17)*10.764</f>
        <v>23.357879999999998</v>
      </c>
      <c r="E114" s="44">
        <v>0</v>
      </c>
      <c r="F114" s="44">
        <f t="shared" si="1"/>
        <v>37.372608</v>
      </c>
      <c r="G114" s="70" t="str">
        <f t="shared" si="2"/>
        <v>Ground Floor for Commercial &amp; Parking</v>
      </c>
      <c r="H114" s="65"/>
      <c r="I114" s="39"/>
      <c r="L114" s="73"/>
      <c r="M114" s="73"/>
      <c r="N114" s="39"/>
    </row>
    <row r="115" spans="1:14" s="47" customFormat="1" x14ac:dyDescent="0.3">
      <c r="A115" s="44">
        <f t="shared" si="0"/>
        <v>8</v>
      </c>
      <c r="B115" s="44" t="s">
        <v>177</v>
      </c>
      <c r="C115" s="44" t="s">
        <v>176</v>
      </c>
      <c r="D115" s="44">
        <f>(2.17)*10.764</f>
        <v>23.357879999999998</v>
      </c>
      <c r="E115" s="44">
        <v>0</v>
      </c>
      <c r="F115" s="44">
        <f t="shared" si="1"/>
        <v>37.372608</v>
      </c>
      <c r="G115" s="70" t="str">
        <f t="shared" si="2"/>
        <v>Ground Floor for Commercial &amp; Parking</v>
      </c>
      <c r="H115" s="65"/>
      <c r="I115" s="39"/>
      <c r="L115" s="73"/>
      <c r="M115" s="73"/>
      <c r="N115" s="39"/>
    </row>
    <row r="116" spans="1:14" s="47" customFormat="1" ht="46.8" x14ac:dyDescent="0.3">
      <c r="A116" s="44">
        <f t="shared" si="0"/>
        <v>9</v>
      </c>
      <c r="B116" s="44" t="s">
        <v>177</v>
      </c>
      <c r="C116" s="44" t="s">
        <v>180</v>
      </c>
      <c r="D116" s="44">
        <f>(110.99)*10.764</f>
        <v>1194.6963599999999</v>
      </c>
      <c r="E116" s="44">
        <v>0</v>
      </c>
      <c r="F116" s="44">
        <f t="shared" si="1"/>
        <v>1911.5141759999999</v>
      </c>
      <c r="G116" s="70" t="str">
        <f t="shared" si="2"/>
        <v>Ground Floor for Commercial &amp; Parking</v>
      </c>
      <c r="H116" s="65"/>
      <c r="I116" s="39"/>
      <c r="L116" s="73"/>
      <c r="M116" s="73"/>
      <c r="N116" s="39"/>
    </row>
    <row r="117" spans="1:14" s="47" customFormat="1" x14ac:dyDescent="0.3">
      <c r="A117" s="67" t="s">
        <v>181</v>
      </c>
      <c r="B117" s="68"/>
      <c r="C117" s="68"/>
      <c r="D117" s="68"/>
      <c r="E117" s="68"/>
      <c r="F117" s="68"/>
      <c r="G117" s="68"/>
      <c r="H117" s="69"/>
      <c r="J117" s="39"/>
    </row>
    <row r="118" spans="1:14" s="47" customFormat="1" x14ac:dyDescent="0.3">
      <c r="A118" s="44">
        <v>5</v>
      </c>
      <c r="B118" s="45" t="s">
        <v>179</v>
      </c>
      <c r="C118" s="70" t="s">
        <v>182</v>
      </c>
      <c r="D118" s="64"/>
      <c r="E118" s="64"/>
      <c r="F118" s="65"/>
      <c r="G118" s="70" t="str">
        <f>A117</f>
        <v>1st Floor for Commercial</v>
      </c>
      <c r="H118" s="65"/>
      <c r="I118" s="39"/>
      <c r="L118" s="73"/>
      <c r="M118" s="73"/>
      <c r="N118" s="39"/>
    </row>
    <row r="119" spans="1:14" s="47" customFormat="1" x14ac:dyDescent="0.3">
      <c r="A119" s="44">
        <v>9</v>
      </c>
      <c r="B119" s="44" t="s">
        <v>177</v>
      </c>
      <c r="C119" s="70" t="s">
        <v>183</v>
      </c>
      <c r="D119" s="64"/>
      <c r="E119" s="64"/>
      <c r="F119" s="65"/>
      <c r="G119" s="70" t="str">
        <f t="shared" ref="G119:G120" si="3">G118</f>
        <v>1st Floor for Commercial</v>
      </c>
      <c r="H119" s="65"/>
      <c r="I119" s="39"/>
      <c r="L119" s="73"/>
      <c r="M119" s="73"/>
      <c r="N119" s="39"/>
    </row>
    <row r="120" spans="1:14" s="47" customFormat="1" x14ac:dyDescent="0.3">
      <c r="A120" s="44">
        <f t="shared" ref="A120" si="4">A119+1</f>
        <v>10</v>
      </c>
      <c r="B120" s="45" t="s">
        <v>179</v>
      </c>
      <c r="C120" s="44" t="s">
        <v>184</v>
      </c>
      <c r="D120" s="44">
        <f>(60.21)*10.764</f>
        <v>648.10043999999994</v>
      </c>
      <c r="E120" s="44">
        <v>0</v>
      </c>
      <c r="F120" s="44">
        <f t="shared" ref="F120" si="5">(D120+E120)*(($F$105)+1)</f>
        <v>1036.9607039999999</v>
      </c>
      <c r="G120" s="70" t="str">
        <f t="shared" si="3"/>
        <v>1st Floor for Commercial</v>
      </c>
      <c r="H120" s="65"/>
      <c r="I120" s="39"/>
      <c r="L120" s="73"/>
      <c r="M120" s="73"/>
      <c r="N120" s="39"/>
    </row>
    <row r="121" spans="1:14" x14ac:dyDescent="0.3">
      <c r="A121" s="66" t="s">
        <v>185</v>
      </c>
      <c r="B121" s="66"/>
      <c r="C121" s="66"/>
      <c r="D121" s="66"/>
      <c r="E121" s="66"/>
      <c r="F121" s="66"/>
      <c r="G121" s="66"/>
      <c r="H121" s="66"/>
    </row>
    <row r="122" spans="1:14" s="47" customFormat="1" x14ac:dyDescent="0.3">
      <c r="A122" s="70"/>
      <c r="B122" s="64"/>
      <c r="C122" s="64"/>
      <c r="D122" s="64"/>
      <c r="E122" s="64"/>
      <c r="F122" s="64"/>
      <c r="G122" s="64"/>
      <c r="H122" s="65"/>
      <c r="I122" s="39"/>
      <c r="N122" s="39"/>
    </row>
    <row r="123" spans="1:14" ht="47.25" customHeight="1" x14ac:dyDescent="0.3">
      <c r="A123" s="74" t="s">
        <v>128</v>
      </c>
      <c r="B123" s="74" t="s">
        <v>190</v>
      </c>
      <c r="C123" s="80" t="s">
        <v>61</v>
      </c>
      <c r="D123" s="80" t="s">
        <v>62</v>
      </c>
      <c r="E123" s="82" t="s">
        <v>63</v>
      </c>
      <c r="F123" s="48" t="s">
        <v>160</v>
      </c>
      <c r="G123" s="74" t="s">
        <v>64</v>
      </c>
      <c r="H123" s="84"/>
      <c r="I123" s="39"/>
    </row>
    <row r="124" spans="1:14" s="47" customFormat="1" x14ac:dyDescent="0.3">
      <c r="A124" s="75"/>
      <c r="B124" s="75"/>
      <c r="C124" s="81"/>
      <c r="D124" s="81"/>
      <c r="E124" s="83"/>
      <c r="F124" s="13">
        <v>0.6</v>
      </c>
      <c r="G124" s="75"/>
      <c r="H124" s="85"/>
      <c r="I124" s="39"/>
    </row>
    <row r="125" spans="1:14" x14ac:dyDescent="0.3">
      <c r="A125" s="66" t="s">
        <v>187</v>
      </c>
      <c r="B125" s="66"/>
      <c r="C125" s="66"/>
      <c r="D125" s="66"/>
      <c r="E125" s="66"/>
      <c r="F125" s="66"/>
      <c r="G125" s="66"/>
      <c r="H125" s="66"/>
    </row>
    <row r="126" spans="1:14" x14ac:dyDescent="0.3">
      <c r="A126" s="66" t="s">
        <v>186</v>
      </c>
      <c r="B126" s="66"/>
      <c r="C126" s="66"/>
      <c r="D126" s="66"/>
      <c r="E126" s="66"/>
      <c r="F126" s="66"/>
      <c r="G126" s="66"/>
      <c r="H126" s="66"/>
    </row>
    <row r="127" spans="1:14" s="47" customFormat="1" x14ac:dyDescent="0.3">
      <c r="A127" s="67" t="s">
        <v>188</v>
      </c>
      <c r="B127" s="68"/>
      <c r="C127" s="68"/>
      <c r="D127" s="68"/>
      <c r="E127" s="68"/>
      <c r="F127" s="68"/>
      <c r="G127" s="68"/>
      <c r="H127" s="69"/>
      <c r="J127" s="39"/>
    </row>
    <row r="128" spans="1:14" s="47" customFormat="1" x14ac:dyDescent="0.3">
      <c r="A128" s="44">
        <v>2</v>
      </c>
      <c r="B128" s="44" t="s">
        <v>177</v>
      </c>
      <c r="C128" s="44" t="s">
        <v>189</v>
      </c>
      <c r="D128" s="44">
        <f>(41.64)*10.764</f>
        <v>448.21295999999995</v>
      </c>
      <c r="E128" s="44">
        <v>0</v>
      </c>
      <c r="F128" s="44">
        <f t="shared" ref="F128:F134" si="6">D128*(($F$124)+1)+(IF(E128&lt;101,E128,IF(E128&lt;201,E128/2,IF(E128&lt;=301,E128/3,E128/4))))</f>
        <v>717.14073599999995</v>
      </c>
      <c r="G128" s="70" t="str">
        <f>A127</f>
        <v>5th Floor (Part Refuge Area)</v>
      </c>
      <c r="H128" s="65"/>
      <c r="I128" s="39"/>
      <c r="L128" s="73"/>
      <c r="M128" s="73"/>
      <c r="N128" s="39"/>
    </row>
    <row r="129" spans="1:14" s="47" customFormat="1" x14ac:dyDescent="0.3">
      <c r="A129" s="44">
        <f t="shared" ref="A129:A134" si="7">A128+1</f>
        <v>3</v>
      </c>
      <c r="B129" s="44" t="s">
        <v>177</v>
      </c>
      <c r="C129" s="44" t="s">
        <v>191</v>
      </c>
      <c r="D129" s="44">
        <f>(45.74)*10.764</f>
        <v>492.34535999999997</v>
      </c>
      <c r="E129" s="44">
        <v>0</v>
      </c>
      <c r="F129" s="44">
        <f t="shared" si="6"/>
        <v>787.75257599999998</v>
      </c>
      <c r="G129" s="70" t="str">
        <f t="shared" ref="G129:G134" si="8">G128</f>
        <v>5th Floor (Part Refuge Area)</v>
      </c>
      <c r="H129" s="65"/>
      <c r="I129" s="39"/>
      <c r="L129" s="73"/>
      <c r="M129" s="73"/>
      <c r="N129" s="39"/>
    </row>
    <row r="130" spans="1:14" s="47" customFormat="1" x14ac:dyDescent="0.3">
      <c r="A130" s="44">
        <f t="shared" si="7"/>
        <v>4</v>
      </c>
      <c r="B130" s="44" t="s">
        <v>177</v>
      </c>
      <c r="C130" s="44" t="s">
        <v>192</v>
      </c>
      <c r="D130" s="44">
        <f>(36.09)*10.764</f>
        <v>388.47275999999999</v>
      </c>
      <c r="E130" s="44">
        <v>0</v>
      </c>
      <c r="F130" s="44">
        <f t="shared" si="6"/>
        <v>621.55641600000001</v>
      </c>
      <c r="G130" s="70" t="str">
        <f t="shared" si="8"/>
        <v>5th Floor (Part Refuge Area)</v>
      </c>
      <c r="H130" s="65"/>
      <c r="I130" s="39"/>
      <c r="L130" s="73"/>
      <c r="M130" s="73"/>
      <c r="N130" s="39"/>
    </row>
    <row r="131" spans="1:14" s="47" customFormat="1" x14ac:dyDescent="0.3">
      <c r="A131" s="44">
        <f t="shared" si="7"/>
        <v>5</v>
      </c>
      <c r="B131" s="44" t="s">
        <v>177</v>
      </c>
      <c r="C131" s="44" t="s">
        <v>192</v>
      </c>
      <c r="D131" s="44">
        <f>(35.77)*10.764</f>
        <v>385.02828</v>
      </c>
      <c r="E131" s="44">
        <v>0</v>
      </c>
      <c r="F131" s="44">
        <f t="shared" si="6"/>
        <v>616.04524800000002</v>
      </c>
      <c r="G131" s="70" t="str">
        <f t="shared" si="8"/>
        <v>5th Floor (Part Refuge Area)</v>
      </c>
      <c r="H131" s="65"/>
      <c r="I131" s="39"/>
      <c r="L131" s="73"/>
      <c r="M131" s="73"/>
      <c r="N131" s="39"/>
    </row>
    <row r="132" spans="1:14" s="47" customFormat="1" x14ac:dyDescent="0.3">
      <c r="A132" s="44">
        <f t="shared" si="7"/>
        <v>6</v>
      </c>
      <c r="B132" s="45" t="s">
        <v>179</v>
      </c>
      <c r="C132" s="44" t="s">
        <v>192</v>
      </c>
      <c r="D132" s="44">
        <f>(35.77)*10.764</f>
        <v>385.02828</v>
      </c>
      <c r="E132" s="44">
        <v>0</v>
      </c>
      <c r="F132" s="44">
        <f t="shared" si="6"/>
        <v>616.04524800000002</v>
      </c>
      <c r="G132" s="70" t="str">
        <f t="shared" si="8"/>
        <v>5th Floor (Part Refuge Area)</v>
      </c>
      <c r="H132" s="65"/>
      <c r="I132" s="39"/>
      <c r="L132" s="73"/>
      <c r="M132" s="73"/>
      <c r="N132" s="39"/>
    </row>
    <row r="133" spans="1:14" s="47" customFormat="1" x14ac:dyDescent="0.3">
      <c r="A133" s="44">
        <f t="shared" si="7"/>
        <v>7</v>
      </c>
      <c r="B133" s="44" t="s">
        <v>177</v>
      </c>
      <c r="C133" s="44" t="s">
        <v>192</v>
      </c>
      <c r="D133" s="44">
        <f>(36.08)*10.764</f>
        <v>388.36511999999993</v>
      </c>
      <c r="E133" s="44">
        <v>0</v>
      </c>
      <c r="F133" s="44">
        <f t="shared" si="6"/>
        <v>621.38419199999998</v>
      </c>
      <c r="G133" s="70" t="str">
        <f t="shared" si="8"/>
        <v>5th Floor (Part Refuge Area)</v>
      </c>
      <c r="H133" s="65"/>
      <c r="I133" s="39"/>
      <c r="L133" s="73"/>
      <c r="M133" s="73"/>
      <c r="N133" s="39"/>
    </row>
    <row r="134" spans="1:14" s="47" customFormat="1" x14ac:dyDescent="0.3">
      <c r="A134" s="44">
        <f t="shared" si="7"/>
        <v>8</v>
      </c>
      <c r="B134" s="44" t="s">
        <v>177</v>
      </c>
      <c r="C134" s="44" t="s">
        <v>191</v>
      </c>
      <c r="D134" s="44">
        <f>(45.52)*10.764</f>
        <v>489.97728000000001</v>
      </c>
      <c r="E134" s="44">
        <v>0</v>
      </c>
      <c r="F134" s="44">
        <f t="shared" si="6"/>
        <v>783.96364800000003</v>
      </c>
      <c r="G134" s="70" t="str">
        <f t="shared" si="8"/>
        <v>5th Floor (Part Refuge Area)</v>
      </c>
      <c r="H134" s="65"/>
      <c r="I134" s="39"/>
      <c r="L134" s="73"/>
      <c r="M134" s="73"/>
      <c r="N134" s="39"/>
    </row>
    <row r="135" spans="1:14" s="47" customFormat="1" x14ac:dyDescent="0.3">
      <c r="A135" s="67" t="s">
        <v>193</v>
      </c>
      <c r="B135" s="68"/>
      <c r="C135" s="68"/>
      <c r="D135" s="68"/>
      <c r="E135" s="68"/>
      <c r="F135" s="68"/>
      <c r="G135" s="68"/>
      <c r="H135" s="69"/>
      <c r="J135" s="39"/>
    </row>
    <row r="136" spans="1:14" s="47" customFormat="1" x14ac:dyDescent="0.3">
      <c r="A136" s="44">
        <v>1</v>
      </c>
      <c r="B136" s="44" t="s">
        <v>177</v>
      </c>
      <c r="C136" s="44" t="s">
        <v>194</v>
      </c>
      <c r="D136" s="44">
        <f>(55.16)*10.764</f>
        <v>593.74223999999992</v>
      </c>
      <c r="E136" s="44">
        <v>0</v>
      </c>
      <c r="F136" s="44">
        <f t="shared" ref="F136:F143" si="9">D136*(($F$124)+1)+(IF(E136&lt;101,E136,IF(E136&lt;201,E136/2,IF(E136&lt;=301,E136/3,E136/4))))</f>
        <v>949.98758399999997</v>
      </c>
      <c r="G136" s="70" t="str">
        <f>A135</f>
        <v>6th Floor</v>
      </c>
      <c r="H136" s="65"/>
      <c r="I136" s="39"/>
      <c r="L136" s="73"/>
      <c r="M136" s="73"/>
      <c r="N136" s="39"/>
    </row>
    <row r="137" spans="1:14" s="47" customFormat="1" x14ac:dyDescent="0.3">
      <c r="A137" s="44">
        <f t="shared" ref="A137:A143" si="10">A136+1</f>
        <v>2</v>
      </c>
      <c r="B137" s="55" t="s">
        <v>179</v>
      </c>
      <c r="C137" s="44" t="s">
        <v>194</v>
      </c>
      <c r="D137" s="44">
        <f>(55.16)*10.764</f>
        <v>593.74223999999992</v>
      </c>
      <c r="E137" s="44">
        <v>0</v>
      </c>
      <c r="F137" s="44">
        <f t="shared" si="9"/>
        <v>949.98758399999997</v>
      </c>
      <c r="G137" s="70" t="str">
        <f t="shared" ref="G137:G143" si="11">G136</f>
        <v>6th Floor</v>
      </c>
      <c r="H137" s="65"/>
      <c r="I137" s="39"/>
      <c r="L137" s="73"/>
      <c r="M137" s="73"/>
      <c r="N137" s="39"/>
    </row>
    <row r="138" spans="1:14" s="47" customFormat="1" x14ac:dyDescent="0.3">
      <c r="A138" s="44">
        <f t="shared" si="10"/>
        <v>3</v>
      </c>
      <c r="B138" s="44" t="s">
        <v>177</v>
      </c>
      <c r="C138" s="44" t="s">
        <v>191</v>
      </c>
      <c r="D138" s="44">
        <f>(45.74)*10.764</f>
        <v>492.34535999999997</v>
      </c>
      <c r="E138" s="44">
        <v>0</v>
      </c>
      <c r="F138" s="44">
        <f t="shared" si="9"/>
        <v>787.75257599999998</v>
      </c>
      <c r="G138" s="70" t="str">
        <f t="shared" si="11"/>
        <v>6th Floor</v>
      </c>
      <c r="H138" s="65"/>
      <c r="I138" s="39"/>
      <c r="L138" s="73"/>
      <c r="M138" s="73"/>
      <c r="N138" s="39"/>
    </row>
    <row r="139" spans="1:14" s="47" customFormat="1" x14ac:dyDescent="0.3">
      <c r="A139" s="44">
        <f t="shared" si="10"/>
        <v>4</v>
      </c>
      <c r="B139" s="44" t="s">
        <v>177</v>
      </c>
      <c r="C139" s="44" t="s">
        <v>192</v>
      </c>
      <c r="D139" s="44">
        <f>(36.08)*10.764</f>
        <v>388.36511999999993</v>
      </c>
      <c r="E139" s="44">
        <v>0</v>
      </c>
      <c r="F139" s="44">
        <f t="shared" si="9"/>
        <v>621.38419199999998</v>
      </c>
      <c r="G139" s="70" t="str">
        <f t="shared" si="11"/>
        <v>6th Floor</v>
      </c>
      <c r="H139" s="65"/>
      <c r="I139" s="39"/>
      <c r="L139" s="73"/>
      <c r="M139" s="73"/>
      <c r="N139" s="39"/>
    </row>
    <row r="140" spans="1:14" s="47" customFormat="1" x14ac:dyDescent="0.3">
      <c r="A140" s="44">
        <f t="shared" si="10"/>
        <v>5</v>
      </c>
      <c r="B140" s="44" t="s">
        <v>177</v>
      </c>
      <c r="C140" s="44" t="s">
        <v>192</v>
      </c>
      <c r="D140" s="44">
        <f>(35.77)*10.764</f>
        <v>385.02828</v>
      </c>
      <c r="E140" s="44">
        <v>0</v>
      </c>
      <c r="F140" s="44">
        <f t="shared" si="9"/>
        <v>616.04524800000002</v>
      </c>
      <c r="G140" s="70" t="str">
        <f t="shared" si="11"/>
        <v>6th Floor</v>
      </c>
      <c r="H140" s="65"/>
      <c r="I140" s="39"/>
      <c r="L140" s="73"/>
      <c r="M140" s="73"/>
      <c r="N140" s="39"/>
    </row>
    <row r="141" spans="1:14" s="47" customFormat="1" x14ac:dyDescent="0.3">
      <c r="A141" s="44">
        <f t="shared" si="10"/>
        <v>6</v>
      </c>
      <c r="B141" s="44" t="s">
        <v>177</v>
      </c>
      <c r="C141" s="44" t="s">
        <v>192</v>
      </c>
      <c r="D141" s="44">
        <f>(35.77)*10.764</f>
        <v>385.02828</v>
      </c>
      <c r="E141" s="44">
        <v>0</v>
      </c>
      <c r="F141" s="44">
        <f t="shared" si="9"/>
        <v>616.04524800000002</v>
      </c>
      <c r="G141" s="70" t="str">
        <f t="shared" si="11"/>
        <v>6th Floor</v>
      </c>
      <c r="H141" s="65"/>
      <c r="I141" s="39"/>
      <c r="L141" s="73"/>
      <c r="M141" s="73"/>
      <c r="N141" s="39"/>
    </row>
    <row r="142" spans="1:14" s="47" customFormat="1" x14ac:dyDescent="0.3">
      <c r="A142" s="44">
        <f t="shared" si="10"/>
        <v>7</v>
      </c>
      <c r="B142" s="44" t="s">
        <v>177</v>
      </c>
      <c r="C142" s="44" t="s">
        <v>192</v>
      </c>
      <c r="D142" s="44">
        <f>(36.08)*10.764</f>
        <v>388.36511999999993</v>
      </c>
      <c r="E142" s="44">
        <v>0</v>
      </c>
      <c r="F142" s="44">
        <f t="shared" si="9"/>
        <v>621.38419199999998</v>
      </c>
      <c r="G142" s="70" t="str">
        <f t="shared" si="11"/>
        <v>6th Floor</v>
      </c>
      <c r="H142" s="65"/>
      <c r="I142" s="39"/>
      <c r="L142" s="73"/>
      <c r="M142" s="73"/>
      <c r="N142" s="39"/>
    </row>
    <row r="143" spans="1:14" s="47" customFormat="1" x14ac:dyDescent="0.3">
      <c r="A143" s="44">
        <f t="shared" si="10"/>
        <v>8</v>
      </c>
      <c r="B143" s="44" t="s">
        <v>177</v>
      </c>
      <c r="C143" s="44" t="s">
        <v>191</v>
      </c>
      <c r="D143" s="44">
        <f>(45.52)*10.764</f>
        <v>489.97728000000001</v>
      </c>
      <c r="E143" s="44">
        <v>0</v>
      </c>
      <c r="F143" s="44">
        <f t="shared" si="9"/>
        <v>783.96364800000003</v>
      </c>
      <c r="G143" s="70" t="str">
        <f t="shared" si="11"/>
        <v>6th Floor</v>
      </c>
      <c r="H143" s="65"/>
      <c r="I143" s="39"/>
      <c r="L143" s="73"/>
      <c r="M143" s="73"/>
      <c r="N143" s="39"/>
    </row>
    <row r="144" spans="1:14" s="47" customFormat="1" x14ac:dyDescent="0.3">
      <c r="A144" s="67" t="s">
        <v>195</v>
      </c>
      <c r="B144" s="68"/>
      <c r="C144" s="68"/>
      <c r="D144" s="68"/>
      <c r="E144" s="68"/>
      <c r="F144" s="68"/>
      <c r="G144" s="68"/>
      <c r="H144" s="69"/>
      <c r="J144" s="39"/>
    </row>
    <row r="145" spans="1:14" s="47" customFormat="1" x14ac:dyDescent="0.3">
      <c r="A145" s="44">
        <v>1</v>
      </c>
      <c r="B145" s="44" t="s">
        <v>177</v>
      </c>
      <c r="C145" s="44" t="s">
        <v>194</v>
      </c>
      <c r="D145" s="44">
        <f>(55.16)*10.764</f>
        <v>593.74223999999992</v>
      </c>
      <c r="E145" s="44">
        <v>0</v>
      </c>
      <c r="F145" s="44">
        <f t="shared" ref="F145:F152" si="12">D145*(($F$124)+1)+(IF(E145&lt;101,E145,IF(E145&lt;201,E145/2,IF(E145&lt;=301,E145/3,E145/4))))</f>
        <v>949.98758399999997</v>
      </c>
      <c r="G145" s="70" t="str">
        <f>A144</f>
        <v>7th Floor</v>
      </c>
      <c r="H145" s="65"/>
      <c r="I145" s="39"/>
      <c r="L145" s="73"/>
      <c r="M145" s="73"/>
      <c r="N145" s="39"/>
    </row>
    <row r="146" spans="1:14" s="47" customFormat="1" x14ac:dyDescent="0.3">
      <c r="A146" s="44">
        <f t="shared" ref="A146:A152" si="13">A145+1</f>
        <v>2</v>
      </c>
      <c r="B146" s="44" t="s">
        <v>177</v>
      </c>
      <c r="C146" s="44" t="s">
        <v>194</v>
      </c>
      <c r="D146" s="44">
        <f>(55.16)*10.764</f>
        <v>593.74223999999992</v>
      </c>
      <c r="E146" s="44">
        <v>0</v>
      </c>
      <c r="F146" s="44">
        <f t="shared" si="12"/>
        <v>949.98758399999997</v>
      </c>
      <c r="G146" s="70" t="str">
        <f t="shared" ref="G146:G152" si="14">G145</f>
        <v>7th Floor</v>
      </c>
      <c r="H146" s="65"/>
      <c r="I146" s="39"/>
      <c r="L146" s="73"/>
      <c r="M146" s="73"/>
      <c r="N146" s="39"/>
    </row>
    <row r="147" spans="1:14" s="47" customFormat="1" x14ac:dyDescent="0.3">
      <c r="A147" s="44">
        <f t="shared" si="13"/>
        <v>3</v>
      </c>
      <c r="B147" s="44" t="s">
        <v>177</v>
      </c>
      <c r="C147" s="44" t="s">
        <v>191</v>
      </c>
      <c r="D147" s="44">
        <f>(45.74)*10.764</f>
        <v>492.34535999999997</v>
      </c>
      <c r="E147" s="44">
        <v>0</v>
      </c>
      <c r="F147" s="44">
        <f t="shared" si="12"/>
        <v>787.75257599999998</v>
      </c>
      <c r="G147" s="70" t="str">
        <f t="shared" si="14"/>
        <v>7th Floor</v>
      </c>
      <c r="H147" s="65"/>
      <c r="I147" s="39"/>
      <c r="L147" s="73"/>
      <c r="M147" s="73"/>
      <c r="N147" s="39"/>
    </row>
    <row r="148" spans="1:14" s="47" customFormat="1" x14ac:dyDescent="0.3">
      <c r="A148" s="44">
        <f t="shared" si="13"/>
        <v>4</v>
      </c>
      <c r="B148" s="44" t="s">
        <v>177</v>
      </c>
      <c r="C148" s="44" t="s">
        <v>192</v>
      </c>
      <c r="D148" s="44">
        <f>(36.08)*10.764</f>
        <v>388.36511999999993</v>
      </c>
      <c r="E148" s="44">
        <v>0</v>
      </c>
      <c r="F148" s="44">
        <f t="shared" si="12"/>
        <v>621.38419199999998</v>
      </c>
      <c r="G148" s="70" t="str">
        <f t="shared" si="14"/>
        <v>7th Floor</v>
      </c>
      <c r="H148" s="65"/>
      <c r="I148" s="39"/>
      <c r="L148" s="73"/>
      <c r="M148" s="73"/>
      <c r="N148" s="39"/>
    </row>
    <row r="149" spans="1:14" s="47" customFormat="1" x14ac:dyDescent="0.3">
      <c r="A149" s="44">
        <f t="shared" si="13"/>
        <v>5</v>
      </c>
      <c r="B149" s="44" t="s">
        <v>177</v>
      </c>
      <c r="C149" s="44" t="s">
        <v>192</v>
      </c>
      <c r="D149" s="44">
        <f>(35.77)*10.764</f>
        <v>385.02828</v>
      </c>
      <c r="E149" s="44">
        <v>0</v>
      </c>
      <c r="F149" s="44">
        <f t="shared" si="12"/>
        <v>616.04524800000002</v>
      </c>
      <c r="G149" s="70" t="str">
        <f t="shared" si="14"/>
        <v>7th Floor</v>
      </c>
      <c r="H149" s="65"/>
      <c r="I149" s="39"/>
      <c r="L149" s="73"/>
      <c r="M149" s="73"/>
      <c r="N149" s="39"/>
    </row>
    <row r="150" spans="1:14" s="47" customFormat="1" x14ac:dyDescent="0.3">
      <c r="A150" s="44">
        <f t="shared" si="13"/>
        <v>6</v>
      </c>
      <c r="B150" s="44" t="s">
        <v>177</v>
      </c>
      <c r="C150" s="44" t="s">
        <v>192</v>
      </c>
      <c r="D150" s="44">
        <f>(35.77)*10.764</f>
        <v>385.02828</v>
      </c>
      <c r="E150" s="44">
        <v>0</v>
      </c>
      <c r="F150" s="44">
        <f t="shared" si="12"/>
        <v>616.04524800000002</v>
      </c>
      <c r="G150" s="70" t="str">
        <f t="shared" si="14"/>
        <v>7th Floor</v>
      </c>
      <c r="H150" s="65"/>
      <c r="I150" s="39"/>
      <c r="L150" s="73"/>
      <c r="M150" s="73"/>
      <c r="N150" s="39"/>
    </row>
    <row r="151" spans="1:14" s="47" customFormat="1" x14ac:dyDescent="0.3">
      <c r="A151" s="44">
        <f t="shared" si="13"/>
        <v>7</v>
      </c>
      <c r="B151" s="44" t="s">
        <v>177</v>
      </c>
      <c r="C151" s="44" t="s">
        <v>192</v>
      </c>
      <c r="D151" s="44">
        <f>(36.08)*10.764</f>
        <v>388.36511999999993</v>
      </c>
      <c r="E151" s="44">
        <v>0</v>
      </c>
      <c r="F151" s="44">
        <f t="shared" si="12"/>
        <v>621.38419199999998</v>
      </c>
      <c r="G151" s="70" t="str">
        <f t="shared" si="14"/>
        <v>7th Floor</v>
      </c>
      <c r="H151" s="65"/>
      <c r="I151" s="39"/>
      <c r="L151" s="73"/>
      <c r="M151" s="73"/>
      <c r="N151" s="39"/>
    </row>
    <row r="152" spans="1:14" s="47" customFormat="1" x14ac:dyDescent="0.3">
      <c r="A152" s="44">
        <f t="shared" si="13"/>
        <v>8</v>
      </c>
      <c r="B152" s="45" t="s">
        <v>179</v>
      </c>
      <c r="C152" s="44" t="s">
        <v>191</v>
      </c>
      <c r="D152" s="44">
        <f>(45.52)*10.764</f>
        <v>489.97728000000001</v>
      </c>
      <c r="E152" s="44">
        <v>0</v>
      </c>
      <c r="F152" s="44">
        <f t="shared" si="12"/>
        <v>783.96364800000003</v>
      </c>
      <c r="G152" s="70" t="str">
        <f t="shared" si="14"/>
        <v>7th Floor</v>
      </c>
      <c r="H152" s="65"/>
      <c r="I152" s="39"/>
      <c r="L152" s="73"/>
      <c r="M152" s="73"/>
      <c r="N152" s="39"/>
    </row>
    <row r="153" spans="1:14" x14ac:dyDescent="0.3">
      <c r="A153" s="66" t="s">
        <v>196</v>
      </c>
      <c r="B153" s="66"/>
      <c r="C153" s="66"/>
      <c r="D153" s="66"/>
      <c r="E153" s="66"/>
      <c r="F153" s="66"/>
      <c r="G153" s="66"/>
      <c r="H153" s="66"/>
    </row>
    <row r="154" spans="1:14" s="47" customFormat="1" x14ac:dyDescent="0.3">
      <c r="A154" s="67" t="s">
        <v>197</v>
      </c>
      <c r="B154" s="68"/>
      <c r="C154" s="68"/>
      <c r="D154" s="68"/>
      <c r="E154" s="68"/>
      <c r="F154" s="68"/>
      <c r="G154" s="68"/>
      <c r="H154" s="69"/>
      <c r="J154" s="39"/>
    </row>
    <row r="155" spans="1:14" s="47" customFormat="1" x14ac:dyDescent="0.3">
      <c r="A155" s="44">
        <v>1</v>
      </c>
      <c r="B155" s="44" t="s">
        <v>177</v>
      </c>
      <c r="C155" s="44" t="s">
        <v>194</v>
      </c>
      <c r="D155" s="44">
        <f>(79.12)*10.764</f>
        <v>851.64768000000004</v>
      </c>
      <c r="E155" s="44">
        <v>0</v>
      </c>
      <c r="F155" s="44">
        <f>D155*(($F$124)+1)+(IF(E155&lt;101,E155,IF(E155&lt;201,E155/2,IF(E155&lt;=301,E155/3,E155/4))))</f>
        <v>1362.6362880000001</v>
      </c>
      <c r="G155" s="70" t="str">
        <f>A154</f>
        <v>9th Floor</v>
      </c>
      <c r="H155" s="65"/>
      <c r="I155" s="39"/>
      <c r="L155" s="73"/>
      <c r="M155" s="73"/>
      <c r="N155" s="39"/>
    </row>
    <row r="156" spans="1:14" s="47" customFormat="1" ht="46.8" x14ac:dyDescent="0.3">
      <c r="A156" s="44">
        <f t="shared" ref="A156:A158" si="15">A155+1</f>
        <v>2</v>
      </c>
      <c r="B156" s="45" t="s">
        <v>179</v>
      </c>
      <c r="C156" s="44" t="s">
        <v>198</v>
      </c>
      <c r="D156" s="44">
        <f>(123.83)*10.764</f>
        <v>1332.9061199999999</v>
      </c>
      <c r="E156" s="44">
        <v>0</v>
      </c>
      <c r="F156" s="44">
        <f>D156*(($F$124)+1)+(IF(E156&lt;101,E156,IF(E156&lt;201,E156/2,IF(E156&lt;=301,E156/3,E156/4))))</f>
        <v>2132.6497919999997</v>
      </c>
      <c r="G156" s="70" t="str">
        <f t="shared" ref="G156:G158" si="16">G155</f>
        <v>9th Floor</v>
      </c>
      <c r="H156" s="65"/>
      <c r="I156" s="39"/>
      <c r="L156" s="73"/>
      <c r="M156" s="73"/>
      <c r="N156" s="39"/>
    </row>
    <row r="157" spans="1:14" s="47" customFormat="1" x14ac:dyDescent="0.3">
      <c r="A157" s="44">
        <f t="shared" si="15"/>
        <v>3</v>
      </c>
      <c r="B157" s="44" t="s">
        <v>177</v>
      </c>
      <c r="C157" s="44" t="s">
        <v>194</v>
      </c>
      <c r="D157" s="44">
        <f>(66.84)*10.764</f>
        <v>719.46576000000005</v>
      </c>
      <c r="E157" s="44">
        <v>0</v>
      </c>
      <c r="F157" s="44">
        <f>D157*(($F$124)+1)+(IF(E157&lt;101,E157,IF(E157&lt;201,E157/2,IF(E157&lt;=301,E157/3,E157/4))))</f>
        <v>1151.1452160000001</v>
      </c>
      <c r="G157" s="70" t="str">
        <f t="shared" si="16"/>
        <v>9th Floor</v>
      </c>
      <c r="H157" s="65"/>
      <c r="I157" s="39"/>
      <c r="L157" s="73"/>
      <c r="M157" s="73"/>
      <c r="N157" s="39"/>
    </row>
    <row r="158" spans="1:14" s="47" customFormat="1" x14ac:dyDescent="0.3">
      <c r="A158" s="44">
        <f t="shared" si="15"/>
        <v>4</v>
      </c>
      <c r="B158" s="44" t="s">
        <v>177</v>
      </c>
      <c r="C158" s="44" t="s">
        <v>194</v>
      </c>
      <c r="D158" s="44">
        <f>(67.27)*10.764</f>
        <v>724.09427999999991</v>
      </c>
      <c r="E158" s="44">
        <v>0</v>
      </c>
      <c r="F158" s="44">
        <f>D158*(($F$124)+1)+(IF(E158&lt;101,E158,IF(E158&lt;201,E158/2,IF(E158&lt;=301,E158/3,E158/4))))</f>
        <v>1158.5508479999999</v>
      </c>
      <c r="G158" s="70" t="str">
        <f t="shared" si="16"/>
        <v>9th Floor</v>
      </c>
      <c r="H158" s="65"/>
      <c r="I158" s="39"/>
      <c r="L158" s="73"/>
      <c r="M158" s="73"/>
      <c r="N158" s="39"/>
    </row>
    <row r="159" spans="1:14" s="47" customFormat="1" x14ac:dyDescent="0.3">
      <c r="A159" s="67" t="s">
        <v>199</v>
      </c>
      <c r="B159" s="68"/>
      <c r="C159" s="68"/>
      <c r="D159" s="68"/>
      <c r="E159" s="68"/>
      <c r="F159" s="68"/>
      <c r="G159" s="68"/>
      <c r="H159" s="69"/>
      <c r="J159" s="39"/>
    </row>
    <row r="160" spans="1:14" s="47" customFormat="1" x14ac:dyDescent="0.3">
      <c r="A160" s="44">
        <v>1</v>
      </c>
      <c r="B160" s="44" t="s">
        <v>177</v>
      </c>
      <c r="C160" s="44" t="s">
        <v>194</v>
      </c>
      <c r="D160" s="44">
        <f>(79.12)*10.764</f>
        <v>851.64768000000004</v>
      </c>
      <c r="E160" s="44">
        <v>0</v>
      </c>
      <c r="F160" s="44">
        <f>D160*(($F$124)+1)+(IF(E160&lt;101,E160,IF(E160&lt;201,E160/2,IF(E160&lt;=301,E160/3,E160/4))))</f>
        <v>1362.6362880000001</v>
      </c>
      <c r="G160" s="70" t="str">
        <f>A159</f>
        <v>10th Floor</v>
      </c>
      <c r="H160" s="65"/>
      <c r="I160" s="39"/>
      <c r="L160" s="73"/>
      <c r="M160" s="73"/>
      <c r="N160" s="39"/>
    </row>
    <row r="161" spans="1:14" s="47" customFormat="1" ht="46.8" x14ac:dyDescent="0.3">
      <c r="A161" s="44">
        <f t="shared" ref="A161:A163" si="17">A160+1</f>
        <v>2</v>
      </c>
      <c r="B161" s="45" t="s">
        <v>179</v>
      </c>
      <c r="C161" s="44" t="s">
        <v>198</v>
      </c>
      <c r="D161" s="44">
        <f>(123.83)*10.764</f>
        <v>1332.9061199999999</v>
      </c>
      <c r="E161" s="44">
        <v>0</v>
      </c>
      <c r="F161" s="44">
        <f>D161*(($F$124)+1)+(IF(E161&lt;101,E161,IF(E161&lt;201,E161/2,IF(E161&lt;=301,E161/3,E161/4))))</f>
        <v>2132.6497919999997</v>
      </c>
      <c r="G161" s="70" t="str">
        <f t="shared" ref="G161:G163" si="18">G160</f>
        <v>10th Floor</v>
      </c>
      <c r="H161" s="65"/>
      <c r="I161" s="39"/>
      <c r="L161" s="73"/>
      <c r="M161" s="73"/>
      <c r="N161" s="39"/>
    </row>
    <row r="162" spans="1:14" s="47" customFormat="1" x14ac:dyDescent="0.3">
      <c r="A162" s="44">
        <f t="shared" si="17"/>
        <v>3</v>
      </c>
      <c r="B162" s="44" t="s">
        <v>177</v>
      </c>
      <c r="C162" s="44" t="s">
        <v>194</v>
      </c>
      <c r="D162" s="44">
        <f>(66.84)*10.764</f>
        <v>719.46576000000005</v>
      </c>
      <c r="E162" s="44">
        <v>0</v>
      </c>
      <c r="F162" s="44">
        <f>D162*(($F$124)+1)+(IF(E162&lt;101,E162,IF(E162&lt;201,E162/2,IF(E162&lt;=301,E162/3,E162/4))))</f>
        <v>1151.1452160000001</v>
      </c>
      <c r="G162" s="70" t="str">
        <f t="shared" si="18"/>
        <v>10th Floor</v>
      </c>
      <c r="H162" s="65"/>
      <c r="I162" s="39"/>
      <c r="L162" s="73"/>
      <c r="M162" s="73"/>
      <c r="N162" s="39"/>
    </row>
    <row r="163" spans="1:14" s="47" customFormat="1" x14ac:dyDescent="0.3">
      <c r="A163" s="44">
        <f t="shared" si="17"/>
        <v>4</v>
      </c>
      <c r="B163" s="44" t="s">
        <v>177</v>
      </c>
      <c r="C163" s="44" t="s">
        <v>194</v>
      </c>
      <c r="D163" s="44">
        <f>(67.27)*10.764</f>
        <v>724.09427999999991</v>
      </c>
      <c r="E163" s="44">
        <v>0</v>
      </c>
      <c r="F163" s="44">
        <f>D163*(($F$124)+1)+(IF(E163&lt;101,E163,IF(E163&lt;201,E163/2,IF(E163&lt;=301,E163/3,E163/4))))</f>
        <v>1158.5508479999999</v>
      </c>
      <c r="G163" s="70" t="str">
        <f t="shared" si="18"/>
        <v>10th Floor</v>
      </c>
      <c r="H163" s="65"/>
      <c r="I163" s="39"/>
      <c r="L163" s="73"/>
      <c r="M163" s="73"/>
      <c r="N163" s="39"/>
    </row>
    <row r="164" spans="1:14" s="47" customFormat="1" x14ac:dyDescent="0.3">
      <c r="A164" s="67" t="s">
        <v>200</v>
      </c>
      <c r="B164" s="68"/>
      <c r="C164" s="68"/>
      <c r="D164" s="68"/>
      <c r="E164" s="68"/>
      <c r="F164" s="68"/>
      <c r="G164" s="68"/>
      <c r="H164" s="69"/>
      <c r="J164" s="39"/>
    </row>
    <row r="165" spans="1:14" s="47" customFormat="1" x14ac:dyDescent="0.3">
      <c r="A165" s="44">
        <v>1</v>
      </c>
      <c r="B165" s="44" t="s">
        <v>177</v>
      </c>
      <c r="C165" s="44" t="s">
        <v>201</v>
      </c>
      <c r="D165" s="44">
        <f>(101.75)*10.764</f>
        <v>1095.2369999999999</v>
      </c>
      <c r="E165" s="44">
        <v>0</v>
      </c>
      <c r="F165" s="44">
        <f>D165*(($F$124)+1)+(IF(E165&lt;101,E165,IF(E165&lt;201,E165/2,IF(E165&lt;=301,E165/3,E165/4))))</f>
        <v>1752.3791999999999</v>
      </c>
      <c r="G165" s="70" t="str">
        <f>A164</f>
        <v>11th &amp; 12th Floor</v>
      </c>
      <c r="H165" s="65"/>
      <c r="I165" s="39"/>
      <c r="L165" s="73"/>
      <c r="M165" s="73"/>
      <c r="N165" s="39"/>
    </row>
    <row r="166" spans="1:14" s="47" customFormat="1" x14ac:dyDescent="0.3">
      <c r="A166" s="44">
        <f t="shared" ref="A166:A168" si="19">A165+1</f>
        <v>2</v>
      </c>
      <c r="B166" s="44" t="s">
        <v>177</v>
      </c>
      <c r="C166" s="44" t="s">
        <v>201</v>
      </c>
      <c r="D166" s="44">
        <f>(100.75)*10.764</f>
        <v>1084.473</v>
      </c>
      <c r="E166" s="44">
        <v>0</v>
      </c>
      <c r="F166" s="44">
        <f>D166*(($F$124)+1)+(IF(E166&lt;101,E166,IF(E166&lt;201,E166/2,IF(E166&lt;=301,E166/3,E166/4))))</f>
        <v>1735.1568</v>
      </c>
      <c r="G166" s="70" t="str">
        <f t="shared" ref="G166:G168" si="20">G165</f>
        <v>11th &amp; 12th Floor</v>
      </c>
      <c r="H166" s="65"/>
      <c r="I166" s="39"/>
      <c r="L166" s="73"/>
      <c r="M166" s="73"/>
      <c r="N166" s="39"/>
    </row>
    <row r="167" spans="1:14" s="47" customFormat="1" x14ac:dyDescent="0.3">
      <c r="A167" s="44">
        <f t="shared" si="19"/>
        <v>3</v>
      </c>
      <c r="B167" s="44" t="s">
        <v>177</v>
      </c>
      <c r="C167" s="44" t="s">
        <v>194</v>
      </c>
      <c r="D167" s="44">
        <f>(66.84)*10.764</f>
        <v>719.46576000000005</v>
      </c>
      <c r="E167" s="44">
        <v>0</v>
      </c>
      <c r="F167" s="44">
        <f>D167*(($F$124)+1)+(IF(E167&lt;101,E167,IF(E167&lt;201,E167/2,IF(E167&lt;=301,E167/3,E167/4))))</f>
        <v>1151.1452160000001</v>
      </c>
      <c r="G167" s="70" t="str">
        <f t="shared" si="20"/>
        <v>11th &amp; 12th Floor</v>
      </c>
      <c r="H167" s="65"/>
      <c r="I167" s="39"/>
      <c r="L167" s="73"/>
      <c r="M167" s="73"/>
      <c r="N167" s="39"/>
    </row>
    <row r="168" spans="1:14" s="47" customFormat="1" x14ac:dyDescent="0.3">
      <c r="A168" s="44">
        <f t="shared" si="19"/>
        <v>4</v>
      </c>
      <c r="B168" s="44" t="s">
        <v>177</v>
      </c>
      <c r="C168" s="44" t="s">
        <v>194</v>
      </c>
      <c r="D168" s="44">
        <f>(67.27)*10.764</f>
        <v>724.09427999999991</v>
      </c>
      <c r="E168" s="44">
        <v>0</v>
      </c>
      <c r="F168" s="44">
        <f>D168*(($F$124)+1)+(IF(E168&lt;101,E168,IF(E168&lt;201,E168/2,IF(E168&lt;=301,E168/3,E168/4))))</f>
        <v>1158.5508479999999</v>
      </c>
      <c r="G168" s="70" t="str">
        <f t="shared" si="20"/>
        <v>11th &amp; 12th Floor</v>
      </c>
      <c r="H168" s="65"/>
      <c r="I168" s="39"/>
      <c r="L168" s="73"/>
      <c r="M168" s="73"/>
      <c r="N168" s="39"/>
    </row>
    <row r="169" spans="1:14" s="47" customFormat="1" x14ac:dyDescent="0.3">
      <c r="A169" s="67" t="s">
        <v>202</v>
      </c>
      <c r="B169" s="68"/>
      <c r="C169" s="68"/>
      <c r="D169" s="68"/>
      <c r="E169" s="68"/>
      <c r="F169" s="68"/>
      <c r="G169" s="68"/>
      <c r="H169" s="69"/>
      <c r="J169" s="39"/>
    </row>
    <row r="170" spans="1:14" s="47" customFormat="1" x14ac:dyDescent="0.3">
      <c r="A170" s="44">
        <v>1</v>
      </c>
      <c r="B170" s="70" t="s">
        <v>203</v>
      </c>
      <c r="C170" s="64"/>
      <c r="D170" s="64"/>
      <c r="E170" s="64"/>
      <c r="F170" s="65"/>
      <c r="G170" s="70" t="str">
        <f>A169</f>
        <v>13th Floor (Part Refuge Area)</v>
      </c>
      <c r="H170" s="65"/>
      <c r="I170" s="39"/>
      <c r="L170" s="73"/>
      <c r="M170" s="73"/>
      <c r="N170" s="39"/>
    </row>
    <row r="171" spans="1:14" s="47" customFormat="1" x14ac:dyDescent="0.3">
      <c r="A171" s="44">
        <f t="shared" ref="A171:A173" si="21">A170+1</f>
        <v>2</v>
      </c>
      <c r="B171" s="44" t="s">
        <v>177</v>
      </c>
      <c r="C171" s="44" t="s">
        <v>201</v>
      </c>
      <c r="D171" s="44">
        <f>(100.75)*10.764</f>
        <v>1084.473</v>
      </c>
      <c r="E171" s="44">
        <v>0</v>
      </c>
      <c r="F171" s="44">
        <f>D171*(($F$124)+1)+(IF(E171&lt;101,E171,IF(E171&lt;201,E171/2,IF(E171&lt;=301,E171/3,E171/4))))</f>
        <v>1735.1568</v>
      </c>
      <c r="G171" s="70" t="str">
        <f t="shared" ref="G171:G173" si="22">G170</f>
        <v>13th Floor (Part Refuge Area)</v>
      </c>
      <c r="H171" s="65"/>
      <c r="I171" s="39"/>
      <c r="L171" s="73"/>
      <c r="M171" s="73"/>
      <c r="N171" s="39"/>
    </row>
    <row r="172" spans="1:14" s="47" customFormat="1" x14ac:dyDescent="0.3">
      <c r="A172" s="44">
        <f t="shared" si="21"/>
        <v>3</v>
      </c>
      <c r="B172" s="45" t="s">
        <v>179</v>
      </c>
      <c r="C172" s="44" t="s">
        <v>194</v>
      </c>
      <c r="D172" s="44">
        <f>(70.01)*10.764</f>
        <v>753.58763999999996</v>
      </c>
      <c r="E172" s="44">
        <v>0</v>
      </c>
      <c r="F172" s="44">
        <f>D172*(($F$124)+1)+(IF(E172&lt;101,E172,IF(E172&lt;201,E172/2,IF(E172&lt;=301,E172/3,E172/4))))</f>
        <v>1205.7402239999999</v>
      </c>
      <c r="G172" s="70" t="str">
        <f t="shared" si="22"/>
        <v>13th Floor (Part Refuge Area)</v>
      </c>
      <c r="H172" s="65"/>
      <c r="I172" s="39"/>
      <c r="L172" s="73"/>
      <c r="M172" s="73"/>
      <c r="N172" s="39"/>
    </row>
    <row r="173" spans="1:14" s="47" customFormat="1" x14ac:dyDescent="0.3">
      <c r="A173" s="44">
        <f t="shared" si="21"/>
        <v>4</v>
      </c>
      <c r="B173" s="44" t="s">
        <v>177</v>
      </c>
      <c r="C173" s="44" t="s">
        <v>194</v>
      </c>
      <c r="D173" s="44">
        <f>(70.06)*10.764</f>
        <v>754.12583999999993</v>
      </c>
      <c r="E173" s="44">
        <v>0</v>
      </c>
      <c r="F173" s="44">
        <f>D173*(($F$124)+1)+(IF(E173&lt;101,E173,IF(E173&lt;201,E173/2,IF(E173&lt;=301,E173/3,E173/4))))</f>
        <v>1206.6013439999999</v>
      </c>
      <c r="G173" s="70" t="str">
        <f t="shared" si="22"/>
        <v>13th Floor (Part Refuge Area)</v>
      </c>
      <c r="H173" s="65"/>
      <c r="I173" s="39"/>
      <c r="L173" s="73"/>
      <c r="M173" s="73"/>
      <c r="N173" s="39"/>
    </row>
    <row r="174" spans="1:14" s="47" customFormat="1" x14ac:dyDescent="0.3">
      <c r="A174" s="67" t="s">
        <v>204</v>
      </c>
      <c r="B174" s="68"/>
      <c r="C174" s="68"/>
      <c r="D174" s="68"/>
      <c r="E174" s="68"/>
      <c r="F174" s="68"/>
      <c r="G174" s="68"/>
      <c r="H174" s="69"/>
      <c r="J174" s="39"/>
    </row>
    <row r="175" spans="1:14" s="47" customFormat="1" x14ac:dyDescent="0.3">
      <c r="A175" s="44">
        <v>1</v>
      </c>
      <c r="B175" s="44" t="s">
        <v>177</v>
      </c>
      <c r="C175" s="44" t="s">
        <v>201</v>
      </c>
      <c r="D175" s="44">
        <f>(101.69)*10.764</f>
        <v>1094.5911599999999</v>
      </c>
      <c r="E175" s="44">
        <v>0</v>
      </c>
      <c r="F175" s="44">
        <f>D175*(($F$124)+1)+(IF(E175&lt;101,E175,IF(E175&lt;201,E175/2,IF(E175&lt;=301,E175/3,E175/4))))</f>
        <v>1751.3458559999999</v>
      </c>
      <c r="G175" s="70" t="str">
        <f>A174</f>
        <v>14th Floor</v>
      </c>
      <c r="H175" s="65"/>
      <c r="I175" s="39"/>
      <c r="L175" s="73"/>
      <c r="M175" s="73"/>
      <c r="N175" s="39"/>
    </row>
    <row r="176" spans="1:14" s="47" customFormat="1" x14ac:dyDescent="0.3">
      <c r="A176" s="44">
        <f t="shared" ref="A176:A178" si="23">A175+1</f>
        <v>2</v>
      </c>
      <c r="B176" s="44" t="s">
        <v>177</v>
      </c>
      <c r="C176" s="44" t="s">
        <v>201</v>
      </c>
      <c r="D176" s="44">
        <f>(100.75)*10.764</f>
        <v>1084.473</v>
      </c>
      <c r="E176" s="44">
        <v>0</v>
      </c>
      <c r="F176" s="44">
        <f>D176*(($F$124)+1)+(IF(E176&lt;101,E176,IF(E176&lt;201,E176/2,IF(E176&lt;=301,E176/3,E176/4))))</f>
        <v>1735.1568</v>
      </c>
      <c r="G176" s="70" t="str">
        <f t="shared" ref="G176:G178" si="24">G175</f>
        <v>14th Floor</v>
      </c>
      <c r="H176" s="65"/>
      <c r="I176" s="39"/>
      <c r="L176" s="73"/>
      <c r="M176" s="73"/>
      <c r="N176" s="39"/>
    </row>
    <row r="177" spans="1:14" s="47" customFormat="1" x14ac:dyDescent="0.3">
      <c r="A177" s="44">
        <f t="shared" si="23"/>
        <v>3</v>
      </c>
      <c r="B177" s="45" t="s">
        <v>179</v>
      </c>
      <c r="C177" s="44" t="s">
        <v>194</v>
      </c>
      <c r="D177" s="44">
        <f>(70.01)*10.764</f>
        <v>753.58763999999996</v>
      </c>
      <c r="E177" s="44">
        <v>0</v>
      </c>
      <c r="F177" s="44">
        <f>D177*(($F$124)+1)+(IF(E177&lt;101,E177,IF(E177&lt;201,E177/2,IF(E177&lt;=301,E177/3,E177/4))))</f>
        <v>1205.7402239999999</v>
      </c>
      <c r="G177" s="70" t="str">
        <f t="shared" si="24"/>
        <v>14th Floor</v>
      </c>
      <c r="H177" s="65"/>
      <c r="I177" s="39"/>
      <c r="L177" s="73"/>
      <c r="M177" s="73"/>
      <c r="N177" s="39"/>
    </row>
    <row r="178" spans="1:14" s="47" customFormat="1" x14ac:dyDescent="0.3">
      <c r="A178" s="44">
        <f t="shared" si="23"/>
        <v>4</v>
      </c>
      <c r="B178" s="45" t="s">
        <v>179</v>
      </c>
      <c r="C178" s="44" t="s">
        <v>194</v>
      </c>
      <c r="D178" s="44">
        <f>(70.06)*10.764</f>
        <v>754.12583999999993</v>
      </c>
      <c r="E178" s="44">
        <v>0</v>
      </c>
      <c r="F178" s="44">
        <f>D178*(($F$124)+1)+(IF(E178&lt;101,E178,IF(E178&lt;201,E178/2,IF(E178&lt;=301,E178/3,E178/4))))</f>
        <v>1206.6013439999999</v>
      </c>
      <c r="G178" s="70" t="str">
        <f t="shared" si="24"/>
        <v>14th Floor</v>
      </c>
      <c r="H178" s="65"/>
      <c r="I178" s="39"/>
      <c r="L178" s="73"/>
      <c r="M178" s="73"/>
      <c r="N178" s="39"/>
    </row>
    <row r="179" spans="1:14" x14ac:dyDescent="0.3">
      <c r="A179" s="66" t="s">
        <v>205</v>
      </c>
      <c r="B179" s="66"/>
      <c r="C179" s="66"/>
      <c r="D179" s="66"/>
      <c r="E179" s="66"/>
      <c r="F179" s="66"/>
      <c r="G179" s="66"/>
      <c r="H179" s="66"/>
    </row>
    <row r="180" spans="1:14" s="47" customFormat="1" x14ac:dyDescent="0.3">
      <c r="A180" s="67" t="s">
        <v>206</v>
      </c>
      <c r="B180" s="68"/>
      <c r="C180" s="68"/>
      <c r="D180" s="68"/>
      <c r="E180" s="68"/>
      <c r="F180" s="68"/>
      <c r="G180" s="68"/>
      <c r="H180" s="69"/>
      <c r="J180" s="39"/>
    </row>
    <row r="181" spans="1:14" s="47" customFormat="1" x14ac:dyDescent="0.3">
      <c r="A181" s="44">
        <v>1</v>
      </c>
      <c r="B181" s="45" t="s">
        <v>179</v>
      </c>
      <c r="C181" s="44" t="s">
        <v>201</v>
      </c>
      <c r="D181" s="44">
        <f>(101.69)*10.764</f>
        <v>1094.5911599999999</v>
      </c>
      <c r="E181" s="44">
        <v>0</v>
      </c>
      <c r="F181" s="44">
        <f>D181*(($F$124)+1)+(IF(E181&lt;101,E181,IF(E181&lt;201,E181/2,IF(E181&lt;=301,E181/3,E181/4))))</f>
        <v>1751.3458559999999</v>
      </c>
      <c r="G181" s="70" t="str">
        <f>A180</f>
        <v>16th to 21st Floor</v>
      </c>
      <c r="H181" s="65"/>
      <c r="I181" s="39"/>
      <c r="L181" s="73"/>
      <c r="M181" s="73"/>
      <c r="N181" s="39"/>
    </row>
    <row r="182" spans="1:14" s="47" customFormat="1" x14ac:dyDescent="0.3">
      <c r="A182" s="44">
        <f t="shared" ref="A182:A184" si="25">A181+1</f>
        <v>2</v>
      </c>
      <c r="B182" s="45" t="s">
        <v>179</v>
      </c>
      <c r="C182" s="44" t="s">
        <v>201</v>
      </c>
      <c r="D182" s="44">
        <f>(100.75)*10.764</f>
        <v>1084.473</v>
      </c>
      <c r="E182" s="44">
        <v>0</v>
      </c>
      <c r="F182" s="44">
        <f>D182*(($F$124)+1)+(IF(E182&lt;101,E182,IF(E182&lt;201,E182/2,IF(E182&lt;=301,E182/3,E182/4))))</f>
        <v>1735.1568</v>
      </c>
      <c r="G182" s="70" t="str">
        <f t="shared" ref="G182:G184" si="26">G181</f>
        <v>16th to 21st Floor</v>
      </c>
      <c r="H182" s="65"/>
      <c r="I182" s="39"/>
      <c r="L182" s="73"/>
      <c r="M182" s="73"/>
      <c r="N182" s="39"/>
    </row>
    <row r="183" spans="1:14" s="47" customFormat="1" x14ac:dyDescent="0.3">
      <c r="A183" s="44">
        <f t="shared" si="25"/>
        <v>3</v>
      </c>
      <c r="B183" s="45" t="s">
        <v>179</v>
      </c>
      <c r="C183" s="44" t="s">
        <v>194</v>
      </c>
      <c r="D183" s="44">
        <f>(70.01)*10.764</f>
        <v>753.58763999999996</v>
      </c>
      <c r="E183" s="44">
        <v>0</v>
      </c>
      <c r="F183" s="44">
        <f>D183*(($F$124)+1)+(IF(E183&lt;101,E183,IF(E183&lt;201,E183/2,IF(E183&lt;=301,E183/3,E183/4))))</f>
        <v>1205.7402239999999</v>
      </c>
      <c r="G183" s="70" t="str">
        <f t="shared" si="26"/>
        <v>16th to 21st Floor</v>
      </c>
      <c r="H183" s="65"/>
      <c r="I183" s="39"/>
      <c r="L183" s="73"/>
      <c r="M183" s="73"/>
      <c r="N183" s="39"/>
    </row>
    <row r="184" spans="1:14" s="47" customFormat="1" x14ac:dyDescent="0.3">
      <c r="A184" s="44">
        <f t="shared" si="25"/>
        <v>4</v>
      </c>
      <c r="B184" s="45" t="s">
        <v>179</v>
      </c>
      <c r="C184" s="44" t="s">
        <v>194</v>
      </c>
      <c r="D184" s="44">
        <f>(70.06)*10.764</f>
        <v>754.12583999999993</v>
      </c>
      <c r="E184" s="44">
        <v>0</v>
      </c>
      <c r="F184" s="44">
        <f>D184*(($F$124)+1)+(IF(E184&lt;101,E184,IF(E184&lt;201,E184/2,IF(E184&lt;=301,E184/3,E184/4))))</f>
        <v>1206.6013439999999</v>
      </c>
      <c r="G184" s="70" t="str">
        <f t="shared" si="26"/>
        <v>16th to 21st Floor</v>
      </c>
      <c r="H184" s="65"/>
      <c r="I184" s="39"/>
      <c r="L184" s="73"/>
      <c r="M184" s="73"/>
      <c r="N184" s="39"/>
    </row>
    <row r="185" spans="1:14" s="38" customFormat="1" x14ac:dyDescent="0.3">
      <c r="A185" s="127" t="s">
        <v>72</v>
      </c>
      <c r="B185" s="127"/>
      <c r="C185" s="127"/>
      <c r="D185" s="127"/>
      <c r="E185" s="127"/>
      <c r="F185" s="127"/>
      <c r="G185" s="127"/>
      <c r="H185" s="127"/>
    </row>
    <row r="186" spans="1:14" s="38" customFormat="1" x14ac:dyDescent="0.3">
      <c r="A186" s="54" t="s">
        <v>164</v>
      </c>
      <c r="B186" s="61" t="s">
        <v>244</v>
      </c>
      <c r="C186" s="62"/>
      <c r="D186" s="62"/>
      <c r="E186" s="62"/>
      <c r="F186" s="62"/>
      <c r="G186" s="62"/>
      <c r="H186" s="63"/>
    </row>
    <row r="187" spans="1:14" s="38" customFormat="1" x14ac:dyDescent="0.3">
      <c r="A187" s="54" t="s">
        <v>164</v>
      </c>
      <c r="B187" s="61" t="str">
        <f>(IF(F123="Saleable area Loading :","We have considered Saleable area of Flats as per our Calculation.","We considered Saleable area of Flat as per Builder area Sheet."))</f>
        <v>We have considered Saleable area of Flats as per our Calculation.</v>
      </c>
      <c r="C187" s="62"/>
      <c r="D187" s="62"/>
      <c r="E187" s="62"/>
      <c r="F187" s="62"/>
      <c r="G187" s="62"/>
      <c r="H187" s="63"/>
    </row>
    <row r="188" spans="1:14" s="38" customFormat="1" x14ac:dyDescent="0.3">
      <c r="A188" s="54" t="s">
        <v>164</v>
      </c>
      <c r="B188" s="61" t="str">
        <f>(IF(F104="Saleable area Loading :","We have considered Saleable area of Commercial as per our Calculation.","We considered Saleable area of Commercial as per Builder area Sheet."))</f>
        <v>We have considered Saleable area of Commercial as per our Calculation.</v>
      </c>
      <c r="C188" s="62"/>
      <c r="D188" s="62"/>
      <c r="E188" s="62"/>
      <c r="F188" s="62"/>
      <c r="G188" s="62"/>
      <c r="H188" s="63"/>
    </row>
    <row r="189" spans="1:14" s="38" customFormat="1" x14ac:dyDescent="0.3">
      <c r="A189" s="46" t="s">
        <v>164</v>
      </c>
      <c r="B189" s="167" t="s">
        <v>132</v>
      </c>
      <c r="C189" s="168"/>
      <c r="D189" s="168"/>
      <c r="E189" s="168"/>
      <c r="F189" s="168"/>
      <c r="G189" s="168"/>
      <c r="H189" s="169"/>
    </row>
    <row r="190" spans="1:14" s="38" customFormat="1" x14ac:dyDescent="0.3">
      <c r="A190" s="46" t="s">
        <v>164</v>
      </c>
      <c r="B190" s="167" t="s">
        <v>245</v>
      </c>
      <c r="C190" s="168"/>
      <c r="D190" s="168"/>
      <c r="E190" s="168"/>
      <c r="F190" s="168"/>
      <c r="G190" s="168"/>
      <c r="H190" s="169"/>
    </row>
    <row r="191" spans="1:14" s="38" customFormat="1" x14ac:dyDescent="0.3">
      <c r="A191" s="46" t="s">
        <v>164</v>
      </c>
      <c r="B191" s="167" t="s">
        <v>163</v>
      </c>
      <c r="C191" s="168"/>
      <c r="D191" s="168"/>
      <c r="E191" s="168"/>
      <c r="F191" s="168"/>
      <c r="G191" s="168"/>
      <c r="H191" s="169"/>
    </row>
    <row r="192" spans="1:14" s="38" customFormat="1" x14ac:dyDescent="0.3">
      <c r="A192" s="46" t="s">
        <v>164</v>
      </c>
      <c r="B192" s="167" t="s">
        <v>133</v>
      </c>
      <c r="C192" s="168"/>
      <c r="D192" s="168"/>
      <c r="E192" s="168"/>
      <c r="F192" s="168"/>
      <c r="G192" s="168"/>
      <c r="H192" s="169"/>
    </row>
    <row r="193" spans="1:8" s="38" customFormat="1" ht="34.5" customHeight="1" x14ac:dyDescent="0.3">
      <c r="A193" s="46" t="s">
        <v>164</v>
      </c>
      <c r="B193" s="167" t="s">
        <v>165</v>
      </c>
      <c r="C193" s="168"/>
      <c r="D193" s="168"/>
      <c r="E193" s="168"/>
      <c r="F193" s="168"/>
      <c r="G193" s="168"/>
      <c r="H193" s="169"/>
    </row>
    <row r="194" spans="1:8" s="38" customFormat="1" x14ac:dyDescent="0.3">
      <c r="A194" s="46" t="s">
        <v>164</v>
      </c>
      <c r="B194" s="167" t="s">
        <v>134</v>
      </c>
      <c r="C194" s="168"/>
      <c r="D194" s="168"/>
      <c r="E194" s="168"/>
      <c r="F194" s="168"/>
      <c r="G194" s="168"/>
      <c r="H194" s="169"/>
    </row>
    <row r="195" spans="1:8" s="38" customFormat="1" hidden="1" x14ac:dyDescent="0.3">
      <c r="A195" s="46" t="s">
        <v>164</v>
      </c>
      <c r="B195" s="170" t="s">
        <v>135</v>
      </c>
      <c r="C195" s="171"/>
      <c r="D195" s="171"/>
      <c r="E195" s="171"/>
      <c r="F195" s="171"/>
      <c r="G195" s="171"/>
      <c r="H195" s="172"/>
    </row>
    <row r="196" spans="1:8" x14ac:dyDescent="0.3">
      <c r="A196" s="101" t="s">
        <v>65</v>
      </c>
      <c r="B196" s="101"/>
      <c r="C196" s="101"/>
      <c r="D196" s="101"/>
      <c r="E196" s="101"/>
      <c r="F196" s="101"/>
      <c r="G196" s="101"/>
      <c r="H196" s="101"/>
    </row>
    <row r="197" spans="1:8" x14ac:dyDescent="0.3">
      <c r="A197" s="77" t="s">
        <v>66</v>
      </c>
      <c r="B197" s="77"/>
      <c r="C197" s="77"/>
      <c r="D197" s="77"/>
      <c r="E197" s="77"/>
      <c r="F197" s="77"/>
      <c r="G197" s="77"/>
      <c r="H197" s="77"/>
    </row>
    <row r="198" spans="1:8" ht="15.75" customHeight="1" x14ac:dyDescent="0.3">
      <c r="A198" s="78" t="s">
        <v>67</v>
      </c>
      <c r="B198" s="78"/>
      <c r="C198" s="78"/>
      <c r="D198" s="78"/>
      <c r="E198" s="78"/>
      <c r="F198" s="78"/>
      <c r="G198" s="78"/>
      <c r="H198" s="78"/>
    </row>
    <row r="199" spans="1:8" x14ac:dyDescent="0.3">
      <c r="A199" s="77" t="s">
        <v>68</v>
      </c>
      <c r="B199" s="77"/>
      <c r="C199" s="77"/>
      <c r="D199" s="77"/>
      <c r="E199" s="77"/>
      <c r="F199" s="77"/>
      <c r="G199" s="77"/>
      <c r="H199" s="77"/>
    </row>
    <row r="200" spans="1:8" x14ac:dyDescent="0.3">
      <c r="A200" s="77" t="s">
        <v>69</v>
      </c>
      <c r="B200" s="77"/>
      <c r="C200" s="77"/>
      <c r="D200" s="77"/>
      <c r="E200" s="77"/>
      <c r="F200" s="77"/>
      <c r="G200" s="77"/>
      <c r="H200" s="77"/>
    </row>
    <row r="201" spans="1:8" x14ac:dyDescent="0.3">
      <c r="A201" s="77" t="s">
        <v>136</v>
      </c>
      <c r="B201" s="77"/>
      <c r="C201" s="77"/>
      <c r="D201" s="77"/>
      <c r="E201" s="77"/>
      <c r="F201" s="77"/>
      <c r="G201" s="77"/>
      <c r="H201" s="77"/>
    </row>
    <row r="202" spans="1:8" ht="35.25" customHeight="1" x14ac:dyDescent="0.3">
      <c r="A202" s="102" t="s">
        <v>137</v>
      </c>
      <c r="B202" s="102"/>
      <c r="C202" s="102"/>
      <c r="D202" s="102"/>
      <c r="E202" s="102"/>
      <c r="F202" s="102"/>
      <c r="G202" s="102"/>
      <c r="H202" s="102"/>
    </row>
    <row r="203" spans="1:8" x14ac:dyDescent="0.3">
      <c r="A203" s="125" t="s">
        <v>82</v>
      </c>
      <c r="B203" s="125"/>
      <c r="C203" s="125" t="s">
        <v>247</v>
      </c>
      <c r="D203" s="125"/>
      <c r="E203" s="125" t="s">
        <v>114</v>
      </c>
      <c r="F203" s="125"/>
      <c r="G203" s="125" t="s">
        <v>246</v>
      </c>
      <c r="H203" s="125"/>
    </row>
    <row r="204" spans="1:8" x14ac:dyDescent="0.3">
      <c r="A204" s="124" t="s">
        <v>85</v>
      </c>
      <c r="B204" s="124"/>
      <c r="C204" s="124"/>
      <c r="D204" s="124"/>
      <c r="E204" s="124"/>
      <c r="F204" s="124"/>
      <c r="G204" s="124"/>
      <c r="H204" s="124"/>
    </row>
    <row r="205" spans="1:8" x14ac:dyDescent="0.3">
      <c r="A205" s="124"/>
      <c r="B205" s="124"/>
      <c r="C205" s="124"/>
      <c r="D205" s="124"/>
      <c r="E205" s="124"/>
      <c r="F205" s="124"/>
      <c r="G205" s="124"/>
      <c r="H205" s="124"/>
    </row>
    <row r="206" spans="1:8" x14ac:dyDescent="0.3">
      <c r="A206" s="124"/>
      <c r="B206" s="124"/>
      <c r="C206" s="124"/>
      <c r="D206" s="124"/>
      <c r="E206" s="124"/>
      <c r="F206" s="124"/>
      <c r="G206" s="124"/>
      <c r="H206" s="124"/>
    </row>
    <row r="207" spans="1:8" x14ac:dyDescent="0.3">
      <c r="A207" s="124"/>
      <c r="B207" s="124"/>
      <c r="C207" s="124"/>
      <c r="D207" s="124"/>
      <c r="E207" s="124"/>
      <c r="F207" s="124"/>
      <c r="G207" s="124"/>
      <c r="H207" s="124"/>
    </row>
    <row r="208" spans="1:8" x14ac:dyDescent="0.3">
      <c r="A208" s="40" t="s">
        <v>70</v>
      </c>
      <c r="B208" s="41"/>
      <c r="C208" s="41"/>
      <c r="D208" s="40" t="str">
        <f>E8</f>
        <v>Medius</v>
      </c>
      <c r="F208" s="41"/>
      <c r="G208" s="41"/>
      <c r="H208" s="41"/>
    </row>
    <row r="209" spans="1:8" x14ac:dyDescent="0.3">
      <c r="A209" s="41"/>
      <c r="B209" s="41"/>
      <c r="C209" s="41"/>
      <c r="D209" s="41"/>
      <c r="E209" s="41"/>
      <c r="F209" s="41"/>
      <c r="G209" s="41"/>
      <c r="H209" s="41"/>
    </row>
    <row r="210" spans="1:8" x14ac:dyDescent="0.3">
      <c r="A210" s="41"/>
      <c r="B210" s="41"/>
      <c r="C210" s="41"/>
      <c r="D210" s="41"/>
      <c r="E210" s="41"/>
      <c r="F210" s="41"/>
      <c r="G210" s="41"/>
      <c r="H210" s="41"/>
    </row>
    <row r="211" spans="1:8" ht="15" customHeight="1" x14ac:dyDescent="0.3"/>
    <row r="252" spans="1:1" x14ac:dyDescent="0.3">
      <c r="A252" s="43" t="s">
        <v>71</v>
      </c>
    </row>
  </sheetData>
  <mergeCells count="398">
    <mergeCell ref="A5:D5"/>
    <mergeCell ref="E5:H5"/>
    <mergeCell ref="A6:D6"/>
    <mergeCell ref="E6:H6"/>
    <mergeCell ref="A7:D7"/>
    <mergeCell ref="E7:H7"/>
    <mergeCell ref="A1:H1"/>
    <mergeCell ref="A2:H2"/>
    <mergeCell ref="A3:D3"/>
    <mergeCell ref="E3:H3"/>
    <mergeCell ref="A4:D4"/>
    <mergeCell ref="E4:H4"/>
    <mergeCell ref="A11:D11"/>
    <mergeCell ref="E11:H11"/>
    <mergeCell ref="A12:D12"/>
    <mergeCell ref="E12:H12"/>
    <mergeCell ref="A13:B13"/>
    <mergeCell ref="C13:H13"/>
    <mergeCell ref="A8:D8"/>
    <mergeCell ref="E8:H8"/>
    <mergeCell ref="A9:D9"/>
    <mergeCell ref="E9:H9"/>
    <mergeCell ref="A10:D10"/>
    <mergeCell ref="E10:H10"/>
    <mergeCell ref="A16:B16"/>
    <mergeCell ref="C16:D16"/>
    <mergeCell ref="E16:F16"/>
    <mergeCell ref="G16:H16"/>
    <mergeCell ref="A17:B17"/>
    <mergeCell ref="C17:D17"/>
    <mergeCell ref="E17:F17"/>
    <mergeCell ref="G17:H17"/>
    <mergeCell ref="A14:B14"/>
    <mergeCell ref="C14:H14"/>
    <mergeCell ref="A15:B15"/>
    <mergeCell ref="C15:D15"/>
    <mergeCell ref="E15:F15"/>
    <mergeCell ref="G15:H15"/>
    <mergeCell ref="A21:D21"/>
    <mergeCell ref="E21:H21"/>
    <mergeCell ref="A22:D22"/>
    <mergeCell ref="E22:H22"/>
    <mergeCell ref="A23:D23"/>
    <mergeCell ref="E23:H23"/>
    <mergeCell ref="A18:B18"/>
    <mergeCell ref="C18:D18"/>
    <mergeCell ref="E18:F18"/>
    <mergeCell ref="G18:H18"/>
    <mergeCell ref="A19:D20"/>
    <mergeCell ref="E19:H20"/>
    <mergeCell ref="A27:D27"/>
    <mergeCell ref="E27:H27"/>
    <mergeCell ref="A28:D28"/>
    <mergeCell ref="E28:H28"/>
    <mergeCell ref="A29:B29"/>
    <mergeCell ref="C29:E29"/>
    <mergeCell ref="F29:H29"/>
    <mergeCell ref="A24:D24"/>
    <mergeCell ref="E24:H24"/>
    <mergeCell ref="A25:D25"/>
    <mergeCell ref="E25:H25"/>
    <mergeCell ref="A26:D26"/>
    <mergeCell ref="E26:H26"/>
    <mergeCell ref="A32:B32"/>
    <mergeCell ref="C32:E32"/>
    <mergeCell ref="F32:H32"/>
    <mergeCell ref="A33:B33"/>
    <mergeCell ref="C33:E33"/>
    <mergeCell ref="F33:H33"/>
    <mergeCell ref="A30:B30"/>
    <mergeCell ref="C30:E30"/>
    <mergeCell ref="F30:H30"/>
    <mergeCell ref="A31:B31"/>
    <mergeCell ref="C31:E31"/>
    <mergeCell ref="F31:H31"/>
    <mergeCell ref="A37:D37"/>
    <mergeCell ref="E37:H37"/>
    <mergeCell ref="A38:D38"/>
    <mergeCell ref="E38:H38"/>
    <mergeCell ref="A39:D39"/>
    <mergeCell ref="E39:H39"/>
    <mergeCell ref="A34:H34"/>
    <mergeCell ref="A35:B35"/>
    <mergeCell ref="C35:D35"/>
    <mergeCell ref="E35:F35"/>
    <mergeCell ref="G35:H35"/>
    <mergeCell ref="A36:H36"/>
    <mergeCell ref="A43:H43"/>
    <mergeCell ref="A44:B44"/>
    <mergeCell ref="C44:H44"/>
    <mergeCell ref="A45:B45"/>
    <mergeCell ref="C45:E45"/>
    <mergeCell ref="G45:H45"/>
    <mergeCell ref="A40:D40"/>
    <mergeCell ref="E40:H40"/>
    <mergeCell ref="A41:D41"/>
    <mergeCell ref="E41:H41"/>
    <mergeCell ref="A42:D42"/>
    <mergeCell ref="E42:H42"/>
    <mergeCell ref="A49:B49"/>
    <mergeCell ref="C49:E49"/>
    <mergeCell ref="G49:H49"/>
    <mergeCell ref="A50:H50"/>
    <mergeCell ref="A51:C51"/>
    <mergeCell ref="D51:H51"/>
    <mergeCell ref="A46:B46"/>
    <mergeCell ref="C46:E46"/>
    <mergeCell ref="G46:H46"/>
    <mergeCell ref="A47:B48"/>
    <mergeCell ref="C47:E47"/>
    <mergeCell ref="G47:H47"/>
    <mergeCell ref="C48:E48"/>
    <mergeCell ref="G48:H48"/>
    <mergeCell ref="A55:C55"/>
    <mergeCell ref="D55:H55"/>
    <mergeCell ref="A56:C56"/>
    <mergeCell ref="D56:H56"/>
    <mergeCell ref="A57:C57"/>
    <mergeCell ref="D57:H57"/>
    <mergeCell ref="A52:C52"/>
    <mergeCell ref="D52:H52"/>
    <mergeCell ref="A53:C53"/>
    <mergeCell ref="D53:H53"/>
    <mergeCell ref="A54:C54"/>
    <mergeCell ref="D54:H54"/>
    <mergeCell ref="A61:C61"/>
    <mergeCell ref="D61:H61"/>
    <mergeCell ref="A62:B62"/>
    <mergeCell ref="C62:H62"/>
    <mergeCell ref="A64:B64"/>
    <mergeCell ref="C64:H64"/>
    <mergeCell ref="A58:C58"/>
    <mergeCell ref="D58:H58"/>
    <mergeCell ref="A59:C59"/>
    <mergeCell ref="D59:H59"/>
    <mergeCell ref="A60:C60"/>
    <mergeCell ref="D60:H60"/>
    <mergeCell ref="A65:B65"/>
    <mergeCell ref="E65:F65"/>
    <mergeCell ref="G65:H65"/>
    <mergeCell ref="A66:B66"/>
    <mergeCell ref="E66:F75"/>
    <mergeCell ref="G66:H75"/>
    <mergeCell ref="A67:B67"/>
    <mergeCell ref="A68:B68"/>
    <mergeCell ref="A69:B69"/>
    <mergeCell ref="A70:B70"/>
    <mergeCell ref="F76:H76"/>
    <mergeCell ref="A77:E77"/>
    <mergeCell ref="F77:H77"/>
    <mergeCell ref="A78:E78"/>
    <mergeCell ref="F78:H78"/>
    <mergeCell ref="A79:E79"/>
    <mergeCell ref="F79:H79"/>
    <mergeCell ref="A71:B71"/>
    <mergeCell ref="A72:B72"/>
    <mergeCell ref="A73:B73"/>
    <mergeCell ref="A74:B74"/>
    <mergeCell ref="A75:B75"/>
    <mergeCell ref="A76:E76"/>
    <mergeCell ref="A83:E83"/>
    <mergeCell ref="F83:H83"/>
    <mergeCell ref="A84:E84"/>
    <mergeCell ref="F84:H84"/>
    <mergeCell ref="A85:E85"/>
    <mergeCell ref="F85:H85"/>
    <mergeCell ref="A80:E80"/>
    <mergeCell ref="F80:H80"/>
    <mergeCell ref="A81:E81"/>
    <mergeCell ref="F81:H81"/>
    <mergeCell ref="A82:E82"/>
    <mergeCell ref="F82:H82"/>
    <mergeCell ref="A89:E89"/>
    <mergeCell ref="F89:H89"/>
    <mergeCell ref="A90:H90"/>
    <mergeCell ref="A91:B91"/>
    <mergeCell ref="C91:D91"/>
    <mergeCell ref="E91:F91"/>
    <mergeCell ref="G91:H91"/>
    <mergeCell ref="A86:E86"/>
    <mergeCell ref="F86:H86"/>
    <mergeCell ref="A87:E87"/>
    <mergeCell ref="F87:H87"/>
    <mergeCell ref="A88:E88"/>
    <mergeCell ref="F88:H88"/>
    <mergeCell ref="A94:B94"/>
    <mergeCell ref="C94:D94"/>
    <mergeCell ref="E94:F94"/>
    <mergeCell ref="G94:H94"/>
    <mergeCell ref="A95:B95"/>
    <mergeCell ref="C95:D95"/>
    <mergeCell ref="E95:F95"/>
    <mergeCell ref="G95:H95"/>
    <mergeCell ref="A92:B92"/>
    <mergeCell ref="C92:D92"/>
    <mergeCell ref="E92:F92"/>
    <mergeCell ref="G92:H92"/>
    <mergeCell ref="A93:B93"/>
    <mergeCell ref="C93:D93"/>
    <mergeCell ref="E93:F93"/>
    <mergeCell ref="G93:H93"/>
    <mergeCell ref="A96:B96"/>
    <mergeCell ref="C96:D96"/>
    <mergeCell ref="E96:F96"/>
    <mergeCell ref="G96:H96"/>
    <mergeCell ref="A97:H97"/>
    <mergeCell ref="A98:B98"/>
    <mergeCell ref="C98:D98"/>
    <mergeCell ref="E98:F98"/>
    <mergeCell ref="G98:H98"/>
    <mergeCell ref="A101:B101"/>
    <mergeCell ref="C101:D101"/>
    <mergeCell ref="E101:F101"/>
    <mergeCell ref="G101:H101"/>
    <mergeCell ref="A102:H102"/>
    <mergeCell ref="A103:H103"/>
    <mergeCell ref="A99:B99"/>
    <mergeCell ref="C99:D99"/>
    <mergeCell ref="E99:F99"/>
    <mergeCell ref="G99:H99"/>
    <mergeCell ref="A100:B100"/>
    <mergeCell ref="C100:D100"/>
    <mergeCell ref="E100:F100"/>
    <mergeCell ref="G100:H100"/>
    <mergeCell ref="A106:H106"/>
    <mergeCell ref="A107:H107"/>
    <mergeCell ref="G108:H108"/>
    <mergeCell ref="L108:M108"/>
    <mergeCell ref="G109:H109"/>
    <mergeCell ref="L109:M109"/>
    <mergeCell ref="A104:A105"/>
    <mergeCell ref="B104:B105"/>
    <mergeCell ref="C104:C105"/>
    <mergeCell ref="D104:D105"/>
    <mergeCell ref="E104:E105"/>
    <mergeCell ref="G104:H105"/>
    <mergeCell ref="G113:H113"/>
    <mergeCell ref="L113:M113"/>
    <mergeCell ref="G114:H114"/>
    <mergeCell ref="L114:M114"/>
    <mergeCell ref="G115:H115"/>
    <mergeCell ref="L115:M115"/>
    <mergeCell ref="G110:H110"/>
    <mergeCell ref="L110:M110"/>
    <mergeCell ref="G111:H111"/>
    <mergeCell ref="L111:M111"/>
    <mergeCell ref="G112:H112"/>
    <mergeCell ref="L112:M112"/>
    <mergeCell ref="C119:F119"/>
    <mergeCell ref="G119:H119"/>
    <mergeCell ref="L119:M119"/>
    <mergeCell ref="G120:H120"/>
    <mergeCell ref="L120:M120"/>
    <mergeCell ref="A121:H121"/>
    <mergeCell ref="G116:H116"/>
    <mergeCell ref="L116:M116"/>
    <mergeCell ref="A117:H117"/>
    <mergeCell ref="C118:F118"/>
    <mergeCell ref="G118:H118"/>
    <mergeCell ref="L118:M118"/>
    <mergeCell ref="A125:H125"/>
    <mergeCell ref="A126:H126"/>
    <mergeCell ref="A127:H127"/>
    <mergeCell ref="G128:H128"/>
    <mergeCell ref="L128:M128"/>
    <mergeCell ref="G129:H129"/>
    <mergeCell ref="L129:M129"/>
    <mergeCell ref="A122:H122"/>
    <mergeCell ref="A123:A124"/>
    <mergeCell ref="B123:B124"/>
    <mergeCell ref="C123:C124"/>
    <mergeCell ref="D123:D124"/>
    <mergeCell ref="E123:E124"/>
    <mergeCell ref="G123:H124"/>
    <mergeCell ref="G133:H133"/>
    <mergeCell ref="L133:M133"/>
    <mergeCell ref="G134:H134"/>
    <mergeCell ref="L134:M134"/>
    <mergeCell ref="A135:H135"/>
    <mergeCell ref="G136:H136"/>
    <mergeCell ref="L136:M136"/>
    <mergeCell ref="G130:H130"/>
    <mergeCell ref="L130:M130"/>
    <mergeCell ref="G131:H131"/>
    <mergeCell ref="L131:M131"/>
    <mergeCell ref="G132:H132"/>
    <mergeCell ref="L132:M132"/>
    <mergeCell ref="G140:H140"/>
    <mergeCell ref="L140:M140"/>
    <mergeCell ref="G141:H141"/>
    <mergeCell ref="L141:M141"/>
    <mergeCell ref="G142:H142"/>
    <mergeCell ref="L142:M142"/>
    <mergeCell ref="G137:H137"/>
    <mergeCell ref="L137:M137"/>
    <mergeCell ref="G138:H138"/>
    <mergeCell ref="L138:M138"/>
    <mergeCell ref="G139:H139"/>
    <mergeCell ref="L139:M139"/>
    <mergeCell ref="G147:H147"/>
    <mergeCell ref="L147:M147"/>
    <mergeCell ref="G148:H148"/>
    <mergeCell ref="L148:M148"/>
    <mergeCell ref="G149:H149"/>
    <mergeCell ref="L149:M149"/>
    <mergeCell ref="G143:H143"/>
    <mergeCell ref="L143:M143"/>
    <mergeCell ref="A144:H144"/>
    <mergeCell ref="G145:H145"/>
    <mergeCell ref="L145:M145"/>
    <mergeCell ref="G146:H146"/>
    <mergeCell ref="L146:M146"/>
    <mergeCell ref="A153:H153"/>
    <mergeCell ref="A154:H154"/>
    <mergeCell ref="G155:H155"/>
    <mergeCell ref="L155:M155"/>
    <mergeCell ref="G156:H156"/>
    <mergeCell ref="L156:M156"/>
    <mergeCell ref="G150:H150"/>
    <mergeCell ref="L150:M150"/>
    <mergeCell ref="G151:H151"/>
    <mergeCell ref="L151:M151"/>
    <mergeCell ref="G152:H152"/>
    <mergeCell ref="L152:M152"/>
    <mergeCell ref="G161:H161"/>
    <mergeCell ref="L161:M161"/>
    <mergeCell ref="G162:H162"/>
    <mergeCell ref="L162:M162"/>
    <mergeCell ref="G163:H163"/>
    <mergeCell ref="L163:M163"/>
    <mergeCell ref="G157:H157"/>
    <mergeCell ref="L157:M157"/>
    <mergeCell ref="G158:H158"/>
    <mergeCell ref="L158:M158"/>
    <mergeCell ref="A159:H159"/>
    <mergeCell ref="G160:H160"/>
    <mergeCell ref="L160:M160"/>
    <mergeCell ref="G168:H168"/>
    <mergeCell ref="L168:M168"/>
    <mergeCell ref="A169:H169"/>
    <mergeCell ref="B170:F170"/>
    <mergeCell ref="G170:H170"/>
    <mergeCell ref="L170:M170"/>
    <mergeCell ref="A164:H164"/>
    <mergeCell ref="G165:H165"/>
    <mergeCell ref="L165:M165"/>
    <mergeCell ref="G166:H166"/>
    <mergeCell ref="L166:M166"/>
    <mergeCell ref="G167:H167"/>
    <mergeCell ref="L167:M167"/>
    <mergeCell ref="A174:H174"/>
    <mergeCell ref="G175:H175"/>
    <mergeCell ref="L175:M175"/>
    <mergeCell ref="G176:H176"/>
    <mergeCell ref="L176:M176"/>
    <mergeCell ref="G177:H177"/>
    <mergeCell ref="L177:M177"/>
    <mergeCell ref="G171:H171"/>
    <mergeCell ref="L171:M171"/>
    <mergeCell ref="G172:H172"/>
    <mergeCell ref="L172:M172"/>
    <mergeCell ref="G173:H173"/>
    <mergeCell ref="L173:M173"/>
    <mergeCell ref="G182:H182"/>
    <mergeCell ref="L182:M182"/>
    <mergeCell ref="G183:H183"/>
    <mergeCell ref="L183:M183"/>
    <mergeCell ref="G184:H184"/>
    <mergeCell ref="L184:M184"/>
    <mergeCell ref="G178:H178"/>
    <mergeCell ref="L178:M178"/>
    <mergeCell ref="A179:H179"/>
    <mergeCell ref="A180:H180"/>
    <mergeCell ref="G181:H181"/>
    <mergeCell ref="L181:M181"/>
    <mergeCell ref="B191:H191"/>
    <mergeCell ref="B192:H192"/>
    <mergeCell ref="B193:H193"/>
    <mergeCell ref="B194:H194"/>
    <mergeCell ref="B195:H195"/>
    <mergeCell ref="A196:H196"/>
    <mergeCell ref="A185:H185"/>
    <mergeCell ref="B186:H186"/>
    <mergeCell ref="B187:H187"/>
    <mergeCell ref="B188:H188"/>
    <mergeCell ref="B189:H189"/>
    <mergeCell ref="B190:H190"/>
    <mergeCell ref="A203:B203"/>
    <mergeCell ref="C203:D203"/>
    <mergeCell ref="E203:F203"/>
    <mergeCell ref="G203:H203"/>
    <mergeCell ref="A204:H207"/>
    <mergeCell ref="A197:H197"/>
    <mergeCell ref="A198:H198"/>
    <mergeCell ref="A199:H199"/>
    <mergeCell ref="A200:H200"/>
    <mergeCell ref="A201:H201"/>
    <mergeCell ref="A202:H202"/>
  </mergeCells>
  <printOptions horizontalCentered="1"/>
  <pageMargins left="0.39370078740157483" right="0.39370078740157483" top="0.82677165354330717" bottom="0.78740157480314965" header="0.15748031496062992" footer="0.19685039370078741"/>
  <pageSetup paperSize="2" orientation="portrait" r:id="rId1"/>
  <headerFooter>
    <oddHeader>&amp;C&amp;G</oddHeader>
    <oddFooter>&amp;L&amp;"Times New Roman,Bold"&amp;12Ref No: &amp;F&amp;C&amp;G&amp;R&amp;"Times New Roman,Bold"&amp;12&amp;P</oddFooter>
  </headerFooter>
  <rowBreaks count="2" manualBreakCount="2">
    <brk id="207" max="16383" man="1"/>
    <brk id="251" max="16383"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Report</vt:lpstr>
      <vt:lpstr>valuation</vt:lpstr>
      <vt:lpstr>Note</vt:lpstr>
      <vt:lpstr>Report (2)</vt:lpstr>
      <vt:lpstr>Report!Print_Area</vt:lpstr>
      <vt:lpstr>'Report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2025-08-19T15:19:47Z</cp:lastPrinted>
  <dcterms:created xsi:type="dcterms:W3CDTF">2019-07-16T09:29:46Z</dcterms:created>
  <dcterms:modified xsi:type="dcterms:W3CDTF">2025-08-19T15:21:09Z</dcterms:modified>
</cp:coreProperties>
</file>