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923028F6-568C-4AA7-9ADC-34225B893A0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7" i="1" l="1"/>
  <c r="K166" i="1"/>
  <c r="E7" i="1"/>
  <c r="K109" i="1"/>
  <c r="J109" i="1"/>
  <c r="K110" i="1" l="1"/>
  <c r="D183" i="1"/>
  <c r="F183" i="1" s="1"/>
  <c r="D181" i="1"/>
  <c r="F181" i="1" s="1"/>
  <c r="D180" i="1"/>
  <c r="F180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1" i="1"/>
  <c r="F171" i="1" s="1"/>
  <c r="D169" i="1"/>
  <c r="F169" i="1" s="1"/>
  <c r="D168" i="1"/>
  <c r="F168" i="1" s="1"/>
  <c r="D166" i="1"/>
  <c r="F166" i="1" s="1"/>
  <c r="D164" i="1"/>
  <c r="F164" i="1" s="1"/>
  <c r="J164" i="1" s="1"/>
  <c r="D163" i="1"/>
  <c r="F163" i="1" s="1"/>
  <c r="J163" i="1" s="1"/>
  <c r="D161" i="1"/>
  <c r="F161" i="1" s="1"/>
  <c r="D160" i="1"/>
  <c r="F160" i="1" s="1"/>
  <c r="D159" i="1"/>
  <c r="F159" i="1" s="1"/>
  <c r="K164" i="1" s="1"/>
  <c r="D158" i="1"/>
  <c r="F158" i="1" s="1"/>
  <c r="K163" i="1" s="1"/>
  <c r="D147" i="1"/>
  <c r="F147" i="1" s="1"/>
  <c r="D146" i="1"/>
  <c r="F146" i="1" s="1"/>
  <c r="D145" i="1"/>
  <c r="F145" i="1" s="1"/>
  <c r="D143" i="1"/>
  <c r="F143" i="1" s="1"/>
  <c r="D142" i="1"/>
  <c r="D141" i="1"/>
  <c r="F141" i="1" s="1"/>
  <c r="D139" i="1"/>
  <c r="F139" i="1" s="1"/>
  <c r="D138" i="1"/>
  <c r="F138" i="1" s="1"/>
  <c r="D137" i="1"/>
  <c r="C123" i="1" s="1"/>
  <c r="J136" i="1"/>
  <c r="A181" i="1"/>
  <c r="A182" i="1" s="1"/>
  <c r="A183" i="1" s="1"/>
  <c r="A184" i="1" s="1"/>
  <c r="A185" i="1" s="1"/>
  <c r="G180" i="1"/>
  <c r="J178" i="1"/>
  <c r="J177" i="1"/>
  <c r="A174" i="1"/>
  <c r="A175" i="1" s="1"/>
  <c r="A176" i="1" s="1"/>
  <c r="A177" i="1" s="1"/>
  <c r="A178" i="1" s="1"/>
  <c r="G173" i="1"/>
  <c r="A169" i="1"/>
  <c r="A170" i="1" s="1"/>
  <c r="A171" i="1" s="1"/>
  <c r="G168" i="1"/>
  <c r="A164" i="1"/>
  <c r="A165" i="1" s="1"/>
  <c r="A166" i="1" s="1"/>
  <c r="G163" i="1"/>
  <c r="K159" i="1"/>
  <c r="K158" i="1"/>
  <c r="K160" i="1" s="1"/>
  <c r="J159" i="1"/>
  <c r="J158" i="1"/>
  <c r="A159" i="1"/>
  <c r="A160" i="1" s="1"/>
  <c r="A161" i="1" s="1"/>
  <c r="G158" i="1"/>
  <c r="A146" i="1"/>
  <c r="A147" i="1" s="1"/>
  <c r="G145" i="1"/>
  <c r="G146" i="1" s="1"/>
  <c r="G147" i="1" s="1"/>
  <c r="F142" i="1"/>
  <c r="A142" i="1"/>
  <c r="A143" i="1" s="1"/>
  <c r="G141" i="1"/>
  <c r="G142" i="1" s="1"/>
  <c r="G143" i="1" s="1"/>
  <c r="J138" i="1"/>
  <c r="A138" i="1"/>
  <c r="A139" i="1" s="1"/>
  <c r="G137" i="1"/>
  <c r="J160" i="1" l="1"/>
  <c r="F137" i="1"/>
  <c r="G123" i="1" s="1"/>
  <c r="C128" i="1"/>
  <c r="C129" i="1" s="1"/>
  <c r="G128" i="1"/>
  <c r="G129" i="1" s="1"/>
  <c r="G124" i="1"/>
  <c r="E123" i="1"/>
  <c r="E124" i="1"/>
  <c r="C124" i="1"/>
  <c r="C125" i="1" s="1"/>
  <c r="E128" i="1"/>
  <c r="E129" i="1" s="1"/>
  <c r="C130" i="1" l="1"/>
  <c r="G125" i="1"/>
  <c r="G130" i="1" s="1"/>
  <c r="E125" i="1"/>
  <c r="E130" i="1" s="1"/>
  <c r="E42" i="1"/>
  <c r="E43" i="1" s="1"/>
  <c r="C14" i="1" l="1"/>
  <c r="E29" i="1" l="1"/>
  <c r="F188" i="1" l="1"/>
  <c r="F189" i="1"/>
  <c r="F190" i="1"/>
  <c r="F187" i="1"/>
  <c r="A188" i="1"/>
  <c r="A189" i="1" s="1"/>
  <c r="A190" i="1" s="1"/>
  <c r="G187" i="1"/>
  <c r="G188" i="1" s="1"/>
  <c r="G189" i="1" s="1"/>
  <c r="G190" i="1" s="1"/>
  <c r="F120" i="1" l="1"/>
  <c r="F150" i="1" l="1"/>
  <c r="F151" i="1"/>
  <c r="F152" i="1"/>
  <c r="F149" i="1"/>
  <c r="B217" i="1" l="1"/>
  <c r="A204" i="1"/>
  <c r="A198" i="1"/>
  <c r="A210" i="1"/>
  <c r="F214" i="1" l="1"/>
  <c r="F213" i="1"/>
  <c r="F212" i="1"/>
  <c r="F211" i="1"/>
  <c r="F210" i="1"/>
  <c r="F208" i="1"/>
  <c r="F207" i="1"/>
  <c r="F206" i="1"/>
  <c r="F205" i="1"/>
  <c r="F204" i="1"/>
  <c r="F202" i="1"/>
  <c r="F201" i="1"/>
  <c r="F200" i="1"/>
  <c r="F199" i="1"/>
  <c r="F198" i="1"/>
  <c r="F196" i="1"/>
  <c r="F195" i="1"/>
  <c r="F193" i="1"/>
  <c r="F192" i="1"/>
  <c r="F194" i="1"/>
  <c r="A205" i="1"/>
  <c r="A211" i="1"/>
  <c r="A199" i="1"/>
  <c r="B218" i="1" l="1"/>
  <c r="A206" i="1"/>
  <c r="A200" i="1"/>
  <c r="A21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9" i="1"/>
  <c r="G210" i="1"/>
  <c r="G211" i="1" s="1"/>
  <c r="G212" i="1" s="1"/>
  <c r="G213" i="1" s="1"/>
  <c r="G214" i="1" s="1"/>
  <c r="G204" i="1"/>
  <c r="G205" i="1" s="1"/>
  <c r="G206" i="1" s="1"/>
  <c r="G207" i="1" s="1"/>
  <c r="G208" i="1" s="1"/>
  <c r="G198" i="1"/>
  <c r="G199" i="1" s="1"/>
  <c r="G200" i="1" s="1"/>
  <c r="G201" i="1" s="1"/>
  <c r="G202" i="1" s="1"/>
  <c r="G192" i="1"/>
  <c r="G193" i="1" s="1"/>
  <c r="G194" i="1" s="1"/>
  <c r="G195" i="1" s="1"/>
  <c r="G196" i="1" s="1"/>
  <c r="A192" i="1"/>
  <c r="A193" i="1" s="1"/>
  <c r="A194" i="1" s="1"/>
  <c r="A195" i="1" s="1"/>
  <c r="A196" i="1" s="1"/>
  <c r="A150" i="1"/>
  <c r="A151" i="1" s="1"/>
  <c r="A152" i="1" s="1"/>
  <c r="G149" i="1"/>
  <c r="G150" i="1" s="1"/>
  <c r="G151" i="1" s="1"/>
  <c r="G152" i="1" s="1"/>
  <c r="C93" i="1"/>
  <c r="B94" i="1" s="1"/>
  <c r="C79" i="1"/>
  <c r="B80" i="1" s="1"/>
  <c r="C65" i="1"/>
  <c r="B66" i="1" s="1"/>
  <c r="D54" i="1"/>
  <c r="G49" i="1"/>
  <c r="C49" i="1"/>
  <c r="E26" i="1"/>
  <c r="E24" i="1"/>
  <c r="E3" i="1"/>
  <c r="A207" i="1"/>
  <c r="A213" i="1"/>
  <c r="A201" i="1"/>
  <c r="D59" i="1" l="1"/>
  <c r="H94" i="1"/>
  <c r="A214" i="1"/>
  <c r="A202" i="1"/>
  <c r="H66" i="1"/>
  <c r="H80" i="1"/>
  <c r="A208" i="1"/>
  <c r="J98" i="1" l="1"/>
  <c r="C97" i="1" s="1"/>
  <c r="D97" i="1" s="1"/>
  <c r="J96" i="1"/>
  <c r="C99" i="1"/>
  <c r="J93" i="1" s="1"/>
  <c r="J95" i="1" s="1"/>
  <c r="J99" i="1"/>
  <c r="J100" i="1" s="1"/>
  <c r="J105" i="1" s="1"/>
  <c r="J97" i="1"/>
  <c r="D105" i="1"/>
  <c r="D101" i="1"/>
  <c r="D102" i="1"/>
  <c r="D100" i="1"/>
  <c r="D106" i="1"/>
  <c r="D103" i="1"/>
  <c r="D104" i="1"/>
  <c r="J84" i="1"/>
  <c r="C83" i="1" s="1"/>
  <c r="D83" i="1" s="1"/>
  <c r="J85" i="1"/>
  <c r="J86" i="1" s="1"/>
  <c r="J91" i="1" s="1"/>
  <c r="J82" i="1"/>
  <c r="J79" i="1"/>
  <c r="J81" i="1" s="1"/>
  <c r="D90" i="1"/>
  <c r="D91" i="1"/>
  <c r="D92" i="1"/>
  <c r="D86" i="1"/>
  <c r="D87" i="1"/>
  <c r="D88" i="1"/>
  <c r="D89" i="1"/>
  <c r="J83" i="1"/>
  <c r="D76" i="1"/>
  <c r="D72" i="1"/>
  <c r="D75" i="1"/>
  <c r="D74" i="1"/>
  <c r="J71" i="1"/>
  <c r="J72" i="1" s="1"/>
  <c r="J77" i="1" s="1"/>
  <c r="D78" i="1"/>
  <c r="J65" i="1"/>
  <c r="J67" i="1" s="1"/>
  <c r="D77" i="1"/>
  <c r="D73" i="1"/>
  <c r="J70" i="1"/>
  <c r="C69" i="1" s="1"/>
  <c r="D69" i="1" s="1"/>
  <c r="J69" i="1"/>
  <c r="J68" i="1"/>
  <c r="J101" i="1"/>
  <c r="J102" i="1" s="1"/>
  <c r="J103" i="1" s="1"/>
  <c r="J104" i="1" s="1"/>
  <c r="J106" i="1" s="1"/>
  <c r="C98" i="1" s="1"/>
  <c r="J87" i="1"/>
  <c r="J88" i="1" s="1"/>
  <c r="J89" i="1" s="1"/>
  <c r="J90" i="1" s="1"/>
  <c r="J73" i="1"/>
  <c r="J74" i="1" s="1"/>
  <c r="J75" i="1" s="1"/>
  <c r="J76" i="1" s="1"/>
  <c r="D85" i="1"/>
  <c r="D71" i="1"/>
  <c r="D99" i="1" l="1"/>
  <c r="J78" i="1"/>
  <c r="C70" i="1" s="1"/>
  <c r="G69" i="1" s="1"/>
  <c r="D63" i="1" s="1"/>
  <c r="D64" i="1" s="1"/>
  <c r="E97" i="1"/>
  <c r="G97" i="1"/>
  <c r="D98" i="1"/>
  <c r="J92" i="1"/>
  <c r="J80" i="1" s="1"/>
  <c r="J94" i="1"/>
  <c r="I94" i="1" l="1"/>
  <c r="I95" i="1" s="1"/>
  <c r="I93" i="1" s="1"/>
  <c r="C95" i="1" s="1"/>
  <c r="J66" i="1"/>
  <c r="D70" i="1"/>
  <c r="I66" i="1" s="1"/>
  <c r="I67" i="1" s="1"/>
  <c r="E69" i="1"/>
  <c r="F64" i="1"/>
  <c r="E83" i="1"/>
  <c r="G83" i="1"/>
  <c r="D84" i="1"/>
  <c r="I80" i="1" s="1"/>
  <c r="I81" i="1" s="1"/>
  <c r="I65" i="1" l="1"/>
  <c r="C67" i="1" s="1"/>
  <c r="I79" i="1"/>
  <c r="C81" i="1" s="1"/>
</calcChain>
</file>

<file path=xl/sharedStrings.xml><?xml version="1.0" encoding="utf-8"?>
<sst xmlns="http://schemas.openxmlformats.org/spreadsheetml/2006/main" count="368" uniqueCount="243">
  <si>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</si>
  <si>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</si>
  <si>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</si>
  <si>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</si>
  <si>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</si>
  <si>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</si>
  <si>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</si>
  <si>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</si>
  <si>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</si>
  <si>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</si>
  <si>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</si>
  <si>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</si>
  <si>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</si>
  <si>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</si>
  <si>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</si>
  <si>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</si>
  <si>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</si>
  <si>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</si>
  <si>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</si>
  <si>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</si>
  <si>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</si>
  <si>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</si>
  <si>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</si>
  <si>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</si>
  <si>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</si>
  <si>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</si>
  <si>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</si>
  <si>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</si>
  <si>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</si>
  <si>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</si>
  <si>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</si>
  <si>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</si>
  <si>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</si>
  <si>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</si>
  <si>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</si>
  <si>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</si>
  <si>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</si>
  <si>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</si>
  <si>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</si>
  <si>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</si>
  <si>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</si>
  <si>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</si>
  <si>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</si>
  <si>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</si>
  <si>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</si>
  <si>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</si>
  <si>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</si>
  <si>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</si>
  <si>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</si>
  <si>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</si>
  <si>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</si>
  <si>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</si>
  <si>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</si>
  <si>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</si>
  <si>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</si>
  <si>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</si>
  <si>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</si>
  <si>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</si>
  <si>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</si>
  <si>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</si>
  <si>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</si>
  <si>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</si>
  <si>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</si>
  <si>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</si>
  <si>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</si>
  <si>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</si>
  <si>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</si>
  <si>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</si>
  <si>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</si>
  <si>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</si>
  <si>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</si>
  <si>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</si>
  <si>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</si>
  <si>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</si>
  <si>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</si>
  <si>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</si>
  <si>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</si>
  <si>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</si>
  <si>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</si>
  <si>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</si>
  <si>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</si>
  <si>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</si>
  <si>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</si>
  <si>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</si>
  <si>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</si>
  <si>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</si>
  <si>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</si>
  <si>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</si>
  <si>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</si>
  <si>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</si>
  <si>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</si>
  <si>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</si>
  <si>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</si>
  <si>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</si>
  <si>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</si>
  <si>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</si>
  <si>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</si>
  <si>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</si>
  <si>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</si>
  <si>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</si>
  <si>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</si>
  <si>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</si>
  <si>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</si>
  <si>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</si>
  <si>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</si>
  <si>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</si>
  <si>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</si>
  <si>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</si>
  <si>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</si>
  <si>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</si>
  <si>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</si>
  <si>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</si>
  <si>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</si>
  <si>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</si>
  <si>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</si>
  <si>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</si>
  <si>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</si>
  <si>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</si>
  <si>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</si>
  <si>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</si>
  <si>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</si>
  <si>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</si>
  <si>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</si>
  <si>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</si>
  <si>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</si>
  <si>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</si>
  <si>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</si>
  <si>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</si>
  <si>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</si>
  <si>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</si>
  <si>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</si>
  <si>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</si>
  <si>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</si>
  <si>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</si>
  <si>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</si>
  <si>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</si>
  <si>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</si>
  <si>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</si>
  <si>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</si>
  <si>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</si>
  <si>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</si>
  <si>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</si>
  <si>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</si>
  <si>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</si>
  <si>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</si>
  <si>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</si>
  <si>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</si>
  <si>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</si>
  <si>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</si>
  <si>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</si>
  <si>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</si>
  <si>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</si>
  <si>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</si>
  <si>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</si>
  <si>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</si>
  <si>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</si>
  <si>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</si>
  <si>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</si>
  <si>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</si>
  <si>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</si>
  <si>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</si>
  <si>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</si>
  <si>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</si>
  <si>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</si>
  <si>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</si>
  <si>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</si>
  <si>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</si>
  <si>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</si>
  <si>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</si>
  <si>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</si>
  <si>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</si>
  <si>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</si>
  <si>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</si>
  <si>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</si>
  <si>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</si>
  <si>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</si>
  <si>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</si>
  <si>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</si>
  <si>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</si>
  <si>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</si>
  <si>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</si>
  <si>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</si>
  <si>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</si>
  <si>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</si>
  <si>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Metro Enterprises</t>
  </si>
  <si>
    <t>Metro Crown</t>
  </si>
  <si>
    <t>1 Building</t>
  </si>
  <si>
    <t>Approved Plans, CC</t>
  </si>
  <si>
    <t>https://goo.gl/maps/tbUS4MtBS7VLfguk7</t>
  </si>
  <si>
    <t>19.11113504, 72.9252482</t>
  </si>
  <si>
    <t>LBS Road</t>
  </si>
  <si>
    <t>Uhde House</t>
  </si>
  <si>
    <t>VEGA Guest House</t>
  </si>
  <si>
    <t>Godrej RMC Plant</t>
  </si>
  <si>
    <t>Mumbai</t>
  </si>
  <si>
    <t>Kurla</t>
  </si>
  <si>
    <t>Hariyali</t>
  </si>
  <si>
    <t>CTS No</t>
  </si>
  <si>
    <t>Surya Nagar</t>
  </si>
  <si>
    <t>0.350KM from Vikhroli Railway Station</t>
  </si>
  <si>
    <t>UHDE House</t>
  </si>
  <si>
    <t>Slum Rehabilitation Authority (SRA)</t>
  </si>
  <si>
    <t>S/PVT/0175/20210803/AP/C</t>
  </si>
  <si>
    <t>As per RERA - 31/12/2027</t>
  </si>
  <si>
    <t>Basement Floor For Domestic Tank, Flushing Tank, Fire Tank &amp; Pump Room</t>
  </si>
  <si>
    <t>Shop</t>
  </si>
  <si>
    <t>Ground Floor For Commercial, Meter Room &amp; Parking</t>
  </si>
  <si>
    <t>1st Floor For Commercial &amp; Parking</t>
  </si>
  <si>
    <t>Office</t>
  </si>
  <si>
    <t>2nd Floor For Commercial &amp; Parking</t>
  </si>
  <si>
    <t>3rd Floor For Service</t>
  </si>
  <si>
    <t>8th Floor (Part Refuge Area)</t>
  </si>
  <si>
    <t>Refuge Area</t>
  </si>
  <si>
    <t>4th to 7th, 9th to 14th Floor For Residential &amp; Parking</t>
  </si>
  <si>
    <t>15th Floor (Part Refuge Area) &amp; Fitness Center</t>
  </si>
  <si>
    <t>16th to 19th Floor</t>
  </si>
  <si>
    <t>Terrace Area &amp; Society Office</t>
  </si>
  <si>
    <t>Shops</t>
  </si>
  <si>
    <t>Offices</t>
  </si>
  <si>
    <t>Flats</t>
  </si>
  <si>
    <t>Terrace Area</t>
  </si>
  <si>
    <t>20th Floor (Part Terrace Area)</t>
  </si>
  <si>
    <t>Flats - 73, Shops - 3, Offices - 6</t>
  </si>
  <si>
    <t>Fitness Center, Car Parking Tower, Amenity Area</t>
  </si>
  <si>
    <t>Metro Crown (Residential) - P51800047023
Metro Crown (Commercial) - P51800046960</t>
  </si>
  <si>
    <t>This C.C is further extended from ground + 1st to 17th upper floor of composite building as per last approved amended plans dated 13/10/2022.</t>
  </si>
  <si>
    <t>B + G + 1st to 20th Floor</t>
  </si>
  <si>
    <t>We considered Gross carpet area = Net carpet</t>
  </si>
  <si>
    <t>MIS</t>
  </si>
  <si>
    <t xml:space="preserve"> 4421 - Blumen</t>
  </si>
  <si>
    <t>60%, 50%</t>
  </si>
  <si>
    <t>Vikhroli (West)</t>
  </si>
  <si>
    <t>15000 to 1600</t>
  </si>
  <si>
    <t>sanket</t>
  </si>
  <si>
    <t>by verbal</t>
  </si>
  <si>
    <t>Recommended Rates of the Property have been revised on 09/11/2023.</t>
  </si>
  <si>
    <t>Mr.Ritesh Dargar 9769225559</t>
  </si>
  <si>
    <t>Akash Kadam</t>
  </si>
  <si>
    <t>Mr. Mitesh patil</t>
  </si>
  <si>
    <t xml:space="preserve">Construction work is in process at the time of visit. </t>
  </si>
  <si>
    <t>B + G + 1st to 22nd Floor</t>
  </si>
  <si>
    <t>Please provide revised approved CC &amp; Plans, As the construction work goes beyond the CC permission and approved no of floors.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</si>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</sst>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9" xfId="0" applyFont="1" applyBorder="1"/>
    <xf numFmtId="0" fontId="26" fillId="0" borderId="3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6" fillId="0" borderId="0" xfId="1" applyNumberFormat="1" applyFont="1"/>
    <xf numFmtId="167" fontId="17" fillId="2" borderId="0" xfId="9" applyNumberFormat="1" applyFont="1" applyFill="1" applyAlignment="1">
      <alignment horizontal="center" vertical="center"/>
    </xf>
    <xf numFmtId="167" fontId="17" fillId="0" borderId="0" xfId="9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9" applyFont="1"/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9" xfId="0" applyFont="1" applyFill="1" applyBorder="1"/>
    <xf numFmtId="0" fontId="26" fillId="0" borderId="5" xfId="0" applyFont="1" applyBorder="1"/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7" fillId="0" borderId="15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4" xfId="1" applyNumberFormat="1" applyFont="1" applyBorder="1" applyAlignment="1" applyProtection="1">
      <alignment horizontal="center" vertical="center" wrapText="1"/>
      <protection locked="0"/>
    </xf>
    <xf numFmtId="168" fontId="6" fillId="0" borderId="15" xfId="1" applyNumberFormat="1" applyFont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325</xdr:row>
      <xdr:rowOff>0</xdr:rowOff>
    </xdr:from>
    <xdr:to>
      <xdr:col>7</xdr:col>
      <xdr:colOff>539325</xdr:colOff>
      <xdr:row>339</xdr:row>
      <xdr:rowOff>183724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82"/>
        <a:stretch/>
      </xdr:blipFill>
      <xdr:spPr>
        <a:xfrm>
          <a:off x="295275" y="54654450"/>
          <a:ext cx="5940000" cy="2984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295275</xdr:colOff>
      <xdr:row>340</xdr:row>
      <xdr:rowOff>194228</xdr:rowOff>
    </xdr:from>
    <xdr:to>
      <xdr:col>7</xdr:col>
      <xdr:colOff>539325</xdr:colOff>
      <xdr:row>364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75" y="56988628"/>
          <a:ext cx="6219400" cy="46317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647700</xdr:colOff>
      <xdr:row>351</xdr:row>
      <xdr:rowOff>133349</xdr:rowOff>
    </xdr:from>
    <xdr:to>
      <xdr:col>5</xdr:col>
      <xdr:colOff>47625</xdr:colOff>
      <xdr:row>356</xdr:row>
      <xdr:rowOff>142874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930416">
          <a:off x="3057525" y="59188349"/>
          <a:ext cx="1123950" cy="1009650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144781</xdr:colOff>
      <xdr:row>283</xdr:row>
      <xdr:rowOff>53339</xdr:rowOff>
    </xdr:from>
    <xdr:to>
      <xdr:col>6</xdr:col>
      <xdr:colOff>800101</xdr:colOff>
      <xdr:row>318</xdr:row>
      <xdr:rowOff>38476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92338795-B0F5-383F-8C1B-C7AF4CAD1D6A}"/>
            </a:ext>
          </a:extLst>
        </xdr:cNvPr>
        <xdr:cNvGrpSpPr/>
      </xdr:nvGrpSpPr>
      <xdr:grpSpPr>
        <a:xfrm>
          <a:off x="929641" y="45247559"/>
          <a:ext cx="4945380" cy="6919337"/>
          <a:chOff x="685800" y="45222795"/>
          <a:chExt cx="5311855" cy="789660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5800" y="45222795"/>
            <a:ext cx="5311855" cy="3879128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788795" y="49213770"/>
            <a:ext cx="3147630" cy="3905627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 rot="930416">
            <a:off x="3134186" y="50704563"/>
            <a:ext cx="519925" cy="480223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87166</xdr:colOff>
      <xdr:row>47</xdr:row>
      <xdr:rowOff>5052</xdr:rowOff>
    </xdr:from>
    <xdr:to>
      <xdr:col>10</xdr:col>
      <xdr:colOff>604375</xdr:colOff>
      <xdr:row>50</xdr:row>
      <xdr:rowOff>328246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6718" y="10574518"/>
          <a:ext cx="2642412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91966</xdr:colOff>
      <xdr:row>121</xdr:row>
      <xdr:rowOff>105104</xdr:rowOff>
    </xdr:from>
    <xdr:to>
      <xdr:col>9</xdr:col>
      <xdr:colOff>397067</xdr:colOff>
      <xdr:row>130</xdr:row>
      <xdr:rowOff>134006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1518" y="18872638"/>
          <a:ext cx="1467808" cy="1828800"/>
        </a:xfrm>
        <a:prstGeom prst="rect">
          <a:avLst/>
        </a:prstGeom>
      </xdr:spPr>
    </xdr:pic>
    <xdr:clientData/>
  </xdr:twoCellAnchor>
  <xdr:twoCellAnchor>
    <xdr:from>
      <xdr:col>9</xdr:col>
      <xdr:colOff>618490</xdr:colOff>
      <xdr:row>237</xdr:row>
      <xdr:rowOff>102870</xdr:rowOff>
    </xdr:from>
    <xdr:to>
      <xdr:col>16</xdr:col>
      <xdr:colOff>231031</xdr:colOff>
      <xdr:row>269</xdr:row>
      <xdr:rowOff>55332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550910" y="36389310"/>
          <a:ext cx="5243721" cy="6284682"/>
          <a:chOff x="717550" y="36817300"/>
          <a:chExt cx="5336431" cy="6245312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6585" y="40902612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26481" y="36817300"/>
            <a:ext cx="22275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7550" y="368173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7654" y="40902612"/>
            <a:ext cx="384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731520</xdr:colOff>
      <xdr:row>240</xdr:row>
      <xdr:rowOff>15240</xdr:rowOff>
    </xdr:from>
    <xdr:to>
      <xdr:col>7</xdr:col>
      <xdr:colOff>198585</xdr:colOff>
      <xdr:row>276</xdr:row>
      <xdr:rowOff>90540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ECB79870-E66D-741C-AB6A-5BD2C1C3FF39}"/>
            </a:ext>
          </a:extLst>
        </xdr:cNvPr>
        <xdr:cNvGrpSpPr/>
      </xdr:nvGrpSpPr>
      <xdr:grpSpPr>
        <a:xfrm>
          <a:off x="731520" y="36896040"/>
          <a:ext cx="5349705" cy="7200000"/>
          <a:chOff x="297334" y="154801"/>
          <a:chExt cx="5349705" cy="7200000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9D752336-CBEE-DE98-5594-82EB0D5B50E5}"/>
              </a:ext>
            </a:extLst>
          </xdr:cNvPr>
          <xdr:cNvGrpSpPr/>
        </xdr:nvGrpSpPr>
        <xdr:grpSpPr>
          <a:xfrm>
            <a:off x="672485" y="5554801"/>
            <a:ext cx="4599402" cy="1800000"/>
            <a:chOff x="633671" y="5554801"/>
            <a:chExt cx="4599402" cy="180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38B7C812-0BE5-BA59-E443-4F9BDDAB4B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33073" y="5554801"/>
              <a:ext cx="320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E9EA1AC1-5048-C69B-9A39-0AA18E9C4A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33671" y="5554801"/>
              <a:ext cx="1197061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1AF11FD9-834F-A511-CAC1-3F95DB3E2BF7}"/>
              </a:ext>
            </a:extLst>
          </xdr:cNvPr>
          <xdr:cNvGrpSpPr/>
        </xdr:nvGrpSpPr>
        <xdr:grpSpPr>
          <a:xfrm>
            <a:off x="297334" y="154801"/>
            <a:ext cx="5349705" cy="5220000"/>
            <a:chOff x="297334" y="154801"/>
            <a:chExt cx="5349705" cy="522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1A2ADCF-8832-646A-8051-77FCD81F1A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71153" y="2854801"/>
              <a:ext cx="167588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CFE3AC20-B6C7-925F-018B-58DCBC1E1A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97334" y="154801"/>
              <a:ext cx="3471478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B5E8CC12-8142-53C1-91D5-DBC18BD9D5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71153" y="154801"/>
              <a:ext cx="167588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bUS4MtBS7VLfguk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24"/>
  <sheetViews>
    <sheetView tabSelected="1" showWhiteSpace="0" view="pageBreakPreview" topLeftCell="A64" zoomScaleNormal="100" zoomScaleSheetLayoutView="100" workbookViewId="0">
      <selection activeCell="Q74" sqref="P74:Q74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7" width="11.77734375" style="38" customWidth="1"/>
    <col min="8" max="8" width="12.44140625" style="38" customWidth="1"/>
    <col min="9" max="9" width="17.44140625" style="19" customWidth="1"/>
    <col min="10" max="10" width="14.44140625" style="19" customWidth="1"/>
    <col min="11" max="11" width="11.218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8" ht="46.5" customHeight="1" x14ac:dyDescent="0.3">
      <c r="A1" s="142" t="s">
        <v>178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3">
      <c r="A2" s="143" t="s">
        <v>0</v>
      </c>
      <c r="B2" s="143"/>
      <c r="C2" s="143"/>
      <c r="D2" s="143"/>
      <c r="E2" s="143"/>
      <c r="F2" s="143"/>
      <c r="G2" s="143"/>
      <c r="H2" s="143"/>
    </row>
    <row r="3" spans="1:8" x14ac:dyDescent="0.3">
      <c r="A3" s="114" t="s">
        <v>1</v>
      </c>
      <c r="B3" s="114"/>
      <c r="C3" s="114"/>
      <c r="D3" s="114"/>
      <c r="E3" s="114" t="str">
        <f ca="1">TEXT(TODAY(),"DD/MM/YYYY")</f>
        <v>20/08/2025</v>
      </c>
      <c r="F3" s="114"/>
      <c r="G3" s="114"/>
      <c r="H3" s="114"/>
    </row>
    <row r="4" spans="1:8" ht="15" customHeight="1" x14ac:dyDescent="0.3">
      <c r="A4" s="114" t="s">
        <v>2</v>
      </c>
      <c r="B4" s="114"/>
      <c r="C4" s="114"/>
      <c r="D4" s="114"/>
      <c r="E4" s="114" t="s">
        <v>183</v>
      </c>
      <c r="F4" s="114"/>
      <c r="G4" s="114"/>
      <c r="H4" s="114"/>
    </row>
    <row r="5" spans="1:8" x14ac:dyDescent="0.3">
      <c r="A5" s="114" t="s">
        <v>3</v>
      </c>
      <c r="B5" s="114"/>
      <c r="C5" s="114"/>
      <c r="D5" s="114"/>
      <c r="E5" s="110">
        <v>45881</v>
      </c>
      <c r="F5" s="110"/>
      <c r="G5" s="110"/>
      <c r="H5" s="110"/>
    </row>
    <row r="6" spans="1:8" ht="16.5" customHeight="1" x14ac:dyDescent="0.3">
      <c r="A6" s="114" t="s">
        <v>4</v>
      </c>
      <c r="B6" s="114"/>
      <c r="C6" s="114"/>
      <c r="D6" s="114"/>
      <c r="E6" s="114" t="s">
        <v>184</v>
      </c>
      <c r="F6" s="114"/>
      <c r="G6" s="114"/>
      <c r="H6" s="114"/>
    </row>
    <row r="7" spans="1:8" ht="15" customHeight="1" x14ac:dyDescent="0.3">
      <c r="A7" s="114" t="s">
        <v>5</v>
      </c>
      <c r="B7" s="114"/>
      <c r="C7" s="114"/>
      <c r="D7" s="114"/>
      <c r="E7" s="114" t="str">
        <f>E6</f>
        <v>Metro Enterprises</v>
      </c>
      <c r="F7" s="114"/>
      <c r="G7" s="114"/>
      <c r="H7" s="114"/>
    </row>
    <row r="8" spans="1:8" x14ac:dyDescent="0.3">
      <c r="A8" s="114" t="s">
        <v>6</v>
      </c>
      <c r="B8" s="114"/>
      <c r="C8" s="114"/>
      <c r="D8" s="114"/>
      <c r="E8" s="140" t="s">
        <v>185</v>
      </c>
      <c r="F8" s="140"/>
      <c r="G8" s="140"/>
      <c r="H8" s="140"/>
    </row>
    <row r="9" spans="1:8" x14ac:dyDescent="0.3">
      <c r="A9" s="114" t="s">
        <v>181</v>
      </c>
      <c r="B9" s="114"/>
      <c r="C9" s="114"/>
      <c r="D9" s="114"/>
      <c r="E9" s="114" t="s">
        <v>236</v>
      </c>
      <c r="F9" s="114"/>
      <c r="G9" s="114"/>
      <c r="H9" s="114"/>
    </row>
    <row r="10" spans="1:8" hidden="1" x14ac:dyDescent="0.3">
      <c r="A10" s="114" t="s">
        <v>182</v>
      </c>
      <c r="B10" s="114"/>
      <c r="C10" s="114"/>
      <c r="D10" s="114"/>
      <c r="E10" s="114" t="s">
        <v>238</v>
      </c>
      <c r="F10" s="114"/>
      <c r="G10" s="114"/>
      <c r="H10" s="114"/>
    </row>
    <row r="11" spans="1:8" x14ac:dyDescent="0.3">
      <c r="A11" s="114" t="s">
        <v>7</v>
      </c>
      <c r="B11" s="114"/>
      <c r="C11" s="114"/>
      <c r="D11" s="114"/>
      <c r="E11" s="114" t="s">
        <v>186</v>
      </c>
      <c r="F11" s="114"/>
      <c r="G11" s="114"/>
      <c r="H11" s="114"/>
    </row>
    <row r="12" spans="1:8" ht="17.25" customHeight="1" x14ac:dyDescent="0.3">
      <c r="A12" s="92" t="s">
        <v>8</v>
      </c>
      <c r="B12" s="92"/>
      <c r="C12" s="92"/>
      <c r="D12" s="92"/>
      <c r="E12" s="113" t="s">
        <v>187</v>
      </c>
      <c r="F12" s="113"/>
      <c r="G12" s="113"/>
      <c r="H12" s="113"/>
    </row>
    <row r="13" spans="1:8" ht="31.5" customHeight="1" x14ac:dyDescent="0.3">
      <c r="A13" s="92" t="s">
        <v>9</v>
      </c>
      <c r="B13" s="92"/>
      <c r="C13" s="92"/>
      <c r="D13" s="92"/>
      <c r="E13" s="113" t="s">
        <v>224</v>
      </c>
      <c r="F13" s="114"/>
      <c r="G13" s="114"/>
      <c r="H13" s="114"/>
    </row>
    <row r="14" spans="1:8" ht="33" customHeight="1" x14ac:dyDescent="0.3">
      <c r="A14" s="113" t="s">
        <v>10</v>
      </c>
      <c r="B14" s="113"/>
      <c r="C14" s="11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Metro Crown, CTS No.43, near UHDE House, LBS Road, Surya Nagar, Hariyali, Vikhroli (West), Kurla, Mumbai - 400083.</v>
      </c>
      <c r="D14" s="113"/>
      <c r="E14" s="113"/>
      <c r="F14" s="113"/>
      <c r="G14" s="113"/>
      <c r="H14" s="113"/>
    </row>
    <row r="15" spans="1:8" x14ac:dyDescent="0.3">
      <c r="A15" s="113" t="s">
        <v>197</v>
      </c>
      <c r="B15" s="113"/>
      <c r="C15" s="113">
        <v>43</v>
      </c>
      <c r="D15" s="113"/>
      <c r="E15" s="113"/>
      <c r="F15" s="113"/>
      <c r="G15" s="113"/>
      <c r="H15" s="113"/>
    </row>
    <row r="16" spans="1:8" ht="15.75" customHeight="1" x14ac:dyDescent="0.3">
      <c r="A16" s="113" t="s">
        <v>176</v>
      </c>
      <c r="B16" s="113"/>
      <c r="C16" s="113" t="s">
        <v>198</v>
      </c>
      <c r="D16" s="113"/>
      <c r="E16" s="113"/>
      <c r="F16" s="113"/>
      <c r="G16" s="113"/>
      <c r="H16" s="113"/>
    </row>
    <row r="17" spans="1:11" ht="15.75" customHeight="1" x14ac:dyDescent="0.3">
      <c r="A17" s="113" t="s">
        <v>11</v>
      </c>
      <c r="B17" s="113"/>
      <c r="C17" s="114" t="s">
        <v>190</v>
      </c>
      <c r="D17" s="114"/>
      <c r="E17" s="113" t="s">
        <v>75</v>
      </c>
      <c r="F17" s="113"/>
      <c r="G17" s="113" t="s">
        <v>196</v>
      </c>
      <c r="H17" s="113"/>
    </row>
    <row r="18" spans="1:11" x14ac:dyDescent="0.3">
      <c r="A18" s="114" t="s">
        <v>13</v>
      </c>
      <c r="B18" s="114"/>
      <c r="C18" s="113" t="s">
        <v>231</v>
      </c>
      <c r="D18" s="113"/>
      <c r="E18" s="113" t="s">
        <v>12</v>
      </c>
      <c r="F18" s="113"/>
      <c r="G18" s="144" t="s">
        <v>194</v>
      </c>
      <c r="H18" s="144"/>
    </row>
    <row r="19" spans="1:11" x14ac:dyDescent="0.3">
      <c r="A19" s="114" t="s">
        <v>76</v>
      </c>
      <c r="B19" s="114"/>
      <c r="C19" s="113" t="s">
        <v>195</v>
      </c>
      <c r="D19" s="113"/>
      <c r="E19" s="113" t="s">
        <v>14</v>
      </c>
      <c r="F19" s="113"/>
      <c r="G19" s="113">
        <v>400083</v>
      </c>
      <c r="H19" s="113"/>
    </row>
    <row r="20" spans="1:11" ht="32.25" customHeight="1" x14ac:dyDescent="0.3">
      <c r="A20" s="114" t="s">
        <v>130</v>
      </c>
      <c r="B20" s="114"/>
      <c r="C20" s="113" t="s">
        <v>200</v>
      </c>
      <c r="D20" s="113"/>
      <c r="E20" s="113" t="s">
        <v>15</v>
      </c>
      <c r="F20" s="113"/>
      <c r="G20" s="113" t="s">
        <v>199</v>
      </c>
      <c r="H20" s="113"/>
    </row>
    <row r="21" spans="1:11" ht="15" customHeight="1" x14ac:dyDescent="0.3">
      <c r="A21" s="119" t="s">
        <v>79</v>
      </c>
      <c r="B21" s="119"/>
      <c r="C21" s="119"/>
      <c r="D21" s="119"/>
      <c r="E21" s="114" t="s">
        <v>16</v>
      </c>
      <c r="F21" s="114"/>
      <c r="G21" s="114"/>
      <c r="H21" s="114"/>
    </row>
    <row r="22" spans="1:11" ht="18.75" customHeight="1" x14ac:dyDescent="0.3">
      <c r="A22" s="119"/>
      <c r="B22" s="119"/>
      <c r="C22" s="119"/>
      <c r="D22" s="119"/>
      <c r="E22" s="114"/>
      <c r="F22" s="114"/>
      <c r="G22" s="114"/>
      <c r="H22" s="114"/>
    </row>
    <row r="23" spans="1:11" ht="15" customHeight="1" x14ac:dyDescent="0.3">
      <c r="A23" s="119" t="s">
        <v>17</v>
      </c>
      <c r="B23" s="119"/>
      <c r="C23" s="119"/>
      <c r="D23" s="119"/>
      <c r="E23" s="113" t="s">
        <v>18</v>
      </c>
      <c r="F23" s="113"/>
      <c r="G23" s="113"/>
      <c r="H23" s="113"/>
    </row>
    <row r="24" spans="1:11" ht="15" customHeight="1" x14ac:dyDescent="0.3">
      <c r="A24" s="92" t="s">
        <v>19</v>
      </c>
      <c r="B24" s="92"/>
      <c r="C24" s="92"/>
      <c r="D24" s="92"/>
      <c r="E24" s="113" t="str">
        <f>IF(AND(G18="Mumbai"),"Upper Class","Middle Class")</f>
        <v>Upper Class</v>
      </c>
      <c r="F24" s="113"/>
      <c r="G24" s="113"/>
      <c r="H24" s="113"/>
    </row>
    <row r="25" spans="1:11" x14ac:dyDescent="0.3">
      <c r="A25" s="92" t="s">
        <v>20</v>
      </c>
      <c r="B25" s="92"/>
      <c r="C25" s="92"/>
      <c r="D25" s="92"/>
      <c r="E25" s="113" t="s">
        <v>21</v>
      </c>
      <c r="F25" s="113"/>
      <c r="G25" s="113"/>
      <c r="H25" s="113"/>
      <c r="I25" s="55"/>
      <c r="K25">
        <v>17151300</v>
      </c>
    </row>
    <row r="26" spans="1:11" ht="15.75" customHeight="1" x14ac:dyDescent="0.3">
      <c r="A26" s="92" t="s">
        <v>22</v>
      </c>
      <c r="B26" s="92"/>
      <c r="C26" s="92"/>
      <c r="D26" s="92"/>
      <c r="E26" s="113" t="str">
        <f>IF(AND(G18="Mumbai"),"Developed","Developing")</f>
        <v>Developed</v>
      </c>
      <c r="F26" s="113"/>
      <c r="G26" s="113"/>
      <c r="H26" s="113"/>
    </row>
    <row r="27" spans="1:11" x14ac:dyDescent="0.3">
      <c r="A27" s="92" t="s">
        <v>23</v>
      </c>
      <c r="B27" s="92"/>
      <c r="C27" s="92"/>
      <c r="D27" s="92"/>
      <c r="E27" s="113" t="s">
        <v>24</v>
      </c>
      <c r="F27" s="113"/>
      <c r="G27" s="113"/>
      <c r="H27" s="113"/>
    </row>
    <row r="28" spans="1:11" ht="15.75" customHeight="1" x14ac:dyDescent="0.3">
      <c r="A28" s="92" t="s">
        <v>84</v>
      </c>
      <c r="B28" s="92"/>
      <c r="C28" s="92"/>
      <c r="D28" s="92"/>
      <c r="E28" s="113" t="s">
        <v>85</v>
      </c>
      <c r="F28" s="113"/>
      <c r="G28" s="113"/>
      <c r="H28" s="113"/>
    </row>
    <row r="29" spans="1:11" ht="15" customHeight="1" x14ac:dyDescent="0.3">
      <c r="A29" s="92" t="s">
        <v>33</v>
      </c>
      <c r="B29" s="92"/>
      <c r="C29" s="92"/>
      <c r="D29" s="92"/>
      <c r="E29" s="11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3"/>
      <c r="G29" s="113"/>
      <c r="H29" s="113"/>
    </row>
    <row r="30" spans="1:11" ht="15.75" customHeight="1" x14ac:dyDescent="0.3">
      <c r="A30" s="92" t="s">
        <v>96</v>
      </c>
      <c r="B30" s="92"/>
      <c r="C30" s="92"/>
      <c r="D30" s="92"/>
      <c r="E30" s="113" t="s">
        <v>34</v>
      </c>
      <c r="F30" s="113"/>
      <c r="G30" s="113"/>
      <c r="H30" s="113"/>
    </row>
    <row r="31" spans="1:11" s="20" customFormat="1" x14ac:dyDescent="0.3">
      <c r="A31" s="148" t="s">
        <v>97</v>
      </c>
      <c r="B31" s="148"/>
      <c r="C31" s="147" t="s">
        <v>29</v>
      </c>
      <c r="D31" s="147"/>
      <c r="E31" s="147"/>
      <c r="F31" s="147" t="s">
        <v>31</v>
      </c>
      <c r="G31" s="147"/>
      <c r="H31" s="147"/>
    </row>
    <row r="32" spans="1:11" s="20" customFormat="1" x14ac:dyDescent="0.3">
      <c r="A32" s="145" t="s">
        <v>25</v>
      </c>
      <c r="B32" s="145" t="s">
        <v>30</v>
      </c>
      <c r="C32" s="146" t="s">
        <v>30</v>
      </c>
      <c r="D32" s="146"/>
      <c r="E32" s="146"/>
      <c r="F32" s="146" t="s">
        <v>190</v>
      </c>
      <c r="G32" s="146"/>
      <c r="H32" s="146"/>
    </row>
    <row r="33" spans="1:8" x14ac:dyDescent="0.3">
      <c r="A33" s="145" t="s">
        <v>26</v>
      </c>
      <c r="B33" s="145" t="s">
        <v>30</v>
      </c>
      <c r="C33" s="146" t="s">
        <v>30</v>
      </c>
      <c r="D33" s="146"/>
      <c r="E33" s="146"/>
      <c r="F33" s="146" t="s">
        <v>193</v>
      </c>
      <c r="G33" s="146"/>
      <c r="H33" s="146"/>
    </row>
    <row r="34" spans="1:8" s="20" customFormat="1" x14ac:dyDescent="0.3">
      <c r="A34" s="145" t="s">
        <v>28</v>
      </c>
      <c r="B34" s="145" t="s">
        <v>30</v>
      </c>
      <c r="C34" s="146" t="s">
        <v>30</v>
      </c>
      <c r="D34" s="146"/>
      <c r="E34" s="146"/>
      <c r="F34" s="146" t="s">
        <v>191</v>
      </c>
      <c r="G34" s="146"/>
      <c r="H34" s="146"/>
    </row>
    <row r="35" spans="1:8" x14ac:dyDescent="0.3">
      <c r="A35" s="145" t="s">
        <v>27</v>
      </c>
      <c r="B35" s="145" t="s">
        <v>30</v>
      </c>
      <c r="C35" s="146" t="s">
        <v>30</v>
      </c>
      <c r="D35" s="146"/>
      <c r="E35" s="146"/>
      <c r="F35" s="146" t="s">
        <v>192</v>
      </c>
      <c r="G35" s="146"/>
      <c r="H35" s="146"/>
    </row>
    <row r="36" spans="1:8" x14ac:dyDescent="0.3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">
      <c r="A37" s="133" t="s">
        <v>179</v>
      </c>
      <c r="B37" s="133"/>
      <c r="C37" s="133" t="s">
        <v>189</v>
      </c>
      <c r="D37" s="133"/>
      <c r="E37" s="133"/>
      <c r="F37" s="133"/>
      <c r="G37" s="133"/>
      <c r="H37" s="133"/>
    </row>
    <row r="38" spans="1:8" x14ac:dyDescent="0.3">
      <c r="A38" s="133" t="s">
        <v>175</v>
      </c>
      <c r="B38" s="133"/>
      <c r="C38" s="173" t="s">
        <v>188</v>
      </c>
      <c r="D38" s="113"/>
      <c r="E38" s="113"/>
      <c r="F38" s="113"/>
      <c r="G38" s="113"/>
      <c r="H38" s="113"/>
    </row>
    <row r="39" spans="1:8" x14ac:dyDescent="0.3">
      <c r="A39" s="133" t="s">
        <v>35</v>
      </c>
      <c r="B39" s="133"/>
      <c r="C39" s="133"/>
      <c r="D39" s="133"/>
      <c r="E39" s="133"/>
      <c r="F39" s="133"/>
      <c r="G39" s="133"/>
      <c r="H39" s="133"/>
    </row>
    <row r="40" spans="1:8" x14ac:dyDescent="0.3">
      <c r="A40" s="92" t="s">
        <v>36</v>
      </c>
      <c r="B40" s="92"/>
      <c r="C40" s="92"/>
      <c r="D40" s="92"/>
      <c r="E40" s="150">
        <v>7202.8</v>
      </c>
      <c r="F40" s="150"/>
      <c r="G40" s="150"/>
      <c r="H40" s="150"/>
    </row>
    <row r="41" spans="1:8" x14ac:dyDescent="0.3">
      <c r="A41" s="92" t="s">
        <v>37</v>
      </c>
      <c r="B41" s="92"/>
      <c r="C41" s="92"/>
      <c r="D41" s="92"/>
      <c r="E41" s="91">
        <v>3</v>
      </c>
      <c r="F41" s="91"/>
      <c r="G41" s="91"/>
      <c r="H41" s="91"/>
    </row>
    <row r="42" spans="1:8" x14ac:dyDescent="0.3">
      <c r="A42" s="92" t="s">
        <v>38</v>
      </c>
      <c r="B42" s="92"/>
      <c r="C42" s="92"/>
      <c r="D42" s="92"/>
      <c r="E42" s="91">
        <f>E44/E40-E41</f>
        <v>0.87620647525962125</v>
      </c>
      <c r="F42" s="91"/>
      <c r="G42" s="91"/>
      <c r="H42" s="91"/>
    </row>
    <row r="43" spans="1:8" x14ac:dyDescent="0.3">
      <c r="A43" s="92" t="s">
        <v>39</v>
      </c>
      <c r="B43" s="92"/>
      <c r="C43" s="92"/>
      <c r="D43" s="92"/>
      <c r="E43" s="91">
        <f>E41+E42</f>
        <v>3.8762064752596213</v>
      </c>
      <c r="F43" s="91"/>
      <c r="G43" s="91"/>
      <c r="H43" s="91"/>
    </row>
    <row r="44" spans="1:8" x14ac:dyDescent="0.3">
      <c r="A44" s="92" t="s">
        <v>95</v>
      </c>
      <c r="B44" s="92"/>
      <c r="C44" s="92"/>
      <c r="D44" s="92"/>
      <c r="E44" s="154">
        <v>27919.54</v>
      </c>
      <c r="F44" s="154"/>
      <c r="G44" s="154"/>
      <c r="H44" s="154"/>
    </row>
    <row r="45" spans="1:8" x14ac:dyDescent="0.3">
      <c r="A45" s="114" t="s">
        <v>40</v>
      </c>
      <c r="B45" s="114"/>
      <c r="C45" s="114"/>
      <c r="D45" s="114"/>
      <c r="E45" s="114" t="s">
        <v>129</v>
      </c>
      <c r="F45" s="114"/>
      <c r="G45" s="114"/>
      <c r="H45" s="114"/>
    </row>
    <row r="46" spans="1:8" x14ac:dyDescent="0.3">
      <c r="A46" s="133" t="s">
        <v>41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">
      <c r="A47" s="107" t="s">
        <v>162</v>
      </c>
      <c r="B47" s="108"/>
      <c r="C47" s="170" t="s">
        <v>201</v>
      </c>
      <c r="D47" s="171"/>
      <c r="E47" s="171"/>
      <c r="F47" s="171"/>
      <c r="G47" s="171"/>
      <c r="H47" s="172"/>
    </row>
    <row r="48" spans="1:8" ht="15.75" customHeight="1" x14ac:dyDescent="0.3">
      <c r="A48" s="107" t="s">
        <v>42</v>
      </c>
      <c r="B48" s="108"/>
      <c r="C48" s="107" t="s">
        <v>202</v>
      </c>
      <c r="D48" s="109"/>
      <c r="E48" s="108"/>
      <c r="F48" s="17" t="s">
        <v>43</v>
      </c>
      <c r="G48" s="110">
        <v>44917</v>
      </c>
      <c r="H48" s="110"/>
    </row>
    <row r="49" spans="1:14" x14ac:dyDescent="0.3">
      <c r="A49" s="107" t="s">
        <v>44</v>
      </c>
      <c r="B49" s="108"/>
      <c r="C49" s="107" t="str">
        <f>C48</f>
        <v>S/PVT/0175/20210803/AP/C</v>
      </c>
      <c r="D49" s="109"/>
      <c r="E49" s="108"/>
      <c r="F49" s="17" t="s">
        <v>43</v>
      </c>
      <c r="G49" s="110">
        <f>G48</f>
        <v>44917</v>
      </c>
      <c r="H49" s="110"/>
    </row>
    <row r="50" spans="1:14" s="21" customFormat="1" ht="15.75" customHeight="1" x14ac:dyDescent="0.3">
      <c r="A50" s="136" t="s">
        <v>166</v>
      </c>
      <c r="B50" s="137"/>
      <c r="C50" s="107" t="s">
        <v>202</v>
      </c>
      <c r="D50" s="109"/>
      <c r="E50" s="108"/>
      <c r="F50" s="17" t="s">
        <v>43</v>
      </c>
      <c r="G50" s="110">
        <v>44855</v>
      </c>
      <c r="H50" s="110"/>
    </row>
    <row r="51" spans="1:14" s="21" customFormat="1" ht="32.25" customHeight="1" x14ac:dyDescent="0.3">
      <c r="A51" s="138"/>
      <c r="B51" s="139"/>
      <c r="C51" s="107" t="s">
        <v>225</v>
      </c>
      <c r="D51" s="109"/>
      <c r="E51" s="109"/>
      <c r="F51" s="109"/>
      <c r="G51" s="109"/>
      <c r="H51" s="108"/>
    </row>
    <row r="52" spans="1:14" x14ac:dyDescent="0.3">
      <c r="A52" s="115" t="s">
        <v>45</v>
      </c>
      <c r="B52" s="116"/>
      <c r="C52" s="115" t="s">
        <v>109</v>
      </c>
      <c r="D52" s="117"/>
      <c r="E52" s="116"/>
      <c r="F52" s="42" t="s">
        <v>43</v>
      </c>
      <c r="G52" s="120" t="s">
        <v>30</v>
      </c>
      <c r="H52" s="121"/>
    </row>
    <row r="53" spans="1:14" x14ac:dyDescent="0.3">
      <c r="A53" s="118" t="s">
        <v>47</v>
      </c>
      <c r="B53" s="118"/>
      <c r="C53" s="118"/>
      <c r="D53" s="118"/>
      <c r="E53" s="118"/>
      <c r="F53" s="118"/>
      <c r="G53" s="118"/>
      <c r="H53" s="118"/>
    </row>
    <row r="54" spans="1:14" x14ac:dyDescent="0.3">
      <c r="A54" s="119" t="s">
        <v>94</v>
      </c>
      <c r="B54" s="119"/>
      <c r="C54" s="119"/>
      <c r="D54" s="92">
        <f>E44</f>
        <v>27919.54</v>
      </c>
      <c r="E54" s="92"/>
      <c r="F54" s="92"/>
      <c r="G54" s="92"/>
      <c r="H54" s="92"/>
    </row>
    <row r="55" spans="1:14" x14ac:dyDescent="0.3">
      <c r="A55" s="113" t="s">
        <v>48</v>
      </c>
      <c r="B55" s="114"/>
      <c r="C55" s="114"/>
      <c r="D55" s="114" t="s">
        <v>222</v>
      </c>
      <c r="E55" s="114"/>
      <c r="F55" s="114"/>
      <c r="G55" s="114"/>
      <c r="H55" s="114"/>
      <c r="I55" s="22"/>
    </row>
    <row r="56" spans="1:14" x14ac:dyDescent="0.3">
      <c r="A56" s="111" t="s">
        <v>49</v>
      </c>
      <c r="B56" s="112"/>
      <c r="C56" s="135"/>
      <c r="D56" s="129" t="s">
        <v>226</v>
      </c>
      <c r="E56" s="134"/>
      <c r="F56" s="134"/>
      <c r="G56" s="134"/>
      <c r="H56" s="134"/>
    </row>
    <row r="57" spans="1:14" ht="15.75" customHeight="1" x14ac:dyDescent="0.3">
      <c r="A57" s="111" t="s">
        <v>92</v>
      </c>
      <c r="B57" s="112"/>
      <c r="C57" s="112"/>
      <c r="D57" s="113" t="s">
        <v>240</v>
      </c>
      <c r="E57" s="114"/>
      <c r="F57" s="114"/>
      <c r="G57" s="114"/>
      <c r="H57" s="114"/>
    </row>
    <row r="58" spans="1:14" ht="15.75" customHeight="1" x14ac:dyDescent="0.3">
      <c r="A58" s="92" t="s">
        <v>46</v>
      </c>
      <c r="B58" s="92"/>
      <c r="C58" s="92"/>
      <c r="D58" s="151" t="s">
        <v>203</v>
      </c>
      <c r="E58" s="151"/>
      <c r="F58" s="151"/>
      <c r="G58" s="151"/>
      <c r="H58" s="151"/>
      <c r="J58" s="23"/>
      <c r="K58" s="22"/>
      <c r="N58" s="22"/>
    </row>
    <row r="59" spans="1:14" ht="15.75" customHeight="1" x14ac:dyDescent="0.3">
      <c r="A59" s="92" t="s">
        <v>90</v>
      </c>
      <c r="B59" s="92"/>
      <c r="C59" s="92"/>
      <c r="D59" s="153" t="str">
        <f>(IF(G52="NA","60 Years After Completion",IF(G52&lt;&gt;"NA",""&amp;60-ROUNDDOWN((E3-G52)/360,0)&amp;" Years"," ")))</f>
        <v>60 Years After Completion</v>
      </c>
      <c r="E59" s="153"/>
      <c r="F59" s="153"/>
      <c r="G59" s="153"/>
      <c r="H59" s="153"/>
      <c r="N59" s="22"/>
    </row>
    <row r="60" spans="1:14" ht="15.75" customHeight="1" x14ac:dyDescent="0.3">
      <c r="A60" s="92" t="s">
        <v>91</v>
      </c>
      <c r="B60" s="92"/>
      <c r="C60" s="92"/>
      <c r="D60" s="119" t="s">
        <v>24</v>
      </c>
      <c r="E60" s="119"/>
      <c r="F60" s="119"/>
      <c r="G60" s="119"/>
      <c r="H60" s="119"/>
      <c r="J60" s="24"/>
      <c r="K60" s="24"/>
    </row>
    <row r="61" spans="1:14" ht="17.25" customHeight="1" x14ac:dyDescent="0.3">
      <c r="A61" s="92" t="s">
        <v>77</v>
      </c>
      <c r="B61" s="92"/>
      <c r="C61" s="92"/>
      <c r="D61" s="113" t="s">
        <v>223</v>
      </c>
      <c r="E61" s="119"/>
      <c r="F61" s="119"/>
      <c r="G61" s="119"/>
      <c r="H61" s="119"/>
    </row>
    <row r="62" spans="1:14" x14ac:dyDescent="0.3">
      <c r="A62" s="119" t="s">
        <v>158</v>
      </c>
      <c r="B62" s="119"/>
      <c r="C62" s="119"/>
      <c r="D62" s="119" t="s">
        <v>30</v>
      </c>
      <c r="E62" s="119"/>
      <c r="F62" s="119"/>
      <c r="G62" s="119"/>
      <c r="H62" s="119"/>
      <c r="I62" s="25"/>
      <c r="J62" s="25"/>
      <c r="K62" s="25"/>
      <c r="L62" s="25"/>
      <c r="M62" s="25"/>
      <c r="N62" s="25"/>
    </row>
    <row r="63" spans="1:14" ht="15.75" customHeight="1" x14ac:dyDescent="0.3">
      <c r="A63" s="128" t="s">
        <v>89</v>
      </c>
      <c r="B63" s="128"/>
      <c r="C63" s="128"/>
      <c r="D63" s="129" t="str">
        <f ca="1">(IF(G69&gt;95%,"Nothing",IF(G69&gt;0%,"Cement, Aggregate, Steel, etc",IF(G69=0%,"Work not yet Started"))))</f>
        <v>Cement, Aggregate, Steel, etc</v>
      </c>
      <c r="E63" s="129"/>
      <c r="F63" s="129"/>
      <c r="G63" s="129"/>
      <c r="H63" s="129"/>
      <c r="J63" s="24"/>
    </row>
    <row r="64" spans="1:14" ht="33.75" customHeight="1" thickBot="1" x14ac:dyDescent="0.35">
      <c r="A64" s="119" t="s">
        <v>122</v>
      </c>
      <c r="B64" s="119"/>
      <c r="C64" s="119"/>
      <c r="D64" s="113" t="str">
        <f ca="1">(IF(D63="Nothing","Yes",IF(D63="Cement, Aggregate, Steel, etc","Under Construction",IF(D63="Work not yet Started","Work not yet Started"))))</f>
        <v>Under Construction</v>
      </c>
      <c r="E64" s="113"/>
      <c r="F64" s="113" t="str">
        <f ca="1">(IF(D63="Nothing","Yes",IF(D63="Cement, Aggregate, Steel, etc","Under Construction",IF(D63="Work not yet Started","Work not yet Started"))))</f>
        <v>Under Construction</v>
      </c>
      <c r="G64" s="113"/>
      <c r="H64" s="113"/>
    </row>
    <row r="65" spans="1:10" ht="15.75" customHeight="1" x14ac:dyDescent="0.3">
      <c r="A65" s="141" t="s">
        <v>148</v>
      </c>
      <c r="B65" s="141"/>
      <c r="C65" s="141" t="str">
        <f>D57</f>
        <v>B + G + 1st to 22nd Floor</v>
      </c>
      <c r="D65" s="141"/>
      <c r="E65" s="141"/>
      <c r="F65" s="141"/>
      <c r="G65" s="141"/>
      <c r="H65" s="141"/>
      <c r="I65" s="61" t="str">
        <f ca="1">IF(D78=100%,"All work Completed. Possession granted to the Building.",IF(D77=100%,"All work Completed, Waiting for OC",I66&amp;""&amp;I67&amp;""&amp;J66&amp;""&amp;J65&amp;" "&amp;J67))</f>
        <v>Excavation, Plinth, RCC Slab Completed, Brickwork upto 21 Floor, Internal Plaster upto 15 Floor, External Plaster upto 15 Floor, Flooring upto 6 Floor, Painting upto 2 Floor, Finishing upto 2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Brickwork upto 21 Floor, Internal Plaster upto 15 Floor, External Plaster upto 15 Floor, Flooring upto 6 Floor, Painting upto 2 Floor, Finishing upto 2 Floor</v>
      </c>
    </row>
    <row r="66" spans="1:10" x14ac:dyDescent="0.3">
      <c r="A66" s="60" t="s">
        <v>150</v>
      </c>
      <c r="B66" s="60">
        <f>IF(AND(ISNUMBER(SEARCH("1B",C65))),1,IF(AND(ISNUMBER(SEARCH("2B",C65))),2,IF(AND(ISNUMBER(SEARCH("3B",C65))),3,IF(AND(ISNUMBER(SEARCH("4B",C65))),4,IF(ISNUMBER(SEARCH("5B",C65)),5,0)))))</f>
        <v>0</v>
      </c>
      <c r="C66" s="60" t="s">
        <v>74</v>
      </c>
      <c r="D66" s="60">
        <v>1</v>
      </c>
      <c r="E66" s="60" t="s">
        <v>73</v>
      </c>
      <c r="F66" s="60">
        <v>0</v>
      </c>
      <c r="G66" s="60" t="s">
        <v>83</v>
      </c>
      <c r="H66" s="60">
        <f ca="1">--TRIM(RIGHT(SUBSTITUTE(LEFT(C65,_xlfn.AGGREGATE(16,6,FIND({0,1,2,3,4,5,6,7,8,9},C65,ROW(INDIRECT("1:"&amp;LEN(C65)))),1))," ",REPT(" ",LEN(C65))),LEN(C65)))</f>
        <v>22</v>
      </c>
      <c r="I66" s="6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51" customHeight="1" x14ac:dyDescent="0.3">
      <c r="A67" s="140" t="s">
        <v>93</v>
      </c>
      <c r="B67" s="140"/>
      <c r="C67" s="141" t="str">
        <f ca="1">I65</f>
        <v>Excavation, Plinth, RCC Slab Completed, Brickwork upto 21 Floor, Internal Plaster upto 15 Floor, External Plaster upto 15 Floor, Flooring upto 6 Floor, Painting upto 2 Floor, Finishing upto 2 Floor Completed</v>
      </c>
      <c r="D67" s="141"/>
      <c r="E67" s="141"/>
      <c r="F67" s="141"/>
      <c r="G67" s="141"/>
      <c r="H67" s="141"/>
      <c r="I67" s="62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0" ht="15.75" customHeight="1" x14ac:dyDescent="0.3">
      <c r="A68" s="103" t="s">
        <v>50</v>
      </c>
      <c r="B68" s="103"/>
      <c r="C68" s="59" t="s">
        <v>147</v>
      </c>
      <c r="D68" s="59" t="s">
        <v>86</v>
      </c>
      <c r="E68" s="103" t="s">
        <v>88</v>
      </c>
      <c r="F68" s="103"/>
      <c r="G68" s="103" t="s">
        <v>87</v>
      </c>
      <c r="H68" s="103"/>
      <c r="I68" s="14" t="s">
        <v>149</v>
      </c>
      <c r="J68" s="26">
        <f ca="1">H66*25%</f>
        <v>5.5</v>
      </c>
    </row>
    <row r="69" spans="1:10" x14ac:dyDescent="0.3">
      <c r="A69" s="103" t="s">
        <v>136</v>
      </c>
      <c r="B69" s="103"/>
      <c r="C69" s="59">
        <f ca="1">J70</f>
        <v>22</v>
      </c>
      <c r="D69" s="50">
        <f ca="1">((100/H66)*C69)/100</f>
        <v>1.0000000000000002</v>
      </c>
      <c r="E69" s="152">
        <f ca="1">(((C70/H66*10)+(40/(D66+F66+H66)*C71)+(7.5/(H66)*C72)+(7.5/(H66)*C73)+(10/H66*C74)+(10/H66*C75)+(5/H66*C76)+(5/H66*C77)+(5/H66*C78))/100)</f>
        <v>0.72727272727272718</v>
      </c>
      <c r="F69" s="152"/>
      <c r="G69" s="152">
        <f ca="1">((((C69/H66)*20)+((C70/H66)*25)+(30/(H66+F66+D66)*C71)+(5/H66*C72)+(5/H66*C73)+(5/H66*C74)+(5/H66*C75)+(0/H66*C76)+(0/H66*C77)+(5/H66*C78))/100)</f>
        <v>0.87954545454545441</v>
      </c>
      <c r="H69" s="152"/>
      <c r="I69" s="14" t="s">
        <v>104</v>
      </c>
      <c r="J69" s="27">
        <f ca="1">H66*50%</f>
        <v>11</v>
      </c>
    </row>
    <row r="70" spans="1:10" x14ac:dyDescent="0.3">
      <c r="A70" s="103" t="s">
        <v>51</v>
      </c>
      <c r="B70" s="103"/>
      <c r="C70" s="59">
        <f ca="1">J78</f>
        <v>22</v>
      </c>
      <c r="D70" s="50">
        <f ca="1">((100/H66)*C70)/100</f>
        <v>1.0000000000000002</v>
      </c>
      <c r="E70" s="152"/>
      <c r="F70" s="152"/>
      <c r="G70" s="152"/>
      <c r="H70" s="152"/>
      <c r="I70" s="14" t="s">
        <v>105</v>
      </c>
      <c r="J70" s="27">
        <f ca="1">H66</f>
        <v>22</v>
      </c>
    </row>
    <row r="71" spans="1:10" ht="15.75" customHeight="1" x14ac:dyDescent="0.3">
      <c r="A71" s="103" t="s">
        <v>137</v>
      </c>
      <c r="B71" s="103"/>
      <c r="C71" s="59">
        <v>23</v>
      </c>
      <c r="D71" s="50">
        <f ca="1">((100/(D66+F66+H66))*C71)/100</f>
        <v>1</v>
      </c>
      <c r="E71" s="152"/>
      <c r="F71" s="152"/>
      <c r="G71" s="152"/>
      <c r="H71" s="152"/>
      <c r="I71" s="14" t="s">
        <v>106</v>
      </c>
      <c r="J71" s="28">
        <f ca="1">(IF(B66&gt;1,(H66/(B66+2)),H66/4))</f>
        <v>5.5</v>
      </c>
    </row>
    <row r="72" spans="1:10" ht="15.75" customHeight="1" x14ac:dyDescent="0.3">
      <c r="A72" s="103" t="s">
        <v>144</v>
      </c>
      <c r="B72" s="103" t="s">
        <v>138</v>
      </c>
      <c r="C72" s="59">
        <v>21</v>
      </c>
      <c r="D72" s="50">
        <f ca="1">((100/H66)*C72)/100</f>
        <v>0.9545454545454547</v>
      </c>
      <c r="E72" s="152"/>
      <c r="F72" s="152"/>
      <c r="G72" s="152"/>
      <c r="H72" s="152"/>
      <c r="I72" s="14" t="s">
        <v>107</v>
      </c>
      <c r="J72" s="28">
        <f ca="1">(IF(B66&gt;1,(H66/(B66+2)+J71),H66/4+J71))</f>
        <v>11</v>
      </c>
    </row>
    <row r="73" spans="1:10" ht="15.75" customHeight="1" x14ac:dyDescent="0.3">
      <c r="A73" s="103" t="s">
        <v>145</v>
      </c>
      <c r="B73" s="103" t="s">
        <v>138</v>
      </c>
      <c r="C73" s="59">
        <v>15</v>
      </c>
      <c r="D73" s="50">
        <f ca="1">((100/H66)*C73)/100</f>
        <v>0.68181818181818188</v>
      </c>
      <c r="E73" s="152"/>
      <c r="F73" s="152"/>
      <c r="G73" s="152"/>
      <c r="H73" s="152"/>
      <c r="I73" s="14" t="s">
        <v>156</v>
      </c>
      <c r="J73" s="28">
        <f>(IF(B66&gt;1,(H66/(B66+2)+J72),0))</f>
        <v>0</v>
      </c>
    </row>
    <row r="74" spans="1:10" ht="15" customHeight="1" x14ac:dyDescent="0.3">
      <c r="A74" s="103" t="s">
        <v>143</v>
      </c>
      <c r="B74" s="103" t="s">
        <v>140</v>
      </c>
      <c r="C74" s="59">
        <v>15</v>
      </c>
      <c r="D74" s="50">
        <f ca="1">((100/(H66))*C74)/100</f>
        <v>0.68181818181818188</v>
      </c>
      <c r="E74" s="152"/>
      <c r="F74" s="152"/>
      <c r="G74" s="152"/>
      <c r="H74" s="152"/>
      <c r="I74" s="14" t="s">
        <v>151</v>
      </c>
      <c r="J74" s="28">
        <f>(IF(B66&gt;2,(H66/(B66+2)+J73),0))</f>
        <v>0</v>
      </c>
    </row>
    <row r="75" spans="1:10" ht="15.75" customHeight="1" x14ac:dyDescent="0.3">
      <c r="A75" s="103" t="s">
        <v>139</v>
      </c>
      <c r="B75" s="103" t="s">
        <v>139</v>
      </c>
      <c r="C75" s="59">
        <v>6</v>
      </c>
      <c r="D75" s="50">
        <f ca="1">((100/H66)*C75)/100</f>
        <v>0.27272727272727271</v>
      </c>
      <c r="E75" s="152"/>
      <c r="F75" s="152"/>
      <c r="G75" s="152"/>
      <c r="H75" s="152"/>
      <c r="I75" s="14" t="s">
        <v>152</v>
      </c>
      <c r="J75" s="29">
        <f>(IF(B66&gt;3,(H66/(B66+2)+J74),0))</f>
        <v>0</v>
      </c>
    </row>
    <row r="76" spans="1:10" ht="15.75" customHeight="1" x14ac:dyDescent="0.3">
      <c r="A76" s="103" t="s">
        <v>146</v>
      </c>
      <c r="B76" s="103"/>
      <c r="C76" s="59">
        <v>2</v>
      </c>
      <c r="D76" s="50">
        <f ca="1">((100/H66)*C76)/100</f>
        <v>9.0909090909090912E-2</v>
      </c>
      <c r="E76" s="152"/>
      <c r="F76" s="152"/>
      <c r="G76" s="152"/>
      <c r="H76" s="152"/>
      <c r="I76" s="14" t="s">
        <v>153</v>
      </c>
      <c r="J76" s="28">
        <f>(IF(B66&gt;4,(H66/(B66+2)+J75),0))</f>
        <v>0</v>
      </c>
    </row>
    <row r="77" spans="1:10" ht="15.75" customHeight="1" x14ac:dyDescent="0.3">
      <c r="A77" s="103" t="s">
        <v>141</v>
      </c>
      <c r="B77" s="103" t="s">
        <v>141</v>
      </c>
      <c r="C77" s="59">
        <v>2</v>
      </c>
      <c r="D77" s="50">
        <f ca="1">((100/(H66))*C77)/100</f>
        <v>9.0909090909090912E-2</v>
      </c>
      <c r="E77" s="152"/>
      <c r="F77" s="152"/>
      <c r="G77" s="152"/>
      <c r="H77" s="152"/>
      <c r="I77" s="14" t="s">
        <v>157</v>
      </c>
      <c r="J77" s="28">
        <f ca="1">(IF(B66=1,(H66/(B66+3)+J72),IF(B66=0,(H66/4+J72),IF(B66&gt;1,0))))</f>
        <v>16.5</v>
      </c>
    </row>
    <row r="78" spans="1:10" ht="16.2" thickBot="1" x14ac:dyDescent="0.35">
      <c r="A78" s="103" t="s">
        <v>142</v>
      </c>
      <c r="B78" s="103"/>
      <c r="C78" s="59">
        <v>0</v>
      </c>
      <c r="D78" s="50">
        <f ca="1">((100/(H66))*C78)/100</f>
        <v>0</v>
      </c>
      <c r="E78" s="152"/>
      <c r="F78" s="152"/>
      <c r="G78" s="152"/>
      <c r="H78" s="152"/>
      <c r="I78" s="16" t="s">
        <v>108</v>
      </c>
      <c r="J78" s="30">
        <f ca="1">(IF(B66&gt;1.5,(H66/(B66+2)+J72+MAX(0,J73-J72)+MAX(0,J74-J73)+MAX(0,J75-J74)+MAX(0,J76-J75)+MAX(0,J77-J76)),IF(B66=1,(H66/(B66+3)+J77),IF(B66=0,H66/4+J77))))</f>
        <v>22</v>
      </c>
    </row>
    <row r="79" spans="1:10" ht="15.75" hidden="1" customHeight="1" x14ac:dyDescent="0.3">
      <c r="A79" s="102" t="s">
        <v>148</v>
      </c>
      <c r="B79" s="102"/>
      <c r="C79" s="102" t="e">
        <f>#REF!</f>
        <v>#REF!</v>
      </c>
      <c r="D79" s="102"/>
      <c r="E79" s="102"/>
      <c r="F79" s="102"/>
      <c r="G79" s="102"/>
      <c r="H79" s="102"/>
      <c r="I79" s="61" t="e">
        <f ca="1">IF(D92=100%,"All work Completed. Possession granted to the Building.",IF(D91=100%,"All work Completed, Waiting for OC",I80&amp;""&amp;I81&amp;""&amp;J80&amp;""&amp;J79&amp;" "&amp;J81))</f>
        <v>#REF!</v>
      </c>
      <c r="J79" s="45" t="e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#REF!</v>
      </c>
    </row>
    <row r="80" spans="1:10" hidden="1" x14ac:dyDescent="0.3">
      <c r="A80" s="60" t="s">
        <v>150</v>
      </c>
      <c r="B80" s="60">
        <f>IF(AND(ISNUMBER(SEARCH("1B",C79))),1,IF(AND(ISNUMBER(SEARCH("2B",C79))),2,IF(AND(ISNUMBER(SEARCH("3B",C79))),3,IF(AND(ISNUMBER(SEARCH("4B",C79))),4,IF(ISNUMBER(SEARCH("5B",C79)),5,0)))))</f>
        <v>0</v>
      </c>
      <c r="C80" s="60" t="s">
        <v>74</v>
      </c>
      <c r="D80" s="60">
        <v>1</v>
      </c>
      <c r="E80" s="60" t="s">
        <v>73</v>
      </c>
      <c r="F80" s="15">
        <v>0</v>
      </c>
      <c r="G80" s="44" t="s">
        <v>83</v>
      </c>
      <c r="H80" s="60" t="e">
        <f ca="1">--TRIM(RIGHT(SUBSTITUTE(LEFT(C79,_xlfn.AGGREGATE(16,6,FIND({0,1,2,3,4,5,6,7,8,9},C79,ROW(INDIRECT("1:"&amp;LEN(C79)))),1))," ",REPT(" ",LEN(C79))),LEN(C79)))</f>
        <v>#REF!</v>
      </c>
      <c r="I80" s="62" t="e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#REF!</v>
      </c>
      <c r="J80" s="46" t="e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#REF!</v>
      </c>
    </row>
    <row r="81" spans="1:10" ht="33.75" hidden="1" customHeight="1" x14ac:dyDescent="0.3">
      <c r="A81" s="140" t="s">
        <v>93</v>
      </c>
      <c r="B81" s="140"/>
      <c r="C81" s="141" t="e">
        <f ca="1">(IF($G$52="NA",I79,"All work Completed. OC Received."))</f>
        <v>#REF!</v>
      </c>
      <c r="D81" s="141"/>
      <c r="E81" s="141"/>
      <c r="F81" s="141"/>
      <c r="G81" s="141"/>
      <c r="H81" s="141"/>
      <c r="I81" s="62" t="e">
        <f ca="1">IF(I80&lt;&gt;""," Completed","")</f>
        <v>#REF!</v>
      </c>
      <c r="J81" s="46" t="e">
        <f ca="1">IF(J79&lt;&gt;"","Completed","")</f>
        <v>#REF!</v>
      </c>
    </row>
    <row r="82" spans="1:10" ht="15.75" hidden="1" customHeight="1" x14ac:dyDescent="0.3">
      <c r="A82" s="101" t="s">
        <v>50</v>
      </c>
      <c r="B82" s="101"/>
      <c r="C82" s="58" t="s">
        <v>147</v>
      </c>
      <c r="D82" s="58" t="s">
        <v>86</v>
      </c>
      <c r="E82" s="101" t="s">
        <v>88</v>
      </c>
      <c r="F82" s="101"/>
      <c r="G82" s="101" t="s">
        <v>87</v>
      </c>
      <c r="H82" s="101"/>
      <c r="I82" s="14" t="s">
        <v>149</v>
      </c>
      <c r="J82" s="26" t="e">
        <f ca="1">H80*25%</f>
        <v>#REF!</v>
      </c>
    </row>
    <row r="83" spans="1:10" hidden="1" x14ac:dyDescent="0.3">
      <c r="A83" s="101" t="s">
        <v>136</v>
      </c>
      <c r="B83" s="101"/>
      <c r="C83" s="58" t="e">
        <f ca="1">J84</f>
        <v>#REF!</v>
      </c>
      <c r="D83" s="18" t="e">
        <f ca="1">((100/H80)*C83)/100</f>
        <v>#REF!</v>
      </c>
      <c r="E83" s="149" t="e">
        <f ca="1">(((C84/H80*10)+(40/(D80+F80+H80)*C85)+(7.5/(H80)*C86)+(7.5/(H80)*C87)+(10/H80*C88)+(10/H80*C89)+(5/H80*C90)+(5/H80*C91)+(5/H80*C92))/100)</f>
        <v>#REF!</v>
      </c>
      <c r="F83" s="149"/>
      <c r="G83" s="149" t="e">
        <f ca="1">((((C83/H80)*20)+((C84/H80)*25)+(30/(H80+F80+D80)*C85)+(5/H80*C86)+(5/H80*C87)+(5/H80*C88)+(5/H80*C89)+(0/H80*C90)+(0/H80*C91)+(5/H80*C92))/100)</f>
        <v>#REF!</v>
      </c>
      <c r="H83" s="149"/>
      <c r="I83" s="14" t="s">
        <v>104</v>
      </c>
      <c r="J83" s="27" t="e">
        <f ca="1">H80*50%</f>
        <v>#REF!</v>
      </c>
    </row>
    <row r="84" spans="1:10" hidden="1" x14ac:dyDescent="0.3">
      <c r="A84" s="101" t="s">
        <v>51</v>
      </c>
      <c r="B84" s="101"/>
      <c r="C84" s="47">
        <v>20</v>
      </c>
      <c r="D84" s="18" t="e">
        <f ca="1">((100/H80)*C84)/100</f>
        <v>#REF!</v>
      </c>
      <c r="E84" s="149"/>
      <c r="F84" s="149"/>
      <c r="G84" s="149"/>
      <c r="H84" s="149"/>
      <c r="I84" s="14" t="s">
        <v>105</v>
      </c>
      <c r="J84" s="27" t="e">
        <f ca="1">H80</f>
        <v>#REF!</v>
      </c>
    </row>
    <row r="85" spans="1:10" ht="15.75" hidden="1" customHeight="1" x14ac:dyDescent="0.3">
      <c r="A85" s="101" t="s">
        <v>137</v>
      </c>
      <c r="B85" s="101"/>
      <c r="C85" s="58">
        <v>0</v>
      </c>
      <c r="D85" s="18" t="e">
        <f ca="1">((100/(D80+F80+H80))*C85)/100</f>
        <v>#REF!</v>
      </c>
      <c r="E85" s="149"/>
      <c r="F85" s="149"/>
      <c r="G85" s="149"/>
      <c r="H85" s="149"/>
      <c r="I85" s="14" t="s">
        <v>106</v>
      </c>
      <c r="J85" s="28" t="e">
        <f ca="1">(IF(B80&gt;1,(H80/(B80+2)),H80/4))</f>
        <v>#REF!</v>
      </c>
    </row>
    <row r="86" spans="1:10" ht="15.75" hidden="1" customHeight="1" x14ac:dyDescent="0.3">
      <c r="A86" s="101" t="s">
        <v>144</v>
      </c>
      <c r="B86" s="101" t="s">
        <v>138</v>
      </c>
      <c r="C86" s="58">
        <v>0</v>
      </c>
      <c r="D86" s="18" t="e">
        <f ca="1">((100/H80)*C86)/100</f>
        <v>#REF!</v>
      </c>
      <c r="E86" s="149"/>
      <c r="F86" s="149"/>
      <c r="G86" s="149"/>
      <c r="H86" s="149"/>
      <c r="I86" s="14" t="s">
        <v>107</v>
      </c>
      <c r="J86" s="28" t="e">
        <f ca="1">(IF(B80&gt;1,(H80/(B80+2)+J85),H80/4+J85))</f>
        <v>#REF!</v>
      </c>
    </row>
    <row r="87" spans="1:10" ht="15.75" hidden="1" customHeight="1" x14ac:dyDescent="0.3">
      <c r="A87" s="101" t="s">
        <v>145</v>
      </c>
      <c r="B87" s="101" t="s">
        <v>138</v>
      </c>
      <c r="C87" s="58">
        <v>0</v>
      </c>
      <c r="D87" s="18" t="e">
        <f ca="1">((100/H80)*C87)/100</f>
        <v>#REF!</v>
      </c>
      <c r="E87" s="149"/>
      <c r="F87" s="149"/>
      <c r="G87" s="149"/>
      <c r="H87" s="149"/>
      <c r="I87" s="14" t="s">
        <v>156</v>
      </c>
      <c r="J87" s="28">
        <f>(IF(B80&gt;1,(H80/(B80+2)+J86),0))</f>
        <v>0</v>
      </c>
    </row>
    <row r="88" spans="1:10" ht="15" hidden="1" customHeight="1" x14ac:dyDescent="0.3">
      <c r="A88" s="101" t="s">
        <v>143</v>
      </c>
      <c r="B88" s="101" t="s">
        <v>140</v>
      </c>
      <c r="C88" s="58">
        <v>0</v>
      </c>
      <c r="D88" s="18" t="e">
        <f ca="1">((100/(H80))*C88)/100</f>
        <v>#REF!</v>
      </c>
      <c r="E88" s="149"/>
      <c r="F88" s="149"/>
      <c r="G88" s="149"/>
      <c r="H88" s="149"/>
      <c r="I88" s="14" t="s">
        <v>151</v>
      </c>
      <c r="J88" s="28">
        <f>(IF(B80&gt;2,(H80/(B80+2)+J87),0))</f>
        <v>0</v>
      </c>
    </row>
    <row r="89" spans="1:10" ht="15.75" hidden="1" customHeight="1" x14ac:dyDescent="0.3">
      <c r="A89" s="101" t="s">
        <v>139</v>
      </c>
      <c r="B89" s="101" t="s">
        <v>139</v>
      </c>
      <c r="C89" s="58">
        <v>0</v>
      </c>
      <c r="D89" s="18" t="e">
        <f ca="1">((100/H80)*C89)/100</f>
        <v>#REF!</v>
      </c>
      <c r="E89" s="149"/>
      <c r="F89" s="149"/>
      <c r="G89" s="149"/>
      <c r="H89" s="149"/>
      <c r="I89" s="14" t="s">
        <v>152</v>
      </c>
      <c r="J89" s="29">
        <f>(IF(B80&gt;3,(H80/(B80+2)+J88),0))</f>
        <v>0</v>
      </c>
    </row>
    <row r="90" spans="1:10" ht="15.75" hidden="1" customHeight="1" x14ac:dyDescent="0.3">
      <c r="A90" s="101" t="s">
        <v>146</v>
      </c>
      <c r="B90" s="101"/>
      <c r="C90" s="58">
        <v>0</v>
      </c>
      <c r="D90" s="18" t="e">
        <f ca="1">((100/H80)*C90)/100</f>
        <v>#REF!</v>
      </c>
      <c r="E90" s="149"/>
      <c r="F90" s="149"/>
      <c r="G90" s="149"/>
      <c r="H90" s="149"/>
      <c r="I90" s="14" t="s">
        <v>153</v>
      </c>
      <c r="J90" s="28">
        <f>(IF(B80&gt;4,(H80/(B80+2)+J89),0))</f>
        <v>0</v>
      </c>
    </row>
    <row r="91" spans="1:10" ht="15.75" hidden="1" customHeight="1" x14ac:dyDescent="0.3">
      <c r="A91" s="101" t="s">
        <v>141</v>
      </c>
      <c r="B91" s="101" t="s">
        <v>141</v>
      </c>
      <c r="C91" s="58">
        <v>0</v>
      </c>
      <c r="D91" s="18" t="e">
        <f ca="1">((100/(H80))*C91)/100</f>
        <v>#REF!</v>
      </c>
      <c r="E91" s="149"/>
      <c r="F91" s="149"/>
      <c r="G91" s="149"/>
      <c r="H91" s="149"/>
      <c r="I91" s="14" t="s">
        <v>157</v>
      </c>
      <c r="J91" s="28" t="e">
        <f ca="1">(IF(B80=1,(H80/(B80+3)+J86),IF(B80=0,(H80/4+J86),IF(B80&gt;1,0))))</f>
        <v>#REF!</v>
      </c>
    </row>
    <row r="92" spans="1:10" ht="16.2" hidden="1" thickBot="1" x14ac:dyDescent="0.35">
      <c r="A92" s="101" t="s">
        <v>142</v>
      </c>
      <c r="B92" s="101"/>
      <c r="C92" s="58">
        <v>0</v>
      </c>
      <c r="D92" s="18" t="e">
        <f ca="1">((100/(H80))*C92)/100</f>
        <v>#REF!</v>
      </c>
      <c r="E92" s="149"/>
      <c r="F92" s="149"/>
      <c r="G92" s="149"/>
      <c r="H92" s="149"/>
      <c r="I92" s="16" t="s">
        <v>108</v>
      </c>
      <c r="J92" s="30" t="e">
        <f ca="1">(IF(B80&gt;1.5,(H80/(B80+2)+J86+MAX(0,J87-J86)+MAX(0,J88-J87)+MAX(0,J89-J88)+MAX(0,J90-J89)+MAX(0,J91-J90)),IF(B80=1,(H80/(B80+3)+J91),IF(B80=0,H80/4+J91))))</f>
        <v>#REF!</v>
      </c>
    </row>
    <row r="93" spans="1:10" ht="15.75" hidden="1" customHeight="1" x14ac:dyDescent="0.3">
      <c r="A93" s="102" t="s">
        <v>148</v>
      </c>
      <c r="B93" s="102"/>
      <c r="C93" s="102" t="e">
        <f>#REF!</f>
        <v>#REF!</v>
      </c>
      <c r="D93" s="102"/>
      <c r="E93" s="102"/>
      <c r="F93" s="102"/>
      <c r="G93" s="102"/>
      <c r="H93" s="102"/>
      <c r="I93" s="61" t="e">
        <f ca="1">IF(D106=100%,"All work Completed. Possession granted to the Building.",IF(D105=100%,"All work Completed, Waiting for OC",I94&amp;""&amp;I95&amp;""&amp;J94&amp;""&amp;J93&amp;" "&amp;J95))</f>
        <v>#REF!</v>
      </c>
      <c r="J93" s="45" t="e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#REF!</v>
      </c>
    </row>
    <row r="94" spans="1:10" hidden="1" x14ac:dyDescent="0.3">
      <c r="A94" s="60" t="s">
        <v>150</v>
      </c>
      <c r="B94" s="60">
        <f>IF(AND(ISNUMBER(SEARCH("1B",C93))),1,IF(AND(ISNUMBER(SEARCH("2B",C93))),2,IF(AND(ISNUMBER(SEARCH("3B",C93))),3,IF(AND(ISNUMBER(SEARCH("4B",C93))),4,IF(ISNUMBER(SEARCH("5B",C93)),5,0)))))</f>
        <v>0</v>
      </c>
      <c r="C94" s="60" t="s">
        <v>74</v>
      </c>
      <c r="D94" s="60">
        <v>1</v>
      </c>
      <c r="E94" s="60" t="s">
        <v>73</v>
      </c>
      <c r="F94" s="15">
        <v>0</v>
      </c>
      <c r="G94" s="44" t="s">
        <v>83</v>
      </c>
      <c r="H94" s="60" t="e">
        <f ca="1">--TRIM(RIGHT(SUBSTITUTE(LEFT(C93,_xlfn.AGGREGATE(16,6,FIND({0,1,2,3,4,5,6,7,8,9},C93,ROW(INDIRECT("1:"&amp;LEN(C93)))),1))," ",REPT(" ",LEN(C93))),LEN(C93)))</f>
        <v>#REF!</v>
      </c>
      <c r="I94" s="62" t="e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#REF!</v>
      </c>
      <c r="J94" s="46" t="e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>#REF!</v>
      </c>
    </row>
    <row r="95" spans="1:10" ht="33" hidden="1" customHeight="1" x14ac:dyDescent="0.3">
      <c r="A95" s="140" t="s">
        <v>93</v>
      </c>
      <c r="B95" s="140"/>
      <c r="C95" s="141" t="e">
        <f ca="1">(IF($G$52="NA",I93,"All work Completed. OC Received."))</f>
        <v>#REF!</v>
      </c>
      <c r="D95" s="141"/>
      <c r="E95" s="141"/>
      <c r="F95" s="141"/>
      <c r="G95" s="141"/>
      <c r="H95" s="141"/>
      <c r="I95" s="62" t="e">
        <f ca="1">IF(I94&lt;&gt;""," Completed","")</f>
        <v>#REF!</v>
      </c>
      <c r="J95" s="46" t="e">
        <f ca="1">IF(J93&lt;&gt;"","Completed","")</f>
        <v>#REF!</v>
      </c>
    </row>
    <row r="96" spans="1:10" ht="15.75" hidden="1" customHeight="1" x14ac:dyDescent="0.3">
      <c r="A96" s="101" t="s">
        <v>50</v>
      </c>
      <c r="B96" s="101"/>
      <c r="C96" s="58" t="s">
        <v>147</v>
      </c>
      <c r="D96" s="58" t="s">
        <v>86</v>
      </c>
      <c r="E96" s="101" t="s">
        <v>88</v>
      </c>
      <c r="F96" s="101"/>
      <c r="G96" s="101" t="s">
        <v>87</v>
      </c>
      <c r="H96" s="101"/>
      <c r="I96" s="14" t="s">
        <v>149</v>
      </c>
      <c r="J96" s="26" t="e">
        <f ca="1">H94*25%</f>
        <v>#REF!</v>
      </c>
    </row>
    <row r="97" spans="1:12" hidden="1" x14ac:dyDescent="0.3">
      <c r="A97" s="101" t="s">
        <v>136</v>
      </c>
      <c r="B97" s="101"/>
      <c r="C97" s="58" t="e">
        <f ca="1">J98</f>
        <v>#REF!</v>
      </c>
      <c r="D97" s="18" t="e">
        <f ca="1">((100/H94)*C97)/100</f>
        <v>#REF!</v>
      </c>
      <c r="E97" s="149" t="e">
        <f ca="1">(((C98/H94*10)+(40/(D94+F94+H94)*C99)+(7.5/(H94)*C100)+(7.5/(H94)*C101)+(10/H94*C102)+(10/H94*C103)+(5/H94*C104)+(5/H94*C105)+(5/H94*C106))/100)</f>
        <v>#REF!</v>
      </c>
      <c r="F97" s="149"/>
      <c r="G97" s="149" t="e">
        <f ca="1">((((C97/H94)*20)+((C98/H94)*25)+(30/(H94+F94+D94)*C99)+(5/H94*C100)+(5/H94*C101)+(5/H94*C102)+(5/H94*C103)+(0/H94*C104)+(0/H94*C105)+(5/H94*C106))/100)</f>
        <v>#REF!</v>
      </c>
      <c r="H97" s="149"/>
      <c r="I97" s="14" t="s">
        <v>104</v>
      </c>
      <c r="J97" s="27" t="e">
        <f ca="1">H94*50%</f>
        <v>#REF!</v>
      </c>
    </row>
    <row r="98" spans="1:12" hidden="1" x14ac:dyDescent="0.3">
      <c r="A98" s="101" t="s">
        <v>51</v>
      </c>
      <c r="B98" s="101"/>
      <c r="C98" s="58" t="e">
        <f ca="1">J106</f>
        <v>#REF!</v>
      </c>
      <c r="D98" s="18" t="e">
        <f ca="1">((100/H94)*C98)/100</f>
        <v>#REF!</v>
      </c>
      <c r="E98" s="149"/>
      <c r="F98" s="149"/>
      <c r="G98" s="149"/>
      <c r="H98" s="149"/>
      <c r="I98" s="14" t="s">
        <v>105</v>
      </c>
      <c r="J98" s="27" t="e">
        <f ca="1">H94</f>
        <v>#REF!</v>
      </c>
    </row>
    <row r="99" spans="1:12" ht="15.75" hidden="1" customHeight="1" x14ac:dyDescent="0.3">
      <c r="A99" s="101" t="s">
        <v>137</v>
      </c>
      <c r="B99" s="101"/>
      <c r="C99" s="58" t="e">
        <f ca="1">D94+H94</f>
        <v>#REF!</v>
      </c>
      <c r="D99" s="18" t="e">
        <f ca="1">((100/(D94+F94+H94))*C99)/100</f>
        <v>#REF!</v>
      </c>
      <c r="E99" s="149"/>
      <c r="F99" s="149"/>
      <c r="G99" s="149"/>
      <c r="H99" s="149"/>
      <c r="I99" s="14" t="s">
        <v>106</v>
      </c>
      <c r="J99" s="28" t="e">
        <f ca="1">(IF(B94&gt;1,(H94/(B94+2)),H94/4))</f>
        <v>#REF!</v>
      </c>
    </row>
    <row r="100" spans="1:12" ht="15.75" hidden="1" customHeight="1" x14ac:dyDescent="0.3">
      <c r="A100" s="101" t="s">
        <v>144</v>
      </c>
      <c r="B100" s="101" t="s">
        <v>138</v>
      </c>
      <c r="C100" s="58">
        <v>0</v>
      </c>
      <c r="D100" s="18" t="e">
        <f ca="1">((100/H94)*C100)/100</f>
        <v>#REF!</v>
      </c>
      <c r="E100" s="149"/>
      <c r="F100" s="149"/>
      <c r="G100" s="149"/>
      <c r="H100" s="149"/>
      <c r="I100" s="14" t="s">
        <v>107</v>
      </c>
      <c r="J100" s="28" t="e">
        <f ca="1">(IF(B94&gt;1,(H94/(B94+2)+J99),H94/4+J99))</f>
        <v>#REF!</v>
      </c>
    </row>
    <row r="101" spans="1:12" ht="15.75" hidden="1" customHeight="1" x14ac:dyDescent="0.3">
      <c r="A101" s="101" t="s">
        <v>145</v>
      </c>
      <c r="B101" s="101" t="s">
        <v>138</v>
      </c>
      <c r="C101" s="58">
        <v>0</v>
      </c>
      <c r="D101" s="18" t="e">
        <f ca="1">((100/H94)*C101)/100</f>
        <v>#REF!</v>
      </c>
      <c r="E101" s="149"/>
      <c r="F101" s="149"/>
      <c r="G101" s="149"/>
      <c r="H101" s="149"/>
      <c r="I101" s="14" t="s">
        <v>156</v>
      </c>
      <c r="J101" s="28">
        <f>(IF(B94&gt;1,(H94/(B94+2)+J100),0))</f>
        <v>0</v>
      </c>
    </row>
    <row r="102" spans="1:12" ht="15" hidden="1" customHeight="1" x14ac:dyDescent="0.3">
      <c r="A102" s="101" t="s">
        <v>143</v>
      </c>
      <c r="B102" s="101" t="s">
        <v>140</v>
      </c>
      <c r="C102" s="58">
        <v>0</v>
      </c>
      <c r="D102" s="18" t="e">
        <f ca="1">((100/(H94))*C102)/100</f>
        <v>#REF!</v>
      </c>
      <c r="E102" s="149"/>
      <c r="F102" s="149"/>
      <c r="G102" s="149"/>
      <c r="H102" s="149"/>
      <c r="I102" s="14" t="s">
        <v>151</v>
      </c>
      <c r="J102" s="28">
        <f>(IF(B94&gt;2,(H94/(B94+2)+J101),0))</f>
        <v>0</v>
      </c>
    </row>
    <row r="103" spans="1:12" ht="15.75" hidden="1" customHeight="1" x14ac:dyDescent="0.3">
      <c r="A103" s="101" t="s">
        <v>139</v>
      </c>
      <c r="B103" s="101" t="s">
        <v>139</v>
      </c>
      <c r="C103" s="58">
        <v>0</v>
      </c>
      <c r="D103" s="18" t="e">
        <f ca="1">((100/H94)*C103)/100</f>
        <v>#REF!</v>
      </c>
      <c r="E103" s="149"/>
      <c r="F103" s="149"/>
      <c r="G103" s="149"/>
      <c r="H103" s="149"/>
      <c r="I103" s="14" t="s">
        <v>152</v>
      </c>
      <c r="J103" s="29">
        <f>(IF(B94&gt;3,(H94/(B94+2)+J102),0))</f>
        <v>0</v>
      </c>
    </row>
    <row r="104" spans="1:12" ht="15.75" hidden="1" customHeight="1" x14ac:dyDescent="0.3">
      <c r="A104" s="101" t="s">
        <v>146</v>
      </c>
      <c r="B104" s="101"/>
      <c r="C104" s="58">
        <v>0</v>
      </c>
      <c r="D104" s="18" t="e">
        <f ca="1">((100/H94)*C104)/100</f>
        <v>#REF!</v>
      </c>
      <c r="E104" s="149"/>
      <c r="F104" s="149"/>
      <c r="G104" s="149"/>
      <c r="H104" s="149"/>
      <c r="I104" s="14" t="s">
        <v>153</v>
      </c>
      <c r="J104" s="28">
        <f>(IF(B94&gt;4,(H94/(B94+2)+J103),0))</f>
        <v>0</v>
      </c>
    </row>
    <row r="105" spans="1:12" ht="15.75" hidden="1" customHeight="1" x14ac:dyDescent="0.3">
      <c r="A105" s="101" t="s">
        <v>141</v>
      </c>
      <c r="B105" s="101" t="s">
        <v>141</v>
      </c>
      <c r="C105" s="58">
        <v>0</v>
      </c>
      <c r="D105" s="18" t="e">
        <f ca="1">((100/(H94))*C105)/100</f>
        <v>#REF!</v>
      </c>
      <c r="E105" s="149"/>
      <c r="F105" s="149"/>
      <c r="G105" s="149"/>
      <c r="H105" s="149"/>
      <c r="I105" s="14" t="s">
        <v>157</v>
      </c>
      <c r="J105" s="28" t="e">
        <f ca="1">(IF(B94=1,(H94/(B94+3)+J100),IF(B94=0,(H94/4+J100),IF(B94&gt;1,0))))</f>
        <v>#REF!</v>
      </c>
    </row>
    <row r="106" spans="1:12" ht="16.2" hidden="1" thickBot="1" x14ac:dyDescent="0.35">
      <c r="A106" s="101" t="s">
        <v>142</v>
      </c>
      <c r="B106" s="101"/>
      <c r="C106" s="58">
        <v>0</v>
      </c>
      <c r="D106" s="18" t="e">
        <f ca="1">((100/(H94))*C106)/100</f>
        <v>#REF!</v>
      </c>
      <c r="E106" s="149"/>
      <c r="F106" s="149"/>
      <c r="G106" s="149"/>
      <c r="H106" s="149"/>
      <c r="I106" s="16" t="s">
        <v>108</v>
      </c>
      <c r="J106" s="30" t="e">
        <f ca="1">(IF(B94&gt;1.5,(H94/(B94+2)+J100+MAX(0,J101-J100)+MAX(0,J102-J101)+MAX(0,J103-J102)+MAX(0,J104-J103)+MAX(0,J105-J104)),IF(B94=1,(H94/(B94+3)+J105),IF(B94=0,H94/4+J105))))</f>
        <v>#REF!</v>
      </c>
    </row>
    <row r="107" spans="1:12" x14ac:dyDescent="0.3">
      <c r="A107" s="133" t="s">
        <v>168</v>
      </c>
      <c r="B107" s="133"/>
      <c r="C107" s="133"/>
      <c r="D107" s="133"/>
      <c r="E107" s="133"/>
      <c r="F107" s="147" t="s">
        <v>173</v>
      </c>
      <c r="G107" s="147"/>
      <c r="H107" s="147"/>
    </row>
    <row r="108" spans="1:12" x14ac:dyDescent="0.3">
      <c r="A108" s="92" t="s">
        <v>171</v>
      </c>
      <c r="B108" s="92"/>
      <c r="C108" s="92"/>
      <c r="D108" s="92"/>
      <c r="E108" s="92"/>
      <c r="F108" s="104">
        <v>15600</v>
      </c>
      <c r="G108" s="104"/>
      <c r="H108" s="104"/>
      <c r="I108" s="56" t="s">
        <v>232</v>
      </c>
      <c r="J108" s="56" t="s">
        <v>233</v>
      </c>
      <c r="K108" s="57">
        <v>45239</v>
      </c>
      <c r="L108" s="56" t="s">
        <v>234</v>
      </c>
    </row>
    <row r="109" spans="1:12" x14ac:dyDescent="0.3">
      <c r="A109" s="92" t="s">
        <v>170</v>
      </c>
      <c r="B109" s="92"/>
      <c r="C109" s="92"/>
      <c r="D109" s="92"/>
      <c r="E109" s="92"/>
      <c r="F109" s="104">
        <v>35000</v>
      </c>
      <c r="G109" s="104"/>
      <c r="H109" s="104"/>
      <c r="J109" s="22">
        <f>23000/1.55</f>
        <v>14838.709677419354</v>
      </c>
      <c r="K109" s="22">
        <f>8250000/576</f>
        <v>14322.916666666666</v>
      </c>
    </row>
    <row r="110" spans="1:12" x14ac:dyDescent="0.3">
      <c r="A110" s="92" t="s">
        <v>172</v>
      </c>
      <c r="B110" s="92"/>
      <c r="C110" s="92"/>
      <c r="D110" s="92"/>
      <c r="E110" s="92"/>
      <c r="F110" s="104">
        <v>25000</v>
      </c>
      <c r="G110" s="104"/>
      <c r="H110" s="104"/>
      <c r="J110" s="22"/>
      <c r="K110" s="22">
        <f>12000000/861</f>
        <v>13937.282229965156</v>
      </c>
    </row>
    <row r="111" spans="1:12" s="31" customFormat="1" hidden="1" x14ac:dyDescent="0.25">
      <c r="A111" s="92" t="s">
        <v>169</v>
      </c>
      <c r="B111" s="92"/>
      <c r="C111" s="92"/>
      <c r="D111" s="92"/>
      <c r="E111" s="92"/>
      <c r="F111" s="104"/>
      <c r="G111" s="104"/>
      <c r="H111" s="104"/>
      <c r="K111" s="51"/>
    </row>
    <row r="112" spans="1:12" s="31" customFormat="1" hidden="1" x14ac:dyDescent="0.25">
      <c r="A112" s="92" t="s">
        <v>98</v>
      </c>
      <c r="B112" s="92"/>
      <c r="C112" s="92"/>
      <c r="D112" s="92"/>
      <c r="E112" s="92"/>
      <c r="F112" s="104"/>
      <c r="G112" s="104"/>
      <c r="H112" s="104"/>
      <c r="K112" s="51"/>
    </row>
    <row r="113" spans="1:12" s="31" customFormat="1" hidden="1" x14ac:dyDescent="0.25">
      <c r="A113" s="92" t="s">
        <v>99</v>
      </c>
      <c r="B113" s="92"/>
      <c r="C113" s="92"/>
      <c r="D113" s="92"/>
      <c r="E113" s="92"/>
      <c r="F113" s="104"/>
      <c r="G113" s="104"/>
      <c r="H113" s="104"/>
      <c r="K113" s="51"/>
    </row>
    <row r="114" spans="1:12" s="31" customFormat="1" hidden="1" x14ac:dyDescent="0.25">
      <c r="A114" s="92" t="s">
        <v>174</v>
      </c>
      <c r="B114" s="92"/>
      <c r="C114" s="92"/>
      <c r="D114" s="92"/>
      <c r="E114" s="92"/>
      <c r="F114" s="104"/>
      <c r="G114" s="104"/>
      <c r="H114" s="104"/>
      <c r="K114" s="51"/>
    </row>
    <row r="115" spans="1:12" s="31" customFormat="1" hidden="1" x14ac:dyDescent="0.25">
      <c r="A115" s="92" t="s">
        <v>100</v>
      </c>
      <c r="B115" s="92"/>
      <c r="C115" s="92"/>
      <c r="D115" s="92"/>
      <c r="E115" s="92"/>
      <c r="F115" s="104">
        <v>11</v>
      </c>
      <c r="G115" s="104"/>
      <c r="H115" s="104"/>
      <c r="K115" s="51"/>
    </row>
    <row r="116" spans="1:12" s="31" customFormat="1" hidden="1" x14ac:dyDescent="0.25">
      <c r="A116" s="92" t="s">
        <v>101</v>
      </c>
      <c r="B116" s="92"/>
      <c r="C116" s="92"/>
      <c r="D116" s="92"/>
      <c r="E116" s="92"/>
      <c r="F116" s="104"/>
      <c r="G116" s="104"/>
      <c r="H116" s="104"/>
      <c r="K116" s="51"/>
    </row>
    <row r="117" spans="1:12" s="31" customFormat="1" hidden="1" x14ac:dyDescent="0.25">
      <c r="A117" s="92" t="s">
        <v>102</v>
      </c>
      <c r="B117" s="92"/>
      <c r="C117" s="92"/>
      <c r="D117" s="92"/>
      <c r="E117" s="92"/>
      <c r="F117" s="104"/>
      <c r="G117" s="104"/>
      <c r="H117" s="104"/>
      <c r="K117" s="51"/>
    </row>
    <row r="118" spans="1:12" s="31" customFormat="1" hidden="1" x14ac:dyDescent="0.25">
      <c r="A118" s="92" t="s">
        <v>103</v>
      </c>
      <c r="B118" s="92"/>
      <c r="C118" s="92"/>
      <c r="D118" s="92"/>
      <c r="E118" s="92"/>
      <c r="F118" s="104"/>
      <c r="G118" s="104"/>
      <c r="H118" s="104"/>
      <c r="K118" s="51"/>
    </row>
    <row r="119" spans="1:12" x14ac:dyDescent="0.3">
      <c r="A119" s="92" t="s">
        <v>52</v>
      </c>
      <c r="B119" s="92"/>
      <c r="C119" s="92"/>
      <c r="D119" s="92"/>
      <c r="E119" s="92"/>
      <c r="F119" s="104">
        <v>1000000</v>
      </c>
      <c r="G119" s="104"/>
      <c r="H119" s="104"/>
      <c r="K119" s="22"/>
    </row>
    <row r="120" spans="1:12" s="32" customFormat="1" x14ac:dyDescent="0.3">
      <c r="A120" s="133" t="s">
        <v>53</v>
      </c>
      <c r="B120" s="133"/>
      <c r="C120" s="133"/>
      <c r="D120" s="133"/>
      <c r="E120" s="133"/>
      <c r="F120" s="104">
        <f>F108*0.8</f>
        <v>12480</v>
      </c>
      <c r="G120" s="104"/>
      <c r="H120" s="104"/>
      <c r="J120" s="32" t="s">
        <v>228</v>
      </c>
    </row>
    <row r="121" spans="1:12" s="33" customFormat="1" ht="15.75" customHeight="1" x14ac:dyDescent="0.3">
      <c r="A121" s="132" t="s">
        <v>78</v>
      </c>
      <c r="B121" s="132"/>
      <c r="C121" s="132"/>
      <c r="D121" s="132"/>
      <c r="E121" s="132"/>
      <c r="F121" s="132"/>
      <c r="G121" s="132"/>
      <c r="H121" s="132"/>
      <c r="J121" s="54" t="s">
        <v>229</v>
      </c>
      <c r="K121" s="33">
        <v>17600</v>
      </c>
      <c r="L121" s="33" t="s">
        <v>230</v>
      </c>
    </row>
    <row r="122" spans="1:12" s="33" customFormat="1" ht="15.75" customHeight="1" x14ac:dyDescent="0.3">
      <c r="A122" s="94" t="s">
        <v>54</v>
      </c>
      <c r="B122" s="94"/>
      <c r="C122" s="164" t="s">
        <v>81</v>
      </c>
      <c r="D122" s="164"/>
      <c r="E122" s="122" t="s">
        <v>55</v>
      </c>
      <c r="F122" s="122"/>
      <c r="G122" s="94" t="s">
        <v>56</v>
      </c>
      <c r="H122" s="94"/>
    </row>
    <row r="123" spans="1:12" s="33" customFormat="1" x14ac:dyDescent="0.3">
      <c r="A123" s="123" t="s">
        <v>217</v>
      </c>
      <c r="B123" s="123"/>
      <c r="C123" s="159">
        <f>COUNT(D137:D139)</f>
        <v>3</v>
      </c>
      <c r="D123" s="155"/>
      <c r="E123" s="105">
        <f>SUM(D137:D139)</f>
        <v>2072.7158399999998</v>
      </c>
      <c r="F123" s="106"/>
      <c r="G123" s="105">
        <f>SUM(F137:F139)</f>
        <v>3316.3453439999998</v>
      </c>
      <c r="H123" s="106"/>
    </row>
    <row r="124" spans="1:12" s="33" customFormat="1" x14ac:dyDescent="0.3">
      <c r="A124" s="123" t="s">
        <v>218</v>
      </c>
      <c r="B124" s="123"/>
      <c r="C124" s="159">
        <f>COUNT(D141:D143)+COUNT(D145:D147)</f>
        <v>6</v>
      </c>
      <c r="D124" s="155"/>
      <c r="E124" s="105">
        <f>SUM(D141:D143)+SUM(D145:D147)</f>
        <v>4456.5112799999997</v>
      </c>
      <c r="F124" s="106"/>
      <c r="G124" s="105">
        <f>SUM(F141:F143)+SUM(F145:F147)</f>
        <v>7130.4180479999995</v>
      </c>
      <c r="H124" s="106"/>
    </row>
    <row r="125" spans="1:12" s="33" customFormat="1" x14ac:dyDescent="0.3">
      <c r="A125" s="132" t="s">
        <v>161</v>
      </c>
      <c r="B125" s="132"/>
      <c r="C125" s="163">
        <f>SUM(C123:C124)</f>
        <v>9</v>
      </c>
      <c r="D125" s="164"/>
      <c r="E125" s="165">
        <f>SUM(E123:E124)</f>
        <v>6529.2271199999996</v>
      </c>
      <c r="F125" s="122"/>
      <c r="G125" s="94">
        <f>SUM(G123:G124)</f>
        <v>10446.763391999999</v>
      </c>
      <c r="H125" s="94"/>
    </row>
    <row r="126" spans="1:12" s="33" customFormat="1" x14ac:dyDescent="0.3">
      <c r="A126" s="132" t="s">
        <v>72</v>
      </c>
      <c r="B126" s="132"/>
      <c r="C126" s="132"/>
      <c r="D126" s="132"/>
      <c r="E126" s="132"/>
      <c r="F126" s="132"/>
      <c r="G126" s="132"/>
      <c r="H126" s="132"/>
    </row>
    <row r="127" spans="1:12" s="33" customFormat="1" ht="15.75" customHeight="1" x14ac:dyDescent="0.3">
      <c r="A127" s="94" t="s">
        <v>54</v>
      </c>
      <c r="B127" s="94"/>
      <c r="C127" s="164" t="s">
        <v>81</v>
      </c>
      <c r="D127" s="164"/>
      <c r="E127" s="122" t="s">
        <v>55</v>
      </c>
      <c r="F127" s="122"/>
      <c r="G127" s="94" t="s">
        <v>56</v>
      </c>
      <c r="H127" s="94"/>
    </row>
    <row r="128" spans="1:12" s="33" customFormat="1" x14ac:dyDescent="0.3">
      <c r="A128" s="123" t="s">
        <v>219</v>
      </c>
      <c r="B128" s="123"/>
      <c r="C128" s="155">
        <f>COUNT(D158:D161)*10+COUNT(D163:D164,D166)+COUNT(D168:D169,D171)+COUNT(D173:D178)*4+COUNT(D180:D181,D183)</f>
        <v>73</v>
      </c>
      <c r="D128" s="155"/>
      <c r="E128" s="105">
        <f>SUM(D158:D161)*10+SUM(D163:D164,D166)+SUM(D168:D169,D171)+SUM(D173:D178)*4+SUM(D180:D181,D183)</f>
        <v>32971.208399999996</v>
      </c>
      <c r="F128" s="105"/>
      <c r="G128" s="105">
        <f>SUM(F158:F161)*10+SUM(F163:F164,F166)+SUM(F168:F169,F171)+SUM(F173:F178)*4+SUM(F180:F181,F183)</f>
        <v>51105.373019999999</v>
      </c>
      <c r="H128" s="105"/>
    </row>
    <row r="129" spans="1:14" s="33" customFormat="1" ht="16.2" thickBot="1" x14ac:dyDescent="0.35">
      <c r="A129" s="166" t="s">
        <v>161</v>
      </c>
      <c r="B129" s="166"/>
      <c r="C129" s="160">
        <f>SUM(C128)</f>
        <v>73</v>
      </c>
      <c r="D129" s="160"/>
      <c r="E129" s="167">
        <f>SUM(E128)</f>
        <v>32971.208399999996</v>
      </c>
      <c r="F129" s="168"/>
      <c r="G129" s="162">
        <f>SUM(G128)</f>
        <v>51105.373019999999</v>
      </c>
      <c r="H129" s="162"/>
    </row>
    <row r="130" spans="1:14" s="33" customFormat="1" ht="16.2" thickBot="1" x14ac:dyDescent="0.35">
      <c r="A130" s="124" t="s">
        <v>180</v>
      </c>
      <c r="B130" s="125"/>
      <c r="C130" s="126">
        <f>C125+C129</f>
        <v>82</v>
      </c>
      <c r="D130" s="126"/>
      <c r="E130" s="169">
        <f>E125+E129</f>
        <v>39500.435519999999</v>
      </c>
      <c r="F130" s="169"/>
      <c r="G130" s="156">
        <f>G125+G129</f>
        <v>61552.136412</v>
      </c>
      <c r="H130" s="157"/>
    </row>
    <row r="131" spans="1:14" s="32" customFormat="1" x14ac:dyDescent="0.3">
      <c r="A131" s="158" t="s">
        <v>57</v>
      </c>
      <c r="B131" s="158"/>
      <c r="C131" s="158"/>
      <c r="D131" s="158"/>
      <c r="E131" s="158"/>
      <c r="F131" s="158"/>
      <c r="G131" s="158"/>
      <c r="H131" s="158"/>
    </row>
    <row r="132" spans="1:14" x14ac:dyDescent="0.3">
      <c r="A132" s="143" t="s">
        <v>58</v>
      </c>
      <c r="B132" s="143"/>
      <c r="C132" s="143"/>
      <c r="D132" s="143"/>
      <c r="E132" s="143"/>
      <c r="F132" s="143"/>
      <c r="G132" s="143"/>
      <c r="H132" s="143"/>
    </row>
    <row r="133" spans="1:14" ht="47.25" customHeight="1" x14ac:dyDescent="0.3">
      <c r="A133" s="95" t="s">
        <v>126</v>
      </c>
      <c r="B133" s="95" t="s">
        <v>125</v>
      </c>
      <c r="C133" s="95" t="s">
        <v>59</v>
      </c>
      <c r="D133" s="95" t="s">
        <v>60</v>
      </c>
      <c r="E133" s="97" t="s">
        <v>167</v>
      </c>
      <c r="F133" s="41" t="s">
        <v>159</v>
      </c>
      <c r="G133" s="89" t="s">
        <v>62</v>
      </c>
      <c r="H133" s="99"/>
    </row>
    <row r="134" spans="1:14" s="35" customFormat="1" x14ac:dyDescent="0.3">
      <c r="A134" s="96"/>
      <c r="B134" s="96"/>
      <c r="C134" s="96"/>
      <c r="D134" s="96"/>
      <c r="E134" s="98"/>
      <c r="F134" s="13">
        <v>0.6</v>
      </c>
      <c r="G134" s="90"/>
      <c r="H134" s="100"/>
    </row>
    <row r="135" spans="1:14" s="35" customFormat="1" x14ac:dyDescent="0.3">
      <c r="A135" s="72" t="s">
        <v>204</v>
      </c>
      <c r="B135" s="73"/>
      <c r="C135" s="73"/>
      <c r="D135" s="73"/>
      <c r="E135" s="73"/>
      <c r="F135" s="73"/>
      <c r="G135" s="73"/>
      <c r="H135" s="74"/>
      <c r="J135" s="34"/>
    </row>
    <row r="136" spans="1:14" s="35" customFormat="1" x14ac:dyDescent="0.3">
      <c r="A136" s="72" t="s">
        <v>206</v>
      </c>
      <c r="B136" s="73"/>
      <c r="C136" s="73"/>
      <c r="D136" s="73"/>
      <c r="E136" s="73"/>
      <c r="F136" s="73"/>
      <c r="G136" s="73"/>
      <c r="H136" s="74"/>
      <c r="J136" s="49">
        <f>10.764</f>
        <v>10.763999999999999</v>
      </c>
    </row>
    <row r="137" spans="1:14" s="35" customFormat="1" ht="15.75" customHeight="1" x14ac:dyDescent="0.3">
      <c r="A137" s="64">
        <v>1</v>
      </c>
      <c r="B137" s="65"/>
      <c r="C137" s="40" t="s">
        <v>205</v>
      </c>
      <c r="D137" s="49">
        <f>(73.75)*(10.764)</f>
        <v>793.84499999999991</v>
      </c>
      <c r="E137" s="40">
        <v>0</v>
      </c>
      <c r="F137" s="40">
        <f>(D137+E137)*(($F$134)+1)</f>
        <v>1270.152</v>
      </c>
      <c r="G137" s="66" t="str">
        <f>A136</f>
        <v>Ground Floor For Commercial, Meter Room &amp; Parking</v>
      </c>
      <c r="H137" s="67"/>
      <c r="I137" s="34"/>
      <c r="L137" s="63"/>
      <c r="M137" s="63"/>
      <c r="N137" s="34"/>
    </row>
    <row r="138" spans="1:14" s="35" customFormat="1" ht="15.75" customHeight="1" x14ac:dyDescent="0.3">
      <c r="A138" s="64">
        <f t="shared" ref="A138:A139" si="0">A137+1</f>
        <v>2</v>
      </c>
      <c r="B138" s="65"/>
      <c r="C138" s="40" t="s">
        <v>205</v>
      </c>
      <c r="D138" s="49">
        <f>(68.12)*(10.764)</f>
        <v>733.24368000000004</v>
      </c>
      <c r="E138" s="40">
        <v>0</v>
      </c>
      <c r="F138" s="40">
        <f>(D138+E138)*(($F$134)+1)</f>
        <v>1173.1898880000001</v>
      </c>
      <c r="G138" s="68"/>
      <c r="H138" s="69"/>
      <c r="I138" s="34"/>
      <c r="J138" s="35">
        <f>11.645*5.92</f>
        <v>68.938400000000001</v>
      </c>
      <c r="L138" s="63"/>
      <c r="M138" s="63"/>
      <c r="N138" s="34"/>
    </row>
    <row r="139" spans="1:14" s="35" customFormat="1" ht="15.75" customHeight="1" x14ac:dyDescent="0.3">
      <c r="A139" s="64">
        <f t="shared" si="0"/>
        <v>3</v>
      </c>
      <c r="B139" s="65"/>
      <c r="C139" s="40" t="s">
        <v>205</v>
      </c>
      <c r="D139" s="49">
        <f>(50.69)*(10.764)</f>
        <v>545.62715999999989</v>
      </c>
      <c r="E139" s="40">
        <v>0</v>
      </c>
      <c r="F139" s="40">
        <f>(D139+E139)*(($F$134)+1)</f>
        <v>873.00345599999991</v>
      </c>
      <c r="G139" s="70"/>
      <c r="H139" s="71"/>
      <c r="I139" s="34"/>
      <c r="L139" s="63"/>
      <c r="M139" s="63"/>
      <c r="N139" s="34"/>
    </row>
    <row r="140" spans="1:14" s="35" customFormat="1" x14ac:dyDescent="0.3">
      <c r="A140" s="72" t="s">
        <v>207</v>
      </c>
      <c r="B140" s="73"/>
      <c r="C140" s="73"/>
      <c r="D140" s="73"/>
      <c r="E140" s="73"/>
      <c r="F140" s="73"/>
      <c r="G140" s="73"/>
      <c r="H140" s="74"/>
      <c r="J140" s="34"/>
    </row>
    <row r="141" spans="1:14" s="35" customFormat="1" ht="15.75" customHeight="1" x14ac:dyDescent="0.3">
      <c r="A141" s="64">
        <v>1</v>
      </c>
      <c r="B141" s="65"/>
      <c r="C141" s="40" t="s">
        <v>208</v>
      </c>
      <c r="D141" s="49">
        <f>(63.56)*(10.764)</f>
        <v>684.15984000000003</v>
      </c>
      <c r="E141" s="40">
        <v>0</v>
      </c>
      <c r="F141" s="40">
        <f>(D141+E141)*(($F$134)+1)</f>
        <v>1094.6557440000001</v>
      </c>
      <c r="G141" s="66" t="str">
        <f>A140</f>
        <v>1st Floor For Commercial &amp; Parking</v>
      </c>
      <c r="H141" s="67"/>
      <c r="I141" s="34"/>
      <c r="L141" s="63"/>
      <c r="M141" s="63"/>
      <c r="N141" s="34"/>
    </row>
    <row r="142" spans="1:14" s="35" customFormat="1" ht="15.75" customHeight="1" x14ac:dyDescent="0.3">
      <c r="A142" s="64">
        <f t="shared" ref="A142:A143" si="1">A141+1</f>
        <v>2</v>
      </c>
      <c r="B142" s="65"/>
      <c r="C142" s="40" t="s">
        <v>208</v>
      </c>
      <c r="D142" s="49">
        <f>(72.63)*(10.764)</f>
        <v>781.78931999999986</v>
      </c>
      <c r="E142" s="40">
        <v>0</v>
      </c>
      <c r="F142" s="40">
        <f t="shared" ref="F142:F143" si="2">(D142+E142)*(($F$134)+1)</f>
        <v>1250.8629119999998</v>
      </c>
      <c r="G142" s="68" t="str">
        <f t="shared" ref="G142:G143" si="3">G141</f>
        <v>1st Floor For Commercial &amp; Parking</v>
      </c>
      <c r="H142" s="69"/>
      <c r="I142" s="34"/>
      <c r="L142" s="63"/>
      <c r="M142" s="63"/>
      <c r="N142" s="34"/>
    </row>
    <row r="143" spans="1:14" s="35" customFormat="1" ht="15.75" customHeight="1" x14ac:dyDescent="0.3">
      <c r="A143" s="64">
        <f t="shared" si="1"/>
        <v>3</v>
      </c>
      <c r="B143" s="65"/>
      <c r="C143" s="40" t="s">
        <v>208</v>
      </c>
      <c r="D143" s="49">
        <f>(70.82)*(10.764)</f>
        <v>762.30647999999985</v>
      </c>
      <c r="E143" s="40">
        <v>0</v>
      </c>
      <c r="F143" s="40">
        <f t="shared" si="2"/>
        <v>1219.6903679999998</v>
      </c>
      <c r="G143" s="70" t="str">
        <f t="shared" si="3"/>
        <v>1st Floor For Commercial &amp; Parking</v>
      </c>
      <c r="H143" s="71"/>
      <c r="I143" s="34"/>
      <c r="L143" s="63"/>
      <c r="M143" s="63"/>
      <c r="N143" s="34"/>
    </row>
    <row r="144" spans="1:14" s="35" customFormat="1" x14ac:dyDescent="0.3">
      <c r="A144" s="72" t="s">
        <v>209</v>
      </c>
      <c r="B144" s="73"/>
      <c r="C144" s="73"/>
      <c r="D144" s="73"/>
      <c r="E144" s="73"/>
      <c r="F144" s="73"/>
      <c r="G144" s="73"/>
      <c r="H144" s="74"/>
      <c r="J144" s="34"/>
    </row>
    <row r="145" spans="1:14" s="35" customFormat="1" ht="15.75" customHeight="1" x14ac:dyDescent="0.3">
      <c r="A145" s="64">
        <v>1</v>
      </c>
      <c r="B145" s="65"/>
      <c r="C145" s="40" t="s">
        <v>208</v>
      </c>
      <c r="D145" s="49">
        <f>(63.56)*(10.764)</f>
        <v>684.15984000000003</v>
      </c>
      <c r="E145" s="40">
        <v>0</v>
      </c>
      <c r="F145" s="40">
        <f>(D145+E145)*(($F$134)+1)</f>
        <v>1094.6557440000001</v>
      </c>
      <c r="G145" s="66" t="str">
        <f>A144</f>
        <v>2nd Floor For Commercial &amp; Parking</v>
      </c>
      <c r="H145" s="67"/>
      <c r="I145" s="34"/>
      <c r="L145" s="63"/>
      <c r="M145" s="63"/>
      <c r="N145" s="34"/>
    </row>
    <row r="146" spans="1:14" s="35" customFormat="1" ht="15.75" customHeight="1" x14ac:dyDescent="0.3">
      <c r="A146" s="64">
        <f t="shared" ref="A146:A147" si="4">A145+1</f>
        <v>2</v>
      </c>
      <c r="B146" s="65"/>
      <c r="C146" s="40" t="s">
        <v>208</v>
      </c>
      <c r="D146" s="49">
        <f>(72.63)*(10.764)</f>
        <v>781.78931999999986</v>
      </c>
      <c r="E146" s="40">
        <v>0</v>
      </c>
      <c r="F146" s="40">
        <f t="shared" ref="F146:F147" si="5">(D146+E146)*(($F$134)+1)</f>
        <v>1250.8629119999998</v>
      </c>
      <c r="G146" s="68" t="str">
        <f t="shared" ref="G146:G147" si="6">G145</f>
        <v>2nd Floor For Commercial &amp; Parking</v>
      </c>
      <c r="H146" s="69"/>
      <c r="I146" s="34"/>
      <c r="L146" s="63"/>
      <c r="M146" s="63"/>
      <c r="N146" s="34"/>
    </row>
    <row r="147" spans="1:14" s="35" customFormat="1" ht="15.75" customHeight="1" x14ac:dyDescent="0.3">
      <c r="A147" s="64">
        <f t="shared" si="4"/>
        <v>3</v>
      </c>
      <c r="B147" s="65"/>
      <c r="C147" s="40" t="s">
        <v>208</v>
      </c>
      <c r="D147" s="49">
        <f>(70.82)*(10.764)</f>
        <v>762.30647999999985</v>
      </c>
      <c r="E147" s="40">
        <v>0</v>
      </c>
      <c r="F147" s="40">
        <f t="shared" si="5"/>
        <v>1219.6903679999998</v>
      </c>
      <c r="G147" s="70" t="str">
        <f t="shared" si="6"/>
        <v>2nd Floor For Commercial &amp; Parking</v>
      </c>
      <c r="H147" s="71"/>
      <c r="I147" s="34"/>
      <c r="L147" s="63"/>
      <c r="M147" s="63"/>
      <c r="N147" s="34"/>
    </row>
    <row r="148" spans="1:14" s="35" customFormat="1" hidden="1" x14ac:dyDescent="0.3">
      <c r="A148" s="72" t="s">
        <v>123</v>
      </c>
      <c r="B148" s="73"/>
      <c r="C148" s="73"/>
      <c r="D148" s="73"/>
      <c r="E148" s="73"/>
      <c r="F148" s="73"/>
      <c r="G148" s="73"/>
      <c r="H148" s="74"/>
      <c r="J148" s="34"/>
    </row>
    <row r="149" spans="1:14" s="35" customFormat="1" hidden="1" x14ac:dyDescent="0.3">
      <c r="A149" s="64">
        <v>1</v>
      </c>
      <c r="B149" s="65"/>
      <c r="C149" s="40"/>
      <c r="D149" s="40"/>
      <c r="E149" s="40">
        <v>0</v>
      </c>
      <c r="F149" s="40">
        <f>(D149+E149)*(($F$134)+1)</f>
        <v>0</v>
      </c>
      <c r="G149" s="64" t="str">
        <f>A148</f>
        <v>Ground Floor</v>
      </c>
      <c r="H149" s="65"/>
      <c r="I149" s="34"/>
      <c r="L149" s="63"/>
      <c r="M149" s="63"/>
      <c r="N149" s="34"/>
    </row>
    <row r="150" spans="1:14" s="35" customFormat="1" hidden="1" x14ac:dyDescent="0.3">
      <c r="A150" s="64">
        <f t="shared" ref="A150:A152" si="7">A149+1</f>
        <v>2</v>
      </c>
      <c r="B150" s="65"/>
      <c r="C150" s="40"/>
      <c r="D150" s="40"/>
      <c r="E150" s="40">
        <v>0</v>
      </c>
      <c r="F150" s="40">
        <f t="shared" ref="F150:F152" si="8">(D150+E150)*(($F$134)+1)</f>
        <v>0</v>
      </c>
      <c r="G150" s="64" t="str">
        <f t="shared" ref="G150:G152" si="9">G149</f>
        <v>Ground Floor</v>
      </c>
      <c r="H150" s="65"/>
      <c r="I150" s="34"/>
      <c r="L150" s="63"/>
      <c r="M150" s="63"/>
      <c r="N150" s="34"/>
    </row>
    <row r="151" spans="1:14" s="35" customFormat="1" hidden="1" x14ac:dyDescent="0.3">
      <c r="A151" s="64">
        <f t="shared" si="7"/>
        <v>3</v>
      </c>
      <c r="B151" s="65"/>
      <c r="C151" s="40"/>
      <c r="D151" s="40"/>
      <c r="E151" s="40">
        <v>0</v>
      </c>
      <c r="F151" s="40">
        <f t="shared" si="8"/>
        <v>0</v>
      </c>
      <c r="G151" s="64" t="str">
        <f t="shared" si="9"/>
        <v>Ground Floor</v>
      </c>
      <c r="H151" s="65"/>
      <c r="I151" s="34"/>
      <c r="L151" s="63"/>
      <c r="M151" s="63"/>
      <c r="N151" s="34"/>
    </row>
    <row r="152" spans="1:14" s="35" customFormat="1" hidden="1" x14ac:dyDescent="0.3">
      <c r="A152" s="64">
        <f t="shared" si="7"/>
        <v>4</v>
      </c>
      <c r="B152" s="65"/>
      <c r="C152" s="40"/>
      <c r="D152" s="40"/>
      <c r="E152" s="40">
        <v>0</v>
      </c>
      <c r="F152" s="40">
        <f t="shared" si="8"/>
        <v>0</v>
      </c>
      <c r="G152" s="64" t="str">
        <f t="shared" si="9"/>
        <v>Ground Floor</v>
      </c>
      <c r="H152" s="65"/>
      <c r="I152" s="34"/>
      <c r="L152" s="63"/>
      <c r="M152" s="63"/>
      <c r="N152" s="34"/>
    </row>
    <row r="153" spans="1:14" s="35" customFormat="1" x14ac:dyDescent="0.3">
      <c r="A153" s="64"/>
      <c r="B153" s="88"/>
      <c r="C153" s="88"/>
      <c r="D153" s="88"/>
      <c r="E153" s="88"/>
      <c r="F153" s="88"/>
      <c r="G153" s="88"/>
      <c r="H153" s="65"/>
      <c r="I153" s="34"/>
      <c r="N153" s="34"/>
    </row>
    <row r="154" spans="1:14" ht="47.25" customHeight="1" x14ac:dyDescent="0.3">
      <c r="A154" s="89" t="s">
        <v>127</v>
      </c>
      <c r="B154" s="89" t="s">
        <v>128</v>
      </c>
      <c r="C154" s="95" t="s">
        <v>59</v>
      </c>
      <c r="D154" s="95" t="s">
        <v>60</v>
      </c>
      <c r="E154" s="97" t="s">
        <v>61</v>
      </c>
      <c r="F154" s="41" t="s">
        <v>159</v>
      </c>
      <c r="G154" s="89" t="s">
        <v>62</v>
      </c>
      <c r="H154" s="99"/>
      <c r="I154" s="34"/>
    </row>
    <row r="155" spans="1:14" s="35" customFormat="1" x14ac:dyDescent="0.3">
      <c r="A155" s="90"/>
      <c r="B155" s="90"/>
      <c r="C155" s="96"/>
      <c r="D155" s="96"/>
      <c r="E155" s="98"/>
      <c r="F155" s="13">
        <v>0.55000000000000004</v>
      </c>
      <c r="G155" s="90"/>
      <c r="H155" s="100"/>
      <c r="I155" s="34"/>
    </row>
    <row r="156" spans="1:14" s="35" customFormat="1" x14ac:dyDescent="0.3">
      <c r="A156" s="72" t="s">
        <v>210</v>
      </c>
      <c r="B156" s="73"/>
      <c r="C156" s="73"/>
      <c r="D156" s="73"/>
      <c r="E156" s="73"/>
      <c r="F156" s="73"/>
      <c r="G156" s="73"/>
      <c r="H156" s="74"/>
      <c r="J156" s="34"/>
    </row>
    <row r="157" spans="1:14" s="35" customFormat="1" x14ac:dyDescent="0.3">
      <c r="A157" s="72" t="s">
        <v>213</v>
      </c>
      <c r="B157" s="73"/>
      <c r="C157" s="73"/>
      <c r="D157" s="73"/>
      <c r="E157" s="73"/>
      <c r="F157" s="73"/>
      <c r="G157" s="73"/>
      <c r="H157" s="74"/>
      <c r="J157" s="34"/>
    </row>
    <row r="158" spans="1:14" s="35" customFormat="1" ht="15.75" customHeight="1" x14ac:dyDescent="0.3">
      <c r="A158" s="64">
        <v>1</v>
      </c>
      <c r="B158" s="65"/>
      <c r="C158" s="48">
        <v>1</v>
      </c>
      <c r="D158" s="49">
        <f>(34.52)*(10.764)</f>
        <v>371.57328000000001</v>
      </c>
      <c r="E158" s="40">
        <v>0</v>
      </c>
      <c r="F158" s="40">
        <f>D158*(($F$155)+1)+(IF(E158&lt;101,E158,IF(E158&lt;201,E158/2,IF(E158&lt;=301,E158/3,E158/4))))</f>
        <v>575.93858399999999</v>
      </c>
      <c r="G158" s="66" t="str">
        <f>A157</f>
        <v>4th to 7th, 9th to 14th Floor For Residential &amp; Parking</v>
      </c>
      <c r="H158" s="67"/>
      <c r="I158" s="34"/>
      <c r="J158" s="35">
        <f>2.9*3.6+2.9*2.55+2.75*3.35+1.15*2.1+1.38*1.03+1.23*1.85</f>
        <v>33.159399999999998</v>
      </c>
      <c r="K158" s="35">
        <f>4.62*2.93+3.35*2.9+0.6*0.97+2.1*1.35+2.15*2.42+2.9*3.22+1.8*1.22+1*1.33+0.35*0.97+1.2*0.97</f>
        <v>46.239100000000008</v>
      </c>
      <c r="L158" s="63"/>
      <c r="M158" s="63"/>
      <c r="N158" s="34"/>
    </row>
    <row r="159" spans="1:14" s="35" customFormat="1" ht="15.75" customHeight="1" x14ac:dyDescent="0.3">
      <c r="A159" s="64">
        <f t="shared" ref="A159:A161" si="10">A158+1</f>
        <v>2</v>
      </c>
      <c r="B159" s="65"/>
      <c r="C159" s="48">
        <v>2</v>
      </c>
      <c r="D159" s="49">
        <f>(51.62)*(10.764)</f>
        <v>555.63767999999993</v>
      </c>
      <c r="E159" s="40">
        <v>0</v>
      </c>
      <c r="F159" s="40">
        <f>D159*(($F$155)+1)+(IF(E159&lt;101,E159,IF(E159&lt;201,E159/2,IF(E159&lt;=301,E159/3,E159/4))))</f>
        <v>861.23840399999995</v>
      </c>
      <c r="G159" s="68"/>
      <c r="H159" s="69"/>
      <c r="I159" s="34"/>
      <c r="J159" s="35">
        <f>1.75*0.6+0.45*2.75</f>
        <v>2.2875000000000001</v>
      </c>
      <c r="K159" s="35">
        <f>2.15*0.9+1.2*2.93</f>
        <v>5.4510000000000005</v>
      </c>
      <c r="L159" s="63"/>
      <c r="M159" s="63"/>
      <c r="N159" s="34"/>
    </row>
    <row r="160" spans="1:14" s="35" customFormat="1" ht="15.75" customHeight="1" x14ac:dyDescent="0.3">
      <c r="A160" s="64">
        <f t="shared" si="10"/>
        <v>3</v>
      </c>
      <c r="B160" s="65"/>
      <c r="C160" s="48">
        <v>2</v>
      </c>
      <c r="D160" s="49">
        <f>(51.62)*(10.764)</f>
        <v>555.63767999999993</v>
      </c>
      <c r="E160" s="40">
        <v>0</v>
      </c>
      <c r="F160" s="40">
        <f>D160*(($F$155)+1)+(IF(E160&lt;101,E160,IF(E160&lt;201,E160/2,IF(E160&lt;=301,E160/3,E160/4))))</f>
        <v>861.23840399999995</v>
      </c>
      <c r="G160" s="68"/>
      <c r="H160" s="69"/>
      <c r="I160" s="34"/>
      <c r="J160" s="35">
        <f>J158+J159</f>
        <v>35.446899999999999</v>
      </c>
      <c r="K160" s="35">
        <f>K158+K159</f>
        <v>51.690100000000008</v>
      </c>
      <c r="L160" s="63"/>
      <c r="M160" s="63"/>
      <c r="N160" s="34"/>
    </row>
    <row r="161" spans="1:14" s="35" customFormat="1" ht="15.75" customHeight="1" x14ac:dyDescent="0.3">
      <c r="A161" s="64">
        <f t="shared" si="10"/>
        <v>4</v>
      </c>
      <c r="B161" s="65"/>
      <c r="C161" s="48">
        <v>1</v>
      </c>
      <c r="D161" s="49">
        <f>(34.52)*(10.764)</f>
        <v>371.57328000000001</v>
      </c>
      <c r="E161" s="40">
        <v>0</v>
      </c>
      <c r="F161" s="40">
        <f>D161*(($F$155)+1)+(IF(E161&lt;101,E161,IF(E161&lt;201,E161/2,IF(E161&lt;=301,E161/3,E161/4))))</f>
        <v>575.93858399999999</v>
      </c>
      <c r="G161" s="70"/>
      <c r="H161" s="71"/>
      <c r="I161" s="34"/>
      <c r="L161" s="63"/>
      <c r="M161" s="63"/>
      <c r="N161" s="34"/>
    </row>
    <row r="162" spans="1:14" s="35" customFormat="1" x14ac:dyDescent="0.3">
      <c r="A162" s="72" t="s">
        <v>211</v>
      </c>
      <c r="B162" s="73"/>
      <c r="C162" s="73"/>
      <c r="D162" s="73"/>
      <c r="E162" s="73"/>
      <c r="F162" s="73"/>
      <c r="G162" s="73"/>
      <c r="H162" s="74"/>
      <c r="J162" s="34"/>
    </row>
    <row r="163" spans="1:14" s="35" customFormat="1" ht="15.75" customHeight="1" x14ac:dyDescent="0.3">
      <c r="A163" s="64">
        <v>1</v>
      </c>
      <c r="B163" s="65"/>
      <c r="C163" s="48">
        <v>1</v>
      </c>
      <c r="D163" s="49">
        <f>(34.52)*(10.764)</f>
        <v>371.57328000000001</v>
      </c>
      <c r="E163" s="40">
        <v>0</v>
      </c>
      <c r="F163" s="40">
        <f>D163*(($F$155)+1)+(IF(E163&lt;101,E163,IF(E163&lt;201,E163/2,IF(E163&lt;=301,E163/3,E163/4))))</f>
        <v>575.93858399999999</v>
      </c>
      <c r="G163" s="66" t="str">
        <f>A162</f>
        <v>8th Floor (Part Refuge Area)</v>
      </c>
      <c r="H163" s="67"/>
      <c r="I163" s="34"/>
      <c r="J163" s="35">
        <f>8200000/F163</f>
        <v>14237.629198324383</v>
      </c>
      <c r="K163" s="52">
        <f>11000000/F158</f>
        <v>19099.25868067905</v>
      </c>
      <c r="L163" s="63"/>
      <c r="M163" s="63"/>
      <c r="N163" s="34"/>
    </row>
    <row r="164" spans="1:14" s="35" customFormat="1" ht="15.75" customHeight="1" x14ac:dyDescent="0.3">
      <c r="A164" s="64">
        <f t="shared" ref="A164:A166" si="11">A163+1</f>
        <v>2</v>
      </c>
      <c r="B164" s="65"/>
      <c r="C164" s="48">
        <v>2</v>
      </c>
      <c r="D164" s="49">
        <f>(51.62)*(10.764)</f>
        <v>555.63767999999993</v>
      </c>
      <c r="E164" s="40">
        <v>0</v>
      </c>
      <c r="F164" s="40">
        <f>D164*(($F$155)+1)+(IF(E164&lt;101,E164,IF(E164&lt;201,E164/2,IF(E164&lt;=301,E164/3,E164/4))))</f>
        <v>861.23840399999995</v>
      </c>
      <c r="G164" s="68"/>
      <c r="H164" s="69"/>
      <c r="I164" s="34"/>
      <c r="J164" s="35">
        <f>13000000/F164</f>
        <v>15094.54285784497</v>
      </c>
      <c r="K164" s="52">
        <f>15600000/F159</f>
        <v>18113.451429413963</v>
      </c>
      <c r="L164" s="63"/>
      <c r="M164" s="63"/>
      <c r="N164" s="34"/>
    </row>
    <row r="165" spans="1:14" s="35" customFormat="1" ht="15.75" customHeight="1" x14ac:dyDescent="0.3">
      <c r="A165" s="64">
        <f t="shared" si="11"/>
        <v>3</v>
      </c>
      <c r="B165" s="65"/>
      <c r="C165" s="85" t="s">
        <v>212</v>
      </c>
      <c r="D165" s="86"/>
      <c r="E165" s="86"/>
      <c r="F165" s="87"/>
      <c r="G165" s="68"/>
      <c r="H165" s="69"/>
      <c r="I165" s="34"/>
      <c r="L165" s="63"/>
      <c r="M165" s="63"/>
      <c r="N165" s="34"/>
    </row>
    <row r="166" spans="1:14" s="35" customFormat="1" ht="15.75" customHeight="1" x14ac:dyDescent="0.3">
      <c r="A166" s="64">
        <f t="shared" si="11"/>
        <v>4</v>
      </c>
      <c r="B166" s="65"/>
      <c r="C166" s="48">
        <v>1</v>
      </c>
      <c r="D166" s="49">
        <f>(34.52)*(10.764)</f>
        <v>371.57328000000001</v>
      </c>
      <c r="E166" s="40">
        <v>0</v>
      </c>
      <c r="F166" s="40">
        <f>D166*(($F$155)+1)+(IF(E166&lt;101,E166,IF(E166&lt;201,E166/2,IF(E166&lt;=301,E166/3,E166/4))))</f>
        <v>575.93858399999999</v>
      </c>
      <c r="G166" s="70"/>
      <c r="H166" s="71"/>
      <c r="I166" s="34"/>
      <c r="K166" s="53">
        <f>23000/1.55</f>
        <v>14838.709677419354</v>
      </c>
      <c r="L166" s="63"/>
      <c r="M166" s="63"/>
      <c r="N166" s="34"/>
    </row>
    <row r="167" spans="1:14" s="35" customFormat="1" x14ac:dyDescent="0.3">
      <c r="A167" s="72" t="s">
        <v>214</v>
      </c>
      <c r="B167" s="73"/>
      <c r="C167" s="73"/>
      <c r="D167" s="73"/>
      <c r="E167" s="73"/>
      <c r="F167" s="73"/>
      <c r="G167" s="73"/>
      <c r="H167" s="74"/>
      <c r="J167" s="34"/>
      <c r="K167" s="53">
        <f>70000/1.66</f>
        <v>42168.674698795185</v>
      </c>
    </row>
    <row r="168" spans="1:14" s="35" customFormat="1" ht="15.75" customHeight="1" x14ac:dyDescent="0.3">
      <c r="A168" s="64">
        <v>1</v>
      </c>
      <c r="B168" s="65"/>
      <c r="C168" s="48">
        <v>1</v>
      </c>
      <c r="D168" s="49">
        <f>(34.52)*(10.764)</f>
        <v>371.57328000000001</v>
      </c>
      <c r="E168" s="40">
        <v>0</v>
      </c>
      <c r="F168" s="40">
        <f>D168*(($F$155)+1)+(IF(E168&lt;101,E168,IF(E168&lt;201,E168/2,IF(E168&lt;=301,E168/3,E168/4))))</f>
        <v>575.93858399999999</v>
      </c>
      <c r="G168" s="66" t="str">
        <f>A167</f>
        <v>15th Floor (Part Refuge Area) &amp; Fitness Center</v>
      </c>
      <c r="H168" s="67"/>
      <c r="I168" s="34"/>
      <c r="L168" s="63"/>
      <c r="M168" s="63"/>
      <c r="N168" s="34"/>
    </row>
    <row r="169" spans="1:14" s="35" customFormat="1" ht="15.75" customHeight="1" x14ac:dyDescent="0.3">
      <c r="A169" s="64">
        <f t="shared" ref="A169:A171" si="12">A168+1</f>
        <v>2</v>
      </c>
      <c r="B169" s="65"/>
      <c r="C169" s="48">
        <v>2</v>
      </c>
      <c r="D169" s="49">
        <f>(51.62)*(10.764)</f>
        <v>555.63767999999993</v>
      </c>
      <c r="E169" s="40">
        <v>0</v>
      </c>
      <c r="F169" s="40">
        <f>D169*(($F$155)+1)+(IF(E169&lt;101,E169,IF(E169&lt;201,E169/2,IF(E169&lt;=301,E169/3,E169/4))))</f>
        <v>861.23840399999995</v>
      </c>
      <c r="G169" s="68"/>
      <c r="H169" s="69"/>
      <c r="I169" s="34"/>
      <c r="L169" s="63"/>
      <c r="M169" s="63"/>
      <c r="N169" s="34"/>
    </row>
    <row r="170" spans="1:14" s="35" customFormat="1" ht="15.75" customHeight="1" x14ac:dyDescent="0.3">
      <c r="A170" s="64">
        <f t="shared" si="12"/>
        <v>3</v>
      </c>
      <c r="B170" s="65"/>
      <c r="C170" s="85" t="s">
        <v>212</v>
      </c>
      <c r="D170" s="86"/>
      <c r="E170" s="86"/>
      <c r="F170" s="87"/>
      <c r="G170" s="68"/>
      <c r="H170" s="69"/>
      <c r="I170" s="34"/>
      <c r="L170" s="63"/>
      <c r="M170" s="63"/>
      <c r="N170" s="34"/>
    </row>
    <row r="171" spans="1:14" s="35" customFormat="1" ht="15.75" customHeight="1" x14ac:dyDescent="0.3">
      <c r="A171" s="64">
        <f t="shared" si="12"/>
        <v>4</v>
      </c>
      <c r="B171" s="65"/>
      <c r="C171" s="48">
        <v>1</v>
      </c>
      <c r="D171" s="49">
        <f>(34.52)*(10.764)</f>
        <v>371.57328000000001</v>
      </c>
      <c r="E171" s="40">
        <v>0</v>
      </c>
      <c r="F171" s="40">
        <f>D171*(($F$155)+1)+(IF(E171&lt;101,E171,IF(E171&lt;201,E171/2,IF(E171&lt;=301,E171/3,E171/4))))</f>
        <v>575.93858399999999</v>
      </c>
      <c r="G171" s="70"/>
      <c r="H171" s="71"/>
      <c r="I171" s="34"/>
      <c r="L171" s="63"/>
      <c r="M171" s="63"/>
      <c r="N171" s="34"/>
    </row>
    <row r="172" spans="1:14" s="35" customFormat="1" x14ac:dyDescent="0.3">
      <c r="A172" s="72" t="s">
        <v>215</v>
      </c>
      <c r="B172" s="73"/>
      <c r="C172" s="73"/>
      <c r="D172" s="73"/>
      <c r="E172" s="73"/>
      <c r="F172" s="73"/>
      <c r="G172" s="73"/>
      <c r="H172" s="74"/>
      <c r="J172" s="34"/>
    </row>
    <row r="173" spans="1:14" s="35" customFormat="1" ht="15.75" customHeight="1" x14ac:dyDescent="0.3">
      <c r="A173" s="64">
        <v>1</v>
      </c>
      <c r="B173" s="65"/>
      <c r="C173" s="48">
        <v>1</v>
      </c>
      <c r="D173" s="49">
        <f>(34.52)*(10.764)</f>
        <v>371.57328000000001</v>
      </c>
      <c r="E173" s="40">
        <v>0</v>
      </c>
      <c r="F173" s="40">
        <f t="shared" ref="F173:F178" si="13">D173*(($F$155)+1)+(IF(E173&lt;101,E173,IF(E173&lt;201,E173/2,IF(E173&lt;=301,E173/3,E173/4))))</f>
        <v>575.93858399999999</v>
      </c>
      <c r="G173" s="66" t="str">
        <f>A172</f>
        <v>16th to 19th Floor</v>
      </c>
      <c r="H173" s="67"/>
      <c r="I173" s="34"/>
      <c r="L173" s="63"/>
      <c r="M173" s="63"/>
      <c r="N173" s="34"/>
    </row>
    <row r="174" spans="1:14" s="35" customFormat="1" ht="15.75" customHeight="1" x14ac:dyDescent="0.3">
      <c r="A174" s="64">
        <f t="shared" ref="A174:A178" si="14">A173+1</f>
        <v>2</v>
      </c>
      <c r="B174" s="65"/>
      <c r="C174" s="48">
        <v>2</v>
      </c>
      <c r="D174" s="49">
        <f>(51.62)*(10.764)</f>
        <v>555.63767999999993</v>
      </c>
      <c r="E174" s="40">
        <v>0</v>
      </c>
      <c r="F174" s="40">
        <f t="shared" si="13"/>
        <v>861.23840399999995</v>
      </c>
      <c r="G174" s="68"/>
      <c r="H174" s="69"/>
      <c r="I174" s="34"/>
      <c r="L174" s="63"/>
      <c r="M174" s="63"/>
      <c r="N174" s="34"/>
    </row>
    <row r="175" spans="1:14" s="35" customFormat="1" ht="15.75" customHeight="1" x14ac:dyDescent="0.3">
      <c r="A175" s="64">
        <f t="shared" si="14"/>
        <v>3</v>
      </c>
      <c r="B175" s="65"/>
      <c r="C175" s="48">
        <v>2</v>
      </c>
      <c r="D175" s="49">
        <f>(51.62)*(10.764)</f>
        <v>555.63767999999993</v>
      </c>
      <c r="E175" s="40">
        <v>0</v>
      </c>
      <c r="F175" s="40">
        <f t="shared" si="13"/>
        <v>861.23840399999995</v>
      </c>
      <c r="G175" s="68"/>
      <c r="H175" s="69"/>
      <c r="I175" s="34"/>
      <c r="L175" s="63"/>
      <c r="M175" s="63"/>
      <c r="N175" s="34"/>
    </row>
    <row r="176" spans="1:14" s="35" customFormat="1" ht="15.75" customHeight="1" x14ac:dyDescent="0.3">
      <c r="A176" s="64">
        <f t="shared" si="14"/>
        <v>4</v>
      </c>
      <c r="B176" s="65"/>
      <c r="C176" s="48">
        <v>1</v>
      </c>
      <c r="D176" s="49">
        <f>(34.52)*(10.764)</f>
        <v>371.57328000000001</v>
      </c>
      <c r="E176" s="40">
        <v>0</v>
      </c>
      <c r="F176" s="40">
        <f t="shared" si="13"/>
        <v>575.93858399999999</v>
      </c>
      <c r="G176" s="68"/>
      <c r="H176" s="69"/>
      <c r="I176" s="34"/>
      <c r="L176" s="63"/>
      <c r="M176" s="63"/>
      <c r="N176" s="34"/>
    </row>
    <row r="177" spans="1:14" s="35" customFormat="1" ht="15.75" customHeight="1" x14ac:dyDescent="0.3">
      <c r="A177" s="64">
        <f t="shared" si="14"/>
        <v>5</v>
      </c>
      <c r="B177" s="65"/>
      <c r="C177" s="48">
        <v>1</v>
      </c>
      <c r="D177" s="49">
        <f>(36.15)*(10.764)</f>
        <v>389.11859999999996</v>
      </c>
      <c r="E177" s="40">
        <v>0</v>
      </c>
      <c r="F177" s="40">
        <f t="shared" si="13"/>
        <v>603.13382999999999</v>
      </c>
      <c r="G177" s="68"/>
      <c r="H177" s="69"/>
      <c r="I177" s="34"/>
      <c r="J177" s="35">
        <f>4.68*2.75+3.05*2.15+3.05*2.9+0.6*1.45+2.1*1.3+1.15*2.15</f>
        <v>34.344999999999999</v>
      </c>
      <c r="L177" s="63"/>
      <c r="M177" s="63"/>
      <c r="N177" s="34"/>
    </row>
    <row r="178" spans="1:14" s="35" customFormat="1" ht="15.75" customHeight="1" x14ac:dyDescent="0.3">
      <c r="A178" s="64">
        <f t="shared" si="14"/>
        <v>6</v>
      </c>
      <c r="B178" s="65"/>
      <c r="C178" s="48">
        <v>1</v>
      </c>
      <c r="D178" s="49">
        <f>(36.15)*(10.764)</f>
        <v>389.11859999999996</v>
      </c>
      <c r="E178" s="40">
        <v>0</v>
      </c>
      <c r="F178" s="40">
        <f t="shared" si="13"/>
        <v>603.13382999999999</v>
      </c>
      <c r="G178" s="70"/>
      <c r="H178" s="71"/>
      <c r="I178" s="34"/>
      <c r="J178" s="35">
        <f>1.03*2.75</f>
        <v>2.8325</v>
      </c>
      <c r="L178" s="63"/>
      <c r="M178" s="63"/>
      <c r="N178" s="34"/>
    </row>
    <row r="179" spans="1:14" s="35" customFormat="1" x14ac:dyDescent="0.3">
      <c r="A179" s="72" t="s">
        <v>221</v>
      </c>
      <c r="B179" s="73"/>
      <c r="C179" s="73"/>
      <c r="D179" s="73"/>
      <c r="E179" s="73"/>
      <c r="F179" s="73"/>
      <c r="G179" s="73"/>
      <c r="H179" s="74"/>
      <c r="J179" s="34"/>
    </row>
    <row r="180" spans="1:14" s="35" customFormat="1" ht="15.75" customHeight="1" x14ac:dyDescent="0.3">
      <c r="A180" s="75">
        <v>1</v>
      </c>
      <c r="B180" s="75"/>
      <c r="C180" s="48">
        <v>1</v>
      </c>
      <c r="D180" s="49">
        <f>(34.52)*(10.764)</f>
        <v>371.57328000000001</v>
      </c>
      <c r="E180" s="40">
        <v>0</v>
      </c>
      <c r="F180" s="40">
        <f>D180*(($F$155)+1)+(IF(E180&lt;101,E180,IF(E180&lt;201,E180/2,IF(E180&lt;=301,E180/3,E180/4))))</f>
        <v>575.93858399999999</v>
      </c>
      <c r="G180" s="75" t="str">
        <f>A179</f>
        <v>20th Floor (Part Terrace Area)</v>
      </c>
      <c r="H180" s="75"/>
      <c r="I180" s="34"/>
      <c r="L180" s="63"/>
      <c r="M180" s="63"/>
      <c r="N180" s="34"/>
    </row>
    <row r="181" spans="1:14" s="35" customFormat="1" ht="15.75" customHeight="1" x14ac:dyDescent="0.3">
      <c r="A181" s="75">
        <f t="shared" ref="A181:A185" si="15">A180+1</f>
        <v>2</v>
      </c>
      <c r="B181" s="75"/>
      <c r="C181" s="48">
        <v>2</v>
      </c>
      <c r="D181" s="49">
        <f>(51.62)*(10.764)</f>
        <v>555.63767999999993</v>
      </c>
      <c r="E181" s="40">
        <v>0</v>
      </c>
      <c r="F181" s="40">
        <f>D181*(($F$155)+1)+(IF(E181&lt;101,E181,IF(E181&lt;201,E181/2,IF(E181&lt;=301,E181/3,E181/4))))</f>
        <v>861.23840399999995</v>
      </c>
      <c r="G181" s="75"/>
      <c r="H181" s="75"/>
      <c r="I181" s="34"/>
      <c r="L181" s="63"/>
      <c r="M181" s="63"/>
      <c r="N181" s="34"/>
    </row>
    <row r="182" spans="1:14" s="35" customFormat="1" ht="15.75" customHeight="1" x14ac:dyDescent="0.3">
      <c r="A182" s="75">
        <f t="shared" si="15"/>
        <v>3</v>
      </c>
      <c r="B182" s="75"/>
      <c r="C182" s="76" t="s">
        <v>216</v>
      </c>
      <c r="D182" s="76"/>
      <c r="E182" s="76"/>
      <c r="F182" s="76"/>
      <c r="G182" s="75"/>
      <c r="H182" s="75"/>
      <c r="I182" s="34"/>
      <c r="L182" s="63"/>
      <c r="M182" s="63"/>
      <c r="N182" s="34"/>
    </row>
    <row r="183" spans="1:14" s="35" customFormat="1" ht="15.75" customHeight="1" x14ac:dyDescent="0.3">
      <c r="A183" s="75">
        <f t="shared" si="15"/>
        <v>4</v>
      </c>
      <c r="B183" s="75"/>
      <c r="C183" s="48">
        <v>1</v>
      </c>
      <c r="D183" s="49">
        <f>(34.52)*(10.764)</f>
        <v>371.57328000000001</v>
      </c>
      <c r="E183" s="40">
        <v>0</v>
      </c>
      <c r="F183" s="40">
        <f>D183*(($F$155)+1)+(IF(E183&lt;101,E183,IF(E183&lt;201,E183/2,IF(E183&lt;=301,E183/3,E183/4))))</f>
        <v>575.93858399999999</v>
      </c>
      <c r="G183" s="75"/>
      <c r="H183" s="75"/>
      <c r="I183" s="34"/>
      <c r="L183" s="63"/>
      <c r="M183" s="63"/>
      <c r="N183" s="34"/>
    </row>
    <row r="184" spans="1:14" s="35" customFormat="1" ht="15.75" customHeight="1" x14ac:dyDescent="0.3">
      <c r="A184" s="75">
        <f t="shared" si="15"/>
        <v>5</v>
      </c>
      <c r="B184" s="75"/>
      <c r="C184" s="76" t="s">
        <v>220</v>
      </c>
      <c r="D184" s="76"/>
      <c r="E184" s="76"/>
      <c r="F184" s="76"/>
      <c r="G184" s="75"/>
      <c r="H184" s="75"/>
      <c r="I184" s="34"/>
      <c r="L184" s="63"/>
      <c r="M184" s="63"/>
      <c r="N184" s="34"/>
    </row>
    <row r="185" spans="1:14" s="35" customFormat="1" ht="15.75" customHeight="1" x14ac:dyDescent="0.3">
      <c r="A185" s="75">
        <f t="shared" si="15"/>
        <v>6</v>
      </c>
      <c r="B185" s="75"/>
      <c r="C185" s="76"/>
      <c r="D185" s="76"/>
      <c r="E185" s="76"/>
      <c r="F185" s="76"/>
      <c r="G185" s="75"/>
      <c r="H185" s="75"/>
      <c r="I185" s="34"/>
      <c r="L185" s="63"/>
      <c r="M185" s="63"/>
      <c r="N185" s="34"/>
    </row>
    <row r="186" spans="1:14" s="35" customFormat="1" hidden="1" x14ac:dyDescent="0.3">
      <c r="A186" s="84" t="s">
        <v>123</v>
      </c>
      <c r="B186" s="84"/>
      <c r="C186" s="84"/>
      <c r="D186" s="84"/>
      <c r="E186" s="84"/>
      <c r="F186" s="84"/>
      <c r="G186" s="84"/>
      <c r="H186" s="84"/>
      <c r="J186" s="34"/>
    </row>
    <row r="187" spans="1:14" s="35" customFormat="1" hidden="1" x14ac:dyDescent="0.3">
      <c r="A187" s="75">
        <v>1</v>
      </c>
      <c r="B187" s="75"/>
      <c r="C187" s="48"/>
      <c r="D187" s="40"/>
      <c r="E187" s="40">
        <v>0</v>
      </c>
      <c r="F187" s="40">
        <f>D187*(($F$155)+1)+(IF(E187&lt;101,E187,IF(E187&lt;201,E187/2,IF(E187&lt;=301,E187/3,E187/4))))</f>
        <v>0</v>
      </c>
      <c r="G187" s="75" t="str">
        <f>A186</f>
        <v>Ground Floor</v>
      </c>
      <c r="H187" s="75"/>
      <c r="I187" s="34"/>
      <c r="L187" s="63"/>
      <c r="M187" s="63"/>
      <c r="N187" s="34"/>
    </row>
    <row r="188" spans="1:14" s="35" customFormat="1" hidden="1" x14ac:dyDescent="0.3">
      <c r="A188" s="75">
        <f t="shared" ref="A188:A190" si="16">A187+1</f>
        <v>2</v>
      </c>
      <c r="B188" s="75"/>
      <c r="C188" s="48"/>
      <c r="D188" s="40"/>
      <c r="E188" s="40">
        <v>0</v>
      </c>
      <c r="F188" s="40">
        <f>D188*(($F$155)+1)+(IF(E188&lt;101,E188,IF(E188&lt;201,E188/2,IF(E188&lt;=301,E188/3,E188/4))))</f>
        <v>0</v>
      </c>
      <c r="G188" s="75" t="str">
        <f t="shared" ref="G188:G190" si="17">G187</f>
        <v>Ground Floor</v>
      </c>
      <c r="H188" s="75"/>
      <c r="I188" s="34"/>
      <c r="L188" s="63"/>
      <c r="M188" s="63"/>
      <c r="N188" s="34"/>
    </row>
    <row r="189" spans="1:14" s="35" customFormat="1" hidden="1" x14ac:dyDescent="0.3">
      <c r="A189" s="75">
        <f t="shared" si="16"/>
        <v>3</v>
      </c>
      <c r="B189" s="75"/>
      <c r="C189" s="48"/>
      <c r="D189" s="40"/>
      <c r="E189" s="40">
        <v>0</v>
      </c>
      <c r="F189" s="40">
        <f>D189*(($F$155)+1)+(IF(E189&lt;101,E189,IF(E189&lt;201,E189/2,IF(E189&lt;=301,E189/3,E189/4))))</f>
        <v>0</v>
      </c>
      <c r="G189" s="75" t="str">
        <f t="shared" si="17"/>
        <v>Ground Floor</v>
      </c>
      <c r="H189" s="75"/>
      <c r="I189" s="34"/>
      <c r="L189" s="63"/>
      <c r="M189" s="63"/>
      <c r="N189" s="34"/>
    </row>
    <row r="190" spans="1:14" s="35" customFormat="1" hidden="1" x14ac:dyDescent="0.3">
      <c r="A190" s="75">
        <f t="shared" si="16"/>
        <v>4</v>
      </c>
      <c r="B190" s="75"/>
      <c r="C190" s="48"/>
      <c r="D190" s="40"/>
      <c r="E190" s="40">
        <v>0</v>
      </c>
      <c r="F190" s="40">
        <f>D190*(($F$155)+1)+(IF(E190&lt;101,E190,IF(E190&lt;201,E190/2,IF(E190&lt;=301,E190/3,E190/4))))</f>
        <v>0</v>
      </c>
      <c r="G190" s="75" t="str">
        <f t="shared" si="17"/>
        <v>Ground Floor</v>
      </c>
      <c r="H190" s="75"/>
      <c r="I190" s="34"/>
      <c r="L190" s="63"/>
      <c r="M190" s="63"/>
      <c r="N190" s="34"/>
    </row>
    <row r="191" spans="1:14" s="35" customFormat="1" hidden="1" x14ac:dyDescent="0.3">
      <c r="A191" s="84" t="s">
        <v>124</v>
      </c>
      <c r="B191" s="84"/>
      <c r="C191" s="84"/>
      <c r="D191" s="84"/>
      <c r="E191" s="84"/>
      <c r="F191" s="84"/>
      <c r="G191" s="84"/>
      <c r="H191" s="84"/>
      <c r="I191" s="34"/>
      <c r="L191" s="63"/>
      <c r="M191" s="63"/>
    </row>
    <row r="192" spans="1:14" s="35" customFormat="1" hidden="1" x14ac:dyDescent="0.3">
      <c r="A192" s="75">
        <f>LEFT(A191,SUM(LEN(A191)-LEN(SUBSTITUTE(A191,{"0","1","2","3","4","5","6","7","8","9"},""))))*100+1</f>
        <v>201</v>
      </c>
      <c r="B192" s="75"/>
      <c r="C192" s="48"/>
      <c r="D192" s="40"/>
      <c r="E192" s="40">
        <v>0</v>
      </c>
      <c r="F192" s="40">
        <f t="shared" ref="F192:F193" si="18">D192*(($F$155)+1)+(IF(E192&lt;101,E192,IF(E192&lt;201,E192/2,IF(E192&lt;=301,E192/3,E192/4))))</f>
        <v>0</v>
      </c>
      <c r="G192" s="75" t="str">
        <f>A191</f>
        <v>2nd Floor</v>
      </c>
      <c r="H192" s="75"/>
      <c r="I192" s="34"/>
      <c r="N192" s="34"/>
    </row>
    <row r="193" spans="1:14" s="35" customFormat="1" hidden="1" x14ac:dyDescent="0.3">
      <c r="A193" s="75">
        <f>A192+1</f>
        <v>202</v>
      </c>
      <c r="B193" s="75"/>
      <c r="C193" s="48"/>
      <c r="D193" s="40"/>
      <c r="E193" s="40">
        <v>0</v>
      </c>
      <c r="F193" s="40">
        <f t="shared" si="18"/>
        <v>0</v>
      </c>
      <c r="G193" s="75" t="str">
        <f>G192</f>
        <v>2nd Floor</v>
      </c>
      <c r="H193" s="75"/>
      <c r="I193" s="34"/>
      <c r="N193" s="34"/>
    </row>
    <row r="194" spans="1:14" s="35" customFormat="1" hidden="1" x14ac:dyDescent="0.3">
      <c r="A194" s="75">
        <f>A193+1</f>
        <v>203</v>
      </c>
      <c r="B194" s="75"/>
      <c r="C194" s="48"/>
      <c r="D194" s="40"/>
      <c r="E194" s="40">
        <v>0</v>
      </c>
      <c r="F194" s="40">
        <f>D194*(($F$155)+1)+(IF(E194&lt;101,E194,IF(E194&lt;201,E194/2,IF(E194&lt;=301,E194/3,E194/4))))</f>
        <v>0</v>
      </c>
      <c r="G194" s="75" t="str">
        <f>G193</f>
        <v>2nd Floor</v>
      </c>
      <c r="H194" s="75"/>
      <c r="I194" s="34"/>
      <c r="N194" s="34"/>
    </row>
    <row r="195" spans="1:14" s="35" customFormat="1" hidden="1" x14ac:dyDescent="0.3">
      <c r="A195" s="75">
        <f>A194+1</f>
        <v>204</v>
      </c>
      <c r="B195" s="75"/>
      <c r="C195" s="48"/>
      <c r="D195" s="40"/>
      <c r="E195" s="40">
        <v>0</v>
      </c>
      <c r="F195" s="40">
        <f>D195*(($F$155)+1)+(IF(E195&lt;101,E195,IF(E195&lt;201,E195/2,IF(E195&lt;=301,E195/3,E195/4))))</f>
        <v>0</v>
      </c>
      <c r="G195" s="75" t="str">
        <f>G194</f>
        <v>2nd Floor</v>
      </c>
      <c r="H195" s="75"/>
      <c r="I195" s="34"/>
      <c r="N195" s="34"/>
    </row>
    <row r="196" spans="1:14" s="35" customFormat="1" hidden="1" x14ac:dyDescent="0.3">
      <c r="A196" s="75">
        <f>A195+1</f>
        <v>205</v>
      </c>
      <c r="B196" s="75"/>
      <c r="C196" s="48"/>
      <c r="D196" s="40"/>
      <c r="E196" s="40">
        <v>0</v>
      </c>
      <c r="F196" s="40">
        <f>D196*(($F$155)+1)+(IF(E196&lt;101,E196,IF(E196&lt;201,E196/2,IF(E196&lt;=301,E196/3,E196/4))))</f>
        <v>0</v>
      </c>
      <c r="G196" s="75" t="str">
        <f>G195</f>
        <v>2nd Floor</v>
      </c>
      <c r="H196" s="75"/>
      <c r="I196" s="34"/>
      <c r="N196" s="34"/>
    </row>
    <row r="197" spans="1:14" s="35" customFormat="1" ht="15.75" hidden="1" customHeight="1" x14ac:dyDescent="0.3">
      <c r="A197" s="84" t="s">
        <v>160</v>
      </c>
      <c r="B197" s="84"/>
      <c r="C197" s="84"/>
      <c r="D197" s="84"/>
      <c r="E197" s="84"/>
      <c r="F197" s="84"/>
      <c r="G197" s="84"/>
      <c r="H197" s="84"/>
      <c r="I197" s="34"/>
    </row>
    <row r="198" spans="1:14" s="35" customFormat="1" hidden="1" x14ac:dyDescent="0.3">
      <c r="A198" s="75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10^ROW(INDIRECT("1:"&amp;LEN((LEFT(A197,SUM(LEN(A197)-LEN(SUBSTITUTE(A197,{"0","1","2"},""))))))))/10))*100+1&amp;""&amp;" ,..,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",LEN(A197))),LEN(A197)))))))/10))*100+1</f>
        <v>301 ,.., 1501</v>
      </c>
      <c r="B198" s="75"/>
      <c r="C198" s="48"/>
      <c r="D198" s="40"/>
      <c r="E198" s="40">
        <v>0</v>
      </c>
      <c r="F198" s="40">
        <f>D198*(($F$155)+1)+(IF(E198&lt;101,E198,IF(E198&lt;201,E198/2,IF(E198&lt;=301,E198/3,E198/4))))</f>
        <v>0</v>
      </c>
      <c r="G198" s="75" t="str">
        <f>A197</f>
        <v>3rd, 5th, 7th, 9th, 11th, 13th, 15th Floor</v>
      </c>
      <c r="H198" s="75"/>
      <c r="I198" s="34"/>
    </row>
    <row r="199" spans="1:14" s="35" customFormat="1" hidden="1" x14ac:dyDescent="0.3">
      <c r="A199" s="75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,..,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302 ,.., 1502</v>
      </c>
      <c r="B199" s="75"/>
      <c r="C199" s="48"/>
      <c r="D199" s="40"/>
      <c r="E199" s="40">
        <v>0</v>
      </c>
      <c r="F199" s="40">
        <f>D199*(($F$155)+1)+(IF(E199&lt;101,E199,IF(E199&lt;201,E199/2,IF(E199&lt;=301,E199/3,E199/4))))</f>
        <v>0</v>
      </c>
      <c r="G199" s="75" t="str">
        <f>G198</f>
        <v>3rd, 5th, 7th, 9th, 11th, 13th, 15th Floor</v>
      </c>
      <c r="H199" s="75"/>
      <c r="I199" s="34"/>
    </row>
    <row r="200" spans="1:14" s="35" customFormat="1" ht="15.75" hidden="1" customHeight="1" x14ac:dyDescent="0.3">
      <c r="A200" s="75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,..,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303 ,.., 1503</v>
      </c>
      <c r="B200" s="75"/>
      <c r="C200" s="48"/>
      <c r="D200" s="40"/>
      <c r="E200" s="40">
        <v>0</v>
      </c>
      <c r="F200" s="40">
        <f>D200*(($F$155)+1)+(IF(E200&lt;101,E200,IF(E200&lt;201,E200/2,IF(E200&lt;=301,E200/3,E200/4))))</f>
        <v>0</v>
      </c>
      <c r="G200" s="75" t="str">
        <f>G199</f>
        <v>3rd, 5th, 7th, 9th, 11th, 13th, 15th Floor</v>
      </c>
      <c r="H200" s="75"/>
      <c r="I200" s="34"/>
    </row>
    <row r="201" spans="1:14" s="35" customFormat="1" ht="15.75" hidden="1" customHeight="1" x14ac:dyDescent="0.3">
      <c r="A201" s="75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,..,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304 ,.., 1504</v>
      </c>
      <c r="B201" s="75"/>
      <c r="C201" s="48"/>
      <c r="D201" s="40"/>
      <c r="E201" s="40">
        <v>0</v>
      </c>
      <c r="F201" s="40">
        <f>D201*(($F$155)+1)+(IF(E201&lt;101,E201,IF(E201&lt;201,E201/2,IF(E201&lt;=301,E201/3,E201/4))))</f>
        <v>0</v>
      </c>
      <c r="G201" s="75" t="str">
        <f>G200</f>
        <v>3rd, 5th, 7th, 9th, 11th, 13th, 15th Floor</v>
      </c>
      <c r="H201" s="75"/>
      <c r="I201" s="34"/>
    </row>
    <row r="202" spans="1:14" s="35" customFormat="1" ht="15.75" hidden="1" customHeight="1" x14ac:dyDescent="0.3">
      <c r="A202" s="75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305 ,.., 1505</v>
      </c>
      <c r="B202" s="75"/>
      <c r="C202" s="48"/>
      <c r="D202" s="40"/>
      <c r="E202" s="40">
        <v>0</v>
      </c>
      <c r="F202" s="40">
        <f>D202*(($F$155)+1)+(IF(E202&lt;101,E202,IF(E202&lt;201,E202/2,IF(E202&lt;=301,E202/3,E202/4))))</f>
        <v>0</v>
      </c>
      <c r="G202" s="75" t="str">
        <f>G201</f>
        <v>3rd, 5th, 7th, 9th, 11th, 13th, 15th Floor</v>
      </c>
      <c r="H202" s="75"/>
      <c r="I202" s="34"/>
    </row>
    <row r="203" spans="1:14" s="35" customFormat="1" hidden="1" x14ac:dyDescent="0.3">
      <c r="A203" s="84" t="s">
        <v>154</v>
      </c>
      <c r="B203" s="84"/>
      <c r="C203" s="84"/>
      <c r="D203" s="84"/>
      <c r="E203" s="84"/>
      <c r="F203" s="84"/>
      <c r="G203" s="84"/>
      <c r="H203" s="84"/>
      <c r="I203" s="34"/>
    </row>
    <row r="204" spans="1:14" s="35" customFormat="1" hidden="1" x14ac:dyDescent="0.3">
      <c r="A204" s="75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10^ROW(INDIRECT("1:"&amp;LEN((LEFT(A203,SUM(LEN(A203)-LEN(SUBSTITUTE(A203,{"0","1","2"},""))))))))/10))*100+1&amp;""&amp;" to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201 to 501</v>
      </c>
      <c r="B204" s="75"/>
      <c r="C204" s="48"/>
      <c r="D204" s="40"/>
      <c r="E204" s="40">
        <v>0</v>
      </c>
      <c r="F204" s="40">
        <f>D204*(($F$155)+1)+(IF(E204&lt;101,E204,IF(E204&lt;201,E204/2,IF(E204&lt;=301,E204/3,E204/4))))</f>
        <v>0</v>
      </c>
      <c r="G204" s="75" t="str">
        <f>A203</f>
        <v>2nd to 5th Floor</v>
      </c>
      <c r="H204" s="75"/>
      <c r="I204" s="34"/>
    </row>
    <row r="205" spans="1:14" s="35" customFormat="1" hidden="1" x14ac:dyDescent="0.3">
      <c r="A205" s="75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202 to 502</v>
      </c>
      <c r="B205" s="75"/>
      <c r="C205" s="48"/>
      <c r="D205" s="40"/>
      <c r="E205" s="40">
        <v>0</v>
      </c>
      <c r="F205" s="40">
        <f>D205*(($F$155)+1)+(IF(E205&lt;101,E205,IF(E205&lt;201,E205/2,IF(E205&lt;=301,E205/3,E205/4))))</f>
        <v>0</v>
      </c>
      <c r="G205" s="75" t="str">
        <f>G204</f>
        <v>2nd to 5th Floor</v>
      </c>
      <c r="H205" s="75"/>
      <c r="I205" s="34"/>
    </row>
    <row r="206" spans="1:14" s="35" customFormat="1" hidden="1" x14ac:dyDescent="0.3">
      <c r="A206" s="75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to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203 to 503</v>
      </c>
      <c r="B206" s="75"/>
      <c r="C206" s="48"/>
      <c r="D206" s="40"/>
      <c r="E206" s="40">
        <v>0</v>
      </c>
      <c r="F206" s="40">
        <f>D206*(($F$155)+1)+(IF(E206&lt;101,E206,IF(E206&lt;201,E206/2,IF(E206&lt;=301,E206/3,E206/4))))</f>
        <v>0</v>
      </c>
      <c r="G206" s="75" t="str">
        <f>G205</f>
        <v>2nd to 5th Floor</v>
      </c>
      <c r="H206" s="75"/>
      <c r="I206" s="34"/>
    </row>
    <row r="207" spans="1:14" s="35" customFormat="1" hidden="1" x14ac:dyDescent="0.3">
      <c r="A207" s="75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to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204 to 504</v>
      </c>
      <c r="B207" s="75"/>
      <c r="C207" s="48"/>
      <c r="D207" s="40"/>
      <c r="E207" s="40">
        <v>0</v>
      </c>
      <c r="F207" s="40">
        <f>D207*(($F$155)+1)+(IF(E207&lt;101,E207,IF(E207&lt;201,E207/2,IF(E207&lt;=301,E207/3,E207/4))))</f>
        <v>0</v>
      </c>
      <c r="G207" s="75" t="str">
        <f>G206</f>
        <v>2nd to 5th Floor</v>
      </c>
      <c r="H207" s="75"/>
      <c r="I207" s="34"/>
    </row>
    <row r="208" spans="1:14" s="35" customFormat="1" hidden="1" x14ac:dyDescent="0.3">
      <c r="A208" s="75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to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205 to 505</v>
      </c>
      <c r="B208" s="75"/>
      <c r="C208" s="48"/>
      <c r="D208" s="40"/>
      <c r="E208" s="40">
        <v>0</v>
      </c>
      <c r="F208" s="40">
        <f>D208*(($F$155)+1)+(IF(E208&lt;101,E208,IF(E208&lt;201,E208/2,IF(E208&lt;=301,E208/3,E208/4))))</f>
        <v>0</v>
      </c>
      <c r="G208" s="75" t="str">
        <f>G207</f>
        <v>2nd to 5th Floor</v>
      </c>
      <c r="H208" s="75"/>
      <c r="I208" s="34"/>
    </row>
    <row r="209" spans="1:9" s="35" customFormat="1" hidden="1" x14ac:dyDescent="0.3">
      <c r="A209" s="84" t="s">
        <v>155</v>
      </c>
      <c r="B209" s="84"/>
      <c r="C209" s="84"/>
      <c r="D209" s="84"/>
      <c r="E209" s="84"/>
      <c r="F209" s="84"/>
      <c r="G209" s="84"/>
      <c r="H209" s="84"/>
      <c r="I209" s="34"/>
    </row>
    <row r="210" spans="1:9" s="35" customFormat="1" hidden="1" x14ac:dyDescent="0.3">
      <c r="A210" s="75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201 &amp; 501</v>
      </c>
      <c r="B210" s="75"/>
      <c r="C210" s="48"/>
      <c r="D210" s="40"/>
      <c r="E210" s="40">
        <v>0</v>
      </c>
      <c r="F210" s="40">
        <f>D210*(($F$155)+1)+(IF(E210&lt;101,E210,IF(E210&lt;201,E210/2,IF(E210&lt;=301,E210/3,E210/4))))</f>
        <v>0</v>
      </c>
      <c r="G210" s="75" t="str">
        <f>A209</f>
        <v>2nd &amp; 5th Floor</v>
      </c>
      <c r="H210" s="75"/>
      <c r="I210" s="34"/>
    </row>
    <row r="211" spans="1:9" s="35" customFormat="1" hidden="1" x14ac:dyDescent="0.3">
      <c r="A211" s="75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202 &amp; 502</v>
      </c>
      <c r="B211" s="75"/>
      <c r="C211" s="48"/>
      <c r="D211" s="40"/>
      <c r="E211" s="40">
        <v>0</v>
      </c>
      <c r="F211" s="40">
        <f>D211*(($F$155)+1)+(IF(E211&lt;101,E211,IF(E211&lt;201,E211/2,IF(E211&lt;=301,E211/3,E211/4))))</f>
        <v>0</v>
      </c>
      <c r="G211" s="75" t="str">
        <f t="shared" ref="G211:G214" si="19">G210</f>
        <v>2nd &amp; 5th Floor</v>
      </c>
      <c r="H211" s="75"/>
      <c r="I211" s="34"/>
    </row>
    <row r="212" spans="1:9" s="35" customFormat="1" hidden="1" x14ac:dyDescent="0.3">
      <c r="A212" s="75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203 &amp; 503</v>
      </c>
      <c r="B212" s="75"/>
      <c r="C212" s="48"/>
      <c r="D212" s="40"/>
      <c r="E212" s="40">
        <v>0</v>
      </c>
      <c r="F212" s="40">
        <f>D212*(($F$155)+1)+(IF(E212&lt;101,E212,IF(E212&lt;201,E212/2,IF(E212&lt;=301,E212/3,E212/4))))</f>
        <v>0</v>
      </c>
      <c r="G212" s="75" t="str">
        <f t="shared" si="19"/>
        <v>2nd &amp; 5th Floor</v>
      </c>
      <c r="H212" s="75"/>
      <c r="I212" s="34"/>
    </row>
    <row r="213" spans="1:9" s="35" customFormat="1" hidden="1" x14ac:dyDescent="0.3">
      <c r="A213" s="75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204 &amp; 504</v>
      </c>
      <c r="B213" s="75"/>
      <c r="C213" s="48"/>
      <c r="D213" s="40"/>
      <c r="E213" s="40">
        <v>0</v>
      </c>
      <c r="F213" s="40">
        <f>D213*(($F$155)+1)+(IF(E213&lt;101,E213,IF(E213&lt;201,E213/2,IF(E213&lt;=301,E213/3,E213/4))))</f>
        <v>0</v>
      </c>
      <c r="G213" s="75" t="str">
        <f t="shared" si="19"/>
        <v>2nd &amp; 5th Floor</v>
      </c>
      <c r="H213" s="75"/>
      <c r="I213" s="34"/>
    </row>
    <row r="214" spans="1:9" s="35" customFormat="1" hidden="1" x14ac:dyDescent="0.3">
      <c r="A214" s="75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205 &amp; 505</v>
      </c>
      <c r="B214" s="75"/>
      <c r="C214" s="48"/>
      <c r="D214" s="40"/>
      <c r="E214" s="40">
        <v>0</v>
      </c>
      <c r="F214" s="40">
        <f>D214*(($F$155)+1)+(IF(E214&lt;101,E214,IF(E214&lt;201,E214/2,IF(E214&lt;=301,E214/3,E214/4))))</f>
        <v>0</v>
      </c>
      <c r="G214" s="75" t="str">
        <f t="shared" si="19"/>
        <v>2nd &amp; 5th Floor</v>
      </c>
      <c r="H214" s="75"/>
      <c r="I214" s="34"/>
    </row>
    <row r="215" spans="1:9" s="33" customFormat="1" x14ac:dyDescent="0.3">
      <c r="A215" s="83" t="s">
        <v>70</v>
      </c>
      <c r="B215" s="83"/>
      <c r="C215" s="83"/>
      <c r="D215" s="83"/>
      <c r="E215" s="83"/>
      <c r="F215" s="83"/>
      <c r="G215" s="83"/>
      <c r="H215" s="83"/>
    </row>
    <row r="216" spans="1:9" s="33" customFormat="1" x14ac:dyDescent="0.3">
      <c r="A216" s="43" t="s">
        <v>164</v>
      </c>
      <c r="B216" s="127" t="s">
        <v>239</v>
      </c>
      <c r="C216" s="127"/>
      <c r="D216" s="127"/>
      <c r="E216" s="127"/>
      <c r="F216" s="127"/>
      <c r="G216" s="127"/>
      <c r="H216" s="127"/>
    </row>
    <row r="217" spans="1:9" s="33" customFormat="1" x14ac:dyDescent="0.3">
      <c r="A217" s="43" t="s">
        <v>164</v>
      </c>
      <c r="B217" s="127" t="str">
        <f>(IF(F154="Saleable area Loading :","We have considered Saleable area of Flats as per our Calculation.","We considered Saleable area of Flat as per Builder area Sheet."))</f>
        <v>We have considered Saleable area of Flats as per our Calculation.</v>
      </c>
      <c r="C217" s="127"/>
      <c r="D217" s="127"/>
      <c r="E217" s="127"/>
      <c r="F217" s="127"/>
      <c r="G217" s="127"/>
      <c r="H217" s="127"/>
    </row>
    <row r="218" spans="1:9" s="33" customFormat="1" x14ac:dyDescent="0.3">
      <c r="A218" s="43" t="s">
        <v>164</v>
      </c>
      <c r="B218" s="127" t="str">
        <f>(IF(F133="Saleable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8" s="127"/>
      <c r="D218" s="127"/>
      <c r="E218" s="127"/>
      <c r="F218" s="127"/>
      <c r="G218" s="127"/>
      <c r="H218" s="127"/>
    </row>
    <row r="219" spans="1:9" s="33" customFormat="1" x14ac:dyDescent="0.3">
      <c r="A219" s="43" t="s">
        <v>164</v>
      </c>
      <c r="B219" s="161" t="s">
        <v>131</v>
      </c>
      <c r="C219" s="161"/>
      <c r="D219" s="161"/>
      <c r="E219" s="161"/>
      <c r="F219" s="161"/>
      <c r="G219" s="161"/>
      <c r="H219" s="161"/>
    </row>
    <row r="220" spans="1:9" s="33" customFormat="1" x14ac:dyDescent="0.3">
      <c r="A220" s="43" t="s">
        <v>164</v>
      </c>
      <c r="B220" s="77" t="s">
        <v>227</v>
      </c>
      <c r="C220" s="78"/>
      <c r="D220" s="78"/>
      <c r="E220" s="78"/>
      <c r="F220" s="78"/>
      <c r="G220" s="78"/>
      <c r="H220" s="79"/>
    </row>
    <row r="221" spans="1:9" s="33" customFormat="1" x14ac:dyDescent="0.3">
      <c r="A221" s="43" t="s">
        <v>164</v>
      </c>
      <c r="B221" s="77" t="s">
        <v>163</v>
      </c>
      <c r="C221" s="78"/>
      <c r="D221" s="78"/>
      <c r="E221" s="78"/>
      <c r="F221" s="78"/>
      <c r="G221" s="78"/>
      <c r="H221" s="79"/>
    </row>
    <row r="222" spans="1:9" s="33" customFormat="1" x14ac:dyDescent="0.3">
      <c r="A222" s="43" t="s">
        <v>164</v>
      </c>
      <c r="B222" s="77" t="s">
        <v>132</v>
      </c>
      <c r="C222" s="78"/>
      <c r="D222" s="78"/>
      <c r="E222" s="78"/>
      <c r="F222" s="78"/>
      <c r="G222" s="78"/>
      <c r="H222" s="79"/>
    </row>
    <row r="223" spans="1:9" s="33" customFormat="1" ht="34.5" customHeight="1" x14ac:dyDescent="0.3">
      <c r="A223" s="43" t="s">
        <v>164</v>
      </c>
      <c r="B223" s="77" t="s">
        <v>165</v>
      </c>
      <c r="C223" s="78"/>
      <c r="D223" s="78"/>
      <c r="E223" s="78"/>
      <c r="F223" s="78"/>
      <c r="G223" s="78"/>
      <c r="H223" s="79"/>
    </row>
    <row r="224" spans="1:9" s="33" customFormat="1" x14ac:dyDescent="0.3">
      <c r="A224" s="43" t="s">
        <v>164</v>
      </c>
      <c r="B224" s="77" t="s">
        <v>133</v>
      </c>
      <c r="C224" s="78"/>
      <c r="D224" s="78"/>
      <c r="E224" s="78"/>
      <c r="F224" s="78"/>
      <c r="G224" s="78"/>
      <c r="H224" s="79"/>
    </row>
    <row r="225" spans="1:8" s="33" customFormat="1" x14ac:dyDescent="0.3">
      <c r="A225" s="43" t="s">
        <v>164</v>
      </c>
      <c r="B225" s="77" t="s">
        <v>235</v>
      </c>
      <c r="C225" s="78"/>
      <c r="D225" s="78"/>
      <c r="E225" s="78"/>
      <c r="F225" s="78"/>
      <c r="G225" s="78"/>
      <c r="H225" s="79"/>
    </row>
    <row r="226" spans="1:8" s="33" customFormat="1" ht="30.75" customHeight="1" x14ac:dyDescent="0.3">
      <c r="A226" s="43" t="s">
        <v>164</v>
      </c>
      <c r="B226" s="80" t="s">
        <v>241</v>
      </c>
      <c r="C226" s="81"/>
      <c r="D226" s="81"/>
      <c r="E226" s="81"/>
      <c r="F226" s="81"/>
      <c r="G226" s="81"/>
      <c r="H226" s="82"/>
    </row>
    <row r="227" spans="1:8" x14ac:dyDescent="0.3">
      <c r="A227" s="118" t="s">
        <v>63</v>
      </c>
      <c r="B227" s="118"/>
      <c r="C227" s="118"/>
      <c r="D227" s="118"/>
      <c r="E227" s="118"/>
      <c r="F227" s="118"/>
      <c r="G227" s="118"/>
      <c r="H227" s="118"/>
    </row>
    <row r="228" spans="1:8" x14ac:dyDescent="0.3">
      <c r="A228" s="92" t="s">
        <v>64</v>
      </c>
      <c r="B228" s="92"/>
      <c r="C228" s="92"/>
      <c r="D228" s="92"/>
      <c r="E228" s="92"/>
      <c r="F228" s="92"/>
      <c r="G228" s="92"/>
      <c r="H228" s="92"/>
    </row>
    <row r="229" spans="1:8" ht="15.75" customHeight="1" x14ac:dyDescent="0.3">
      <c r="A229" s="93" t="s">
        <v>65</v>
      </c>
      <c r="B229" s="93"/>
      <c r="C229" s="93"/>
      <c r="D229" s="93"/>
      <c r="E229" s="93"/>
      <c r="F229" s="93"/>
      <c r="G229" s="93"/>
      <c r="H229" s="93"/>
    </row>
    <row r="230" spans="1:8" x14ac:dyDescent="0.3">
      <c r="A230" s="92" t="s">
        <v>66</v>
      </c>
      <c r="B230" s="92"/>
      <c r="C230" s="92"/>
      <c r="D230" s="92"/>
      <c r="E230" s="92"/>
      <c r="F230" s="92"/>
      <c r="G230" s="92"/>
      <c r="H230" s="92"/>
    </row>
    <row r="231" spans="1:8" x14ac:dyDescent="0.3">
      <c r="A231" s="92" t="s">
        <v>67</v>
      </c>
      <c r="B231" s="92"/>
      <c r="C231" s="92"/>
      <c r="D231" s="92"/>
      <c r="E231" s="92"/>
      <c r="F231" s="92"/>
      <c r="G231" s="92"/>
      <c r="H231" s="92"/>
    </row>
    <row r="232" spans="1:8" x14ac:dyDescent="0.3">
      <c r="A232" s="92" t="s">
        <v>134</v>
      </c>
      <c r="B232" s="92"/>
      <c r="C232" s="92"/>
      <c r="D232" s="92"/>
      <c r="E232" s="92"/>
      <c r="F232" s="92"/>
      <c r="G232" s="92"/>
      <c r="H232" s="92"/>
    </row>
    <row r="233" spans="1:8" x14ac:dyDescent="0.3">
      <c r="A233" s="119" t="s">
        <v>135</v>
      </c>
      <c r="B233" s="119"/>
      <c r="C233" s="119"/>
      <c r="D233" s="119"/>
      <c r="E233" s="119"/>
      <c r="F233" s="119"/>
      <c r="G233" s="119"/>
      <c r="H233" s="119"/>
    </row>
    <row r="234" spans="1:8" x14ac:dyDescent="0.3">
      <c r="A234" s="131" t="s">
        <v>80</v>
      </c>
      <c r="B234" s="131"/>
      <c r="C234" s="131" t="s">
        <v>237</v>
      </c>
      <c r="D234" s="131"/>
      <c r="E234" s="131" t="s">
        <v>110</v>
      </c>
      <c r="F234" s="131"/>
      <c r="G234" s="131" t="s">
        <v>242</v>
      </c>
      <c r="H234" s="131"/>
    </row>
    <row r="235" spans="1:8" x14ac:dyDescent="0.3">
      <c r="A235" s="130" t="s">
        <v>82</v>
      </c>
      <c r="B235" s="130"/>
      <c r="C235" s="130"/>
      <c r="D235" s="130"/>
      <c r="E235" s="130"/>
      <c r="F235" s="130"/>
      <c r="G235" s="130"/>
      <c r="H235" s="130"/>
    </row>
    <row r="236" spans="1:8" x14ac:dyDescent="0.3">
      <c r="A236" s="130"/>
      <c r="B236" s="130"/>
      <c r="C236" s="130"/>
      <c r="D236" s="130"/>
      <c r="E236" s="130"/>
      <c r="F236" s="130"/>
      <c r="G236" s="130"/>
      <c r="H236" s="130"/>
    </row>
    <row r="237" spans="1:8" x14ac:dyDescent="0.3">
      <c r="A237" s="130"/>
      <c r="B237" s="130"/>
      <c r="C237" s="130"/>
      <c r="D237" s="130"/>
      <c r="E237" s="130"/>
      <c r="F237" s="130"/>
      <c r="G237" s="130"/>
      <c r="H237" s="130"/>
    </row>
    <row r="238" spans="1:8" x14ac:dyDescent="0.3">
      <c r="A238" s="130"/>
      <c r="B238" s="130"/>
      <c r="C238" s="130"/>
      <c r="D238" s="130"/>
      <c r="E238" s="130"/>
      <c r="F238" s="130"/>
      <c r="G238" s="130"/>
      <c r="H238" s="130"/>
    </row>
    <row r="239" spans="1:8" x14ac:dyDescent="0.3">
      <c r="A239" s="36" t="s">
        <v>68</v>
      </c>
      <c r="B239" s="37"/>
      <c r="C239" s="37"/>
      <c r="D239" s="36" t="str">
        <f>E8</f>
        <v>Metro Crown</v>
      </c>
      <c r="F239" s="37"/>
      <c r="G239" s="37"/>
      <c r="H239" s="37"/>
    </row>
    <row r="240" spans="1:8" x14ac:dyDescent="0.3">
      <c r="A240" s="37"/>
      <c r="B240" s="37"/>
      <c r="C240" s="37"/>
      <c r="D240" s="37"/>
      <c r="E240" s="37"/>
      <c r="F240" s="37"/>
      <c r="G240" s="37"/>
      <c r="H240" s="37"/>
    </row>
    <row r="241" spans="1:8" x14ac:dyDescent="0.3">
      <c r="A241" s="37"/>
      <c r="B241" s="37"/>
      <c r="C241" s="37"/>
      <c r="D241" s="37"/>
      <c r="E241" s="37"/>
      <c r="F241" s="37"/>
      <c r="G241" s="37"/>
      <c r="H241" s="37"/>
    </row>
    <row r="242" spans="1:8" ht="15" customHeight="1" x14ac:dyDescent="0.3"/>
    <row r="280" spans="1:1" hidden="1" x14ac:dyDescent="0.3"/>
    <row r="282" spans="1:1" x14ac:dyDescent="0.3">
      <c r="A282" s="39" t="s">
        <v>177</v>
      </c>
    </row>
    <row r="324" spans="1:1" x14ac:dyDescent="0.3">
      <c r="A324" s="39" t="s">
        <v>69</v>
      </c>
    </row>
  </sheetData>
  <mergeCells count="453">
    <mergeCell ref="A38:B38"/>
    <mergeCell ref="C38:H38"/>
    <mergeCell ref="G82:H82"/>
    <mergeCell ref="A113:E113"/>
    <mergeCell ref="F113:H113"/>
    <mergeCell ref="A114:E114"/>
    <mergeCell ref="A116:E116"/>
    <mergeCell ref="F110:H110"/>
    <mergeCell ref="A115:E115"/>
    <mergeCell ref="A100:B100"/>
    <mergeCell ref="A101:B101"/>
    <mergeCell ref="A102:B102"/>
    <mergeCell ref="A104:B104"/>
    <mergeCell ref="A105:B105"/>
    <mergeCell ref="A110:E110"/>
    <mergeCell ref="A107:E107"/>
    <mergeCell ref="F111:H111"/>
    <mergeCell ref="A95:B95"/>
    <mergeCell ref="E96:F96"/>
    <mergeCell ref="F116:H116"/>
    <mergeCell ref="C95:H95"/>
    <mergeCell ref="A96:B96"/>
    <mergeCell ref="A112:E112"/>
    <mergeCell ref="A45:D45"/>
    <mergeCell ref="B223:H223"/>
    <mergeCell ref="A47:B47"/>
    <mergeCell ref="C47:H47"/>
    <mergeCell ref="B221:H221"/>
    <mergeCell ref="A98:B98"/>
    <mergeCell ref="A99:B99"/>
    <mergeCell ref="G83:H92"/>
    <mergeCell ref="A84:B84"/>
    <mergeCell ref="A85:B85"/>
    <mergeCell ref="A86:B86"/>
    <mergeCell ref="F109:H109"/>
    <mergeCell ref="A109:E109"/>
    <mergeCell ref="G199:H199"/>
    <mergeCell ref="G195:H195"/>
    <mergeCell ref="G192:H192"/>
    <mergeCell ref="D133:D134"/>
    <mergeCell ref="G196:H196"/>
    <mergeCell ref="G202:H202"/>
    <mergeCell ref="G201:H201"/>
    <mergeCell ref="A151:B151"/>
    <mergeCell ref="A81:B81"/>
    <mergeCell ref="C81:H81"/>
    <mergeCell ref="A82:B82"/>
    <mergeCell ref="E82:F82"/>
    <mergeCell ref="B219:H219"/>
    <mergeCell ref="A118:E118"/>
    <mergeCell ref="G129:H129"/>
    <mergeCell ref="C124:D124"/>
    <mergeCell ref="E124:F124"/>
    <mergeCell ref="G124:H124"/>
    <mergeCell ref="A125:B125"/>
    <mergeCell ref="C125:D125"/>
    <mergeCell ref="E125:F125"/>
    <mergeCell ref="G125:H125"/>
    <mergeCell ref="C127:D127"/>
    <mergeCell ref="G127:H127"/>
    <mergeCell ref="C122:D122"/>
    <mergeCell ref="F118:H118"/>
    <mergeCell ref="A132:H132"/>
    <mergeCell ref="A129:B129"/>
    <mergeCell ref="E129:F129"/>
    <mergeCell ref="E130:F130"/>
    <mergeCell ref="A205:B205"/>
    <mergeCell ref="A206:B206"/>
    <mergeCell ref="A195:B195"/>
    <mergeCell ref="A149:B149"/>
    <mergeCell ref="A150:B150"/>
    <mergeCell ref="G205:H205"/>
    <mergeCell ref="A199:B199"/>
    <mergeCell ref="A201:B201"/>
    <mergeCell ref="G96:H96"/>
    <mergeCell ref="E97:F106"/>
    <mergeCell ref="F107:H107"/>
    <mergeCell ref="F112:H112"/>
    <mergeCell ref="F115:H115"/>
    <mergeCell ref="A111:E111"/>
    <mergeCell ref="G130:H130"/>
    <mergeCell ref="E127:F127"/>
    <mergeCell ref="A131:H131"/>
    <mergeCell ref="C123:D123"/>
    <mergeCell ref="E123:F123"/>
    <mergeCell ref="B133:B134"/>
    <mergeCell ref="A133:A134"/>
    <mergeCell ref="C129:D129"/>
    <mergeCell ref="A141:B141"/>
    <mergeCell ref="G145:H147"/>
    <mergeCell ref="A135:H135"/>
    <mergeCell ref="A136:H136"/>
    <mergeCell ref="A137:B137"/>
    <mergeCell ref="A145:B145"/>
    <mergeCell ref="A161:B161"/>
    <mergeCell ref="A162:H162"/>
    <mergeCell ref="A37:B37"/>
    <mergeCell ref="C37:H37"/>
    <mergeCell ref="A44:D44"/>
    <mergeCell ref="L152:M152"/>
    <mergeCell ref="L151:M151"/>
    <mergeCell ref="L150:M150"/>
    <mergeCell ref="L149:M149"/>
    <mergeCell ref="A76:B76"/>
    <mergeCell ref="C128:D128"/>
    <mergeCell ref="E128:F128"/>
    <mergeCell ref="G128:H128"/>
    <mergeCell ref="F114:H114"/>
    <mergeCell ref="A108:E108"/>
    <mergeCell ref="A93:B93"/>
    <mergeCell ref="C93:H93"/>
    <mergeCell ref="A148:H148"/>
    <mergeCell ref="E133:E134"/>
    <mergeCell ref="G133:H134"/>
    <mergeCell ref="A83:B83"/>
    <mergeCell ref="E83:F92"/>
    <mergeCell ref="A90:B90"/>
    <mergeCell ref="A91:B91"/>
    <mergeCell ref="A92:B92"/>
    <mergeCell ref="A97:B97"/>
    <mergeCell ref="A36:H36"/>
    <mergeCell ref="A35:B35"/>
    <mergeCell ref="C35:E35"/>
    <mergeCell ref="G97:H106"/>
    <mergeCell ref="A40:D40"/>
    <mergeCell ref="E40:H40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235:H238"/>
    <mergeCell ref="A234:B234"/>
    <mergeCell ref="E234:F234"/>
    <mergeCell ref="C234:D234"/>
    <mergeCell ref="G234:H234"/>
    <mergeCell ref="A121:H121"/>
    <mergeCell ref="A119:E119"/>
    <mergeCell ref="F119:H119"/>
    <mergeCell ref="A120:E120"/>
    <mergeCell ref="F120:H120"/>
    <mergeCell ref="A191:H191"/>
    <mergeCell ref="A128:B128"/>
    <mergeCell ref="A200:B200"/>
    <mergeCell ref="A123:B123"/>
    <mergeCell ref="A230:H230"/>
    <mergeCell ref="A126:H126"/>
    <mergeCell ref="A233:H233"/>
    <mergeCell ref="A231:H231"/>
    <mergeCell ref="A227:H227"/>
    <mergeCell ref="A228:H228"/>
    <mergeCell ref="B225:H225"/>
    <mergeCell ref="G151:H151"/>
    <mergeCell ref="G149:H149"/>
    <mergeCell ref="G150:H150"/>
    <mergeCell ref="G152:H152"/>
    <mergeCell ref="B222:H222"/>
    <mergeCell ref="B218:H218"/>
    <mergeCell ref="A212:B212"/>
    <mergeCell ref="G212:H212"/>
    <mergeCell ref="G211:H211"/>
    <mergeCell ref="A209:H209"/>
    <mergeCell ref="A210:B210"/>
    <mergeCell ref="A211:B211"/>
    <mergeCell ref="A214:B214"/>
    <mergeCell ref="G214:H214"/>
    <mergeCell ref="A213:B213"/>
    <mergeCell ref="G194:H194"/>
    <mergeCell ref="G213:H213"/>
    <mergeCell ref="B216:H216"/>
    <mergeCell ref="B217:H217"/>
    <mergeCell ref="A204:B204"/>
    <mergeCell ref="G193:H193"/>
    <mergeCell ref="C154:C155"/>
    <mergeCell ref="A186:H186"/>
    <mergeCell ref="A168:B168"/>
    <mergeCell ref="G168:H171"/>
    <mergeCell ref="A177:B177"/>
    <mergeCell ref="C133:C134"/>
    <mergeCell ref="B154:B155"/>
    <mergeCell ref="A190:B190"/>
    <mergeCell ref="F117:H117"/>
    <mergeCell ref="E122:F122"/>
    <mergeCell ref="A122:B122"/>
    <mergeCell ref="A124:B124"/>
    <mergeCell ref="A130:B130"/>
    <mergeCell ref="C130:D130"/>
    <mergeCell ref="G122:H122"/>
    <mergeCell ref="A117:E117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E41:H41"/>
    <mergeCell ref="A41:D41"/>
    <mergeCell ref="A232:H232"/>
    <mergeCell ref="A229:H229"/>
    <mergeCell ref="G207:H207"/>
    <mergeCell ref="A192:B192"/>
    <mergeCell ref="A127:B127"/>
    <mergeCell ref="D154:D155"/>
    <mergeCell ref="E154:E155"/>
    <mergeCell ref="G154:H155"/>
    <mergeCell ref="A87:B87"/>
    <mergeCell ref="A88:B88"/>
    <mergeCell ref="A89:B89"/>
    <mergeCell ref="A79:B79"/>
    <mergeCell ref="C79:H79"/>
    <mergeCell ref="A103:B103"/>
    <mergeCell ref="A74:B74"/>
    <mergeCell ref="F108:H108"/>
    <mergeCell ref="G123:H123"/>
    <mergeCell ref="A106:B106"/>
    <mergeCell ref="G137:H139"/>
    <mergeCell ref="A140:H140"/>
    <mergeCell ref="A48:B48"/>
    <mergeCell ref="C48:E48"/>
    <mergeCell ref="L137:M137"/>
    <mergeCell ref="A138:B138"/>
    <mergeCell ref="L138:M138"/>
    <mergeCell ref="A139:B139"/>
    <mergeCell ref="L139:M139"/>
    <mergeCell ref="G141:H143"/>
    <mergeCell ref="A143:B143"/>
    <mergeCell ref="L143:M143"/>
    <mergeCell ref="A144:H144"/>
    <mergeCell ref="L145:M145"/>
    <mergeCell ref="A146:B146"/>
    <mergeCell ref="L146:M146"/>
    <mergeCell ref="L141:M141"/>
    <mergeCell ref="A142:B142"/>
    <mergeCell ref="L142:M142"/>
    <mergeCell ref="A159:B159"/>
    <mergeCell ref="L159:M159"/>
    <mergeCell ref="A160:B160"/>
    <mergeCell ref="L160:M160"/>
    <mergeCell ref="A152:B152"/>
    <mergeCell ref="L161:M161"/>
    <mergeCell ref="G158:H161"/>
    <mergeCell ref="A147:B147"/>
    <mergeCell ref="L147:M147"/>
    <mergeCell ref="A156:H156"/>
    <mergeCell ref="A157:H157"/>
    <mergeCell ref="A158:B158"/>
    <mergeCell ref="L158:M158"/>
    <mergeCell ref="A153:H153"/>
    <mergeCell ref="A154:A155"/>
    <mergeCell ref="L163:M163"/>
    <mergeCell ref="A164:B164"/>
    <mergeCell ref="L164:M164"/>
    <mergeCell ref="A165:B165"/>
    <mergeCell ref="L165:M165"/>
    <mergeCell ref="A166:B166"/>
    <mergeCell ref="L166:M166"/>
    <mergeCell ref="C165:F165"/>
    <mergeCell ref="A167:H167"/>
    <mergeCell ref="A163:B163"/>
    <mergeCell ref="G163:H166"/>
    <mergeCell ref="L168:M168"/>
    <mergeCell ref="A169:B169"/>
    <mergeCell ref="L169:M169"/>
    <mergeCell ref="A170:B170"/>
    <mergeCell ref="C170:F170"/>
    <mergeCell ref="L170:M170"/>
    <mergeCell ref="A171:B171"/>
    <mergeCell ref="L171:M171"/>
    <mergeCell ref="A202:B202"/>
    <mergeCell ref="A172:H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L191:M191"/>
    <mergeCell ref="A196:B196"/>
    <mergeCell ref="A193:B193"/>
    <mergeCell ref="A194:B194"/>
    <mergeCell ref="L190:M190"/>
    <mergeCell ref="G187:H187"/>
    <mergeCell ref="L187:M187"/>
    <mergeCell ref="A188:B188"/>
    <mergeCell ref="G188:H188"/>
    <mergeCell ref="L188:M188"/>
    <mergeCell ref="A189:B189"/>
    <mergeCell ref="G189:H189"/>
    <mergeCell ref="L189:M189"/>
    <mergeCell ref="B224:H224"/>
    <mergeCell ref="B226:H226"/>
    <mergeCell ref="G204:H204"/>
    <mergeCell ref="A198:B198"/>
    <mergeCell ref="G190:H190"/>
    <mergeCell ref="B220:H220"/>
    <mergeCell ref="G210:H210"/>
    <mergeCell ref="G208:H208"/>
    <mergeCell ref="A215:H215"/>
    <mergeCell ref="A207:B207"/>
    <mergeCell ref="A208:B208"/>
    <mergeCell ref="G206:H206"/>
    <mergeCell ref="A203:H203"/>
    <mergeCell ref="A197:H197"/>
    <mergeCell ref="G200:H200"/>
    <mergeCell ref="G198:H198"/>
    <mergeCell ref="A187:B187"/>
    <mergeCell ref="L177:M177"/>
    <mergeCell ref="A178:B178"/>
    <mergeCell ref="L178:M178"/>
    <mergeCell ref="G173:H178"/>
    <mergeCell ref="A179:H179"/>
    <mergeCell ref="A180:B180"/>
    <mergeCell ref="G180:H185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C182:F182"/>
    <mergeCell ref="C184:F185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38" max="16383" man="1"/>
    <brk id="281" max="16383" man="1"/>
    <brk id="32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4" t="s">
        <v>111</v>
      </c>
      <c r="C3" s="174"/>
      <c r="D3" s="174"/>
      <c r="E3" s="174"/>
      <c r="F3" s="174"/>
      <c r="G3" s="174"/>
      <c r="H3" s="174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2025-08-20T06:53:29Z</cp:lastPrinted>
  <dcterms:created xsi:type="dcterms:W3CDTF">2019-07-16T09:29:46Z</dcterms:created>
  <dcterms:modified xsi:type="dcterms:W3CDTF">2025-08-20T07:05:15Z</dcterms:modified>
</cp:coreProperties>
</file>