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K:\VSJ Work\Aug 25\Axis Dump\"/>
    </mc:Choice>
  </mc:AlternateContent>
  <xr:revisionPtr revIDLastSave="0" documentId="13_ncr:1_{370D2D58-BC63-4464-B632-4DACBDC51D16}"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Note" sheetId="4" r:id="rId3"/>
  </sheets>
  <definedNames>
    <definedName name="_xlnm.Print_Area" localSheetId="0">Report!$A$1:$H$316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7" i="1" l="1"/>
  <c r="C88" i="1" s="1"/>
  <c r="C73" i="1"/>
  <c r="C90" i="1" l="1"/>
  <c r="C89" i="1"/>
  <c r="J92" i="1"/>
  <c r="J91" i="1"/>
  <c r="J90" i="1"/>
  <c r="J89" i="1"/>
  <c r="C74" i="1" l="1"/>
  <c r="C76" i="1" l="1"/>
  <c r="C75" i="1"/>
  <c r="I150" i="1"/>
  <c r="I129" i="1"/>
  <c r="D159" i="1"/>
  <c r="D158" i="1"/>
  <c r="D157" i="1"/>
  <c r="D156" i="1"/>
  <c r="D154" i="1"/>
  <c r="D153" i="1"/>
  <c r="D152" i="1"/>
  <c r="D151" i="1"/>
  <c r="D149" i="1"/>
  <c r="D148" i="1"/>
  <c r="C112" i="1" s="1"/>
  <c r="D147" i="1"/>
  <c r="D146" i="1"/>
  <c r="D137" i="1"/>
  <c r="D136" i="1"/>
  <c r="D134" i="1"/>
  <c r="D133" i="1"/>
  <c r="D132" i="1"/>
  <c r="D131" i="1"/>
  <c r="C111" i="1" s="1"/>
  <c r="D130" i="1"/>
  <c r="D128" i="1"/>
  <c r="D125" i="1"/>
  <c r="D124" i="1"/>
  <c r="F125" i="1"/>
  <c r="C113" i="1" l="1"/>
  <c r="E111" i="1"/>
  <c r="E112" i="1"/>
  <c r="F124" i="1"/>
  <c r="E113" i="1" l="1"/>
  <c r="F159" i="1"/>
  <c r="F158" i="1"/>
  <c r="F156" i="1"/>
  <c r="F154" i="1"/>
  <c r="K154" i="1" s="1"/>
  <c r="F153" i="1"/>
  <c r="K153" i="1" s="1"/>
  <c r="F152" i="1"/>
  <c r="K152" i="1" s="1"/>
  <c r="F151" i="1"/>
  <c r="K151" i="1" s="1"/>
  <c r="F149" i="1"/>
  <c r="I147" i="1"/>
  <c r="F146" i="1"/>
  <c r="F157" i="1"/>
  <c r="A157" i="1"/>
  <c r="A158" i="1" s="1"/>
  <c r="A159" i="1" s="1"/>
  <c r="G156" i="1"/>
  <c r="A152" i="1"/>
  <c r="A153" i="1" s="1"/>
  <c r="A154" i="1" s="1"/>
  <c r="G151" i="1"/>
  <c r="J147" i="1"/>
  <c r="A147" i="1"/>
  <c r="A148" i="1" s="1"/>
  <c r="A149" i="1" s="1"/>
  <c r="G146" i="1"/>
  <c r="F136" i="1"/>
  <c r="F134" i="1"/>
  <c r="K134" i="1" s="1"/>
  <c r="J128" i="1"/>
  <c r="I128" i="1"/>
  <c r="F128" i="1"/>
  <c r="F148" i="1" l="1"/>
  <c r="K148" i="1" s="1"/>
  <c r="F147" i="1"/>
  <c r="E3" i="1"/>
  <c r="G112" i="1" l="1"/>
  <c r="I125" i="1"/>
  <c r="F137" i="1"/>
  <c r="A137" i="1"/>
  <c r="A138" i="1" s="1"/>
  <c r="A139" i="1" s="1"/>
  <c r="A140" i="1" s="1"/>
  <c r="G136" i="1"/>
  <c r="J125" i="1"/>
  <c r="D61" i="1"/>
  <c r="C15" i="1" l="1"/>
  <c r="E30" i="1" l="1"/>
  <c r="K126" i="1" l="1"/>
  <c r="A125" i="1"/>
  <c r="A126" i="1" s="1"/>
  <c r="A127" i="1" s="1"/>
  <c r="A128" i="1" s="1"/>
  <c r="G124" i="1"/>
  <c r="F108" i="1" l="1"/>
  <c r="B162" i="1" l="1"/>
  <c r="F133" i="1" l="1"/>
  <c r="K133" i="1" s="1"/>
  <c r="F131" i="1"/>
  <c r="K131" i="1" s="1"/>
  <c r="F130" i="1"/>
  <c r="F132" i="1"/>
  <c r="K132" i="1" s="1"/>
  <c r="G111" i="1" l="1"/>
  <c r="G113" i="1" s="1"/>
  <c r="K130" i="1"/>
  <c r="F11" i="5"/>
  <c r="G11" i="5" s="1"/>
  <c r="F10" i="5"/>
  <c r="G10" i="5" s="1"/>
  <c r="F9" i="5"/>
  <c r="G9" i="5" s="1"/>
  <c r="F8" i="5"/>
  <c r="G8" i="5" s="1"/>
  <c r="F7" i="5"/>
  <c r="G7" i="5" s="1"/>
  <c r="F6" i="5"/>
  <c r="G6" i="5" s="1"/>
  <c r="F5" i="5"/>
  <c r="G5" i="5" s="1"/>
  <c r="G12" i="5" s="1"/>
  <c r="D192" i="1"/>
  <c r="G130" i="1"/>
  <c r="A131" i="1"/>
  <c r="A132" i="1" s="1"/>
  <c r="A133" i="1" s="1"/>
  <c r="A134" i="1" s="1"/>
  <c r="J78" i="1"/>
  <c r="J77" i="1"/>
  <c r="J76" i="1"/>
  <c r="J75" i="1"/>
  <c r="G50" i="1"/>
  <c r="E43" i="1"/>
  <c r="E44" i="1" s="1"/>
  <c r="E27" i="1"/>
  <c r="E25" i="1"/>
  <c r="E7" i="1"/>
  <c r="H68" i="1"/>
  <c r="D80" i="1" l="1"/>
  <c r="D78" i="1"/>
  <c r="D77" i="1"/>
  <c r="D76" i="1"/>
  <c r="D74" i="1"/>
  <c r="J67" i="1"/>
  <c r="D79" i="1"/>
  <c r="D75" i="1"/>
  <c r="J71" i="1"/>
  <c r="J72" i="1"/>
  <c r="C71" i="1" s="1"/>
  <c r="J70" i="1"/>
  <c r="J73" i="1"/>
  <c r="J74" i="1" l="1"/>
  <c r="J79" i="1" s="1"/>
  <c r="J80" i="1" s="1"/>
  <c r="G71" i="1"/>
  <c r="D65" i="1" s="1"/>
  <c r="D73" i="1"/>
  <c r="J69" i="1"/>
  <c r="D71" i="1"/>
  <c r="D72" i="1" l="1"/>
  <c r="I68" i="1" s="1"/>
  <c r="E71" i="1"/>
  <c r="J68" i="1"/>
  <c r="D66" i="1"/>
  <c r="F66" i="1"/>
  <c r="H82" i="1"/>
  <c r="D93" i="1" l="1"/>
  <c r="J84" i="1"/>
  <c r="D89" i="1"/>
  <c r="J86" i="1"/>
  <c r="C85" i="1" s="1"/>
  <c r="D92" i="1"/>
  <c r="D91" i="1"/>
  <c r="D88" i="1"/>
  <c r="E85" i="1"/>
  <c r="D94" i="1"/>
  <c r="D90" i="1"/>
  <c r="J81" i="1"/>
  <c r="J83" i="1" s="1"/>
  <c r="D86" i="1"/>
  <c r="J87" i="1"/>
  <c r="J88" i="1" s="1"/>
  <c r="J93" i="1" s="1"/>
  <c r="J94" i="1" s="1"/>
  <c r="D87" i="1"/>
  <c r="J85" i="1"/>
  <c r="I69" i="1"/>
  <c r="I67" i="1" s="1"/>
  <c r="C69" i="1" s="1"/>
  <c r="G85" i="1" l="1"/>
  <c r="D85" i="1"/>
  <c r="I82" i="1" s="1"/>
  <c r="I83" i="1" s="1"/>
  <c r="J82" i="1" l="1"/>
  <c r="I81" i="1" s="1"/>
  <c r="C83" i="1" s="1"/>
</calcChain>
</file>

<file path=xl/sharedStrings.xml><?xml version="1.0" encoding="utf-8"?>
<sst xmlns="http://schemas.openxmlformats.org/spreadsheetml/2006/main" count="353" uniqueCount="252">
  <si>
    <t xml:space="preserve">Valuation Report </t>
  </si>
  <si>
    <t>Date:</t>
  </si>
  <si>
    <t>CPC Name:</t>
  </si>
  <si>
    <t>Date Of Property Visit</t>
  </si>
  <si>
    <t>Name of the builder group</t>
  </si>
  <si>
    <t>Name of the builder company</t>
  </si>
  <si>
    <t>Name of the Project</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</si>
  <si>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</si>
  <si>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</si>
  <si>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</si>
  <si>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</si>
  <si>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</si>
  <si>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</si>
  <si>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</si>
  <si>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</si>
  <si>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</si>
  <si>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</si>
  <si>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</si>
  <si>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</si>
  <si>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</si>
  <si>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</si>
  <si>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</si>
  <si>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</si>
  <si>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</si>
  <si>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</si>
  <si>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</si>
  <si>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</si>
  <si>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</si>
  <si>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</si>
  <si>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</si>
  <si>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</si>
  <si>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</si>
  <si>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</si>
  <si>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</si>
  <si>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</si>
  <si>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</si>
  <si>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</si>
  <si>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</si>
  <si>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</si>
  <si>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</si>
  <si>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</si>
  <si>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</si>
  <si>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</si>
  <si>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</si>
  <si>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</si>
  <si>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</si>
  <si>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</si>
  <si>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</si>
  <si>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</si>
  <si>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</si>
  <si>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</si>
  <si>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</si>
  <si>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</si>
  <si>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</si>
  <si>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</si>
  <si>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</si>
  <si>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</si>
  <si>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</si>
  <si>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</si>
  <si>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</si>
  <si>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</si>
  <si>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</si>
  <si>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</si>
  <si>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</si>
  <si>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</si>
  <si>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</si>
  <si>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</si>
  <si>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</si>
  <si>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</si>
  <si>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</si>
  <si>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</si>
  <si>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</si>
  <si>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</si>
  <si>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Taluka</t>
  </si>
  <si>
    <r>
      <t xml:space="preserve">Proposed Amenities :                                                                                                                                                                                                                      </t>
    </r>
    <r>
      <rPr>
        <sz val="12"/>
        <rFont val="Times New Roman"/>
        <family val="1"/>
      </rPr>
      <t xml:space="preserve">   </t>
    </r>
    <r>
      <rPr>
        <b/>
        <sz val="12"/>
        <rFont val="Times New Roman"/>
        <family val="1"/>
      </rPr>
      <t xml:space="preserve">                                               </t>
    </r>
  </si>
  <si>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</si>
  <si>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</si>
  <si>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</si>
  <si>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</si>
  <si>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</si>
  <si>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</si>
  <si>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</si>
  <si>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</si>
  <si>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</si>
  <si>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</si>
  <si>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</si>
  <si>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</si>
  <si>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</si>
  <si>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</si>
  <si>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</si>
  <si>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</si>
  <si>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</si>
  <si>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</si>
  <si>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</si>
  <si>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Excavation in process</t>
  </si>
  <si>
    <t>Excavation Completed</t>
  </si>
  <si>
    <t>Footing in Process</t>
  </si>
  <si>
    <t>Footing Completed</t>
  </si>
  <si>
    <t>Plinth completed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</si>
  <si>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</si>
  <si>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</si>
  <si>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</si>
  <si>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</si>
  <si>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</si>
  <si>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</si>
  <si>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</si>
  <si>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</si>
  <si>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</si>
  <si>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</si>
  <si>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</si>
  <si>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</si>
  <si>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</si>
  <si>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Flat No.
</t>
    </r>
    <r>
      <rPr>
        <b/>
        <sz val="11"/>
        <color rgb="FF000000"/>
        <rFont val="Times New Roman"/>
        <family val="1"/>
      </rPr>
      <t>(Approved Plan)</t>
    </r>
  </si>
  <si>
    <t>Flat No.
(Sale Plan)</t>
  </si>
  <si>
    <t>Contact Details ( Name &amp; Contact No.)</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</si>
  <si>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</si>
  <si>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</si>
  <si>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</si>
  <si>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</si>
  <si>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</si>
  <si>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</si>
  <si>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</si>
  <si>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</si>
  <si>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</si>
  <si>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</si>
  <si>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</si>
  <si>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</si>
  <si>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</si>
  <si>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</si>
  <si>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</si>
  <si>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</si>
  <si>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</si>
  <si>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</si>
  <si>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</si>
  <si>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</si>
  <si>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</si>
  <si>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</si>
  <si>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</si>
  <si>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</si>
  <si>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</si>
  <si>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</si>
  <si>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</si>
  <si>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</si>
  <si>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</si>
  <si>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</si>
  <si>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</si>
  <si>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</si>
  <si>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</si>
  <si>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</si>
  <si>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</si>
  <si>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Floor Rise Rate</t>
  </si>
  <si>
    <t>Recommended rate of the Shop Per Sq. Ft.</t>
  </si>
  <si>
    <t>Recommended rate of the Flat Per Sq. Ft.</t>
  </si>
  <si>
    <t>Recommended rate of the Office Per Sq. Ft.</t>
  </si>
  <si>
    <t>On Saleable Area</t>
  </si>
  <si>
    <t>Location Link</t>
  </si>
  <si>
    <t>Locality</t>
  </si>
  <si>
    <t>Village</t>
  </si>
  <si>
    <t xml:space="preserve">O. Certificate No.: 
Approved upto : </t>
  </si>
  <si>
    <t>Axis Thane</t>
  </si>
  <si>
    <t>Lohitka Properties LLP</t>
  </si>
  <si>
    <t>P51800026393</t>
  </si>
  <si>
    <t>Layout Plan :</t>
  </si>
  <si>
    <t>As per RERA - 31/12/2026</t>
  </si>
  <si>
    <t>Building No.10 ( Blissberg )</t>
  </si>
  <si>
    <t>6th Floor for Podium / E-Deck</t>
  </si>
  <si>
    <t>Refuge Area</t>
  </si>
  <si>
    <t>Municipal Corporation of Greater Mumbai</t>
  </si>
  <si>
    <t>Cascade Vasant Oscar Apartment Complex</t>
  </si>
  <si>
    <t>CTS No</t>
  </si>
  <si>
    <t>514, 531 (PT), 531/1 to 14, 532A (PT) &amp; 534</t>
  </si>
  <si>
    <t>Nahur</t>
  </si>
  <si>
    <t>L.B.S. Marg</t>
  </si>
  <si>
    <t>Mumbai</t>
  </si>
  <si>
    <t>Kurla</t>
  </si>
  <si>
    <t>Moti Nagar</t>
  </si>
  <si>
    <t>1st, 8th, 15th, 22nd &amp; 29th Floor for Residential (Part Refuge Area)</t>
  </si>
  <si>
    <t>36th Floor (Part Refuge Area)</t>
  </si>
  <si>
    <t>Approved Plans, CC, Cost Sheet</t>
  </si>
  <si>
    <t>On Site, we meet Miss. Tejal Shah - 8879619137.</t>
  </si>
  <si>
    <t>We considered Gross carpet area = Net carpet + D.B Area + Deck.</t>
  </si>
  <si>
    <t>One time Club house charges towards membership</t>
  </si>
  <si>
    <t>Society formation charges</t>
  </si>
  <si>
    <t>Electric Connection Charges/Water Charges</t>
  </si>
  <si>
    <t xml:space="preserve">12 Months Advance Maintenance </t>
  </si>
  <si>
    <t>Infrastructure/Development Charges</t>
  </si>
  <si>
    <t>Apex body charges</t>
  </si>
  <si>
    <t>Pipe line Gas Connection</t>
  </si>
  <si>
    <t>As per the approved floor plan dtd. 04/01/2022, of Building No. 10, Wing C (consists of 4 flats on each floor), but according to Miss. Tejal, the contact person, Building No. 10 wing C will be bifurcated in to A &amp; B Wing, and Wing A will consists of 5 flats on each floor &amp; Wing B will consists of 4 flats on each floor. The above changes will be done in the amended plans.</t>
  </si>
  <si>
    <t>CHE/ES/2036/T/337( NEW)</t>
  </si>
  <si>
    <t>1st to 5th Floor for Podium for Parking</t>
  </si>
  <si>
    <t>Ground Floor for Parking, Society Office &amp; Domestic water tank</t>
  </si>
  <si>
    <t>2nd to 7th, 9th to 14th, 16th to 21st, 23rd to 28th, 30th to 35th &amp; 37th to 43rd Floor</t>
  </si>
  <si>
    <t>Wing C1</t>
  </si>
  <si>
    <t>2BHK</t>
  </si>
  <si>
    <t>3.5BHK</t>
  </si>
  <si>
    <t>2.5BHK</t>
  </si>
  <si>
    <t>3BHK</t>
  </si>
  <si>
    <t>Wing C2</t>
  </si>
  <si>
    <t>1.5BHK</t>
  </si>
  <si>
    <t xml:space="preserve">Building No.10 </t>
  </si>
  <si>
    <t>Total</t>
  </si>
  <si>
    <t>Flats - 374</t>
  </si>
  <si>
    <t>We have updated latest approved floor plans on (29/03/2023).</t>
  </si>
  <si>
    <t>Building No.10 (Wing C1 &amp; C2) = Gr/Stilt + 1st to 5th Podium + 6th Podium / E-Deck Floor + 1st to 45th Floor (Residential)</t>
  </si>
  <si>
    <t>Building No.10 (Wing C1 &amp; C2) = Gr/Stilt + 1st to 5th Podium + 6th Podium / E-Deck Floor + 1st to 43rd Floor (Residential)</t>
  </si>
  <si>
    <t>Office No. 1031, Wing J, Akshar Business Park, Plot No. 03 Sector 25, Near APMC Market, 
Vashi, Navi Mumbai, Maharashtra 400703 TEL: 022-46090378/79/8
E mail : vsjcapf@gmail.com. Web site : www.vsjadon.com</t>
  </si>
  <si>
    <t>We have updated latest approved CC (on 19/06/2023).</t>
  </si>
  <si>
    <t>CTS NO. 547</t>
  </si>
  <si>
    <t>18.30 M. Wide Road</t>
  </si>
  <si>
    <t>LBS Marg</t>
  </si>
  <si>
    <t>Tansa Pipe Line</t>
  </si>
  <si>
    <t>Slum</t>
  </si>
  <si>
    <t>Marathon Ave</t>
  </si>
  <si>
    <t>Pipe Line</t>
  </si>
  <si>
    <t>Mulund West</t>
  </si>
  <si>
    <t>Latitude, Longitude</t>
  </si>
  <si>
    <t>19.171688,72.93709</t>
  </si>
  <si>
    <t>https://maps.app.goo.gl/wZQmnAsLUydg4zGfA</t>
  </si>
  <si>
    <t xml:space="preserve">Swimming Pool, Spa, Jogging Track, Kids play area, Yoga oom, Banquet Hall, Party Lawn, Fitness Centre, Games Room, etc.
</t>
  </si>
  <si>
    <t>36th Floor (Refuge Area At Wing C1)</t>
  </si>
  <si>
    <t>1st, 8th, 15th, 22nd &amp; 29th Floor for Residential (Refuge Area At Wing C1)</t>
  </si>
  <si>
    <t>We have updated latest approved plan, Construction set (on 08/12/2023).</t>
  </si>
  <si>
    <t xml:space="preserve">02 Wing </t>
  </si>
  <si>
    <t>Tejal Shah 8879619137</t>
  </si>
  <si>
    <t>2.90KM from Mulund Railway Station</t>
  </si>
  <si>
    <t>Site Person - Contact Details (Name &amp; Contact No.)</t>
  </si>
  <si>
    <t>Montana Phase 4</t>
  </si>
  <si>
    <t>Name / No of the Building As per Approved Plan</t>
  </si>
  <si>
    <t>Name / No of the Building As per Builder</t>
  </si>
  <si>
    <t>Building No.10 (Wing C1 &amp; C2)</t>
  </si>
  <si>
    <t>Blissberg (Wing A &amp; B)</t>
  </si>
  <si>
    <t>As Per Builder</t>
  </si>
  <si>
    <t>Building No. 10 Wing C1</t>
  </si>
  <si>
    <t>Building No. 10 Wing C2</t>
  </si>
  <si>
    <t>Blissberg Wing A</t>
  </si>
  <si>
    <t>Blissberg Wing B</t>
  </si>
  <si>
    <t>As Per Approved Plan</t>
  </si>
  <si>
    <t>15500 to 17000</t>
  </si>
  <si>
    <t>Viraj</t>
  </si>
  <si>
    <t>verbal</t>
  </si>
  <si>
    <t xml:space="preserve">Recommended Rates/Other Charges of the Property have been revised on 29/12/2023.
</t>
  </si>
  <si>
    <t>Building No.10 (Wing C1) = Gr/Stilt + 1st to 5th Podium + 6th Podium / E-Deck Floor + 1st to 45th Floor (Residential)</t>
  </si>
  <si>
    <t>Building No.10 (Wing C2) = Gr/Stilt + 1st to 5th Podium + 6th Podium / E-Deck Floor + 1st to 45th Floor (Residential)</t>
  </si>
  <si>
    <t>Validity of CC is expired on 14/10/2023. Please provide latest CC.</t>
  </si>
  <si>
    <t xml:space="preserve">Mr avinash CRM 8879975804 </t>
  </si>
  <si>
    <t>Construction work is in process at the time of Visit. Internal photographs was not allowed.</t>
  </si>
  <si>
    <t>CHE/ES/2036/T/337(NEW)/FCC/4/Amend</t>
  </si>
  <si>
    <t>Full C.C. for wing ‘C’ of building No. 10 is granted as per amended approved plan dated 20.03.2023 subject to timely renewal of B.G, SWM NOC, Workmen’s compensation policy and taking all sorts of precautions during construction and for air pollution.</t>
  </si>
  <si>
    <t>We have updated latest CC from MCGM site (On 25/11/2024).</t>
  </si>
  <si>
    <t>Kunal Kadam</t>
  </si>
  <si>
    <t>Nainesh Tambe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</si>
</sst>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0.00_);_(* \(#,##0.00\);_(* &quot;-&quot;??_);_(@_)"/>
    <numFmt numFmtId="165" formatCode="0.0"/>
    <numFmt numFmtId="166" formatCode="_(* #,##0_);_(* \(#,##0\);_(* &quot;-&quot;??_);_(@_)"/>
    <numFmt numFmtId="167" formatCode="_ * #,##0_ ;_ * \-#,##0_ ;_ * &quot;-&quot;??_ ;_ @_ "/>
    <numFmt numFmtId="168" formatCode="[&gt;0]0&quot;BHK&quot;;&quot;1RK&quot;"/>
  </numFmts>
  <fonts count="28"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23">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5" xfId="8" applyFont="1" applyFill="1" applyBorder="1" applyAlignment="1" applyProtection="1">
      <alignment horizontal="center" vertical="top" wrapText="1"/>
      <protection locked="0"/>
    </xf>
    <xf numFmtId="0" fontId="17" fillId="0" borderId="0" xfId="0" applyFont="1" applyProtection="1">
      <protection hidden="1"/>
    </xf>
    <xf numFmtId="0" fontId="17" fillId="0" borderId="10" xfId="0" applyFont="1" applyBorder="1" applyProtection="1">
      <protection hidden="1"/>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8" fillId="0" borderId="2"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24" fillId="2" borderId="29" xfId="0" applyFont="1" applyFill="1" applyBorder="1"/>
    <xf numFmtId="0" fontId="25" fillId="0" borderId="30" xfId="0" applyFont="1" applyBorder="1"/>
    <xf numFmtId="0" fontId="25" fillId="0" borderId="1" xfId="0" applyFont="1" applyBorder="1"/>
    <xf numFmtId="0" fontId="25" fillId="0" borderId="4" xfId="0" applyFont="1" applyBorder="1"/>
    <xf numFmtId="0" fontId="8" fillId="0" borderId="1" xfId="1" applyFont="1" applyBorder="1" applyAlignment="1" applyProtection="1">
      <alignment vertical="top"/>
      <protection locked="0"/>
    </xf>
    <xf numFmtId="0" fontId="7" fillId="0" borderId="0" xfId="1" applyFont="1" applyAlignment="1">
      <alignment horizontal="left" vertical="center"/>
    </xf>
    <xf numFmtId="2" fontId="7" fillId="0" borderId="0" xfId="1" applyNumberFormat="1" applyFont="1" applyAlignment="1">
      <alignment horizontal="center" vertical="center"/>
    </xf>
    <xf numFmtId="1" fontId="7" fillId="0" borderId="1" xfId="1" applyNumberFormat="1" applyFont="1" applyBorder="1" applyAlignment="1">
      <alignment horizontal="center" vertical="center"/>
    </xf>
    <xf numFmtId="1" fontId="7" fillId="0" borderId="1" xfId="1" applyNumberFormat="1" applyFont="1" applyBorder="1" applyAlignment="1" applyProtection="1">
      <alignment horizontal="center" vertical="top" wrapText="1"/>
      <protection locked="0"/>
    </xf>
    <xf numFmtId="0" fontId="12" fillId="0" borderId="1" xfId="1" applyFont="1" applyBorder="1" applyAlignment="1" applyProtection="1">
      <alignment vertical="top" wrapText="1"/>
      <protection locked="0"/>
    </xf>
    <xf numFmtId="168" fontId="12" fillId="0" borderId="1"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 fontId="10" fillId="0" borderId="0" xfId="1" applyNumberFormat="1" applyFont="1" applyAlignment="1">
      <alignment horizontal="center" vertical="center"/>
    </xf>
    <xf numFmtId="0" fontId="7" fillId="2" borderId="0" xfId="1" applyFont="1" applyFill="1"/>
    <xf numFmtId="14" fontId="7" fillId="2" borderId="0" xfId="1" applyNumberFormat="1" applyFont="1" applyFill="1"/>
    <xf numFmtId="1" fontId="12" fillId="0" borderId="1" xfId="0" applyNumberFormat="1" applyFont="1" applyBorder="1" applyAlignment="1" applyProtection="1">
      <alignment horizontal="center" vertical="center" wrapText="1"/>
      <protection locked="0"/>
    </xf>
    <xf numFmtId="0" fontId="24" fillId="2" borderId="14" xfId="0" applyFont="1" applyFill="1" applyBorder="1"/>
    <xf numFmtId="0" fontId="7" fillId="0" borderId="2" xfId="1" applyFont="1" applyBorder="1" applyAlignment="1" applyProtection="1">
      <alignment horizontal="center" vertical="top" wrapText="1"/>
      <protection locked="0"/>
    </xf>
    <xf numFmtId="9" fontId="7" fillId="0" borderId="2" xfId="8" applyFont="1" applyFill="1" applyBorder="1" applyAlignment="1" applyProtection="1">
      <alignment horizontal="center" vertical="top" wrapText="1"/>
      <protection locked="0"/>
    </xf>
    <xf numFmtId="0" fontId="7" fillId="0" borderId="0" xfId="1" applyFont="1" applyAlignment="1">
      <alignment horizontal="center" vertical="center"/>
    </xf>
    <xf numFmtId="1" fontId="12" fillId="0" borderId="7" xfId="1" applyNumberFormat="1" applyFont="1" applyBorder="1" applyAlignment="1" applyProtection="1">
      <alignment horizontal="center" vertical="center" wrapText="1"/>
      <protection locked="0"/>
    </xf>
    <xf numFmtId="1" fontId="12" fillId="0" borderId="8" xfId="1" applyNumberFormat="1" applyFont="1" applyBorder="1" applyAlignment="1" applyProtection="1">
      <alignment horizontal="center" vertical="center" wrapText="1"/>
      <protection locked="0"/>
    </xf>
    <xf numFmtId="1" fontId="13" fillId="0" borderId="1"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 fontId="12" fillId="0" borderId="16" xfId="1" applyNumberFormat="1" applyFont="1" applyBorder="1" applyAlignment="1" applyProtection="1">
      <alignment horizontal="center" vertical="center" wrapText="1"/>
      <protection locked="0"/>
    </xf>
    <xf numFmtId="1" fontId="12" fillId="0" borderId="17" xfId="1" applyNumberFormat="1" applyFont="1" applyBorder="1" applyAlignment="1" applyProtection="1">
      <alignment horizontal="center" vertical="center" wrapText="1"/>
      <protection locked="0"/>
    </xf>
    <xf numFmtId="1" fontId="12" fillId="0" borderId="24" xfId="1" applyNumberFormat="1" applyFont="1" applyBorder="1" applyAlignment="1" applyProtection="1">
      <alignment horizontal="center" vertical="center" wrapText="1"/>
      <protection locked="0"/>
    </xf>
    <xf numFmtId="1" fontId="12" fillId="0" borderId="25" xfId="1" applyNumberFormat="1" applyFont="1" applyBorder="1" applyAlignment="1" applyProtection="1">
      <alignment horizontal="center" vertical="center" wrapText="1"/>
      <protection locked="0"/>
    </xf>
    <xf numFmtId="1" fontId="13" fillId="0" borderId="7" xfId="1" applyNumberFormat="1" applyFont="1" applyBorder="1" applyAlignment="1" applyProtection="1">
      <alignment horizontal="center" vertical="center" wrapText="1"/>
      <protection locked="0"/>
    </xf>
    <xf numFmtId="1" fontId="13" fillId="0" borderId="20" xfId="1" applyNumberFormat="1" applyFont="1" applyBorder="1" applyAlignment="1" applyProtection="1">
      <alignment horizontal="center" vertical="center" wrapText="1"/>
      <protection locked="0"/>
    </xf>
    <xf numFmtId="1" fontId="13" fillId="0" borderId="8" xfId="1" applyNumberFormat="1" applyFont="1" applyBorder="1" applyAlignment="1" applyProtection="1">
      <alignment horizontal="center" vertical="center" wrapText="1"/>
      <protection locked="0"/>
    </xf>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67" fontId="15" fillId="0" borderId="1" xfId="9" applyNumberFormat="1" applyFont="1" applyFill="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167" fontId="7" fillId="0" borderId="1" xfId="9" applyNumberFormat="1" applyFont="1" applyFill="1" applyBorder="1" applyAlignment="1" applyProtection="1">
      <alignment horizontal="left" vertical="top"/>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0" fontId="10"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0" fontId="12" fillId="0" borderId="1" xfId="0" applyFont="1" applyBorder="1" applyAlignment="1" applyProtection="1">
      <alignment horizontal="center" vertical="center"/>
      <protection locked="0"/>
    </xf>
    <xf numFmtId="1" fontId="8"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left" vertical="top" wrapText="1"/>
      <protection locked="0"/>
    </xf>
    <xf numFmtId="1" fontId="13" fillId="0" borderId="16" xfId="0" applyNumberFormat="1" applyFont="1" applyBorder="1" applyAlignment="1" applyProtection="1">
      <alignment horizontal="center" vertical="top" wrapText="1"/>
      <protection locked="0"/>
    </xf>
    <xf numFmtId="1" fontId="13" fillId="0" borderId="23" xfId="0" applyNumberFormat="1" applyFont="1" applyBorder="1" applyAlignment="1" applyProtection="1">
      <alignment horizontal="center" vertical="top" wrapText="1"/>
      <protection locked="0"/>
    </xf>
    <xf numFmtId="1" fontId="13" fillId="0" borderId="17" xfId="0" applyNumberFormat="1" applyFont="1" applyBorder="1" applyAlignment="1" applyProtection="1">
      <alignment horizontal="center" vertical="top" wrapText="1"/>
      <protection locked="0"/>
    </xf>
    <xf numFmtId="1" fontId="13" fillId="3" borderId="7" xfId="0" applyNumberFormat="1" applyFont="1" applyFill="1" applyBorder="1" applyAlignment="1" applyProtection="1">
      <alignment horizontal="center" vertical="top" wrapText="1"/>
      <protection locked="0"/>
    </xf>
    <xf numFmtId="1" fontId="13" fillId="3" borderId="20" xfId="0" applyNumberFormat="1" applyFont="1" applyFill="1" applyBorder="1" applyAlignment="1" applyProtection="1">
      <alignment horizontal="center" vertical="top" wrapText="1"/>
      <protection locked="0"/>
    </xf>
    <xf numFmtId="1" fontId="13" fillId="3" borderId="8" xfId="0" applyNumberFormat="1" applyFont="1" applyFill="1" applyBorder="1" applyAlignment="1" applyProtection="1">
      <alignment horizontal="center" vertical="top" wrapText="1"/>
      <protection locked="0"/>
    </xf>
    <xf numFmtId="1" fontId="13" fillId="0" borderId="7" xfId="0" applyNumberFormat="1" applyFont="1" applyBorder="1" applyAlignment="1" applyProtection="1">
      <alignment horizontal="center" vertical="top" wrapText="1"/>
      <protection locked="0"/>
    </xf>
    <xf numFmtId="1" fontId="13" fillId="0" borderId="20" xfId="0" applyNumberFormat="1" applyFont="1" applyBorder="1" applyAlignment="1" applyProtection="1">
      <alignment horizontal="center" vertical="top" wrapText="1"/>
      <protection locked="0"/>
    </xf>
    <xf numFmtId="1" fontId="13" fillId="0" borderId="8" xfId="0" applyNumberFormat="1" applyFont="1" applyBorder="1" applyAlignment="1" applyProtection="1">
      <alignment horizontal="center" vertical="top" wrapText="1"/>
      <protection locked="0"/>
    </xf>
    <xf numFmtId="1" fontId="27" fillId="0" borderId="7" xfId="0" applyNumberFormat="1" applyFont="1" applyBorder="1" applyAlignment="1" applyProtection="1">
      <alignment vertical="top" wrapText="1"/>
      <protection locked="0"/>
    </xf>
    <xf numFmtId="1" fontId="27" fillId="0" borderId="20" xfId="0" applyNumberFormat="1" applyFont="1" applyBorder="1" applyAlignment="1" applyProtection="1">
      <alignment vertical="top" wrapText="1"/>
      <protection locked="0"/>
    </xf>
    <xf numFmtId="1" fontId="27" fillId="0" borderId="8" xfId="0" applyNumberFormat="1" applyFont="1" applyBorder="1" applyAlignment="1" applyProtection="1">
      <alignment vertical="top" wrapText="1"/>
      <protection locked="0"/>
    </xf>
    <xf numFmtId="1" fontId="6" fillId="0" borderId="2" xfId="0" applyNumberFormat="1" applyFont="1" applyBorder="1" applyAlignment="1" applyProtection="1">
      <alignment horizontal="center" vertical="top" wrapText="1"/>
      <protection locked="0"/>
    </xf>
    <xf numFmtId="1" fontId="6" fillId="0" borderId="32" xfId="0" applyNumberFormat="1" applyFont="1" applyBorder="1" applyAlignment="1" applyProtection="1">
      <alignment horizontal="center" vertical="top" wrapText="1"/>
      <protection locked="0"/>
    </xf>
    <xf numFmtId="1" fontId="6" fillId="0" borderId="15" xfId="0" applyNumberFormat="1" applyFont="1" applyBorder="1" applyAlignment="1" applyProtection="1">
      <alignment horizontal="center" vertical="top" wrapText="1"/>
      <protection locked="0"/>
    </xf>
    <xf numFmtId="1" fontId="13" fillId="3" borderId="16" xfId="0" applyNumberFormat="1" applyFont="1" applyFill="1" applyBorder="1" applyAlignment="1" applyProtection="1">
      <alignment horizontal="center" vertical="top" wrapText="1"/>
      <protection locked="0"/>
    </xf>
    <xf numFmtId="1" fontId="13" fillId="3" borderId="23" xfId="0" applyNumberFormat="1" applyFont="1" applyFill="1" applyBorder="1" applyAlignment="1" applyProtection="1">
      <alignment horizontal="center" vertical="top" wrapText="1"/>
      <protection locked="0"/>
    </xf>
    <xf numFmtId="1" fontId="13" fillId="3" borderId="17" xfId="0" applyNumberFormat="1" applyFont="1" applyFill="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1" fontId="8"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1" fontId="12"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8" fillId="0" borderId="1" xfId="1" applyFont="1" applyBorder="1" applyAlignment="1" applyProtection="1">
      <alignment horizontal="center" vertical="top"/>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67" fontId="10" fillId="0" borderId="1" xfId="9" applyNumberFormat="1" applyFont="1" applyFill="1" applyBorder="1" applyAlignment="1" applyProtection="1">
      <alignment horizontal="left" vertical="top"/>
      <protection locked="0"/>
    </xf>
    <xf numFmtId="0" fontId="13" fillId="0" borderId="1" xfId="0" applyFont="1" applyBorder="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1" fontId="13" fillId="0" borderId="7" xfId="0"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9" fontId="7" fillId="0" borderId="16" xfId="8" applyFont="1" applyFill="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12" fillId="0" borderId="7"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left"/>
      <protection locked="0"/>
    </xf>
    <xf numFmtId="0" fontId="8" fillId="0" borderId="7"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center" vertical="center"/>
      <protection locked="0"/>
    </xf>
    <xf numFmtId="2" fontId="12"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center" vertical="center" wrapText="1"/>
      <protection locked="0"/>
    </xf>
    <xf numFmtId="14" fontId="12" fillId="0" borderId="7" xfId="1" applyNumberFormat="1" applyFont="1" applyBorder="1" applyAlignment="1" applyProtection="1">
      <alignment horizontal="left" vertical="top" wrapText="1"/>
      <protection locked="0"/>
    </xf>
    <xf numFmtId="0" fontId="26" fillId="0" borderId="1" xfId="10" applyFill="1" applyBorder="1" applyAlignment="1" applyProtection="1">
      <alignment horizontal="left" vertical="center" wrapText="1"/>
      <protection locked="0"/>
    </xf>
    <xf numFmtId="0" fontId="12" fillId="0" borderId="1" xfId="1" applyFont="1" applyBorder="1" applyAlignment="1" applyProtection="1">
      <alignment horizontal="left" vertical="center" wrapText="1"/>
      <protection locked="0"/>
    </xf>
    <xf numFmtId="165" fontId="12" fillId="0" borderId="1" xfId="1" applyNumberFormat="1" applyFont="1" applyBorder="1" applyAlignment="1" applyProtection="1">
      <alignment horizontal="left" vertical="top"/>
      <protection locked="0"/>
    </xf>
    <xf numFmtId="0" fontId="6" fillId="0" borderId="7"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13" fillId="0" borderId="7" xfId="1" applyFont="1" applyBorder="1" applyAlignment="1" applyProtection="1">
      <alignment horizontal="left" vertical="top"/>
      <protection locked="0"/>
    </xf>
    <xf numFmtId="0" fontId="13" fillId="0" borderId="20"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13" fillId="0" borderId="3"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0" fontId="12" fillId="0" borderId="16"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14" fontId="12" fillId="0" borderId="8"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1" fontId="12" fillId="0" borderId="18" xfId="1" applyNumberFormat="1" applyFont="1" applyBorder="1" applyAlignment="1" applyProtection="1">
      <alignment horizontal="center" vertical="center" wrapText="1"/>
      <protection locked="0"/>
    </xf>
    <xf numFmtId="1" fontId="12" fillId="0" borderId="19" xfId="1" applyNumberFormat="1" applyFont="1" applyBorder="1" applyAlignment="1" applyProtection="1">
      <alignment horizontal="center" vertical="center" wrapText="1"/>
      <protection locked="0"/>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0" fontId="8" fillId="0" borderId="7" xfId="1" applyFont="1" applyBorder="1" applyAlignment="1" applyProtection="1">
      <alignment horizontal="center" vertical="top"/>
      <protection locked="0"/>
    </xf>
    <xf numFmtId="0" fontId="8" fillId="0" borderId="20" xfId="1" applyFont="1" applyBorder="1" applyAlignment="1" applyProtection="1">
      <alignment horizontal="center" vertical="top"/>
      <protection locked="0"/>
    </xf>
    <xf numFmtId="0" fontId="8" fillId="0" borderId="8" xfId="1" applyFont="1" applyBorder="1" applyAlignment="1" applyProtection="1">
      <alignment horizontal="center" vertical="top"/>
      <protection locked="0"/>
    </xf>
    <xf numFmtId="0" fontId="7" fillId="0" borderId="33" xfId="1" applyFont="1" applyBorder="1" applyAlignment="1" applyProtection="1">
      <alignment horizontal="center" vertical="top" wrapText="1"/>
      <protection locked="0"/>
    </xf>
    <xf numFmtId="0" fontId="7" fillId="0" borderId="2" xfId="1" applyFont="1" applyBorder="1" applyAlignment="1" applyProtection="1">
      <alignment horizontal="center" vertical="top" wrapText="1"/>
      <protection locked="0"/>
    </xf>
    <xf numFmtId="1" fontId="12" fillId="0" borderId="23" xfId="1" applyNumberFormat="1" applyFont="1" applyBorder="1" applyAlignment="1" applyProtection="1">
      <alignment horizontal="center" vertical="center" wrapText="1"/>
      <protection locked="0"/>
    </xf>
    <xf numFmtId="1" fontId="12" fillId="0" borderId="0" xfId="1" applyNumberFormat="1" applyFont="1" applyAlignment="1" applyProtection="1">
      <alignment horizontal="center" vertical="center" wrapText="1"/>
      <protection locked="0"/>
    </xf>
    <xf numFmtId="1" fontId="12" fillId="0" borderId="31"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left" vertical="top" wrapText="1"/>
      <protection locked="0"/>
    </xf>
    <xf numFmtId="14" fontId="8" fillId="0" borderId="7" xfId="1" applyNumberFormat="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8" fillId="0" borderId="16"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wrapText="1"/>
      <protection locked="0"/>
    </xf>
    <xf numFmtId="1" fontId="10" fillId="0" borderId="7" xfId="0" applyNumberFormat="1" applyFont="1" applyBorder="1" applyAlignment="1" applyProtection="1">
      <alignment vertical="top" wrapText="1"/>
      <protection locked="0"/>
    </xf>
    <xf numFmtId="1" fontId="10" fillId="0" borderId="20" xfId="0" applyNumberFormat="1" applyFont="1" applyBorder="1" applyAlignment="1" applyProtection="1">
      <alignment vertical="top" wrapText="1"/>
      <protection locked="0"/>
    </xf>
    <xf numFmtId="1" fontId="10" fillId="0" borderId="8" xfId="0" applyNumberFormat="1" applyFont="1" applyBorder="1" applyAlignment="1" applyProtection="1">
      <alignment vertical="top" wrapText="1"/>
      <protection locked="0"/>
    </xf>
    <xf numFmtId="2" fontId="12" fillId="0" borderId="1" xfId="1" applyNumberFormat="1" applyFont="1" applyBorder="1" applyAlignment="1" applyProtection="1">
      <alignment horizontal="left" vertical="top"/>
      <protection locked="0"/>
    </xf>
    <xf numFmtId="0" fontId="8" fillId="0" borderId="21"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12"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22" xfId="1" applyFont="1" applyBorder="1" applyAlignment="1" applyProtection="1">
      <alignment horizontal="left" vertical="top" wrapText="1"/>
      <protection locked="0"/>
    </xf>
    <xf numFmtId="0" fontId="9" fillId="0" borderId="1" xfId="5" applyFont="1" applyBorder="1" applyAlignment="1">
      <alignment horizontal="left"/>
    </xf>
    <xf numFmtId="0" fontId="10" fillId="0" borderId="7" xfId="1" applyFont="1" applyBorder="1" applyAlignment="1" applyProtection="1">
      <alignment horizontal="left"/>
      <protection locked="0"/>
    </xf>
    <xf numFmtId="0" fontId="10" fillId="0" borderId="20" xfId="1" applyFont="1" applyBorder="1" applyAlignment="1" applyProtection="1">
      <alignment horizontal="left"/>
      <protection locked="0"/>
    </xf>
    <xf numFmtId="0" fontId="10" fillId="0" borderId="8" xfId="1" applyFont="1" applyBorder="1" applyAlignment="1" applyProtection="1">
      <alignment horizontal="left"/>
      <protection locked="0"/>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112869</xdr:colOff>
      <xdr:row>235</xdr:row>
      <xdr:rowOff>37310</xdr:rowOff>
    </xdr:from>
    <xdr:to>
      <xdr:col>7</xdr:col>
      <xdr:colOff>652171</xdr:colOff>
      <xdr:row>253</xdr:row>
      <xdr:rowOff>81550</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112869" y="50070230"/>
          <a:ext cx="6421942" cy="3610400"/>
          <a:chOff x="6714109" y="45815289"/>
          <a:chExt cx="6229454" cy="3622327"/>
        </a:xfrm>
      </xdr:grpSpPr>
      <xdr:pic>
        <xdr:nvPicPr>
          <xdr:cNvPr id="2" name="Picture 1">
            <a:extLst>
              <a:ext uri="{FF2B5EF4-FFF2-40B4-BE49-F238E27FC236}">
                <a16:creationId xmlns:a16="http://schemas.microsoft.com/office/drawing/2014/main" id="{58EC75E4-29DC-4702-E886-63639169B3F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714109" y="45815289"/>
            <a:ext cx="6229454" cy="3622327"/>
          </a:xfrm>
          <a:prstGeom prst="rect">
            <a:avLst/>
          </a:prstGeom>
          <a:ln w="19050">
            <a:solidFill>
              <a:schemeClr val="tx1"/>
            </a:solidFill>
          </a:ln>
        </xdr:spPr>
      </xdr:pic>
      <xdr:sp macro="" textlink="">
        <xdr:nvSpPr>
          <xdr:cNvPr id="3" name="Rectangle 2">
            <a:extLst>
              <a:ext uri="{FF2B5EF4-FFF2-40B4-BE49-F238E27FC236}">
                <a16:creationId xmlns:a16="http://schemas.microsoft.com/office/drawing/2014/main" id="{465CEEF5-8AD5-2783-008A-06A03ED19796}"/>
              </a:ext>
            </a:extLst>
          </xdr:cNvPr>
          <xdr:cNvSpPr/>
        </xdr:nvSpPr>
        <xdr:spPr>
          <a:xfrm>
            <a:off x="8271991" y="46326777"/>
            <a:ext cx="1587288" cy="1220405"/>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x-none" sz="1100"/>
          </a:p>
        </xdr:txBody>
      </xdr:sp>
      <xdr:sp macro="" textlink="">
        <xdr:nvSpPr>
          <xdr:cNvPr id="4" name="Rectangle 3">
            <a:extLst>
              <a:ext uri="{FF2B5EF4-FFF2-40B4-BE49-F238E27FC236}">
                <a16:creationId xmlns:a16="http://schemas.microsoft.com/office/drawing/2014/main" id="{9AC3E05A-2D9C-4CB8-A648-50656F3A108C}"/>
              </a:ext>
            </a:extLst>
          </xdr:cNvPr>
          <xdr:cNvSpPr/>
        </xdr:nvSpPr>
        <xdr:spPr>
          <a:xfrm>
            <a:off x="7237984" y="47765014"/>
            <a:ext cx="1234032" cy="10792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x-none" sz="1100"/>
          </a:p>
        </xdr:txBody>
      </xdr:sp>
      <xdr:sp macro="" textlink="">
        <xdr:nvSpPr>
          <xdr:cNvPr id="10" name="Rectangle 9">
            <a:extLst>
              <a:ext uri="{FF2B5EF4-FFF2-40B4-BE49-F238E27FC236}">
                <a16:creationId xmlns:a16="http://schemas.microsoft.com/office/drawing/2014/main" id="{2EB1E50B-1076-44AC-A6C8-ABA9845991BB}"/>
              </a:ext>
            </a:extLst>
          </xdr:cNvPr>
          <xdr:cNvSpPr/>
        </xdr:nvSpPr>
        <xdr:spPr>
          <a:xfrm>
            <a:off x="9916429" y="46326776"/>
            <a:ext cx="1716910" cy="1542636"/>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x-none" sz="1100"/>
          </a:p>
        </xdr:txBody>
      </xdr:sp>
      <xdr:sp macro="" textlink="">
        <xdr:nvSpPr>
          <xdr:cNvPr id="11" name="TextBox 10">
            <a:extLst>
              <a:ext uri="{FF2B5EF4-FFF2-40B4-BE49-F238E27FC236}">
                <a16:creationId xmlns:a16="http://schemas.microsoft.com/office/drawing/2014/main" id="{C2E993BF-F681-6072-023A-04597F74A5E1}"/>
              </a:ext>
            </a:extLst>
          </xdr:cNvPr>
          <xdr:cNvSpPr txBox="1"/>
        </xdr:nvSpPr>
        <xdr:spPr>
          <a:xfrm>
            <a:off x="6833452" y="46046009"/>
            <a:ext cx="1390651" cy="843821"/>
          </a:xfrm>
          <a:prstGeom prst="rect">
            <a:avLst/>
          </a:prstGeom>
          <a:solidFill>
            <a:schemeClr val="bg1">
              <a:lumMod val="85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1"/>
              <a:t>Montana Phase III</a:t>
            </a:r>
            <a:br>
              <a:rPr lang="en-US" sz="1200" b="1"/>
            </a:br>
            <a:r>
              <a:rPr lang="en-US" sz="1200" b="1"/>
              <a:t>Giona (Building No.10 : Wing A</a:t>
            </a:r>
            <a:r>
              <a:rPr lang="en-US" sz="1200" b="1" baseline="0"/>
              <a:t> &amp; B)</a:t>
            </a:r>
            <a:endParaRPr lang="x-none" sz="1200" b="1"/>
          </a:p>
        </xdr:txBody>
      </xdr:sp>
      <xdr:cxnSp macro="">
        <xdr:nvCxnSpPr>
          <xdr:cNvPr id="13" name="Straight Arrow Connector 12">
            <a:extLst>
              <a:ext uri="{FF2B5EF4-FFF2-40B4-BE49-F238E27FC236}">
                <a16:creationId xmlns:a16="http://schemas.microsoft.com/office/drawing/2014/main" id="{C527FAB9-15E2-436A-E03D-369BD33B4172}"/>
              </a:ext>
            </a:extLst>
          </xdr:cNvPr>
          <xdr:cNvCxnSpPr/>
        </xdr:nvCxnSpPr>
        <xdr:spPr>
          <a:xfrm>
            <a:off x="7837305" y="46913599"/>
            <a:ext cx="463261" cy="274117"/>
          </a:xfrm>
          <a:prstGeom prst="straightConnector1">
            <a:avLst/>
          </a:prstGeom>
          <a:ln w="57150">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18" name="TextBox 17">
            <a:extLst>
              <a:ext uri="{FF2B5EF4-FFF2-40B4-BE49-F238E27FC236}">
                <a16:creationId xmlns:a16="http://schemas.microsoft.com/office/drawing/2014/main" id="{3910541C-73E2-CE39-17AD-A8340FA43F56}"/>
              </a:ext>
            </a:extLst>
          </xdr:cNvPr>
          <xdr:cNvSpPr txBox="1"/>
        </xdr:nvSpPr>
        <xdr:spPr>
          <a:xfrm>
            <a:off x="8795864" y="48020945"/>
            <a:ext cx="2518179" cy="749821"/>
          </a:xfrm>
          <a:prstGeom prst="rect">
            <a:avLst/>
          </a:prstGeom>
          <a:solidFill>
            <a:schemeClr val="bg1">
              <a:lumMod val="85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400" b="1">
                <a:solidFill>
                  <a:srgbClr val="FF0000"/>
                </a:solidFill>
              </a:rPr>
              <a:t>Montana Phase</a:t>
            </a:r>
            <a:r>
              <a:rPr lang="en-US" sz="1400" b="1" baseline="0">
                <a:solidFill>
                  <a:srgbClr val="FF0000"/>
                </a:solidFill>
              </a:rPr>
              <a:t> 4</a:t>
            </a:r>
            <a:r>
              <a:rPr lang="en-US" sz="1400" b="1">
                <a:solidFill>
                  <a:srgbClr val="FF0000"/>
                </a:solidFill>
              </a:rPr>
              <a:t> </a:t>
            </a:r>
          </a:p>
          <a:p>
            <a:pPr algn="ctr"/>
            <a:r>
              <a:rPr lang="en-US" sz="1400" b="1">
                <a:solidFill>
                  <a:srgbClr val="FF0000"/>
                </a:solidFill>
              </a:rPr>
              <a:t>Blissberg </a:t>
            </a:r>
          </a:p>
          <a:p>
            <a:pPr algn="ctr"/>
            <a:r>
              <a:rPr lang="en-US" sz="1400" b="1">
                <a:solidFill>
                  <a:srgbClr val="FF0000"/>
                </a:solidFill>
              </a:rPr>
              <a:t>(Building No.10 : Wing</a:t>
            </a:r>
            <a:r>
              <a:rPr lang="en-US" sz="1400" b="1" baseline="0">
                <a:solidFill>
                  <a:srgbClr val="FF0000"/>
                </a:solidFill>
              </a:rPr>
              <a:t> C1 &amp; C2)</a:t>
            </a:r>
            <a:endParaRPr lang="x-none" sz="1400" b="1">
              <a:solidFill>
                <a:srgbClr val="FF0000"/>
              </a:solidFill>
            </a:endParaRPr>
          </a:p>
        </xdr:txBody>
      </xdr:sp>
      <xdr:cxnSp macro="">
        <xdr:nvCxnSpPr>
          <xdr:cNvPr id="19" name="Straight Arrow Connector 18">
            <a:extLst>
              <a:ext uri="{FF2B5EF4-FFF2-40B4-BE49-F238E27FC236}">
                <a16:creationId xmlns:a16="http://schemas.microsoft.com/office/drawing/2014/main" id="{3952E6B8-1EDB-4E93-8FD0-F090DD542928}"/>
              </a:ext>
            </a:extLst>
          </xdr:cNvPr>
          <xdr:cNvCxnSpPr/>
        </xdr:nvCxnSpPr>
        <xdr:spPr>
          <a:xfrm flipH="1" flipV="1">
            <a:off x="8500591" y="48077721"/>
            <a:ext cx="304800" cy="217833"/>
          </a:xfrm>
          <a:prstGeom prst="straightConnector1">
            <a:avLst/>
          </a:prstGeom>
          <a:ln w="57150">
            <a:solidFill>
              <a:srgbClr val="FF000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29" name="TextBox 28">
            <a:extLst>
              <a:ext uri="{FF2B5EF4-FFF2-40B4-BE49-F238E27FC236}">
                <a16:creationId xmlns:a16="http://schemas.microsoft.com/office/drawing/2014/main" id="{3B9F5B38-FAB2-4E8A-80CB-CF307282A2A6}"/>
              </a:ext>
            </a:extLst>
          </xdr:cNvPr>
          <xdr:cNvSpPr txBox="1"/>
        </xdr:nvSpPr>
        <xdr:spPr>
          <a:xfrm>
            <a:off x="11652390" y="45919687"/>
            <a:ext cx="1276762" cy="843821"/>
          </a:xfrm>
          <a:prstGeom prst="rect">
            <a:avLst/>
          </a:prstGeom>
          <a:solidFill>
            <a:schemeClr val="bg1">
              <a:lumMod val="85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1"/>
              <a:t>Montana Phase I Blissberg (Building No.7 : Wing</a:t>
            </a:r>
            <a:r>
              <a:rPr lang="en-US" sz="1200" b="1" baseline="0"/>
              <a:t> A &amp; B)</a:t>
            </a:r>
            <a:endParaRPr lang="x-none" sz="1200" b="1"/>
          </a:p>
        </xdr:txBody>
      </xdr:sp>
    </xdr:grpSp>
    <xdr:clientData/>
  </xdr:twoCellAnchor>
  <xdr:twoCellAnchor>
    <xdr:from>
      <xdr:col>14</xdr:col>
      <xdr:colOff>171452</xdr:colOff>
      <xdr:row>238</xdr:row>
      <xdr:rowOff>153266</xdr:rowOff>
    </xdr:from>
    <xdr:to>
      <xdr:col>14</xdr:col>
      <xdr:colOff>476251</xdr:colOff>
      <xdr:row>241</xdr:row>
      <xdr:rowOff>172316</xdr:rowOff>
    </xdr:to>
    <xdr:cxnSp macro="">
      <xdr:nvCxnSpPr>
        <xdr:cNvPr id="30" name="Straight Arrow Connector 29">
          <a:extLst>
            <a:ext uri="{FF2B5EF4-FFF2-40B4-BE49-F238E27FC236}">
              <a16:creationId xmlns:a16="http://schemas.microsoft.com/office/drawing/2014/main" id="{E9DB9047-8CC1-4A05-BD75-E38F1F5EA9B2}"/>
            </a:ext>
          </a:extLst>
        </xdr:cNvPr>
        <xdr:cNvCxnSpPr/>
      </xdr:nvCxnSpPr>
      <xdr:spPr>
        <a:xfrm flipH="1">
          <a:off x="11644747" y="45275789"/>
          <a:ext cx="304799" cy="616527"/>
        </a:xfrm>
        <a:prstGeom prst="straightConnector1">
          <a:avLst/>
        </a:prstGeom>
        <a:ln w="57150">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8</xdr:col>
      <xdr:colOff>1126701</xdr:colOff>
      <xdr:row>53</xdr:row>
      <xdr:rowOff>95251</xdr:rowOff>
    </xdr:from>
    <xdr:to>
      <xdr:col>12</xdr:col>
      <xdr:colOff>503648</xdr:colOff>
      <xdr:row>64</xdr:row>
      <xdr:rowOff>28010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7659730" y="12892369"/>
          <a:ext cx="2763925" cy="2755424"/>
        </a:xfrm>
        <a:prstGeom prst="rect">
          <a:avLst/>
        </a:prstGeom>
      </xdr:spPr>
    </xdr:pic>
    <xdr:clientData/>
  </xdr:twoCellAnchor>
  <xdr:twoCellAnchor editAs="oneCell">
    <xdr:from>
      <xdr:col>1</xdr:col>
      <xdr:colOff>57979</xdr:colOff>
      <xdr:row>279</xdr:row>
      <xdr:rowOff>8282</xdr:rowOff>
    </xdr:from>
    <xdr:to>
      <xdr:col>6</xdr:col>
      <xdr:colOff>717056</xdr:colOff>
      <xdr:row>295</xdr:row>
      <xdr:rowOff>67761</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19979" y="51277630"/>
          <a:ext cx="4808664" cy="3240000"/>
        </a:xfrm>
        <a:prstGeom prst="rect">
          <a:avLst/>
        </a:prstGeom>
        <a:ln>
          <a:solidFill>
            <a:schemeClr val="tx1"/>
          </a:solidFill>
        </a:ln>
      </xdr:spPr>
    </xdr:pic>
    <xdr:clientData/>
  </xdr:twoCellAnchor>
  <xdr:twoCellAnchor>
    <xdr:from>
      <xdr:col>0</xdr:col>
      <xdr:colOff>364435</xdr:colOff>
      <xdr:row>295</xdr:row>
      <xdr:rowOff>154405</xdr:rowOff>
    </xdr:from>
    <xdr:to>
      <xdr:col>7</xdr:col>
      <xdr:colOff>434283</xdr:colOff>
      <xdr:row>315</xdr:row>
      <xdr:rowOff>33153</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364435" y="58706485"/>
          <a:ext cx="5952488" cy="3841148"/>
          <a:chOff x="0" y="55250320"/>
          <a:chExt cx="5760000" cy="3854400"/>
        </a:xfrm>
      </xdr:grpSpPr>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0" y="55250320"/>
            <a:ext cx="5760000" cy="3854400"/>
          </a:xfrm>
          <a:prstGeom prst="rect">
            <a:avLst/>
          </a:prstGeom>
          <a:ln>
            <a:solidFill>
              <a:schemeClr val="tx1"/>
            </a:solidFill>
          </a:ln>
        </xdr:spPr>
      </xdr:pic>
      <xdr:sp macro="" textlink="">
        <xdr:nvSpPr>
          <xdr:cNvPr id="51" name="Rectangle 50">
            <a:extLst>
              <a:ext uri="{FF2B5EF4-FFF2-40B4-BE49-F238E27FC236}">
                <a16:creationId xmlns:a16="http://schemas.microsoft.com/office/drawing/2014/main" id="{00000000-0008-0000-0000-000033000000}"/>
              </a:ext>
            </a:extLst>
          </xdr:cNvPr>
          <xdr:cNvSpPr/>
        </xdr:nvSpPr>
        <xdr:spPr>
          <a:xfrm rot="1947742">
            <a:off x="2315845" y="55954359"/>
            <a:ext cx="693888" cy="735584"/>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2" name="TextBox 51">
            <a:extLst>
              <a:ext uri="{FF2B5EF4-FFF2-40B4-BE49-F238E27FC236}">
                <a16:creationId xmlns:a16="http://schemas.microsoft.com/office/drawing/2014/main" id="{00000000-0008-0000-0000-000034000000}"/>
              </a:ext>
            </a:extLst>
          </xdr:cNvPr>
          <xdr:cNvSpPr txBox="1"/>
        </xdr:nvSpPr>
        <xdr:spPr>
          <a:xfrm rot="1683954">
            <a:off x="2407998" y="55724445"/>
            <a:ext cx="1239469" cy="310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IN" sz="1400" b="1">
                <a:solidFill>
                  <a:srgbClr val="FFFF00"/>
                </a:solidFill>
              </a:rPr>
              <a:t>Building No 10 </a:t>
            </a:r>
          </a:p>
        </xdr:txBody>
      </xdr:sp>
      <xdr:sp macro="" textlink="">
        <xdr:nvSpPr>
          <xdr:cNvPr id="53" name="Rectangle 52">
            <a:extLst>
              <a:ext uri="{FF2B5EF4-FFF2-40B4-BE49-F238E27FC236}">
                <a16:creationId xmlns:a16="http://schemas.microsoft.com/office/drawing/2014/main" id="{00000000-0008-0000-0000-000035000000}"/>
              </a:ext>
            </a:extLst>
          </xdr:cNvPr>
          <xdr:cNvSpPr/>
        </xdr:nvSpPr>
        <xdr:spPr>
          <a:xfrm rot="20188297">
            <a:off x="1361250" y="57154108"/>
            <a:ext cx="1746139" cy="514834"/>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4" name="TextBox 53">
            <a:extLst>
              <a:ext uri="{FF2B5EF4-FFF2-40B4-BE49-F238E27FC236}">
                <a16:creationId xmlns:a16="http://schemas.microsoft.com/office/drawing/2014/main" id="{00000000-0008-0000-0000-000036000000}"/>
              </a:ext>
            </a:extLst>
          </xdr:cNvPr>
          <xdr:cNvSpPr txBox="1"/>
        </xdr:nvSpPr>
        <xdr:spPr>
          <a:xfrm rot="20421375">
            <a:off x="1083585" y="56928435"/>
            <a:ext cx="1162737" cy="261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solidFill>
                  <a:srgbClr val="FFFF00"/>
                </a:solidFill>
              </a:rPr>
              <a:t>Building No. 7 </a:t>
            </a:r>
          </a:p>
        </xdr:txBody>
      </xdr:sp>
    </xdr:grpSp>
    <xdr:clientData/>
  </xdr:twoCellAnchor>
  <xdr:oneCellAnchor>
    <xdr:from>
      <xdr:col>8</xdr:col>
      <xdr:colOff>1133475</xdr:colOff>
      <xdr:row>191</xdr:row>
      <xdr:rowOff>76200</xdr:rowOff>
    </xdr:from>
    <xdr:ext cx="1358385" cy="530658"/>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7658100" y="42976800"/>
          <a:ext cx="135838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IN" sz="1400" b="1">
              <a:solidFill>
                <a:srgbClr val="FF0000"/>
              </a:solidFill>
            </a:rPr>
            <a:t>Building No. 10 </a:t>
          </a:r>
        </a:p>
        <a:p>
          <a:pPr algn="ctr"/>
          <a:r>
            <a:rPr lang="en-IN" sz="1400" b="1">
              <a:solidFill>
                <a:srgbClr val="FF0000"/>
              </a:solidFill>
            </a:rPr>
            <a:t>Wing</a:t>
          </a:r>
          <a:r>
            <a:rPr lang="en-IN" sz="1400" b="1" baseline="0">
              <a:solidFill>
                <a:srgbClr val="FF0000"/>
              </a:solidFill>
            </a:rPr>
            <a:t> C1</a:t>
          </a:r>
          <a:endParaRPr lang="en-IN" sz="1400" b="1">
            <a:solidFill>
              <a:srgbClr val="FF0000"/>
            </a:solidFill>
          </a:endParaRPr>
        </a:p>
      </xdr:txBody>
    </xdr:sp>
    <xdr:clientData/>
  </xdr:oneCellAnchor>
  <xdr:oneCellAnchor>
    <xdr:from>
      <xdr:col>8</xdr:col>
      <xdr:colOff>816105</xdr:colOff>
      <xdr:row>196</xdr:row>
      <xdr:rowOff>28575</xdr:rowOff>
    </xdr:from>
    <xdr:ext cx="1358385" cy="530658"/>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7340730" y="43919775"/>
          <a:ext cx="135838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IN" sz="1400" b="1">
              <a:solidFill>
                <a:srgbClr val="FF0000"/>
              </a:solidFill>
            </a:rPr>
            <a:t>Building No. 10 </a:t>
          </a:r>
        </a:p>
        <a:p>
          <a:pPr algn="ctr"/>
          <a:r>
            <a:rPr lang="en-IN" sz="1400" b="1">
              <a:solidFill>
                <a:srgbClr val="FF0000"/>
              </a:solidFill>
            </a:rPr>
            <a:t>Wing</a:t>
          </a:r>
          <a:r>
            <a:rPr lang="en-IN" sz="1400" b="1" baseline="0">
              <a:solidFill>
                <a:srgbClr val="FF0000"/>
              </a:solidFill>
            </a:rPr>
            <a:t> C2</a:t>
          </a:r>
          <a:endParaRPr lang="en-IN" sz="1400" b="1">
            <a:solidFill>
              <a:srgbClr val="FF0000"/>
            </a:solidFill>
          </a:endParaRPr>
        </a:p>
      </xdr:txBody>
    </xdr:sp>
    <xdr:clientData/>
  </xdr:oneCellAnchor>
  <xdr:twoCellAnchor>
    <xdr:from>
      <xdr:col>8</xdr:col>
      <xdr:colOff>495430</xdr:colOff>
      <xdr:row>198</xdr:row>
      <xdr:rowOff>168275</xdr:rowOff>
    </xdr:from>
    <xdr:to>
      <xdr:col>8</xdr:col>
      <xdr:colOff>717423</xdr:colOff>
      <xdr:row>201</xdr:row>
      <xdr:rowOff>113867</xdr:rowOff>
    </xdr:to>
    <xdr:cxnSp macro="">
      <xdr:nvCxnSpPr>
        <xdr:cNvPr id="31" name="Straight Arrow Connector 30">
          <a:extLst>
            <a:ext uri="{FF2B5EF4-FFF2-40B4-BE49-F238E27FC236}">
              <a16:creationId xmlns:a16="http://schemas.microsoft.com/office/drawing/2014/main" id="{00000000-0008-0000-0000-00001F000000}"/>
            </a:ext>
          </a:extLst>
        </xdr:cNvPr>
        <xdr:cNvCxnSpPr/>
      </xdr:nvCxnSpPr>
      <xdr:spPr>
        <a:xfrm flipH="1">
          <a:off x="7340730" y="43919775"/>
          <a:ext cx="221993" cy="5361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43649</xdr:colOff>
      <xdr:row>204</xdr:row>
      <xdr:rowOff>107950</xdr:rowOff>
    </xdr:from>
    <xdr:to>
      <xdr:col>13</xdr:col>
      <xdr:colOff>136218</xdr:colOff>
      <xdr:row>206</xdr:row>
      <xdr:rowOff>76200</xdr:rowOff>
    </xdr:to>
    <xdr:cxnSp macro="">
      <xdr:nvCxnSpPr>
        <xdr:cNvPr id="59" name="Straight Arrow Connector 58">
          <a:extLst>
            <a:ext uri="{FF2B5EF4-FFF2-40B4-BE49-F238E27FC236}">
              <a16:creationId xmlns:a16="http://schemas.microsoft.com/office/drawing/2014/main" id="{00000000-0008-0000-0000-00003B000000}"/>
            </a:ext>
          </a:extLst>
        </xdr:cNvPr>
        <xdr:cNvCxnSpPr>
          <a:cxnSpLocks/>
        </xdr:cNvCxnSpPr>
      </xdr:nvCxnSpPr>
      <xdr:spPr>
        <a:xfrm flipH="1" flipV="1">
          <a:off x="10740224" y="44989750"/>
          <a:ext cx="92569" cy="3683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1159782</xdr:colOff>
      <xdr:row>194</xdr:row>
      <xdr:rowOff>135161</xdr:rowOff>
    </xdr:from>
    <xdr:to>
      <xdr:col>9</xdr:col>
      <xdr:colOff>409575</xdr:colOff>
      <xdr:row>197</xdr:row>
      <xdr:rowOff>66675</xdr:rowOff>
    </xdr:to>
    <xdr:cxnSp macro="">
      <xdr:nvCxnSpPr>
        <xdr:cNvPr id="61" name="Straight Arrow Connector 60">
          <a:extLst>
            <a:ext uri="{FF2B5EF4-FFF2-40B4-BE49-F238E27FC236}">
              <a16:creationId xmlns:a16="http://schemas.microsoft.com/office/drawing/2014/main" id="{00000000-0008-0000-0000-00003D000000}"/>
            </a:ext>
          </a:extLst>
        </xdr:cNvPr>
        <xdr:cNvCxnSpPr>
          <a:cxnSpLocks/>
        </xdr:cNvCxnSpPr>
      </xdr:nvCxnSpPr>
      <xdr:spPr>
        <a:xfrm>
          <a:off x="7684407" y="43026236"/>
          <a:ext cx="411843" cy="5220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186</xdr:row>
      <xdr:rowOff>159455</xdr:rowOff>
    </xdr:from>
    <xdr:to>
      <xdr:col>9</xdr:col>
      <xdr:colOff>504970</xdr:colOff>
      <xdr:row>188</xdr:row>
      <xdr:rowOff>169079</xdr:rowOff>
    </xdr:to>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8064500" y="40977255"/>
          <a:ext cx="504970" cy="403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C1</a:t>
          </a:r>
        </a:p>
      </xdr:txBody>
    </xdr:sp>
    <xdr:clientData/>
  </xdr:twoCellAnchor>
  <xdr:twoCellAnchor>
    <xdr:from>
      <xdr:col>10</xdr:col>
      <xdr:colOff>368262</xdr:colOff>
      <xdr:row>186</xdr:row>
      <xdr:rowOff>0</xdr:rowOff>
    </xdr:from>
    <xdr:to>
      <xdr:col>11</xdr:col>
      <xdr:colOff>85832</xdr:colOff>
      <xdr:row>188</xdr:row>
      <xdr:rowOff>9624</xdr:rowOff>
    </xdr:to>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9232862" y="40817800"/>
          <a:ext cx="504970" cy="403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C2</a:t>
          </a:r>
        </a:p>
      </xdr:txBody>
    </xdr:sp>
    <xdr:clientData/>
  </xdr:twoCellAnchor>
  <xdr:twoCellAnchor>
    <xdr:from>
      <xdr:col>8</xdr:col>
      <xdr:colOff>1163320</xdr:colOff>
      <xdr:row>191</xdr:row>
      <xdr:rowOff>6350</xdr:rowOff>
    </xdr:from>
    <xdr:to>
      <xdr:col>16</xdr:col>
      <xdr:colOff>520103</xdr:colOff>
      <xdr:row>222</xdr:row>
      <xdr:rowOff>178069</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7899400" y="41329610"/>
          <a:ext cx="5978563" cy="6305819"/>
          <a:chOff x="355600" y="42119550"/>
          <a:chExt cx="6071273" cy="6266449"/>
        </a:xfrm>
      </xdr:grpSpPr>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459966" y="42119550"/>
            <a:ext cx="2966907" cy="3960000"/>
          </a:xfrm>
          <a:prstGeom prst="rect">
            <a:avLst/>
          </a:prstGeom>
          <a:ln>
            <a:solidFill>
              <a:schemeClr val="tx1"/>
            </a:solidFill>
          </a:ln>
        </xdr:spPr>
      </xdr:pic>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55600" y="42119550"/>
            <a:ext cx="2966907" cy="3960000"/>
          </a:xfrm>
          <a:prstGeom prst="rect">
            <a:avLst/>
          </a:prstGeom>
          <a:ln>
            <a:solidFill>
              <a:schemeClr val="tx1"/>
            </a:solidFill>
          </a:ln>
        </xdr:spPr>
      </xdr:pic>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649122" y="46225999"/>
            <a:ext cx="1621688" cy="2160000"/>
          </a:xfrm>
          <a:prstGeom prst="rect">
            <a:avLst/>
          </a:prstGeom>
          <a:ln>
            <a:solidFill>
              <a:schemeClr val="tx1"/>
            </a:solidFill>
          </a:ln>
        </xdr:spPr>
      </xdr:pic>
      <xdr:sp macro="" textlink="">
        <xdr:nvSpPr>
          <xdr:cNvPr id="55" name="TextBox 54">
            <a:extLst>
              <a:ext uri="{FF2B5EF4-FFF2-40B4-BE49-F238E27FC236}">
                <a16:creationId xmlns:a16="http://schemas.microsoft.com/office/drawing/2014/main" id="{00000000-0008-0000-0000-000037000000}"/>
              </a:ext>
            </a:extLst>
          </xdr:cNvPr>
          <xdr:cNvSpPr txBox="1"/>
        </xdr:nvSpPr>
        <xdr:spPr>
          <a:xfrm>
            <a:off x="1092200" y="42672705"/>
            <a:ext cx="504970" cy="403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C1</a:t>
            </a:r>
          </a:p>
        </xdr:txBody>
      </xdr:sp>
      <xdr:sp macro="" textlink="">
        <xdr:nvSpPr>
          <xdr:cNvPr id="62" name="TextBox 61">
            <a:extLst>
              <a:ext uri="{FF2B5EF4-FFF2-40B4-BE49-F238E27FC236}">
                <a16:creationId xmlns:a16="http://schemas.microsoft.com/office/drawing/2014/main" id="{00000000-0008-0000-0000-00003E000000}"/>
              </a:ext>
            </a:extLst>
          </xdr:cNvPr>
          <xdr:cNvSpPr txBox="1"/>
        </xdr:nvSpPr>
        <xdr:spPr>
          <a:xfrm>
            <a:off x="2063712" y="42354500"/>
            <a:ext cx="504970" cy="403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C2</a:t>
            </a:r>
          </a:p>
        </xdr:txBody>
      </xdr:sp>
    </xdr:grpSp>
    <xdr:clientData/>
  </xdr:twoCellAnchor>
  <xdr:twoCellAnchor>
    <xdr:from>
      <xdr:col>0</xdr:col>
      <xdr:colOff>335280</xdr:colOff>
      <xdr:row>193</xdr:row>
      <xdr:rowOff>0</xdr:rowOff>
    </xdr:from>
    <xdr:to>
      <xdr:col>7</xdr:col>
      <xdr:colOff>510448</xdr:colOff>
      <xdr:row>225</xdr:row>
      <xdr:rowOff>140340</xdr:rowOff>
    </xdr:to>
    <xdr:grpSp>
      <xdr:nvGrpSpPr>
        <xdr:cNvPr id="6" name="Group 5">
          <a:extLst>
            <a:ext uri="{FF2B5EF4-FFF2-40B4-BE49-F238E27FC236}">
              <a16:creationId xmlns:a16="http://schemas.microsoft.com/office/drawing/2014/main" id="{2BE77056-FA5D-0A12-6CBB-16A90919C3E4}"/>
            </a:ext>
          </a:extLst>
        </xdr:cNvPr>
        <xdr:cNvGrpSpPr/>
      </xdr:nvGrpSpPr>
      <xdr:grpSpPr>
        <a:xfrm>
          <a:off x="335280" y="41719500"/>
          <a:ext cx="6057808" cy="6472560"/>
          <a:chOff x="401002" y="299400"/>
          <a:chExt cx="6057808" cy="6472560"/>
        </a:xfrm>
      </xdr:grpSpPr>
      <xdr:grpSp>
        <xdr:nvGrpSpPr>
          <xdr:cNvPr id="7" name="Group 6">
            <a:extLst>
              <a:ext uri="{FF2B5EF4-FFF2-40B4-BE49-F238E27FC236}">
                <a16:creationId xmlns:a16="http://schemas.microsoft.com/office/drawing/2014/main" id="{786169D7-DF61-9833-8603-6E9A2BDB2AE2}"/>
              </a:ext>
            </a:extLst>
          </xdr:cNvPr>
          <xdr:cNvGrpSpPr/>
        </xdr:nvGrpSpPr>
        <xdr:grpSpPr>
          <a:xfrm>
            <a:off x="401002" y="4251960"/>
            <a:ext cx="6057808" cy="2520000"/>
            <a:chOff x="401002" y="4251960"/>
            <a:chExt cx="6057808" cy="2520000"/>
          </a:xfrm>
        </xdr:grpSpPr>
        <xdr:pic>
          <xdr:nvPicPr>
            <xdr:cNvPr id="17" name="Picture 16">
              <a:extLst>
                <a:ext uri="{FF2B5EF4-FFF2-40B4-BE49-F238E27FC236}">
                  <a16:creationId xmlns:a16="http://schemas.microsoft.com/office/drawing/2014/main" id="{58060831-F184-3171-DAA2-3A6E0BE2DE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563538" y="4251960"/>
              <a:ext cx="1895272" cy="2520000"/>
            </a:xfrm>
            <a:prstGeom prst="rect">
              <a:avLst/>
            </a:prstGeom>
            <a:ln>
              <a:solidFill>
                <a:schemeClr val="tx1"/>
              </a:solidFill>
            </a:ln>
          </xdr:spPr>
        </xdr:pic>
        <xdr:pic>
          <xdr:nvPicPr>
            <xdr:cNvPr id="20" name="Picture 19">
              <a:extLst>
                <a:ext uri="{FF2B5EF4-FFF2-40B4-BE49-F238E27FC236}">
                  <a16:creationId xmlns:a16="http://schemas.microsoft.com/office/drawing/2014/main" id="{2FDFA166-C033-DF07-C0F6-293B1F3A2D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1002" y="4251960"/>
              <a:ext cx="1895272" cy="2520000"/>
            </a:xfrm>
            <a:prstGeom prst="rect">
              <a:avLst/>
            </a:prstGeom>
            <a:ln>
              <a:solidFill>
                <a:schemeClr val="tx1"/>
              </a:solidFill>
            </a:ln>
          </xdr:spPr>
        </xdr:pic>
        <xdr:pic>
          <xdr:nvPicPr>
            <xdr:cNvPr id="21" name="Picture 20">
              <a:extLst>
                <a:ext uri="{FF2B5EF4-FFF2-40B4-BE49-F238E27FC236}">
                  <a16:creationId xmlns:a16="http://schemas.microsoft.com/office/drawing/2014/main" id="{11504D28-D492-8E4D-30BD-5F54C0E957B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82270" y="4251960"/>
              <a:ext cx="1895272" cy="2520000"/>
            </a:xfrm>
            <a:prstGeom prst="rect">
              <a:avLst/>
            </a:prstGeom>
            <a:ln>
              <a:solidFill>
                <a:schemeClr val="tx1"/>
              </a:solidFill>
            </a:ln>
          </xdr:spPr>
        </xdr:pic>
      </xdr:grpSp>
      <xdr:grpSp>
        <xdr:nvGrpSpPr>
          <xdr:cNvPr id="12" name="Group 11">
            <a:extLst>
              <a:ext uri="{FF2B5EF4-FFF2-40B4-BE49-F238E27FC236}">
                <a16:creationId xmlns:a16="http://schemas.microsoft.com/office/drawing/2014/main" id="{5E40B176-3CCD-E47D-392F-C54CCA718FE6}"/>
              </a:ext>
            </a:extLst>
          </xdr:cNvPr>
          <xdr:cNvGrpSpPr/>
        </xdr:nvGrpSpPr>
        <xdr:grpSpPr>
          <a:xfrm>
            <a:off x="460667" y="299400"/>
            <a:ext cx="5938478" cy="3829318"/>
            <a:chOff x="401002" y="299400"/>
            <a:chExt cx="5938478" cy="3829318"/>
          </a:xfrm>
        </xdr:grpSpPr>
        <xdr:pic>
          <xdr:nvPicPr>
            <xdr:cNvPr id="14" name="Picture 13">
              <a:extLst>
                <a:ext uri="{FF2B5EF4-FFF2-40B4-BE49-F238E27FC236}">
                  <a16:creationId xmlns:a16="http://schemas.microsoft.com/office/drawing/2014/main" id="{0DE2E584-1351-2E7E-4822-CF8CF5EFC9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59480" y="299400"/>
              <a:ext cx="2880000" cy="3829318"/>
            </a:xfrm>
            <a:prstGeom prst="rect">
              <a:avLst/>
            </a:prstGeom>
            <a:ln>
              <a:solidFill>
                <a:schemeClr val="tx1"/>
              </a:solidFill>
            </a:ln>
          </xdr:spPr>
        </xdr:pic>
        <xdr:pic>
          <xdr:nvPicPr>
            <xdr:cNvPr id="15" name="Picture 14">
              <a:extLst>
                <a:ext uri="{FF2B5EF4-FFF2-40B4-BE49-F238E27FC236}">
                  <a16:creationId xmlns:a16="http://schemas.microsoft.com/office/drawing/2014/main" id="{74390E7D-B6B1-22A7-DA44-2CCD55C25D9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002" y="299400"/>
              <a:ext cx="2880000" cy="3829318"/>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8</xdr:col>
      <xdr:colOff>100534</xdr:colOff>
      <xdr:row>39</xdr:row>
      <xdr:rowOff>129000</xdr:rowOff>
    </xdr:to>
    <xdr:pic>
      <xdr:nvPicPr>
        <xdr:cNvPr id="2" name="Picture 1">
          <a:extLst>
            <a:ext uri="{FF2B5EF4-FFF2-40B4-BE49-F238E27FC236}">
              <a16:creationId xmlns:a16="http://schemas.microsoft.com/office/drawing/2014/main" id="{F71E29B0-8274-8AB3-2912-12406666928E}"/>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422"/>
        <a:stretch/>
      </xdr:blipFill>
      <xdr:spPr>
        <a:xfrm>
          <a:off x="582706" y="3249706"/>
          <a:ext cx="8930769" cy="4320000"/>
        </a:xfrm>
        <a:prstGeom prst="rect">
          <a:avLst/>
        </a:prstGeom>
        <a:ln>
          <a:solidFill>
            <a:schemeClr val="tx1"/>
          </a:solidFill>
        </a:ln>
      </xdr:spPr>
    </xdr:pic>
    <xdr:clientData/>
  </xdr:twoCellAnchor>
  <xdr:twoCellAnchor editAs="oneCell">
    <xdr:from>
      <xdr:col>1</xdr:col>
      <xdr:colOff>0</xdr:colOff>
      <xdr:row>42</xdr:row>
      <xdr:rowOff>79413</xdr:rowOff>
    </xdr:from>
    <xdr:to>
      <xdr:col>8</xdr:col>
      <xdr:colOff>4946</xdr:colOff>
      <xdr:row>65</xdr:row>
      <xdr:rowOff>17913</xdr:rowOff>
    </xdr:to>
    <xdr:pic>
      <xdr:nvPicPr>
        <xdr:cNvPr id="3" name="Picture 2">
          <a:extLst>
            <a:ext uri="{FF2B5EF4-FFF2-40B4-BE49-F238E27FC236}">
              <a16:creationId xmlns:a16="http://schemas.microsoft.com/office/drawing/2014/main" id="{678BB6C6-D558-DB9A-49B3-8123F82B4F3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82706" y="8091619"/>
          <a:ext cx="8835181" cy="432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wZQmnAsLUydg4zGfA"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278"/>
  <sheetViews>
    <sheetView tabSelected="1" view="pageBreakPreview" topLeftCell="A2" zoomScaleNormal="100" zoomScaleSheetLayoutView="100" workbookViewId="0">
      <selection activeCell="L9" sqref="L9"/>
    </sheetView>
  </sheetViews>
  <sheetFormatPr defaultColWidth="9.21875" defaultRowHeight="15.6" x14ac:dyDescent="0.3"/>
  <cols>
    <col min="1" max="1" width="11.44140625" style="39" customWidth="1"/>
    <col min="2" max="2" width="12" style="39" customWidth="1"/>
    <col min="3" max="3" width="12.77734375" style="39" customWidth="1"/>
    <col min="4" max="4" width="14.21875" style="39" customWidth="1"/>
    <col min="5" max="7" width="11.77734375" style="39" customWidth="1"/>
    <col min="8" max="8" width="12.44140625" style="39" customWidth="1"/>
    <col min="9" max="9" width="17.44140625" style="20" customWidth="1"/>
    <col min="10" max="10" width="11.44140625" style="20" customWidth="1"/>
    <col min="11" max="11" width="11.21875" style="20" bestFit="1" customWidth="1"/>
    <col min="12" max="12" width="10.5546875" style="20" customWidth="1"/>
    <col min="13" max="13" width="11.77734375" style="20" customWidth="1"/>
    <col min="14" max="14" width="12.5546875" style="20" customWidth="1"/>
    <col min="15" max="15" width="9.77734375" style="20" customWidth="1"/>
    <col min="16" max="16" width="11.77734375" style="20" customWidth="1"/>
    <col min="17" max="247" width="9.21875" style="20"/>
    <col min="248" max="248" width="8.77734375" style="20" customWidth="1"/>
    <col min="249" max="249" width="9.77734375" style="20" customWidth="1"/>
    <col min="250" max="250" width="14.44140625" style="20" customWidth="1"/>
    <col min="251" max="251" width="7.21875" style="20" customWidth="1"/>
    <col min="252" max="252" width="5.5546875" style="20" customWidth="1"/>
    <col min="253" max="253" width="9" style="20" customWidth="1"/>
    <col min="254" max="255" width="9.77734375" style="20" customWidth="1"/>
    <col min="256" max="256" width="11.21875" style="20" customWidth="1"/>
    <col min="257" max="257" width="2.77734375" style="20" customWidth="1"/>
    <col min="258" max="258" width="3.5546875" style="20" customWidth="1"/>
    <col min="259" max="503" width="9.21875" style="20"/>
    <col min="504" max="504" width="8.77734375" style="20" customWidth="1"/>
    <col min="505" max="505" width="9.77734375" style="20" customWidth="1"/>
    <col min="506" max="506" width="14.44140625" style="20" customWidth="1"/>
    <col min="507" max="507" width="7.21875" style="20" customWidth="1"/>
    <col min="508" max="508" width="5.5546875" style="20" customWidth="1"/>
    <col min="509" max="509" width="9" style="20" customWidth="1"/>
    <col min="510" max="511" width="9.77734375" style="20" customWidth="1"/>
    <col min="512" max="512" width="11.21875" style="20" customWidth="1"/>
    <col min="513" max="513" width="2.77734375" style="20" customWidth="1"/>
    <col min="514" max="514" width="3.5546875" style="20" customWidth="1"/>
    <col min="515" max="759" width="9.21875" style="20"/>
    <col min="760" max="760" width="8.77734375" style="20" customWidth="1"/>
    <col min="761" max="761" width="9.77734375" style="20" customWidth="1"/>
    <col min="762" max="762" width="14.44140625" style="20" customWidth="1"/>
    <col min="763" max="763" width="7.21875" style="20" customWidth="1"/>
    <col min="764" max="764" width="5.5546875" style="20" customWidth="1"/>
    <col min="765" max="765" width="9" style="20" customWidth="1"/>
    <col min="766" max="767" width="9.77734375" style="20" customWidth="1"/>
    <col min="768" max="768" width="11.21875" style="20" customWidth="1"/>
    <col min="769" max="769" width="2.77734375" style="20" customWidth="1"/>
    <col min="770" max="770" width="3.5546875" style="20" customWidth="1"/>
    <col min="771" max="1015" width="9.21875" style="20"/>
    <col min="1016" max="1016" width="8.77734375" style="20" customWidth="1"/>
    <col min="1017" max="1017" width="9.77734375" style="20" customWidth="1"/>
    <col min="1018" max="1018" width="14.44140625" style="20" customWidth="1"/>
    <col min="1019" max="1019" width="7.21875" style="20" customWidth="1"/>
    <col min="1020" max="1020" width="5.5546875" style="20" customWidth="1"/>
    <col min="1021" max="1021" width="9" style="20" customWidth="1"/>
    <col min="1022" max="1023" width="9.77734375" style="20" customWidth="1"/>
    <col min="1024" max="1024" width="11.21875" style="20" customWidth="1"/>
    <col min="1025" max="1025" width="2.77734375" style="20" customWidth="1"/>
    <col min="1026" max="1026" width="3.5546875" style="20" customWidth="1"/>
    <col min="1027" max="1271" width="9.21875" style="20"/>
    <col min="1272" max="1272" width="8.77734375" style="20" customWidth="1"/>
    <col min="1273" max="1273" width="9.77734375" style="20" customWidth="1"/>
    <col min="1274" max="1274" width="14.44140625" style="20" customWidth="1"/>
    <col min="1275" max="1275" width="7.21875" style="20" customWidth="1"/>
    <col min="1276" max="1276" width="5.5546875" style="20" customWidth="1"/>
    <col min="1277" max="1277" width="9" style="20" customWidth="1"/>
    <col min="1278" max="1279" width="9.77734375" style="20" customWidth="1"/>
    <col min="1280" max="1280" width="11.21875" style="20" customWidth="1"/>
    <col min="1281" max="1281" width="2.77734375" style="20" customWidth="1"/>
    <col min="1282" max="1282" width="3.5546875" style="20" customWidth="1"/>
    <col min="1283" max="1527" width="9.21875" style="20"/>
    <col min="1528" max="1528" width="8.77734375" style="20" customWidth="1"/>
    <col min="1529" max="1529" width="9.77734375" style="20" customWidth="1"/>
    <col min="1530" max="1530" width="14.44140625" style="20" customWidth="1"/>
    <col min="1531" max="1531" width="7.21875" style="20" customWidth="1"/>
    <col min="1532" max="1532" width="5.5546875" style="20" customWidth="1"/>
    <col min="1533" max="1533" width="9" style="20" customWidth="1"/>
    <col min="1534" max="1535" width="9.77734375" style="20" customWidth="1"/>
    <col min="1536" max="1536" width="11.21875" style="20" customWidth="1"/>
    <col min="1537" max="1537" width="2.77734375" style="20" customWidth="1"/>
    <col min="1538" max="1538" width="3.5546875" style="20" customWidth="1"/>
    <col min="1539" max="1783" width="9.21875" style="20"/>
    <col min="1784" max="1784" width="8.77734375" style="20" customWidth="1"/>
    <col min="1785" max="1785" width="9.77734375" style="20" customWidth="1"/>
    <col min="1786" max="1786" width="14.44140625" style="20" customWidth="1"/>
    <col min="1787" max="1787" width="7.21875" style="20" customWidth="1"/>
    <col min="1788" max="1788" width="5.5546875" style="20" customWidth="1"/>
    <col min="1789" max="1789" width="9" style="20" customWidth="1"/>
    <col min="1790" max="1791" width="9.77734375" style="20" customWidth="1"/>
    <col min="1792" max="1792" width="11.21875" style="20" customWidth="1"/>
    <col min="1793" max="1793" width="2.77734375" style="20" customWidth="1"/>
    <col min="1794" max="1794" width="3.5546875" style="20" customWidth="1"/>
    <col min="1795" max="2039" width="9.21875" style="20"/>
    <col min="2040" max="2040" width="8.77734375" style="20" customWidth="1"/>
    <col min="2041" max="2041" width="9.77734375" style="20" customWidth="1"/>
    <col min="2042" max="2042" width="14.44140625" style="20" customWidth="1"/>
    <col min="2043" max="2043" width="7.21875" style="20" customWidth="1"/>
    <col min="2044" max="2044" width="5.5546875" style="20" customWidth="1"/>
    <col min="2045" max="2045" width="9" style="20" customWidth="1"/>
    <col min="2046" max="2047" width="9.77734375" style="20" customWidth="1"/>
    <col min="2048" max="2048" width="11.21875" style="20" customWidth="1"/>
    <col min="2049" max="2049" width="2.77734375" style="20" customWidth="1"/>
    <col min="2050" max="2050" width="3.5546875" style="20" customWidth="1"/>
    <col min="2051" max="2295" width="9.21875" style="20"/>
    <col min="2296" max="2296" width="8.77734375" style="20" customWidth="1"/>
    <col min="2297" max="2297" width="9.77734375" style="20" customWidth="1"/>
    <col min="2298" max="2298" width="14.44140625" style="20" customWidth="1"/>
    <col min="2299" max="2299" width="7.21875" style="20" customWidth="1"/>
    <col min="2300" max="2300" width="5.5546875" style="20" customWidth="1"/>
    <col min="2301" max="2301" width="9" style="20" customWidth="1"/>
    <col min="2302" max="2303" width="9.77734375" style="20" customWidth="1"/>
    <col min="2304" max="2304" width="11.21875" style="20" customWidth="1"/>
    <col min="2305" max="2305" width="2.77734375" style="20" customWidth="1"/>
    <col min="2306" max="2306" width="3.5546875" style="20" customWidth="1"/>
    <col min="2307" max="2551" width="9.21875" style="20"/>
    <col min="2552" max="2552" width="8.77734375" style="20" customWidth="1"/>
    <col min="2553" max="2553" width="9.77734375" style="20" customWidth="1"/>
    <col min="2554" max="2554" width="14.44140625" style="20" customWidth="1"/>
    <col min="2555" max="2555" width="7.21875" style="20" customWidth="1"/>
    <col min="2556" max="2556" width="5.5546875" style="20" customWidth="1"/>
    <col min="2557" max="2557" width="9" style="20" customWidth="1"/>
    <col min="2558" max="2559" width="9.77734375" style="20" customWidth="1"/>
    <col min="2560" max="2560" width="11.21875" style="20" customWidth="1"/>
    <col min="2561" max="2561" width="2.77734375" style="20" customWidth="1"/>
    <col min="2562" max="2562" width="3.5546875" style="20" customWidth="1"/>
    <col min="2563" max="2807" width="9.21875" style="20"/>
    <col min="2808" max="2808" width="8.77734375" style="20" customWidth="1"/>
    <col min="2809" max="2809" width="9.77734375" style="20" customWidth="1"/>
    <col min="2810" max="2810" width="14.44140625" style="20" customWidth="1"/>
    <col min="2811" max="2811" width="7.21875" style="20" customWidth="1"/>
    <col min="2812" max="2812" width="5.5546875" style="20" customWidth="1"/>
    <col min="2813" max="2813" width="9" style="20" customWidth="1"/>
    <col min="2814" max="2815" width="9.77734375" style="20" customWidth="1"/>
    <col min="2816" max="2816" width="11.21875" style="20" customWidth="1"/>
    <col min="2817" max="2817" width="2.77734375" style="20" customWidth="1"/>
    <col min="2818" max="2818" width="3.5546875" style="20" customWidth="1"/>
    <col min="2819" max="3063" width="9.21875" style="20"/>
    <col min="3064" max="3064" width="8.77734375" style="20" customWidth="1"/>
    <col min="3065" max="3065" width="9.77734375" style="20" customWidth="1"/>
    <col min="3066" max="3066" width="14.44140625" style="20" customWidth="1"/>
    <col min="3067" max="3067" width="7.21875" style="20" customWidth="1"/>
    <col min="3068" max="3068" width="5.5546875" style="20" customWidth="1"/>
    <col min="3069" max="3069" width="9" style="20" customWidth="1"/>
    <col min="3070" max="3071" width="9.77734375" style="20" customWidth="1"/>
    <col min="3072" max="3072" width="11.21875" style="20" customWidth="1"/>
    <col min="3073" max="3073" width="2.77734375" style="20" customWidth="1"/>
    <col min="3074" max="3074" width="3.5546875" style="20" customWidth="1"/>
    <col min="3075" max="3319" width="9.21875" style="20"/>
    <col min="3320" max="3320" width="8.77734375" style="20" customWidth="1"/>
    <col min="3321" max="3321" width="9.77734375" style="20" customWidth="1"/>
    <col min="3322" max="3322" width="14.44140625" style="20" customWidth="1"/>
    <col min="3323" max="3323" width="7.21875" style="20" customWidth="1"/>
    <col min="3324" max="3324" width="5.5546875" style="20" customWidth="1"/>
    <col min="3325" max="3325" width="9" style="20" customWidth="1"/>
    <col min="3326" max="3327" width="9.77734375" style="20" customWidth="1"/>
    <col min="3328" max="3328" width="11.21875" style="20" customWidth="1"/>
    <col min="3329" max="3329" width="2.77734375" style="20" customWidth="1"/>
    <col min="3330" max="3330" width="3.5546875" style="20" customWidth="1"/>
    <col min="3331" max="3575" width="9.21875" style="20"/>
    <col min="3576" max="3576" width="8.77734375" style="20" customWidth="1"/>
    <col min="3577" max="3577" width="9.77734375" style="20" customWidth="1"/>
    <col min="3578" max="3578" width="14.44140625" style="20" customWidth="1"/>
    <col min="3579" max="3579" width="7.21875" style="20" customWidth="1"/>
    <col min="3580" max="3580" width="5.5546875" style="20" customWidth="1"/>
    <col min="3581" max="3581" width="9" style="20" customWidth="1"/>
    <col min="3582" max="3583" width="9.77734375" style="20" customWidth="1"/>
    <col min="3584" max="3584" width="11.21875" style="20" customWidth="1"/>
    <col min="3585" max="3585" width="2.77734375" style="20" customWidth="1"/>
    <col min="3586" max="3586" width="3.5546875" style="20" customWidth="1"/>
    <col min="3587" max="3831" width="9.21875" style="20"/>
    <col min="3832" max="3832" width="8.77734375" style="20" customWidth="1"/>
    <col min="3833" max="3833" width="9.77734375" style="20" customWidth="1"/>
    <col min="3834" max="3834" width="14.44140625" style="20" customWidth="1"/>
    <col min="3835" max="3835" width="7.21875" style="20" customWidth="1"/>
    <col min="3836" max="3836" width="5.5546875" style="20" customWidth="1"/>
    <col min="3837" max="3837" width="9" style="20" customWidth="1"/>
    <col min="3838" max="3839" width="9.77734375" style="20" customWidth="1"/>
    <col min="3840" max="3840" width="11.21875" style="20" customWidth="1"/>
    <col min="3841" max="3841" width="2.77734375" style="20" customWidth="1"/>
    <col min="3842" max="3842" width="3.5546875" style="20" customWidth="1"/>
    <col min="3843" max="4087" width="9.21875" style="20"/>
    <col min="4088" max="4088" width="8.77734375" style="20" customWidth="1"/>
    <col min="4089" max="4089" width="9.77734375" style="20" customWidth="1"/>
    <col min="4090" max="4090" width="14.44140625" style="20" customWidth="1"/>
    <col min="4091" max="4091" width="7.21875" style="20" customWidth="1"/>
    <col min="4092" max="4092" width="5.5546875" style="20" customWidth="1"/>
    <col min="4093" max="4093" width="9" style="20" customWidth="1"/>
    <col min="4094" max="4095" width="9.77734375" style="20" customWidth="1"/>
    <col min="4096" max="4096" width="11.21875" style="20" customWidth="1"/>
    <col min="4097" max="4097" width="2.77734375" style="20" customWidth="1"/>
    <col min="4098" max="4098" width="3.5546875" style="20" customWidth="1"/>
    <col min="4099" max="4343" width="9.21875" style="20"/>
    <col min="4344" max="4344" width="8.77734375" style="20" customWidth="1"/>
    <col min="4345" max="4345" width="9.77734375" style="20" customWidth="1"/>
    <col min="4346" max="4346" width="14.44140625" style="20" customWidth="1"/>
    <col min="4347" max="4347" width="7.21875" style="20" customWidth="1"/>
    <col min="4348" max="4348" width="5.5546875" style="20" customWidth="1"/>
    <col min="4349" max="4349" width="9" style="20" customWidth="1"/>
    <col min="4350" max="4351" width="9.77734375" style="20" customWidth="1"/>
    <col min="4352" max="4352" width="11.21875" style="20" customWidth="1"/>
    <col min="4353" max="4353" width="2.77734375" style="20" customWidth="1"/>
    <col min="4354" max="4354" width="3.5546875" style="20" customWidth="1"/>
    <col min="4355" max="4599" width="9.21875" style="20"/>
    <col min="4600" max="4600" width="8.77734375" style="20" customWidth="1"/>
    <col min="4601" max="4601" width="9.77734375" style="20" customWidth="1"/>
    <col min="4602" max="4602" width="14.44140625" style="20" customWidth="1"/>
    <col min="4603" max="4603" width="7.21875" style="20" customWidth="1"/>
    <col min="4604" max="4604" width="5.5546875" style="20" customWidth="1"/>
    <col min="4605" max="4605" width="9" style="20" customWidth="1"/>
    <col min="4606" max="4607" width="9.77734375" style="20" customWidth="1"/>
    <col min="4608" max="4608" width="11.21875" style="20" customWidth="1"/>
    <col min="4609" max="4609" width="2.77734375" style="20" customWidth="1"/>
    <col min="4610" max="4610" width="3.5546875" style="20" customWidth="1"/>
    <col min="4611" max="4855" width="9.21875" style="20"/>
    <col min="4856" max="4856" width="8.77734375" style="20" customWidth="1"/>
    <col min="4857" max="4857" width="9.77734375" style="20" customWidth="1"/>
    <col min="4858" max="4858" width="14.44140625" style="20" customWidth="1"/>
    <col min="4859" max="4859" width="7.21875" style="20" customWidth="1"/>
    <col min="4860" max="4860" width="5.5546875" style="20" customWidth="1"/>
    <col min="4861" max="4861" width="9" style="20" customWidth="1"/>
    <col min="4862" max="4863" width="9.77734375" style="20" customWidth="1"/>
    <col min="4864" max="4864" width="11.21875" style="20" customWidth="1"/>
    <col min="4865" max="4865" width="2.77734375" style="20" customWidth="1"/>
    <col min="4866" max="4866" width="3.5546875" style="20" customWidth="1"/>
    <col min="4867" max="5111" width="9.21875" style="20"/>
    <col min="5112" max="5112" width="8.77734375" style="20" customWidth="1"/>
    <col min="5113" max="5113" width="9.77734375" style="20" customWidth="1"/>
    <col min="5114" max="5114" width="14.44140625" style="20" customWidth="1"/>
    <col min="5115" max="5115" width="7.21875" style="20" customWidth="1"/>
    <col min="5116" max="5116" width="5.5546875" style="20" customWidth="1"/>
    <col min="5117" max="5117" width="9" style="20" customWidth="1"/>
    <col min="5118" max="5119" width="9.77734375" style="20" customWidth="1"/>
    <col min="5120" max="5120" width="11.21875" style="20" customWidth="1"/>
    <col min="5121" max="5121" width="2.77734375" style="20" customWidth="1"/>
    <col min="5122" max="5122" width="3.5546875" style="20" customWidth="1"/>
    <col min="5123" max="5367" width="9.21875" style="20"/>
    <col min="5368" max="5368" width="8.77734375" style="20" customWidth="1"/>
    <col min="5369" max="5369" width="9.77734375" style="20" customWidth="1"/>
    <col min="5370" max="5370" width="14.44140625" style="20" customWidth="1"/>
    <col min="5371" max="5371" width="7.21875" style="20" customWidth="1"/>
    <col min="5372" max="5372" width="5.5546875" style="20" customWidth="1"/>
    <col min="5373" max="5373" width="9" style="20" customWidth="1"/>
    <col min="5374" max="5375" width="9.77734375" style="20" customWidth="1"/>
    <col min="5376" max="5376" width="11.21875" style="20" customWidth="1"/>
    <col min="5377" max="5377" width="2.77734375" style="20" customWidth="1"/>
    <col min="5378" max="5378" width="3.5546875" style="20" customWidth="1"/>
    <col min="5379" max="5623" width="9.21875" style="20"/>
    <col min="5624" max="5624" width="8.77734375" style="20" customWidth="1"/>
    <col min="5625" max="5625" width="9.77734375" style="20" customWidth="1"/>
    <col min="5626" max="5626" width="14.44140625" style="20" customWidth="1"/>
    <col min="5627" max="5627" width="7.21875" style="20" customWidth="1"/>
    <col min="5628" max="5628" width="5.5546875" style="20" customWidth="1"/>
    <col min="5629" max="5629" width="9" style="20" customWidth="1"/>
    <col min="5630" max="5631" width="9.77734375" style="20" customWidth="1"/>
    <col min="5632" max="5632" width="11.21875" style="20" customWidth="1"/>
    <col min="5633" max="5633" width="2.77734375" style="20" customWidth="1"/>
    <col min="5634" max="5634" width="3.5546875" style="20" customWidth="1"/>
    <col min="5635" max="5879" width="9.21875" style="20"/>
    <col min="5880" max="5880" width="8.77734375" style="20" customWidth="1"/>
    <col min="5881" max="5881" width="9.77734375" style="20" customWidth="1"/>
    <col min="5882" max="5882" width="14.44140625" style="20" customWidth="1"/>
    <col min="5883" max="5883" width="7.21875" style="20" customWidth="1"/>
    <col min="5884" max="5884" width="5.5546875" style="20" customWidth="1"/>
    <col min="5885" max="5885" width="9" style="20" customWidth="1"/>
    <col min="5886" max="5887" width="9.77734375" style="20" customWidth="1"/>
    <col min="5888" max="5888" width="11.21875" style="20" customWidth="1"/>
    <col min="5889" max="5889" width="2.77734375" style="20" customWidth="1"/>
    <col min="5890" max="5890" width="3.5546875" style="20" customWidth="1"/>
    <col min="5891" max="6135" width="9.21875" style="20"/>
    <col min="6136" max="6136" width="8.77734375" style="20" customWidth="1"/>
    <col min="6137" max="6137" width="9.77734375" style="20" customWidth="1"/>
    <col min="6138" max="6138" width="14.44140625" style="20" customWidth="1"/>
    <col min="6139" max="6139" width="7.21875" style="20" customWidth="1"/>
    <col min="6140" max="6140" width="5.5546875" style="20" customWidth="1"/>
    <col min="6141" max="6141" width="9" style="20" customWidth="1"/>
    <col min="6142" max="6143" width="9.77734375" style="20" customWidth="1"/>
    <col min="6144" max="6144" width="11.21875" style="20" customWidth="1"/>
    <col min="6145" max="6145" width="2.77734375" style="20" customWidth="1"/>
    <col min="6146" max="6146" width="3.5546875" style="20" customWidth="1"/>
    <col min="6147" max="6391" width="9.21875" style="20"/>
    <col min="6392" max="6392" width="8.77734375" style="20" customWidth="1"/>
    <col min="6393" max="6393" width="9.77734375" style="20" customWidth="1"/>
    <col min="6394" max="6394" width="14.44140625" style="20" customWidth="1"/>
    <col min="6395" max="6395" width="7.21875" style="20" customWidth="1"/>
    <col min="6396" max="6396" width="5.5546875" style="20" customWidth="1"/>
    <col min="6397" max="6397" width="9" style="20" customWidth="1"/>
    <col min="6398" max="6399" width="9.77734375" style="20" customWidth="1"/>
    <col min="6400" max="6400" width="11.21875" style="20" customWidth="1"/>
    <col min="6401" max="6401" width="2.77734375" style="20" customWidth="1"/>
    <col min="6402" max="6402" width="3.5546875" style="20" customWidth="1"/>
    <col min="6403" max="6647" width="9.21875" style="20"/>
    <col min="6648" max="6648" width="8.77734375" style="20" customWidth="1"/>
    <col min="6649" max="6649" width="9.77734375" style="20" customWidth="1"/>
    <col min="6650" max="6650" width="14.44140625" style="20" customWidth="1"/>
    <col min="6651" max="6651" width="7.21875" style="20" customWidth="1"/>
    <col min="6652" max="6652" width="5.5546875" style="20" customWidth="1"/>
    <col min="6653" max="6653" width="9" style="20" customWidth="1"/>
    <col min="6654" max="6655" width="9.77734375" style="20" customWidth="1"/>
    <col min="6656" max="6656" width="11.21875" style="20" customWidth="1"/>
    <col min="6657" max="6657" width="2.77734375" style="20" customWidth="1"/>
    <col min="6658" max="6658" width="3.5546875" style="20" customWidth="1"/>
    <col min="6659" max="6903" width="9.21875" style="20"/>
    <col min="6904" max="6904" width="8.77734375" style="20" customWidth="1"/>
    <col min="6905" max="6905" width="9.77734375" style="20" customWidth="1"/>
    <col min="6906" max="6906" width="14.44140625" style="20" customWidth="1"/>
    <col min="6907" max="6907" width="7.21875" style="20" customWidth="1"/>
    <col min="6908" max="6908" width="5.5546875" style="20" customWidth="1"/>
    <col min="6909" max="6909" width="9" style="20" customWidth="1"/>
    <col min="6910" max="6911" width="9.77734375" style="20" customWidth="1"/>
    <col min="6912" max="6912" width="11.21875" style="20" customWidth="1"/>
    <col min="6913" max="6913" width="2.77734375" style="20" customWidth="1"/>
    <col min="6914" max="6914" width="3.5546875" style="20" customWidth="1"/>
    <col min="6915" max="7159" width="9.21875" style="20"/>
    <col min="7160" max="7160" width="8.77734375" style="20" customWidth="1"/>
    <col min="7161" max="7161" width="9.77734375" style="20" customWidth="1"/>
    <col min="7162" max="7162" width="14.44140625" style="20" customWidth="1"/>
    <col min="7163" max="7163" width="7.21875" style="20" customWidth="1"/>
    <col min="7164" max="7164" width="5.5546875" style="20" customWidth="1"/>
    <col min="7165" max="7165" width="9" style="20" customWidth="1"/>
    <col min="7166" max="7167" width="9.77734375" style="20" customWidth="1"/>
    <col min="7168" max="7168" width="11.21875" style="20" customWidth="1"/>
    <col min="7169" max="7169" width="2.77734375" style="20" customWidth="1"/>
    <col min="7170" max="7170" width="3.5546875" style="20" customWidth="1"/>
    <col min="7171" max="7415" width="9.21875" style="20"/>
    <col min="7416" max="7416" width="8.77734375" style="20" customWidth="1"/>
    <col min="7417" max="7417" width="9.77734375" style="20" customWidth="1"/>
    <col min="7418" max="7418" width="14.44140625" style="20" customWidth="1"/>
    <col min="7419" max="7419" width="7.21875" style="20" customWidth="1"/>
    <col min="7420" max="7420" width="5.5546875" style="20" customWidth="1"/>
    <col min="7421" max="7421" width="9" style="20" customWidth="1"/>
    <col min="7422" max="7423" width="9.77734375" style="20" customWidth="1"/>
    <col min="7424" max="7424" width="11.21875" style="20" customWidth="1"/>
    <col min="7425" max="7425" width="2.77734375" style="20" customWidth="1"/>
    <col min="7426" max="7426" width="3.5546875" style="20" customWidth="1"/>
    <col min="7427" max="7671" width="9.21875" style="20"/>
    <col min="7672" max="7672" width="8.77734375" style="20" customWidth="1"/>
    <col min="7673" max="7673" width="9.77734375" style="20" customWidth="1"/>
    <col min="7674" max="7674" width="14.44140625" style="20" customWidth="1"/>
    <col min="7675" max="7675" width="7.21875" style="20" customWidth="1"/>
    <col min="7676" max="7676" width="5.5546875" style="20" customWidth="1"/>
    <col min="7677" max="7677" width="9" style="20" customWidth="1"/>
    <col min="7678" max="7679" width="9.77734375" style="20" customWidth="1"/>
    <col min="7680" max="7680" width="11.21875" style="20" customWidth="1"/>
    <col min="7681" max="7681" width="2.77734375" style="20" customWidth="1"/>
    <col min="7682" max="7682" width="3.5546875" style="20" customWidth="1"/>
    <col min="7683" max="7927" width="9.21875" style="20"/>
    <col min="7928" max="7928" width="8.77734375" style="20" customWidth="1"/>
    <col min="7929" max="7929" width="9.77734375" style="20" customWidth="1"/>
    <col min="7930" max="7930" width="14.44140625" style="20" customWidth="1"/>
    <col min="7931" max="7931" width="7.21875" style="20" customWidth="1"/>
    <col min="7932" max="7932" width="5.5546875" style="20" customWidth="1"/>
    <col min="7933" max="7933" width="9" style="20" customWidth="1"/>
    <col min="7934" max="7935" width="9.77734375" style="20" customWidth="1"/>
    <col min="7936" max="7936" width="11.21875" style="20" customWidth="1"/>
    <col min="7937" max="7937" width="2.77734375" style="20" customWidth="1"/>
    <col min="7938" max="7938" width="3.5546875" style="20" customWidth="1"/>
    <col min="7939" max="8183" width="9.21875" style="20"/>
    <col min="8184" max="8184" width="8.77734375" style="20" customWidth="1"/>
    <col min="8185" max="8185" width="9.77734375" style="20" customWidth="1"/>
    <col min="8186" max="8186" width="14.44140625" style="20" customWidth="1"/>
    <col min="8187" max="8187" width="7.21875" style="20" customWidth="1"/>
    <col min="8188" max="8188" width="5.5546875" style="20" customWidth="1"/>
    <col min="8189" max="8189" width="9" style="20" customWidth="1"/>
    <col min="8190" max="8191" width="9.77734375" style="20" customWidth="1"/>
    <col min="8192" max="8192" width="11.21875" style="20" customWidth="1"/>
    <col min="8193" max="8193" width="2.77734375" style="20" customWidth="1"/>
    <col min="8194" max="8194" width="3.5546875" style="20" customWidth="1"/>
    <col min="8195" max="8439" width="9.21875" style="20"/>
    <col min="8440" max="8440" width="8.77734375" style="20" customWidth="1"/>
    <col min="8441" max="8441" width="9.77734375" style="20" customWidth="1"/>
    <col min="8442" max="8442" width="14.44140625" style="20" customWidth="1"/>
    <col min="8443" max="8443" width="7.21875" style="20" customWidth="1"/>
    <col min="8444" max="8444" width="5.5546875" style="20" customWidth="1"/>
    <col min="8445" max="8445" width="9" style="20" customWidth="1"/>
    <col min="8446" max="8447" width="9.77734375" style="20" customWidth="1"/>
    <col min="8448" max="8448" width="11.21875" style="20" customWidth="1"/>
    <col min="8449" max="8449" width="2.77734375" style="20" customWidth="1"/>
    <col min="8450" max="8450" width="3.5546875" style="20" customWidth="1"/>
    <col min="8451" max="8695" width="9.21875" style="20"/>
    <col min="8696" max="8696" width="8.77734375" style="20" customWidth="1"/>
    <col min="8697" max="8697" width="9.77734375" style="20" customWidth="1"/>
    <col min="8698" max="8698" width="14.44140625" style="20" customWidth="1"/>
    <col min="8699" max="8699" width="7.21875" style="20" customWidth="1"/>
    <col min="8700" max="8700" width="5.5546875" style="20" customWidth="1"/>
    <col min="8701" max="8701" width="9" style="20" customWidth="1"/>
    <col min="8702" max="8703" width="9.77734375" style="20" customWidth="1"/>
    <col min="8704" max="8704" width="11.21875" style="20" customWidth="1"/>
    <col min="8705" max="8705" width="2.77734375" style="20" customWidth="1"/>
    <col min="8706" max="8706" width="3.5546875" style="20" customWidth="1"/>
    <col min="8707" max="8951" width="9.21875" style="20"/>
    <col min="8952" max="8952" width="8.77734375" style="20" customWidth="1"/>
    <col min="8953" max="8953" width="9.77734375" style="20" customWidth="1"/>
    <col min="8954" max="8954" width="14.44140625" style="20" customWidth="1"/>
    <col min="8955" max="8955" width="7.21875" style="20" customWidth="1"/>
    <col min="8956" max="8956" width="5.5546875" style="20" customWidth="1"/>
    <col min="8957" max="8957" width="9" style="20" customWidth="1"/>
    <col min="8958" max="8959" width="9.77734375" style="20" customWidth="1"/>
    <col min="8960" max="8960" width="11.21875" style="20" customWidth="1"/>
    <col min="8961" max="8961" width="2.77734375" style="20" customWidth="1"/>
    <col min="8962" max="8962" width="3.5546875" style="20" customWidth="1"/>
    <col min="8963" max="9207" width="9.21875" style="20"/>
    <col min="9208" max="9208" width="8.77734375" style="20" customWidth="1"/>
    <col min="9209" max="9209" width="9.77734375" style="20" customWidth="1"/>
    <col min="9210" max="9210" width="14.44140625" style="20" customWidth="1"/>
    <col min="9211" max="9211" width="7.21875" style="20" customWidth="1"/>
    <col min="9212" max="9212" width="5.5546875" style="20" customWidth="1"/>
    <col min="9213" max="9213" width="9" style="20" customWidth="1"/>
    <col min="9214" max="9215" width="9.77734375" style="20" customWidth="1"/>
    <col min="9216" max="9216" width="11.21875" style="20" customWidth="1"/>
    <col min="9217" max="9217" width="2.77734375" style="20" customWidth="1"/>
    <col min="9218" max="9218" width="3.5546875" style="20" customWidth="1"/>
    <col min="9219" max="9463" width="9.21875" style="20"/>
    <col min="9464" max="9464" width="8.77734375" style="20" customWidth="1"/>
    <col min="9465" max="9465" width="9.77734375" style="20" customWidth="1"/>
    <col min="9466" max="9466" width="14.44140625" style="20" customWidth="1"/>
    <col min="9467" max="9467" width="7.21875" style="20" customWidth="1"/>
    <col min="9468" max="9468" width="5.5546875" style="20" customWidth="1"/>
    <col min="9469" max="9469" width="9" style="20" customWidth="1"/>
    <col min="9470" max="9471" width="9.77734375" style="20" customWidth="1"/>
    <col min="9472" max="9472" width="11.21875" style="20" customWidth="1"/>
    <col min="9473" max="9473" width="2.77734375" style="20" customWidth="1"/>
    <col min="9474" max="9474" width="3.5546875" style="20" customWidth="1"/>
    <col min="9475" max="9719" width="9.21875" style="20"/>
    <col min="9720" max="9720" width="8.77734375" style="20" customWidth="1"/>
    <col min="9721" max="9721" width="9.77734375" style="20" customWidth="1"/>
    <col min="9722" max="9722" width="14.44140625" style="20" customWidth="1"/>
    <col min="9723" max="9723" width="7.21875" style="20" customWidth="1"/>
    <col min="9724" max="9724" width="5.5546875" style="20" customWidth="1"/>
    <col min="9725" max="9725" width="9" style="20" customWidth="1"/>
    <col min="9726" max="9727" width="9.77734375" style="20" customWidth="1"/>
    <col min="9728" max="9728" width="11.21875" style="20" customWidth="1"/>
    <col min="9729" max="9729" width="2.77734375" style="20" customWidth="1"/>
    <col min="9730" max="9730" width="3.5546875" style="20" customWidth="1"/>
    <col min="9731" max="9975" width="9.21875" style="20"/>
    <col min="9976" max="9976" width="8.77734375" style="20" customWidth="1"/>
    <col min="9977" max="9977" width="9.77734375" style="20" customWidth="1"/>
    <col min="9978" max="9978" width="14.44140625" style="20" customWidth="1"/>
    <col min="9979" max="9979" width="7.21875" style="20" customWidth="1"/>
    <col min="9980" max="9980" width="5.5546875" style="20" customWidth="1"/>
    <col min="9981" max="9981" width="9" style="20" customWidth="1"/>
    <col min="9982" max="9983" width="9.77734375" style="20" customWidth="1"/>
    <col min="9984" max="9984" width="11.21875" style="20" customWidth="1"/>
    <col min="9985" max="9985" width="2.77734375" style="20" customWidth="1"/>
    <col min="9986" max="9986" width="3.5546875" style="20" customWidth="1"/>
    <col min="9987" max="10231" width="9.21875" style="20"/>
    <col min="10232" max="10232" width="8.77734375" style="20" customWidth="1"/>
    <col min="10233" max="10233" width="9.77734375" style="20" customWidth="1"/>
    <col min="10234" max="10234" width="14.44140625" style="20" customWidth="1"/>
    <col min="10235" max="10235" width="7.21875" style="20" customWidth="1"/>
    <col min="10236" max="10236" width="5.5546875" style="20" customWidth="1"/>
    <col min="10237" max="10237" width="9" style="20" customWidth="1"/>
    <col min="10238" max="10239" width="9.77734375" style="20" customWidth="1"/>
    <col min="10240" max="10240" width="11.21875" style="20" customWidth="1"/>
    <col min="10241" max="10241" width="2.77734375" style="20" customWidth="1"/>
    <col min="10242" max="10242" width="3.5546875" style="20" customWidth="1"/>
    <col min="10243" max="10487" width="9.21875" style="20"/>
    <col min="10488" max="10488" width="8.77734375" style="20" customWidth="1"/>
    <col min="10489" max="10489" width="9.77734375" style="20" customWidth="1"/>
    <col min="10490" max="10490" width="14.44140625" style="20" customWidth="1"/>
    <col min="10491" max="10491" width="7.21875" style="20" customWidth="1"/>
    <col min="10492" max="10492" width="5.5546875" style="20" customWidth="1"/>
    <col min="10493" max="10493" width="9" style="20" customWidth="1"/>
    <col min="10494" max="10495" width="9.77734375" style="20" customWidth="1"/>
    <col min="10496" max="10496" width="11.21875" style="20" customWidth="1"/>
    <col min="10497" max="10497" width="2.77734375" style="20" customWidth="1"/>
    <col min="10498" max="10498" width="3.5546875" style="20" customWidth="1"/>
    <col min="10499" max="10743" width="9.21875" style="20"/>
    <col min="10744" max="10744" width="8.77734375" style="20" customWidth="1"/>
    <col min="10745" max="10745" width="9.77734375" style="20" customWidth="1"/>
    <col min="10746" max="10746" width="14.44140625" style="20" customWidth="1"/>
    <col min="10747" max="10747" width="7.21875" style="20" customWidth="1"/>
    <col min="10748" max="10748" width="5.5546875" style="20" customWidth="1"/>
    <col min="10749" max="10749" width="9" style="20" customWidth="1"/>
    <col min="10750" max="10751" width="9.77734375" style="20" customWidth="1"/>
    <col min="10752" max="10752" width="11.21875" style="20" customWidth="1"/>
    <col min="10753" max="10753" width="2.77734375" style="20" customWidth="1"/>
    <col min="10754" max="10754" width="3.5546875" style="20" customWidth="1"/>
    <col min="10755" max="10999" width="9.21875" style="20"/>
    <col min="11000" max="11000" width="8.77734375" style="20" customWidth="1"/>
    <col min="11001" max="11001" width="9.77734375" style="20" customWidth="1"/>
    <col min="11002" max="11002" width="14.44140625" style="20" customWidth="1"/>
    <col min="11003" max="11003" width="7.21875" style="20" customWidth="1"/>
    <col min="11004" max="11004" width="5.5546875" style="20" customWidth="1"/>
    <col min="11005" max="11005" width="9" style="20" customWidth="1"/>
    <col min="11006" max="11007" width="9.77734375" style="20" customWidth="1"/>
    <col min="11008" max="11008" width="11.21875" style="20" customWidth="1"/>
    <col min="11009" max="11009" width="2.77734375" style="20" customWidth="1"/>
    <col min="11010" max="11010" width="3.5546875" style="20" customWidth="1"/>
    <col min="11011" max="11255" width="9.21875" style="20"/>
    <col min="11256" max="11256" width="8.77734375" style="20" customWidth="1"/>
    <col min="11257" max="11257" width="9.77734375" style="20" customWidth="1"/>
    <col min="11258" max="11258" width="14.44140625" style="20" customWidth="1"/>
    <col min="11259" max="11259" width="7.21875" style="20" customWidth="1"/>
    <col min="11260" max="11260" width="5.5546875" style="20" customWidth="1"/>
    <col min="11261" max="11261" width="9" style="20" customWidth="1"/>
    <col min="11262" max="11263" width="9.77734375" style="20" customWidth="1"/>
    <col min="11264" max="11264" width="11.21875" style="20" customWidth="1"/>
    <col min="11265" max="11265" width="2.77734375" style="20" customWidth="1"/>
    <col min="11266" max="11266" width="3.5546875" style="20" customWidth="1"/>
    <col min="11267" max="11511" width="9.21875" style="20"/>
    <col min="11512" max="11512" width="8.77734375" style="20" customWidth="1"/>
    <col min="11513" max="11513" width="9.77734375" style="20" customWidth="1"/>
    <col min="11514" max="11514" width="14.44140625" style="20" customWidth="1"/>
    <col min="11515" max="11515" width="7.21875" style="20" customWidth="1"/>
    <col min="11516" max="11516" width="5.5546875" style="20" customWidth="1"/>
    <col min="11517" max="11517" width="9" style="20" customWidth="1"/>
    <col min="11518" max="11519" width="9.77734375" style="20" customWidth="1"/>
    <col min="11520" max="11520" width="11.21875" style="20" customWidth="1"/>
    <col min="11521" max="11521" width="2.77734375" style="20" customWidth="1"/>
    <col min="11522" max="11522" width="3.5546875" style="20" customWidth="1"/>
    <col min="11523" max="11767" width="9.21875" style="20"/>
    <col min="11768" max="11768" width="8.77734375" style="20" customWidth="1"/>
    <col min="11769" max="11769" width="9.77734375" style="20" customWidth="1"/>
    <col min="11770" max="11770" width="14.44140625" style="20" customWidth="1"/>
    <col min="11771" max="11771" width="7.21875" style="20" customWidth="1"/>
    <col min="11772" max="11772" width="5.5546875" style="20" customWidth="1"/>
    <col min="11773" max="11773" width="9" style="20" customWidth="1"/>
    <col min="11774" max="11775" width="9.77734375" style="20" customWidth="1"/>
    <col min="11776" max="11776" width="11.21875" style="20" customWidth="1"/>
    <col min="11777" max="11777" width="2.77734375" style="20" customWidth="1"/>
    <col min="11778" max="11778" width="3.5546875" style="20" customWidth="1"/>
    <col min="11779" max="12023" width="9.21875" style="20"/>
    <col min="12024" max="12024" width="8.77734375" style="20" customWidth="1"/>
    <col min="12025" max="12025" width="9.77734375" style="20" customWidth="1"/>
    <col min="12026" max="12026" width="14.44140625" style="20" customWidth="1"/>
    <col min="12027" max="12027" width="7.21875" style="20" customWidth="1"/>
    <col min="12028" max="12028" width="5.5546875" style="20" customWidth="1"/>
    <col min="12029" max="12029" width="9" style="20" customWidth="1"/>
    <col min="12030" max="12031" width="9.77734375" style="20" customWidth="1"/>
    <col min="12032" max="12032" width="11.21875" style="20" customWidth="1"/>
    <col min="12033" max="12033" width="2.77734375" style="20" customWidth="1"/>
    <col min="12034" max="12034" width="3.5546875" style="20" customWidth="1"/>
    <col min="12035" max="12279" width="9.21875" style="20"/>
    <col min="12280" max="12280" width="8.77734375" style="20" customWidth="1"/>
    <col min="12281" max="12281" width="9.77734375" style="20" customWidth="1"/>
    <col min="12282" max="12282" width="14.44140625" style="20" customWidth="1"/>
    <col min="12283" max="12283" width="7.21875" style="20" customWidth="1"/>
    <col min="12284" max="12284" width="5.5546875" style="20" customWidth="1"/>
    <col min="12285" max="12285" width="9" style="20" customWidth="1"/>
    <col min="12286" max="12287" width="9.77734375" style="20" customWidth="1"/>
    <col min="12288" max="12288" width="11.21875" style="20" customWidth="1"/>
    <col min="12289" max="12289" width="2.77734375" style="20" customWidth="1"/>
    <col min="12290" max="12290" width="3.5546875" style="20" customWidth="1"/>
    <col min="12291" max="12535" width="9.21875" style="20"/>
    <col min="12536" max="12536" width="8.77734375" style="20" customWidth="1"/>
    <col min="12537" max="12537" width="9.77734375" style="20" customWidth="1"/>
    <col min="12538" max="12538" width="14.44140625" style="20" customWidth="1"/>
    <col min="12539" max="12539" width="7.21875" style="20" customWidth="1"/>
    <col min="12540" max="12540" width="5.5546875" style="20" customWidth="1"/>
    <col min="12541" max="12541" width="9" style="20" customWidth="1"/>
    <col min="12542" max="12543" width="9.77734375" style="20" customWidth="1"/>
    <col min="12544" max="12544" width="11.21875" style="20" customWidth="1"/>
    <col min="12545" max="12545" width="2.77734375" style="20" customWidth="1"/>
    <col min="12546" max="12546" width="3.5546875" style="20" customWidth="1"/>
    <col min="12547" max="12791" width="9.21875" style="20"/>
    <col min="12792" max="12792" width="8.77734375" style="20" customWidth="1"/>
    <col min="12793" max="12793" width="9.77734375" style="20" customWidth="1"/>
    <col min="12794" max="12794" width="14.44140625" style="20" customWidth="1"/>
    <col min="12795" max="12795" width="7.21875" style="20" customWidth="1"/>
    <col min="12796" max="12796" width="5.5546875" style="20" customWidth="1"/>
    <col min="12797" max="12797" width="9" style="20" customWidth="1"/>
    <col min="12798" max="12799" width="9.77734375" style="20" customWidth="1"/>
    <col min="12800" max="12800" width="11.21875" style="20" customWidth="1"/>
    <col min="12801" max="12801" width="2.77734375" style="20" customWidth="1"/>
    <col min="12802" max="12802" width="3.5546875" style="20" customWidth="1"/>
    <col min="12803" max="13047" width="9.21875" style="20"/>
    <col min="13048" max="13048" width="8.77734375" style="20" customWidth="1"/>
    <col min="13049" max="13049" width="9.77734375" style="20" customWidth="1"/>
    <col min="13050" max="13050" width="14.44140625" style="20" customWidth="1"/>
    <col min="13051" max="13051" width="7.21875" style="20" customWidth="1"/>
    <col min="13052" max="13052" width="5.5546875" style="20" customWidth="1"/>
    <col min="13053" max="13053" width="9" style="20" customWidth="1"/>
    <col min="13054" max="13055" width="9.77734375" style="20" customWidth="1"/>
    <col min="13056" max="13056" width="11.21875" style="20" customWidth="1"/>
    <col min="13057" max="13057" width="2.77734375" style="20" customWidth="1"/>
    <col min="13058" max="13058" width="3.5546875" style="20" customWidth="1"/>
    <col min="13059" max="13303" width="9.21875" style="20"/>
    <col min="13304" max="13304" width="8.77734375" style="20" customWidth="1"/>
    <col min="13305" max="13305" width="9.77734375" style="20" customWidth="1"/>
    <col min="13306" max="13306" width="14.44140625" style="20" customWidth="1"/>
    <col min="13307" max="13307" width="7.21875" style="20" customWidth="1"/>
    <col min="13308" max="13308" width="5.5546875" style="20" customWidth="1"/>
    <col min="13309" max="13309" width="9" style="20" customWidth="1"/>
    <col min="13310" max="13311" width="9.77734375" style="20" customWidth="1"/>
    <col min="13312" max="13312" width="11.21875" style="20" customWidth="1"/>
    <col min="13313" max="13313" width="2.77734375" style="20" customWidth="1"/>
    <col min="13314" max="13314" width="3.5546875" style="20" customWidth="1"/>
    <col min="13315" max="13559" width="9.21875" style="20"/>
    <col min="13560" max="13560" width="8.77734375" style="20" customWidth="1"/>
    <col min="13561" max="13561" width="9.77734375" style="20" customWidth="1"/>
    <col min="13562" max="13562" width="14.44140625" style="20" customWidth="1"/>
    <col min="13563" max="13563" width="7.21875" style="20" customWidth="1"/>
    <col min="13564" max="13564" width="5.5546875" style="20" customWidth="1"/>
    <col min="13565" max="13565" width="9" style="20" customWidth="1"/>
    <col min="13566" max="13567" width="9.77734375" style="20" customWidth="1"/>
    <col min="13568" max="13568" width="11.21875" style="20" customWidth="1"/>
    <col min="13569" max="13569" width="2.77734375" style="20" customWidth="1"/>
    <col min="13570" max="13570" width="3.5546875" style="20" customWidth="1"/>
    <col min="13571" max="13815" width="9.21875" style="20"/>
    <col min="13816" max="13816" width="8.77734375" style="20" customWidth="1"/>
    <col min="13817" max="13817" width="9.77734375" style="20" customWidth="1"/>
    <col min="13818" max="13818" width="14.44140625" style="20" customWidth="1"/>
    <col min="13819" max="13819" width="7.21875" style="20" customWidth="1"/>
    <col min="13820" max="13820" width="5.5546875" style="20" customWidth="1"/>
    <col min="13821" max="13821" width="9" style="20" customWidth="1"/>
    <col min="13822" max="13823" width="9.77734375" style="20" customWidth="1"/>
    <col min="13824" max="13824" width="11.21875" style="20" customWidth="1"/>
    <col min="13825" max="13825" width="2.77734375" style="20" customWidth="1"/>
    <col min="13826" max="13826" width="3.5546875" style="20" customWidth="1"/>
    <col min="13827" max="14071" width="9.21875" style="20"/>
    <col min="14072" max="14072" width="8.77734375" style="20" customWidth="1"/>
    <col min="14073" max="14073" width="9.77734375" style="20" customWidth="1"/>
    <col min="14074" max="14074" width="14.44140625" style="20" customWidth="1"/>
    <col min="14075" max="14075" width="7.21875" style="20" customWidth="1"/>
    <col min="14076" max="14076" width="5.5546875" style="20" customWidth="1"/>
    <col min="14077" max="14077" width="9" style="20" customWidth="1"/>
    <col min="14078" max="14079" width="9.77734375" style="20" customWidth="1"/>
    <col min="14080" max="14080" width="11.21875" style="20" customWidth="1"/>
    <col min="14081" max="14081" width="2.77734375" style="20" customWidth="1"/>
    <col min="14082" max="14082" width="3.5546875" style="20" customWidth="1"/>
    <col min="14083" max="14327" width="9.21875" style="20"/>
    <col min="14328" max="14328" width="8.77734375" style="20" customWidth="1"/>
    <col min="14329" max="14329" width="9.77734375" style="20" customWidth="1"/>
    <col min="14330" max="14330" width="14.44140625" style="20" customWidth="1"/>
    <col min="14331" max="14331" width="7.21875" style="20" customWidth="1"/>
    <col min="14332" max="14332" width="5.5546875" style="20" customWidth="1"/>
    <col min="14333" max="14333" width="9" style="20" customWidth="1"/>
    <col min="14334" max="14335" width="9.77734375" style="20" customWidth="1"/>
    <col min="14336" max="14336" width="11.21875" style="20" customWidth="1"/>
    <col min="14337" max="14337" width="2.77734375" style="20" customWidth="1"/>
    <col min="14338" max="14338" width="3.5546875" style="20" customWidth="1"/>
    <col min="14339" max="14583" width="9.21875" style="20"/>
    <col min="14584" max="14584" width="8.77734375" style="20" customWidth="1"/>
    <col min="14585" max="14585" width="9.77734375" style="20" customWidth="1"/>
    <col min="14586" max="14586" width="14.44140625" style="20" customWidth="1"/>
    <col min="14587" max="14587" width="7.21875" style="20" customWidth="1"/>
    <col min="14588" max="14588" width="5.5546875" style="20" customWidth="1"/>
    <col min="14589" max="14589" width="9" style="20" customWidth="1"/>
    <col min="14590" max="14591" width="9.77734375" style="20" customWidth="1"/>
    <col min="14592" max="14592" width="11.21875" style="20" customWidth="1"/>
    <col min="14593" max="14593" width="2.77734375" style="20" customWidth="1"/>
    <col min="14594" max="14594" width="3.5546875" style="20" customWidth="1"/>
    <col min="14595" max="14839" width="9.21875" style="20"/>
    <col min="14840" max="14840" width="8.77734375" style="20" customWidth="1"/>
    <col min="14841" max="14841" width="9.77734375" style="20" customWidth="1"/>
    <col min="14842" max="14842" width="14.44140625" style="20" customWidth="1"/>
    <col min="14843" max="14843" width="7.21875" style="20" customWidth="1"/>
    <col min="14844" max="14844" width="5.5546875" style="20" customWidth="1"/>
    <col min="14845" max="14845" width="9" style="20" customWidth="1"/>
    <col min="14846" max="14847" width="9.77734375" style="20" customWidth="1"/>
    <col min="14848" max="14848" width="11.21875" style="20" customWidth="1"/>
    <col min="14849" max="14849" width="2.77734375" style="20" customWidth="1"/>
    <col min="14850" max="14850" width="3.5546875" style="20" customWidth="1"/>
    <col min="14851" max="15095" width="9.21875" style="20"/>
    <col min="15096" max="15096" width="8.77734375" style="20" customWidth="1"/>
    <col min="15097" max="15097" width="9.77734375" style="20" customWidth="1"/>
    <col min="15098" max="15098" width="14.44140625" style="20" customWidth="1"/>
    <col min="15099" max="15099" width="7.21875" style="20" customWidth="1"/>
    <col min="15100" max="15100" width="5.5546875" style="20" customWidth="1"/>
    <col min="15101" max="15101" width="9" style="20" customWidth="1"/>
    <col min="15102" max="15103" width="9.77734375" style="20" customWidth="1"/>
    <col min="15104" max="15104" width="11.21875" style="20" customWidth="1"/>
    <col min="15105" max="15105" width="2.77734375" style="20" customWidth="1"/>
    <col min="15106" max="15106" width="3.5546875" style="20" customWidth="1"/>
    <col min="15107" max="15351" width="9.21875" style="20"/>
    <col min="15352" max="15352" width="8.77734375" style="20" customWidth="1"/>
    <col min="15353" max="15353" width="9.77734375" style="20" customWidth="1"/>
    <col min="15354" max="15354" width="14.44140625" style="20" customWidth="1"/>
    <col min="15355" max="15355" width="7.21875" style="20" customWidth="1"/>
    <col min="15356" max="15356" width="5.5546875" style="20" customWidth="1"/>
    <col min="15357" max="15357" width="9" style="20" customWidth="1"/>
    <col min="15358" max="15359" width="9.77734375" style="20" customWidth="1"/>
    <col min="15360" max="15360" width="11.21875" style="20" customWidth="1"/>
    <col min="15361" max="15361" width="2.77734375" style="20" customWidth="1"/>
    <col min="15362" max="15362" width="3.5546875" style="20" customWidth="1"/>
    <col min="15363" max="15607" width="9.21875" style="20"/>
    <col min="15608" max="15608" width="8.77734375" style="20" customWidth="1"/>
    <col min="15609" max="15609" width="9.77734375" style="20" customWidth="1"/>
    <col min="15610" max="15610" width="14.44140625" style="20" customWidth="1"/>
    <col min="15611" max="15611" width="7.21875" style="20" customWidth="1"/>
    <col min="15612" max="15612" width="5.5546875" style="20" customWidth="1"/>
    <col min="15613" max="15613" width="9" style="20" customWidth="1"/>
    <col min="15614" max="15615" width="9.77734375" style="20" customWidth="1"/>
    <col min="15616" max="15616" width="11.21875" style="20" customWidth="1"/>
    <col min="15617" max="15617" width="2.77734375" style="20" customWidth="1"/>
    <col min="15618" max="15618" width="3.5546875" style="20" customWidth="1"/>
    <col min="15619" max="15863" width="9.21875" style="20"/>
    <col min="15864" max="15864" width="8.77734375" style="20" customWidth="1"/>
    <col min="15865" max="15865" width="9.77734375" style="20" customWidth="1"/>
    <col min="15866" max="15866" width="14.44140625" style="20" customWidth="1"/>
    <col min="15867" max="15867" width="7.21875" style="20" customWidth="1"/>
    <col min="15868" max="15868" width="5.5546875" style="20" customWidth="1"/>
    <col min="15869" max="15869" width="9" style="20" customWidth="1"/>
    <col min="15870" max="15871" width="9.77734375" style="20" customWidth="1"/>
    <col min="15872" max="15872" width="11.21875" style="20" customWidth="1"/>
    <col min="15873" max="15873" width="2.77734375" style="20" customWidth="1"/>
    <col min="15874" max="15874" width="3.5546875" style="20" customWidth="1"/>
    <col min="15875" max="16119" width="9.21875" style="20"/>
    <col min="16120" max="16120" width="8.77734375" style="20" customWidth="1"/>
    <col min="16121" max="16121" width="9.77734375" style="20" customWidth="1"/>
    <col min="16122" max="16122" width="14.44140625" style="20" customWidth="1"/>
    <col min="16123" max="16123" width="7.21875" style="20" customWidth="1"/>
    <col min="16124" max="16124" width="5.5546875" style="20" customWidth="1"/>
    <col min="16125" max="16125" width="9" style="20" customWidth="1"/>
    <col min="16126" max="16127" width="9.77734375" style="20" customWidth="1"/>
    <col min="16128" max="16128" width="11.21875" style="20" customWidth="1"/>
    <col min="16129" max="16129" width="2.77734375" style="20" customWidth="1"/>
    <col min="16130" max="16130" width="3.5546875" style="20" customWidth="1"/>
    <col min="16131" max="16384" width="9.21875" style="20"/>
  </cols>
  <sheetData>
    <row r="1" spans="1:9" ht="46.5" customHeight="1" x14ac:dyDescent="0.3">
      <c r="A1" s="146" t="s">
        <v>206</v>
      </c>
      <c r="B1" s="146"/>
      <c r="C1" s="146"/>
      <c r="D1" s="146"/>
      <c r="E1" s="146"/>
      <c r="F1" s="146"/>
      <c r="G1" s="146"/>
      <c r="H1" s="146"/>
    </row>
    <row r="2" spans="1:9" ht="16.5" customHeight="1" x14ac:dyDescent="0.3">
      <c r="A2" s="121" t="s">
        <v>0</v>
      </c>
      <c r="B2" s="121"/>
      <c r="C2" s="121"/>
      <c r="D2" s="121"/>
      <c r="E2" s="121"/>
      <c r="F2" s="121"/>
      <c r="G2" s="121"/>
      <c r="H2" s="121"/>
    </row>
    <row r="3" spans="1:9" x14ac:dyDescent="0.3">
      <c r="A3" s="147" t="s">
        <v>1</v>
      </c>
      <c r="B3" s="147"/>
      <c r="C3" s="147"/>
      <c r="D3" s="147"/>
      <c r="E3" s="148" t="str">
        <f ca="1">TEXT(TODAY(),"DD/MM/YYYY")</f>
        <v>16/08/2025</v>
      </c>
      <c r="F3" s="147"/>
      <c r="G3" s="147"/>
      <c r="H3" s="147"/>
    </row>
    <row r="4" spans="1:9" ht="15" customHeight="1" x14ac:dyDescent="0.3">
      <c r="A4" s="147" t="s">
        <v>2</v>
      </c>
      <c r="B4" s="147"/>
      <c r="C4" s="147"/>
      <c r="D4" s="147"/>
      <c r="E4" s="147" t="s">
        <v>159</v>
      </c>
      <c r="F4" s="147"/>
      <c r="G4" s="147"/>
      <c r="H4" s="147"/>
    </row>
    <row r="5" spans="1:9" x14ac:dyDescent="0.3">
      <c r="A5" s="147" t="s">
        <v>3</v>
      </c>
      <c r="B5" s="147"/>
      <c r="C5" s="147"/>
      <c r="D5" s="147"/>
      <c r="E5" s="148">
        <v>45882</v>
      </c>
      <c r="F5" s="147"/>
      <c r="G5" s="147"/>
      <c r="H5" s="147"/>
    </row>
    <row r="6" spans="1:9" ht="16.5" customHeight="1" x14ac:dyDescent="0.3">
      <c r="A6" s="147" t="s">
        <v>4</v>
      </c>
      <c r="B6" s="147"/>
      <c r="C6" s="147"/>
      <c r="D6" s="147"/>
      <c r="E6" s="147" t="s">
        <v>160</v>
      </c>
      <c r="F6" s="147"/>
      <c r="G6" s="147"/>
      <c r="H6" s="147"/>
    </row>
    <row r="7" spans="1:9" ht="15" customHeight="1" x14ac:dyDescent="0.3">
      <c r="A7" s="147" t="s">
        <v>5</v>
      </c>
      <c r="B7" s="147"/>
      <c r="C7" s="147"/>
      <c r="D7" s="147"/>
      <c r="E7" s="147" t="str">
        <f>E6</f>
        <v>Lohitka Properties LLP</v>
      </c>
      <c r="F7" s="147"/>
      <c r="G7" s="147"/>
      <c r="H7" s="147"/>
    </row>
    <row r="8" spans="1:9" x14ac:dyDescent="0.3">
      <c r="A8" s="147" t="s">
        <v>6</v>
      </c>
      <c r="B8" s="147"/>
      <c r="C8" s="147"/>
      <c r="D8" s="147"/>
      <c r="E8" s="149" t="s">
        <v>227</v>
      </c>
      <c r="F8" s="149"/>
      <c r="G8" s="149"/>
      <c r="H8" s="149"/>
    </row>
    <row r="9" spans="1:9" x14ac:dyDescent="0.3">
      <c r="A9" s="147" t="s">
        <v>114</v>
      </c>
      <c r="B9" s="147"/>
      <c r="C9" s="147"/>
      <c r="D9" s="147"/>
      <c r="E9" s="147" t="s">
        <v>224</v>
      </c>
      <c r="F9" s="147"/>
      <c r="G9" s="147"/>
      <c r="H9" s="147"/>
      <c r="I9" s="20" t="s">
        <v>245</v>
      </c>
    </row>
    <row r="10" spans="1:9" x14ac:dyDescent="0.3">
      <c r="A10" s="147" t="s">
        <v>226</v>
      </c>
      <c r="B10" s="147"/>
      <c r="C10" s="147"/>
      <c r="D10" s="147"/>
      <c r="E10" s="147" t="s">
        <v>224</v>
      </c>
      <c r="F10" s="147"/>
      <c r="G10" s="147"/>
      <c r="H10" s="147"/>
    </row>
    <row r="11" spans="1:9" x14ac:dyDescent="0.3">
      <c r="A11" s="147" t="s">
        <v>228</v>
      </c>
      <c r="B11" s="147"/>
      <c r="C11" s="147"/>
      <c r="D11" s="147"/>
      <c r="E11" s="147" t="s">
        <v>230</v>
      </c>
      <c r="F11" s="147"/>
      <c r="G11" s="147"/>
      <c r="H11" s="147"/>
    </row>
    <row r="12" spans="1:9" x14ac:dyDescent="0.3">
      <c r="A12" s="147" t="s">
        <v>229</v>
      </c>
      <c r="B12" s="147"/>
      <c r="C12" s="147"/>
      <c r="D12" s="147"/>
      <c r="E12" s="147" t="s">
        <v>231</v>
      </c>
      <c r="F12" s="147"/>
      <c r="G12" s="147"/>
      <c r="H12" s="147"/>
    </row>
    <row r="13" spans="1:9" x14ac:dyDescent="0.3">
      <c r="A13" s="81" t="s">
        <v>7</v>
      </c>
      <c r="B13" s="81"/>
      <c r="C13" s="81"/>
      <c r="D13" s="81"/>
      <c r="E13" s="150" t="s">
        <v>178</v>
      </c>
      <c r="F13" s="150"/>
      <c r="G13" s="150"/>
      <c r="H13" s="150"/>
    </row>
    <row r="14" spans="1:9" x14ac:dyDescent="0.3">
      <c r="A14" s="81" t="s">
        <v>8</v>
      </c>
      <c r="B14" s="81"/>
      <c r="C14" s="81"/>
      <c r="D14" s="81"/>
      <c r="E14" s="133" t="s">
        <v>161</v>
      </c>
      <c r="F14" s="147"/>
      <c r="G14" s="147"/>
      <c r="H14" s="147"/>
    </row>
    <row r="15" spans="1:9" ht="48.75" customHeight="1" x14ac:dyDescent="0.3">
      <c r="A15" s="118" t="s">
        <v>9</v>
      </c>
      <c r="B15" s="118"/>
      <c r="C15" s="118" t="str">
        <f>CONCATENATE((IF(OR(E8="",E8="NA"),"",E8)),", ",(IF(OR(A16="",A16="NA"),"",A16)),".",(IF(OR(C16="",C16="NA"),"",C16)),", near ",(IF(OR(C21="",C21="NA"),"",C21)),", ",(IF(OR(C18="",C18="NA"),"",C18)),", ",(IF(OR(C17="",C17="NA"),"",C17)),", ",(IF(OR(G18="",G18="NA"),"",G18)),", ",(IF(OR(C19="",C19="NA"),"",C19)),", ",(IF(OR(C20="",C20="NA"),"",C20)),", ",(IF(OR(G19="",G19="NA"),"",G19))," - ",(IF(OR(G20="",G20="NA"),"",G20)),".")</f>
        <v>Montana Phase 4, CTS No.514, 531 (PT), 531/1 to 14, 532A (PT) &amp; 534, near Cascade Vasant Oscar Apartment Complex, L.B.S. Marg, Moti Nagar, Nahur, Mulund West, Kurla, Mumbai - 400082.</v>
      </c>
      <c r="D15" s="118"/>
      <c r="E15" s="118"/>
      <c r="F15" s="118"/>
      <c r="G15" s="118"/>
      <c r="H15" s="118"/>
    </row>
    <row r="16" spans="1:9" x14ac:dyDescent="0.3">
      <c r="A16" s="133" t="s">
        <v>169</v>
      </c>
      <c r="B16" s="133"/>
      <c r="C16" s="133" t="s">
        <v>170</v>
      </c>
      <c r="D16" s="133"/>
      <c r="E16" s="133"/>
      <c r="F16" s="133"/>
      <c r="G16" s="133"/>
      <c r="H16" s="133"/>
    </row>
    <row r="17" spans="1:8" ht="15.75" customHeight="1" x14ac:dyDescent="0.3">
      <c r="A17" s="151" t="s">
        <v>156</v>
      </c>
      <c r="B17" s="152"/>
      <c r="C17" s="151" t="s">
        <v>175</v>
      </c>
      <c r="D17" s="153"/>
      <c r="E17" s="153"/>
      <c r="F17" s="153"/>
      <c r="G17" s="153"/>
      <c r="H17" s="152"/>
    </row>
    <row r="18" spans="1:8" ht="15.75" customHeight="1" x14ac:dyDescent="0.3">
      <c r="A18" s="118" t="s">
        <v>10</v>
      </c>
      <c r="B18" s="118"/>
      <c r="C18" s="147" t="s">
        <v>172</v>
      </c>
      <c r="D18" s="147"/>
      <c r="E18" s="118" t="s">
        <v>157</v>
      </c>
      <c r="F18" s="118"/>
      <c r="G18" s="133" t="s">
        <v>171</v>
      </c>
      <c r="H18" s="133"/>
    </row>
    <row r="19" spans="1:8" x14ac:dyDescent="0.3">
      <c r="A19" s="81" t="s">
        <v>12</v>
      </c>
      <c r="B19" s="81"/>
      <c r="C19" s="133" t="s">
        <v>215</v>
      </c>
      <c r="D19" s="133"/>
      <c r="E19" s="118" t="s">
        <v>11</v>
      </c>
      <c r="F19" s="118"/>
      <c r="G19" s="156" t="s">
        <v>173</v>
      </c>
      <c r="H19" s="156"/>
    </row>
    <row r="20" spans="1:8" x14ac:dyDescent="0.3">
      <c r="A20" s="81" t="s">
        <v>73</v>
      </c>
      <c r="B20" s="81"/>
      <c r="C20" s="133" t="s">
        <v>174</v>
      </c>
      <c r="D20" s="133"/>
      <c r="E20" s="118" t="s">
        <v>13</v>
      </c>
      <c r="F20" s="118"/>
      <c r="G20" s="133">
        <v>400082</v>
      </c>
      <c r="H20" s="133"/>
    </row>
    <row r="21" spans="1:8" ht="32.25" customHeight="1" x14ac:dyDescent="0.3">
      <c r="A21" s="81" t="s">
        <v>116</v>
      </c>
      <c r="B21" s="81"/>
      <c r="C21" s="133" t="s">
        <v>168</v>
      </c>
      <c r="D21" s="133"/>
      <c r="E21" s="118" t="s">
        <v>14</v>
      </c>
      <c r="F21" s="118"/>
      <c r="G21" s="133" t="s">
        <v>225</v>
      </c>
      <c r="H21" s="133"/>
    </row>
    <row r="22" spans="1:8" ht="15" customHeight="1" x14ac:dyDescent="0.3">
      <c r="A22" s="118" t="s">
        <v>75</v>
      </c>
      <c r="B22" s="118"/>
      <c r="C22" s="118"/>
      <c r="D22" s="118"/>
      <c r="E22" s="147" t="s">
        <v>15</v>
      </c>
      <c r="F22" s="147"/>
      <c r="G22" s="147"/>
      <c r="H22" s="147"/>
    </row>
    <row r="23" spans="1:8" ht="18.75" customHeight="1" x14ac:dyDescent="0.3">
      <c r="A23" s="118"/>
      <c r="B23" s="118"/>
      <c r="C23" s="118"/>
      <c r="D23" s="118"/>
      <c r="E23" s="147"/>
      <c r="F23" s="147"/>
      <c r="G23" s="147"/>
      <c r="H23" s="147"/>
    </row>
    <row r="24" spans="1:8" ht="15" customHeight="1" x14ac:dyDescent="0.3">
      <c r="A24" s="118" t="s">
        <v>16</v>
      </c>
      <c r="B24" s="118"/>
      <c r="C24" s="118"/>
      <c r="D24" s="118"/>
      <c r="E24" s="133" t="s">
        <v>17</v>
      </c>
      <c r="F24" s="133"/>
      <c r="G24" s="133"/>
      <c r="H24" s="133"/>
    </row>
    <row r="25" spans="1:8" ht="15" customHeight="1" x14ac:dyDescent="0.3">
      <c r="A25" s="81" t="s">
        <v>18</v>
      </c>
      <c r="B25" s="81"/>
      <c r="C25" s="81"/>
      <c r="D25" s="81"/>
      <c r="E25" s="133" t="str">
        <f>IF(AND(G19="Mumbai"),"Upper Class","Middle Class")</f>
        <v>Upper Class</v>
      </c>
      <c r="F25" s="133"/>
      <c r="G25" s="133"/>
      <c r="H25" s="133"/>
    </row>
    <row r="26" spans="1:8" x14ac:dyDescent="0.3">
      <c r="A26" s="81" t="s">
        <v>19</v>
      </c>
      <c r="B26" s="81"/>
      <c r="C26" s="81"/>
      <c r="D26" s="81"/>
      <c r="E26" s="133" t="s">
        <v>20</v>
      </c>
      <c r="F26" s="133"/>
      <c r="G26" s="133"/>
      <c r="H26" s="133"/>
    </row>
    <row r="27" spans="1:8" ht="15.75" customHeight="1" x14ac:dyDescent="0.3">
      <c r="A27" s="81" t="s">
        <v>21</v>
      </c>
      <c r="B27" s="81"/>
      <c r="C27" s="81"/>
      <c r="D27" s="81"/>
      <c r="E27" s="133" t="str">
        <f>IF(AND(G19="Mumbai"),"Developed","Developing")</f>
        <v>Developed</v>
      </c>
      <c r="F27" s="133"/>
      <c r="G27" s="133"/>
      <c r="H27" s="133"/>
    </row>
    <row r="28" spans="1:8" x14ac:dyDescent="0.3">
      <c r="A28" s="81" t="s">
        <v>22</v>
      </c>
      <c r="B28" s="81"/>
      <c r="C28" s="81"/>
      <c r="D28" s="81"/>
      <c r="E28" s="133" t="s">
        <v>23</v>
      </c>
      <c r="F28" s="133"/>
      <c r="G28" s="133"/>
      <c r="H28" s="133"/>
    </row>
    <row r="29" spans="1:8" ht="15.75" customHeight="1" x14ac:dyDescent="0.3">
      <c r="A29" s="81" t="s">
        <v>80</v>
      </c>
      <c r="B29" s="81"/>
      <c r="C29" s="81"/>
      <c r="D29" s="81"/>
      <c r="E29" s="133" t="s">
        <v>81</v>
      </c>
      <c r="F29" s="133"/>
      <c r="G29" s="133"/>
      <c r="H29" s="133"/>
    </row>
    <row r="30" spans="1:8" ht="15" customHeight="1" x14ac:dyDescent="0.3">
      <c r="A30" s="81" t="s">
        <v>32</v>
      </c>
      <c r="B30" s="81"/>
      <c r="C30" s="81"/>
      <c r="D30" s="81"/>
      <c r="E30" s="133" t="str">
        <f>IF(AND(ISNUMBER(SEARCH("Flat",D57)),ISNUMBER(SEARCH("Shop",D57)),ISNUMBER(SEARCH("Office",D57))),"Residential + Commercial",IF(AND(ISNUMBER(SEARCH("Flat",D57)),ISNUMBER(SEARCH("Shop",D57))),"Residential + Commercial",IF(AND(ISNUMBER(SEARCH("Flat",D57)),ISNUMBER(SEARCH("Office",D57))),"Residential + Commercial",IF(AND(ISNUMBER(SEARCH("Shop",D57)),ISNUMBER(SEARCH("Office",D57))),"Commercial",IF(ISNUMBER(SEARCH("Shop",D57)),"Commercial",IF(ISNUMBER(SEARCH("Office",D57)),"Commercial",IF(ISNUMBER(SEARCH("Flat",D57)),"Residential")))))))</f>
        <v>Residential</v>
      </c>
      <c r="F30" s="133"/>
      <c r="G30" s="133"/>
      <c r="H30" s="133"/>
    </row>
    <row r="31" spans="1:8" ht="15.75" customHeight="1" x14ac:dyDescent="0.3">
      <c r="A31" s="81" t="s">
        <v>92</v>
      </c>
      <c r="B31" s="81"/>
      <c r="C31" s="81"/>
      <c r="D31" s="81"/>
      <c r="E31" s="133" t="s">
        <v>33</v>
      </c>
      <c r="F31" s="133"/>
      <c r="G31" s="133"/>
      <c r="H31" s="133"/>
    </row>
    <row r="32" spans="1:8" s="21" customFormat="1" x14ac:dyDescent="0.3">
      <c r="A32" s="161" t="s">
        <v>93</v>
      </c>
      <c r="B32" s="161"/>
      <c r="C32" s="160" t="s">
        <v>28</v>
      </c>
      <c r="D32" s="160"/>
      <c r="E32" s="160"/>
      <c r="F32" s="160" t="s">
        <v>30</v>
      </c>
      <c r="G32" s="160"/>
      <c r="H32" s="160"/>
    </row>
    <row r="33" spans="1:8" s="21" customFormat="1" x14ac:dyDescent="0.3">
      <c r="A33" s="154" t="s">
        <v>24</v>
      </c>
      <c r="B33" s="154" t="s">
        <v>29</v>
      </c>
      <c r="C33" s="155" t="s">
        <v>210</v>
      </c>
      <c r="D33" s="155"/>
      <c r="E33" s="155"/>
      <c r="F33" s="155" t="s">
        <v>210</v>
      </c>
      <c r="G33" s="155"/>
      <c r="H33" s="155"/>
    </row>
    <row r="34" spans="1:8" x14ac:dyDescent="0.3">
      <c r="A34" s="154" t="s">
        <v>25</v>
      </c>
      <c r="B34" s="154" t="s">
        <v>29</v>
      </c>
      <c r="C34" s="155" t="s">
        <v>211</v>
      </c>
      <c r="D34" s="155"/>
      <c r="E34" s="155"/>
      <c r="F34" s="155" t="s">
        <v>214</v>
      </c>
      <c r="G34" s="155"/>
      <c r="H34" s="155"/>
    </row>
    <row r="35" spans="1:8" s="21" customFormat="1" x14ac:dyDescent="0.3">
      <c r="A35" s="154" t="s">
        <v>27</v>
      </c>
      <c r="B35" s="154" t="s">
        <v>29</v>
      </c>
      <c r="C35" s="155" t="s">
        <v>208</v>
      </c>
      <c r="D35" s="155"/>
      <c r="E35" s="155"/>
      <c r="F35" s="155" t="s">
        <v>212</v>
      </c>
      <c r="G35" s="155"/>
      <c r="H35" s="155"/>
    </row>
    <row r="36" spans="1:8" x14ac:dyDescent="0.3">
      <c r="A36" s="162" t="s">
        <v>26</v>
      </c>
      <c r="B36" s="162" t="s">
        <v>29</v>
      </c>
      <c r="C36" s="162" t="s">
        <v>209</v>
      </c>
      <c r="D36" s="162"/>
      <c r="E36" s="162"/>
      <c r="F36" s="164" t="s">
        <v>213</v>
      </c>
      <c r="G36" s="164"/>
      <c r="H36" s="164"/>
    </row>
    <row r="37" spans="1:8" x14ac:dyDescent="0.3">
      <c r="A37" s="81" t="s">
        <v>31</v>
      </c>
      <c r="B37" s="81"/>
      <c r="C37" s="81"/>
      <c r="D37" s="81"/>
      <c r="E37" s="81"/>
      <c r="F37" s="81"/>
      <c r="G37" s="81"/>
      <c r="H37" s="81"/>
    </row>
    <row r="38" spans="1:8" ht="15.75" customHeight="1" x14ac:dyDescent="0.3">
      <c r="A38" s="81" t="s">
        <v>216</v>
      </c>
      <c r="B38" s="81"/>
      <c r="C38" s="220" t="s">
        <v>217</v>
      </c>
      <c r="D38" s="221"/>
      <c r="E38" s="221"/>
      <c r="F38" s="221"/>
      <c r="G38" s="221"/>
      <c r="H38" s="222"/>
    </row>
    <row r="39" spans="1:8" x14ac:dyDescent="0.3">
      <c r="A39" s="81" t="s">
        <v>155</v>
      </c>
      <c r="B39" s="81"/>
      <c r="C39" s="166" t="s">
        <v>218</v>
      </c>
      <c r="D39" s="167"/>
      <c r="E39" s="167"/>
      <c r="F39" s="167"/>
      <c r="G39" s="167"/>
      <c r="H39" s="167"/>
    </row>
    <row r="40" spans="1:8" x14ac:dyDescent="0.3">
      <c r="A40" s="115" t="s">
        <v>34</v>
      </c>
      <c r="B40" s="115"/>
      <c r="C40" s="115"/>
      <c r="D40" s="115"/>
      <c r="E40" s="115"/>
      <c r="F40" s="115"/>
      <c r="G40" s="115"/>
      <c r="H40" s="115"/>
    </row>
    <row r="41" spans="1:8" x14ac:dyDescent="0.3">
      <c r="A41" s="147" t="s">
        <v>35</v>
      </c>
      <c r="B41" s="147"/>
      <c r="C41" s="147"/>
      <c r="D41" s="147"/>
      <c r="E41" s="163">
        <v>57838.66</v>
      </c>
      <c r="F41" s="163"/>
      <c r="G41" s="163"/>
      <c r="H41" s="163"/>
    </row>
    <row r="42" spans="1:8" x14ac:dyDescent="0.3">
      <c r="A42" s="147" t="s">
        <v>36</v>
      </c>
      <c r="B42" s="147"/>
      <c r="C42" s="147"/>
      <c r="D42" s="147"/>
      <c r="E42" s="168">
        <v>1</v>
      </c>
      <c r="F42" s="168"/>
      <c r="G42" s="168"/>
      <c r="H42" s="168"/>
    </row>
    <row r="43" spans="1:8" x14ac:dyDescent="0.3">
      <c r="A43" s="147" t="s">
        <v>37</v>
      </c>
      <c r="B43" s="147"/>
      <c r="C43" s="147"/>
      <c r="D43" s="147"/>
      <c r="E43" s="168">
        <f>E45/E41-E42</f>
        <v>1.7998404527352463</v>
      </c>
      <c r="F43" s="168"/>
      <c r="G43" s="168"/>
      <c r="H43" s="168"/>
    </row>
    <row r="44" spans="1:8" x14ac:dyDescent="0.3">
      <c r="A44" s="147" t="s">
        <v>38</v>
      </c>
      <c r="B44" s="147"/>
      <c r="C44" s="147"/>
      <c r="D44" s="147"/>
      <c r="E44" s="168">
        <f>E42+E43</f>
        <v>2.7998404527352463</v>
      </c>
      <c r="F44" s="168"/>
      <c r="G44" s="168"/>
      <c r="H44" s="168"/>
    </row>
    <row r="45" spans="1:8" x14ac:dyDescent="0.3">
      <c r="A45" s="147" t="s">
        <v>91</v>
      </c>
      <c r="B45" s="147"/>
      <c r="C45" s="147"/>
      <c r="D45" s="147"/>
      <c r="E45" s="213">
        <v>161939.01999999999</v>
      </c>
      <c r="F45" s="213"/>
      <c r="G45" s="213"/>
      <c r="H45" s="213"/>
    </row>
    <row r="46" spans="1:8" x14ac:dyDescent="0.3">
      <c r="A46" s="147" t="s">
        <v>39</v>
      </c>
      <c r="B46" s="147"/>
      <c r="C46" s="147"/>
      <c r="D46" s="147"/>
      <c r="E46" s="147" t="s">
        <v>223</v>
      </c>
      <c r="F46" s="147"/>
      <c r="G46" s="147"/>
      <c r="H46" s="147"/>
    </row>
    <row r="47" spans="1:8" x14ac:dyDescent="0.3">
      <c r="A47" s="115" t="s">
        <v>40</v>
      </c>
      <c r="B47" s="115"/>
      <c r="C47" s="115"/>
      <c r="D47" s="115"/>
      <c r="E47" s="115"/>
      <c r="F47" s="115"/>
      <c r="G47" s="115"/>
      <c r="H47" s="115"/>
    </row>
    <row r="48" spans="1:8" ht="33.75" customHeight="1" x14ac:dyDescent="0.3">
      <c r="A48" s="169" t="s">
        <v>144</v>
      </c>
      <c r="B48" s="170"/>
      <c r="C48" s="171" t="s">
        <v>167</v>
      </c>
      <c r="D48" s="172"/>
      <c r="E48" s="172"/>
      <c r="F48" s="172"/>
      <c r="G48" s="172"/>
      <c r="H48" s="173"/>
    </row>
    <row r="49" spans="1:14" ht="15.75" customHeight="1" x14ac:dyDescent="0.3">
      <c r="A49" s="169" t="s">
        <v>41</v>
      </c>
      <c r="B49" s="170"/>
      <c r="C49" s="151" t="s">
        <v>189</v>
      </c>
      <c r="D49" s="153"/>
      <c r="E49" s="152"/>
      <c r="F49" s="55" t="s">
        <v>42</v>
      </c>
      <c r="G49" s="165">
        <v>45005</v>
      </c>
      <c r="H49" s="152"/>
    </row>
    <row r="50" spans="1:14" x14ac:dyDescent="0.3">
      <c r="A50" s="169" t="s">
        <v>43</v>
      </c>
      <c r="B50" s="170"/>
      <c r="C50" s="151" t="s">
        <v>189</v>
      </c>
      <c r="D50" s="153"/>
      <c r="E50" s="152"/>
      <c r="F50" s="55" t="s">
        <v>42</v>
      </c>
      <c r="G50" s="165">
        <f>G49</f>
        <v>45005</v>
      </c>
      <c r="H50" s="180"/>
    </row>
    <row r="51" spans="1:14" s="22" customFormat="1" ht="34.049999999999997" customHeight="1" x14ac:dyDescent="0.3">
      <c r="A51" s="181" t="s">
        <v>148</v>
      </c>
      <c r="B51" s="182"/>
      <c r="C51" s="151" t="s">
        <v>247</v>
      </c>
      <c r="D51" s="153"/>
      <c r="E51" s="152"/>
      <c r="F51" s="55" t="s">
        <v>42</v>
      </c>
      <c r="G51" s="165">
        <v>45586</v>
      </c>
      <c r="H51" s="180"/>
    </row>
    <row r="52" spans="1:14" s="22" customFormat="1" ht="111" customHeight="1" x14ac:dyDescent="0.3">
      <c r="A52" s="183"/>
      <c r="B52" s="184"/>
      <c r="C52" s="151" t="s">
        <v>248</v>
      </c>
      <c r="D52" s="153"/>
      <c r="E52" s="152"/>
      <c r="F52" s="55" t="s">
        <v>115</v>
      </c>
      <c r="G52" s="165">
        <v>45944</v>
      </c>
      <c r="H52" s="180"/>
    </row>
    <row r="53" spans="1:14" x14ac:dyDescent="0.3">
      <c r="A53" s="202" t="s">
        <v>158</v>
      </c>
      <c r="B53" s="203"/>
      <c r="C53" s="157" t="s">
        <v>29</v>
      </c>
      <c r="D53" s="158"/>
      <c r="E53" s="159"/>
      <c r="F53" s="50" t="s">
        <v>42</v>
      </c>
      <c r="G53" s="200" t="s">
        <v>29</v>
      </c>
      <c r="H53" s="201"/>
    </row>
    <row r="54" spans="1:14" hidden="1" x14ac:dyDescent="0.3">
      <c r="A54" s="204"/>
      <c r="B54" s="205"/>
      <c r="C54" s="157" t="s">
        <v>29</v>
      </c>
      <c r="D54" s="158"/>
      <c r="E54" s="158"/>
      <c r="F54" s="158"/>
      <c r="G54" s="158"/>
      <c r="H54" s="159"/>
    </row>
    <row r="55" spans="1:14" x14ac:dyDescent="0.3">
      <c r="A55" s="120" t="s">
        <v>45</v>
      </c>
      <c r="B55" s="120"/>
      <c r="C55" s="120"/>
      <c r="D55" s="120"/>
      <c r="E55" s="120"/>
      <c r="F55" s="120"/>
      <c r="G55" s="120"/>
      <c r="H55" s="120"/>
    </row>
    <row r="56" spans="1:14" x14ac:dyDescent="0.3">
      <c r="A56" s="118" t="s">
        <v>90</v>
      </c>
      <c r="B56" s="118"/>
      <c r="C56" s="118"/>
      <c r="D56" s="81">
        <v>46304.55</v>
      </c>
      <c r="E56" s="81"/>
      <c r="F56" s="81"/>
      <c r="G56" s="81"/>
      <c r="H56" s="81"/>
    </row>
    <row r="57" spans="1:14" x14ac:dyDescent="0.3">
      <c r="A57" s="133" t="s">
        <v>46</v>
      </c>
      <c r="B57" s="147"/>
      <c r="C57" s="147"/>
      <c r="D57" s="147" t="s">
        <v>202</v>
      </c>
      <c r="E57" s="147"/>
      <c r="F57" s="147"/>
      <c r="G57" s="147"/>
      <c r="H57" s="147"/>
      <c r="I57" s="23"/>
    </row>
    <row r="58" spans="1:14" ht="33.75" customHeight="1" x14ac:dyDescent="0.3">
      <c r="A58" s="177" t="s">
        <v>47</v>
      </c>
      <c r="B58" s="178"/>
      <c r="C58" s="179"/>
      <c r="D58" s="175" t="s">
        <v>205</v>
      </c>
      <c r="E58" s="176"/>
      <c r="F58" s="176"/>
      <c r="G58" s="176"/>
      <c r="H58" s="176"/>
    </row>
    <row r="59" spans="1:14" ht="33" customHeight="1" x14ac:dyDescent="0.3">
      <c r="A59" s="133" t="s">
        <v>88</v>
      </c>
      <c r="B59" s="133"/>
      <c r="C59" s="133"/>
      <c r="D59" s="133" t="s">
        <v>204</v>
      </c>
      <c r="E59" s="147"/>
      <c r="F59" s="147"/>
      <c r="G59" s="147"/>
      <c r="H59" s="147"/>
    </row>
    <row r="60" spans="1:14" ht="15.75" customHeight="1" x14ac:dyDescent="0.3">
      <c r="A60" s="81" t="s">
        <v>44</v>
      </c>
      <c r="B60" s="81"/>
      <c r="C60" s="81"/>
      <c r="D60" s="133" t="s">
        <v>163</v>
      </c>
      <c r="E60" s="133"/>
      <c r="F60" s="133"/>
      <c r="G60" s="133"/>
      <c r="H60" s="133"/>
      <c r="J60" s="24"/>
      <c r="K60" s="23"/>
      <c r="N60" s="23"/>
    </row>
    <row r="61" spans="1:14" ht="15.75" customHeight="1" x14ac:dyDescent="0.3">
      <c r="A61" s="81" t="s">
        <v>86</v>
      </c>
      <c r="B61" s="81"/>
      <c r="C61" s="81"/>
      <c r="D61" s="199" t="str">
        <f>(IF(G53="NA","60 Years After Completion",IF(G53&lt;&gt;"NA",""&amp;60-ROUNDDOWN((E3-G53)/360,0)&amp;" Years"," ")))</f>
        <v>60 Years After Completion</v>
      </c>
      <c r="E61" s="199"/>
      <c r="F61" s="199"/>
      <c r="G61" s="199"/>
      <c r="H61" s="199"/>
      <c r="N61" s="23"/>
    </row>
    <row r="62" spans="1:14" ht="15.75" customHeight="1" x14ac:dyDescent="0.3">
      <c r="A62" s="81" t="s">
        <v>87</v>
      </c>
      <c r="B62" s="81"/>
      <c r="C62" s="81"/>
      <c r="D62" s="118" t="s">
        <v>23</v>
      </c>
      <c r="E62" s="118"/>
      <c r="F62" s="118"/>
      <c r="G62" s="118"/>
      <c r="H62" s="118"/>
      <c r="J62" s="25"/>
      <c r="K62" s="25"/>
    </row>
    <row r="63" spans="1:14" ht="34.5" customHeight="1" x14ac:dyDescent="0.3">
      <c r="A63" s="81" t="s">
        <v>74</v>
      </c>
      <c r="B63" s="81"/>
      <c r="C63" s="81"/>
      <c r="D63" s="133" t="s">
        <v>219</v>
      </c>
      <c r="E63" s="118"/>
      <c r="F63" s="118"/>
      <c r="G63" s="118"/>
      <c r="H63" s="118"/>
    </row>
    <row r="64" spans="1:14" x14ac:dyDescent="0.3">
      <c r="A64" s="118" t="s">
        <v>142</v>
      </c>
      <c r="B64" s="118"/>
      <c r="C64" s="118"/>
      <c r="D64" s="118" t="s">
        <v>29</v>
      </c>
      <c r="E64" s="118"/>
      <c r="F64" s="118"/>
      <c r="G64" s="118"/>
      <c r="H64" s="118"/>
      <c r="I64" s="26"/>
      <c r="J64" s="26"/>
      <c r="K64" s="26"/>
      <c r="L64" s="26"/>
      <c r="M64" s="26"/>
      <c r="N64" s="26"/>
    </row>
    <row r="65" spans="1:10" ht="15.75" customHeight="1" x14ac:dyDescent="0.3">
      <c r="A65" s="81" t="s">
        <v>85</v>
      </c>
      <c r="B65" s="81"/>
      <c r="C65" s="81"/>
      <c r="D65" s="133" t="str">
        <f ca="1">(IF(G71&gt;95%,"Nothing",IF(G71&gt;0%,"Cement, Aggregate, Steel, etc",IF(G71=0%,"Work not yet Started"))))</f>
        <v>Cement, Aggregate, Steel, etc</v>
      </c>
      <c r="E65" s="133"/>
      <c r="F65" s="133"/>
      <c r="G65" s="133"/>
      <c r="H65" s="133"/>
      <c r="J65" s="25"/>
    </row>
    <row r="66" spans="1:10" ht="33.75" customHeight="1" thickBot="1" x14ac:dyDescent="0.35">
      <c r="A66" s="118" t="s">
        <v>111</v>
      </c>
      <c r="B66" s="118"/>
      <c r="C66" s="118"/>
      <c r="D66" s="133" t="str">
        <f ca="1">(IF(D65="Nothing","Yes",IF(D65="Cement, Aggregate, Steel, etc","Under Construction",IF(D65="Work not yet Started","Work not yet Started"))))</f>
        <v>Under Construction</v>
      </c>
      <c r="E66" s="133"/>
      <c r="F66" s="133" t="str">
        <f ca="1">(IF(D65="Nothing","Yes",IF(D65="Cement, Aggregate, Steel, etc","Under Construction",IF(D65="Work not yet Started","Work not yet Started"))))</f>
        <v>Under Construction</v>
      </c>
      <c r="G66" s="133"/>
      <c r="H66" s="133"/>
    </row>
    <row r="67" spans="1:10" ht="33" customHeight="1" x14ac:dyDescent="0.3">
      <c r="A67" s="209" t="s">
        <v>134</v>
      </c>
      <c r="B67" s="209"/>
      <c r="C67" s="209" t="s">
        <v>242</v>
      </c>
      <c r="D67" s="209"/>
      <c r="E67" s="209"/>
      <c r="F67" s="209"/>
      <c r="G67" s="209"/>
      <c r="H67" s="209"/>
      <c r="I67" s="62" t="str">
        <f ca="1">IF(D80=100%,"All work Completed. Possession granted to the Building.",IF(D79=100%,"All work Completed, Waiting for OC",I68&amp;""&amp;I69&amp;""&amp;J68&amp;""&amp;J67&amp;" "&amp;J69))</f>
        <v>Excavation, Plinth Completed, RCC upto 49 Slab, Brickwork upto 42 Floor, Internal Plaster upto 31.5 Floor, External Plaster upto 27.3 Floor Completed</v>
      </c>
      <c r="J67" s="47" t="str">
        <f ca="1">(IF(C73=(D68+F68+H68),"",IF(C73&gt;0,", RCC upto "&amp;C73&amp;" Slab","")))&amp;(IF(C74=H68,"",IF(C74&gt;0,", Brickwork upto "&amp;C74&amp;" Floor","")))&amp;(IF(C75=H68,"",IF(C75&gt;0,", Internal Plaster upto "&amp;C75&amp;" Floor","")))&amp;(IF(C76=H68,"",IF(C76&gt;0,", External Plaster upto "&amp;C76&amp;" Floor","")))&amp;(IF(C77=H68,"",IF(C77&gt;0,", Flooring upto "&amp;C77&amp;" Floor","")))&amp;(IF(C78=H68,"",IF(C78&gt;0,", Painting upto "&amp;C78&amp;" Floor","")))&amp;(IF(C79=H68,"",IF(C79&gt;0,", Finishing upto "&amp;C79&amp;" Floor","")))&amp;(IF(C80=H68,"",IF(C80&gt;0,", Possession upto "&amp;C80&amp;" Floor","")))</f>
        <v>, RCC upto 49 Slab, Brickwork upto 42 Floor, Internal Plaster upto 31.5 Floor, External Plaster upto 27.3 Floor</v>
      </c>
    </row>
    <row r="68" spans="1:10" x14ac:dyDescent="0.3">
      <c r="A68" s="16" t="s">
        <v>136</v>
      </c>
      <c r="B68" s="45">
        <v>0</v>
      </c>
      <c r="C68" s="45" t="s">
        <v>72</v>
      </c>
      <c r="D68" s="45">
        <v>1</v>
      </c>
      <c r="E68" s="45" t="s">
        <v>71</v>
      </c>
      <c r="F68" s="45">
        <v>6</v>
      </c>
      <c r="G68" s="45" t="s">
        <v>79</v>
      </c>
      <c r="H68" s="17">
        <f ca="1">--TRIM(RIGHT(SUBSTITUTE(LEFT(C67,_xlfn.AGGREGATE(16,6,FIND({0,1,2,3,4,5,6,7,8,9},C67,ROW(INDIRECT("1:"&amp;LEN(C67)))),1))," ",REPT(" ",LEN(C67))),LEN(C67)))</f>
        <v>45</v>
      </c>
      <c r="I68" s="48" t="str">
        <f ca="1">IF(D71=100%,"Excavation","")&amp;IF(D72=100%,", Plinth","")&amp;IF(D73=100%,", RCC Slab","")&amp;IF(D74=100%,", Brickwork","")&amp;IF(D75=100%,", Internal Plaster","")&amp;IF(D76=100%,", External Plaster","")&amp;IF(D77=100%,", Flooring","")&amp;IF(D78=100%,", Painting","")&amp;IF(D79=100%,", Building common Amenities","")</f>
        <v>Excavation, Plinth</v>
      </c>
      <c r="J68" s="49" t="str">
        <f ca="1">(IF(C71=0,"Work not yet Started.",IF(D71=25%,"Piling work in process",IF(D71=50%,"Excavation work in process",IF(D71=100%,"","0")))))&amp;(IF(C72=0%,"",IF(C72=J73,", Footing work is process",IF(C72=J74,", Footing work Completed",IF(C72=J75,", 1st Basement Completed",IF(C72=J76,", 1st &amp; 2nd Basement Completed",IF(C72=J77,", 1st to 3rd Basement Completed",IF(C72=J78,", 1st to 4th Basement Completed",IF(C72=J79,", Plinth work is process",IF(C72=J80,"","0"))))))))))</f>
        <v/>
      </c>
    </row>
    <row r="69" spans="1:10" ht="32.25" customHeight="1" x14ac:dyDescent="0.3">
      <c r="A69" s="174" t="s">
        <v>89</v>
      </c>
      <c r="B69" s="149"/>
      <c r="C69" s="131" t="str">
        <f ca="1">(IF($C$54=C67,"All work Completed. OC Received.",I67))</f>
        <v>Excavation, Plinth Completed, RCC upto 49 Slab, Brickwork upto 42 Floor, Internal Plaster upto 31.5 Floor, External Plaster upto 27.3 Floor Completed</v>
      </c>
      <c r="D69" s="131"/>
      <c r="E69" s="131"/>
      <c r="F69" s="131"/>
      <c r="G69" s="131"/>
      <c r="H69" s="132"/>
      <c r="I69" s="48" t="str">
        <f ca="1">IF(I68&lt;&gt;""," Completed","")</f>
        <v xml:space="preserve"> Completed</v>
      </c>
      <c r="J69" s="49" t="str">
        <f ca="1">IF(J67&lt;&gt;"","Completed","")</f>
        <v>Completed</v>
      </c>
    </row>
    <row r="70" spans="1:10" ht="15.75" customHeight="1" x14ac:dyDescent="0.3">
      <c r="A70" s="122" t="s">
        <v>48</v>
      </c>
      <c r="B70" s="123"/>
      <c r="C70" s="42" t="s">
        <v>133</v>
      </c>
      <c r="D70" s="42" t="s">
        <v>82</v>
      </c>
      <c r="E70" s="123" t="s">
        <v>84</v>
      </c>
      <c r="F70" s="123"/>
      <c r="G70" s="123" t="s">
        <v>83</v>
      </c>
      <c r="H70" s="134"/>
      <c r="I70" s="14" t="s">
        <v>135</v>
      </c>
      <c r="J70" s="27">
        <f ca="1">H68*25%</f>
        <v>11.25</v>
      </c>
    </row>
    <row r="71" spans="1:10" x14ac:dyDescent="0.3">
      <c r="A71" s="122" t="s">
        <v>122</v>
      </c>
      <c r="B71" s="123"/>
      <c r="C71" s="42">
        <f ca="1">J72</f>
        <v>45</v>
      </c>
      <c r="D71" s="18">
        <f ca="1">((100/H68)*C71)/100</f>
        <v>1</v>
      </c>
      <c r="E71" s="135">
        <f ca="1">(((C72/H68*10)+(40/(D68+F68+H68)*C73)+(7.5/(H68)*C74)+(7.5/(H68)*C75)+(10/H68*C76)+(10/H68*C77)+(5/H68*C78)+(5/H68*C79)+(5/H68*C80))/100)</f>
        <v>0.66008974358974359</v>
      </c>
      <c r="F71" s="136"/>
      <c r="G71" s="135">
        <f ca="1">((((C71/H68)*20)+((C72/H68)*25)+(30/(H68+F68+D68)*C73)+(5/H68*C74)+(5/H68*C75)+(5/H68*C76)+(5/H68*C77)+(0/H68*C78)+(0/H68*C79)+(5/H68*C80))/100)</f>
        <v>0.84469230769230774</v>
      </c>
      <c r="H71" s="141"/>
      <c r="I71" s="14" t="s">
        <v>94</v>
      </c>
      <c r="J71" s="28">
        <f ca="1">H68*50%</f>
        <v>22.5</v>
      </c>
    </row>
    <row r="72" spans="1:10" x14ac:dyDescent="0.3">
      <c r="A72" s="122" t="s">
        <v>49</v>
      </c>
      <c r="B72" s="123"/>
      <c r="C72" s="54">
        <v>45</v>
      </c>
      <c r="D72" s="18">
        <f ca="1">((100/H68)*C72)/100</f>
        <v>1</v>
      </c>
      <c r="E72" s="137"/>
      <c r="F72" s="138"/>
      <c r="G72" s="137"/>
      <c r="H72" s="142"/>
      <c r="I72" s="14" t="s">
        <v>95</v>
      </c>
      <c r="J72" s="28">
        <f ca="1">H68</f>
        <v>45</v>
      </c>
    </row>
    <row r="73" spans="1:10" ht="15.75" customHeight="1" x14ac:dyDescent="0.3">
      <c r="A73" s="122" t="s">
        <v>123</v>
      </c>
      <c r="B73" s="123"/>
      <c r="C73" s="42">
        <f>F68+D68+42</f>
        <v>49</v>
      </c>
      <c r="D73" s="18">
        <f ca="1">((100/(D68+F68+H68))*C73)/100</f>
        <v>0.94230769230769229</v>
      </c>
      <c r="E73" s="137"/>
      <c r="F73" s="138"/>
      <c r="G73" s="137"/>
      <c r="H73" s="142"/>
      <c r="I73" s="14" t="s">
        <v>96</v>
      </c>
      <c r="J73" s="29">
        <f ca="1">(IF(B68&gt;1,(H68/(B68+2)),H68/4))</f>
        <v>11.25</v>
      </c>
    </row>
    <row r="74" spans="1:10" ht="15.75" customHeight="1" x14ac:dyDescent="0.3">
      <c r="A74" s="122" t="s">
        <v>130</v>
      </c>
      <c r="B74" s="123" t="s">
        <v>124</v>
      </c>
      <c r="C74" s="42">
        <f>C73-F68-D68</f>
        <v>42</v>
      </c>
      <c r="D74" s="18">
        <f ca="1">((100/H68)*C74)/100</f>
        <v>0.93333333333333346</v>
      </c>
      <c r="E74" s="137"/>
      <c r="F74" s="138"/>
      <c r="G74" s="137"/>
      <c r="H74" s="142"/>
      <c r="I74" s="14" t="s">
        <v>97</v>
      </c>
      <c r="J74" s="29">
        <f ca="1">(IF(B68&gt;1,(H68/(B68+2)+J73),H68/4+J73))</f>
        <v>22.5</v>
      </c>
    </row>
    <row r="75" spans="1:10" ht="15.75" customHeight="1" x14ac:dyDescent="0.3">
      <c r="A75" s="122" t="s">
        <v>131</v>
      </c>
      <c r="B75" s="123" t="s">
        <v>124</v>
      </c>
      <c r="C75" s="54">
        <f>C74*0.75</f>
        <v>31.5</v>
      </c>
      <c r="D75" s="18">
        <f ca="1">((100/H68)*C75)/100</f>
        <v>0.7</v>
      </c>
      <c r="E75" s="137"/>
      <c r="F75" s="138"/>
      <c r="G75" s="137"/>
      <c r="H75" s="142"/>
      <c r="I75" s="14" t="s">
        <v>140</v>
      </c>
      <c r="J75" s="29">
        <f>(IF(B68&gt;1,(H68/(B68+2)+J74),0))</f>
        <v>0</v>
      </c>
    </row>
    <row r="76" spans="1:10" ht="15" customHeight="1" x14ac:dyDescent="0.3">
      <c r="A76" s="122" t="s">
        <v>129</v>
      </c>
      <c r="B76" s="123" t="s">
        <v>126</v>
      </c>
      <c r="C76" s="54">
        <f>C74*0.65</f>
        <v>27.3</v>
      </c>
      <c r="D76" s="18">
        <f ca="1">((100/(H68))*C76)/100</f>
        <v>0.60666666666666669</v>
      </c>
      <c r="E76" s="137"/>
      <c r="F76" s="138"/>
      <c r="G76" s="137"/>
      <c r="H76" s="142"/>
      <c r="I76" s="14" t="s">
        <v>137</v>
      </c>
      <c r="J76" s="29">
        <f>(IF(B68&gt;2,(H68/(B68+2)+J75),0))</f>
        <v>0</v>
      </c>
    </row>
    <row r="77" spans="1:10" ht="15.75" customHeight="1" x14ac:dyDescent="0.3">
      <c r="A77" s="122" t="s">
        <v>125</v>
      </c>
      <c r="B77" s="123" t="s">
        <v>125</v>
      </c>
      <c r="C77" s="42">
        <v>0</v>
      </c>
      <c r="D77" s="18">
        <f ca="1">((100/H68)*C77)/100</f>
        <v>0</v>
      </c>
      <c r="E77" s="137"/>
      <c r="F77" s="138"/>
      <c r="G77" s="137"/>
      <c r="H77" s="142"/>
      <c r="I77" s="14" t="s">
        <v>138</v>
      </c>
      <c r="J77" s="30">
        <f>(IF(B68&gt;3,(H68/(B68+2)+J76),0))</f>
        <v>0</v>
      </c>
    </row>
    <row r="78" spans="1:10" ht="15.75" customHeight="1" x14ac:dyDescent="0.3">
      <c r="A78" s="122" t="s">
        <v>132</v>
      </c>
      <c r="B78" s="123"/>
      <c r="C78" s="42">
        <v>0</v>
      </c>
      <c r="D78" s="18">
        <f ca="1">((100/H68)*C78)/100</f>
        <v>0</v>
      </c>
      <c r="E78" s="137"/>
      <c r="F78" s="138"/>
      <c r="G78" s="137"/>
      <c r="H78" s="142"/>
      <c r="I78" s="14" t="s">
        <v>139</v>
      </c>
      <c r="J78" s="29">
        <f>(IF(B68&gt;4,(H68/(B68+2)+J77),0))</f>
        <v>0</v>
      </c>
    </row>
    <row r="79" spans="1:10" ht="15.75" customHeight="1" x14ac:dyDescent="0.3">
      <c r="A79" s="122" t="s">
        <v>127</v>
      </c>
      <c r="B79" s="123" t="s">
        <v>127</v>
      </c>
      <c r="C79" s="42">
        <v>0</v>
      </c>
      <c r="D79" s="18">
        <f ca="1">((100/(H68))*C79)/100</f>
        <v>0</v>
      </c>
      <c r="E79" s="137"/>
      <c r="F79" s="138"/>
      <c r="G79" s="137"/>
      <c r="H79" s="142"/>
      <c r="I79" s="14" t="s">
        <v>141</v>
      </c>
      <c r="J79" s="29">
        <f ca="1">(IF(B68=1,(H68/(B68+3)+J74),IF(B68=0,(H68/4+J74),IF(B68&gt;1,0))))</f>
        <v>33.75</v>
      </c>
    </row>
    <row r="80" spans="1:10" ht="16.2" thickBot="1" x14ac:dyDescent="0.35">
      <c r="A80" s="144" t="s">
        <v>128</v>
      </c>
      <c r="B80" s="145"/>
      <c r="C80" s="43">
        <v>0</v>
      </c>
      <c r="D80" s="19">
        <f ca="1">((100/(H68))*C80)/100</f>
        <v>0</v>
      </c>
      <c r="E80" s="139"/>
      <c r="F80" s="140"/>
      <c r="G80" s="139"/>
      <c r="H80" s="143"/>
      <c r="I80" s="15" t="s">
        <v>98</v>
      </c>
      <c r="J80" s="31">
        <f ca="1">(IF(B68&gt;1.5,(H68/(B68+2)+J74+MAX(0,J75-J74)+MAX(0,J76-J75)+MAX(0,J77-J76)+MAX(0,J78-J77)+MAX(0,J79-J78)),IF(B68=1,(H68/(B68+3)+J79),IF(B68=0,H68/4+J79))))</f>
        <v>45</v>
      </c>
    </row>
    <row r="81" spans="1:13" ht="33" customHeight="1" x14ac:dyDescent="0.3">
      <c r="A81" s="214" t="s">
        <v>134</v>
      </c>
      <c r="B81" s="215"/>
      <c r="C81" s="216" t="s">
        <v>243</v>
      </c>
      <c r="D81" s="217"/>
      <c r="E81" s="217"/>
      <c r="F81" s="217"/>
      <c r="G81" s="217"/>
      <c r="H81" s="218"/>
      <c r="I81" s="46" t="str">
        <f ca="1">IF(D94=100%,"All work Completed. Possession granted to the Building.",IF(D93=100%,"All work Completed, Waiting for OC",I82&amp;""&amp;I83&amp;""&amp;J82&amp;""&amp;J81&amp;" "&amp;J83))</f>
        <v>Excavation, Plinth Completed, RCC upto 49 Slab, Brickwork upto 42 Floor, Internal Plaster upto 31.5 Floor, External Plaster upto 27.3 Floor Completed</v>
      </c>
      <c r="J81" s="47" t="str">
        <f ca="1">(IF(C87=(D82+F82+H82),"",IF(C87&gt;0,", RCC upto "&amp;C87&amp;" Slab","")))&amp;(IF(C88=H82,"",IF(C88&gt;0,", Brickwork upto "&amp;C88&amp;" Floor","")))&amp;(IF(C89=H82,"",IF(C89&gt;0,", Internal Plaster upto "&amp;C89&amp;" Floor","")))&amp;(IF(C90=H82,"",IF(C90&gt;0,", External Plaster upto "&amp;C90&amp;" Floor","")))&amp;(IF(C91=H82,"",IF(C91&gt;0,", Flooring upto "&amp;C91&amp;" Floor","")))&amp;(IF(C92=H82,"",IF(C92&gt;0,", Painting upto "&amp;C92&amp;" Floor","")))&amp;(IF(C93=H82,"",IF(C93&gt;0,", Finishing upto "&amp;C93&amp;" Floor","")))&amp;(IF(C94=H82,"",IF(C94&gt;0,", Possession upto "&amp;C94&amp;" Floor","")))</f>
        <v>, RCC upto 49 Slab, Brickwork upto 42 Floor, Internal Plaster upto 31.5 Floor, External Plaster upto 27.3 Floor</v>
      </c>
    </row>
    <row r="82" spans="1:13" x14ac:dyDescent="0.3">
      <c r="A82" s="16" t="s">
        <v>136</v>
      </c>
      <c r="B82" s="45">
        <v>0</v>
      </c>
      <c r="C82" s="45" t="s">
        <v>72</v>
      </c>
      <c r="D82" s="45">
        <v>1</v>
      </c>
      <c r="E82" s="45" t="s">
        <v>71</v>
      </c>
      <c r="F82" s="45">
        <v>6</v>
      </c>
      <c r="G82" s="45" t="s">
        <v>79</v>
      </c>
      <c r="H82" s="17">
        <f ca="1">--TRIM(RIGHT(SUBSTITUTE(LEFT(C81,_xlfn.AGGREGATE(16,6,FIND({0,1,2,3,4,5,6,7,8,9},C81,ROW(INDIRECT("1:"&amp;LEN(C81)))),1))," ",REPT(" ",LEN(C81))),LEN(C81)))</f>
        <v>45</v>
      </c>
      <c r="I82" s="48" t="str">
        <f ca="1">IF(D85=100%,"Excavation","")&amp;IF(D86=100%,", Plinth","")&amp;IF(D87=100%,", RCC Slab","")&amp;IF(D88=100%,", Brickwork","")&amp;IF(D89=100%,", Internal Plaster","")&amp;IF(D90=100%,", External Plaster","")&amp;IF(D91=100%,", Flooring","")&amp;IF(D92=100%,", Painting","")&amp;IF(D93=100%,", Building common Amenities","")</f>
        <v>Excavation, Plinth</v>
      </c>
      <c r="J82" s="49" t="str">
        <f ca="1">(IF(C85=0,"Work not yet Started.",IF(D85=25%,"Piling work in process",IF(D85=50%,"Excavation work in process",IF(D85=100%,"","0")))))&amp;(IF(C86=0%,"",IF(C86=J87,", Footing work is process",IF(C86=J88,", Footing work Completed",IF(C86=J89,", 1st Basement Completed",IF(C86=J90,", 1st &amp; 2nd Basement Completed",IF(C86=J91,", 1st to 3rd Basement Completed",IF(C86=J92,", 1st to 4th Basement Completed",IF(C86=J93,", Plinth work is process",IF(C86=J94,"","0"))))))))))</f>
        <v/>
      </c>
    </row>
    <row r="83" spans="1:13" ht="33" customHeight="1" x14ac:dyDescent="0.3">
      <c r="A83" s="174" t="s">
        <v>89</v>
      </c>
      <c r="B83" s="149"/>
      <c r="C83" s="131" t="str">
        <f ca="1">(IF($C$54=C81,"All work Completed. OC Received.",I81))</f>
        <v>Excavation, Plinth Completed, RCC upto 49 Slab, Brickwork upto 42 Floor, Internal Plaster upto 31.5 Floor, External Plaster upto 27.3 Floor Completed</v>
      </c>
      <c r="D83" s="131"/>
      <c r="E83" s="131"/>
      <c r="F83" s="131"/>
      <c r="G83" s="131"/>
      <c r="H83" s="132"/>
      <c r="I83" s="48" t="str">
        <f ca="1">IF(I82&lt;&gt;""," Completed","")</f>
        <v xml:space="preserve"> Completed</v>
      </c>
      <c r="J83" s="49" t="str">
        <f ca="1">IF(J81&lt;&gt;"","Completed","")</f>
        <v>Completed</v>
      </c>
    </row>
    <row r="84" spans="1:13" ht="15.75" customHeight="1" x14ac:dyDescent="0.3">
      <c r="A84" s="122" t="s">
        <v>48</v>
      </c>
      <c r="B84" s="123"/>
      <c r="C84" s="42" t="s">
        <v>133</v>
      </c>
      <c r="D84" s="42" t="s">
        <v>82</v>
      </c>
      <c r="E84" s="123" t="s">
        <v>84</v>
      </c>
      <c r="F84" s="123"/>
      <c r="G84" s="123" t="s">
        <v>83</v>
      </c>
      <c r="H84" s="134"/>
      <c r="I84" s="14" t="s">
        <v>135</v>
      </c>
      <c r="J84" s="27">
        <f ca="1">H82*25%</f>
        <v>11.25</v>
      </c>
    </row>
    <row r="85" spans="1:13" x14ac:dyDescent="0.3">
      <c r="A85" s="122" t="s">
        <v>122</v>
      </c>
      <c r="B85" s="123"/>
      <c r="C85" s="42">
        <f ca="1">J86</f>
        <v>45</v>
      </c>
      <c r="D85" s="18">
        <f ca="1">((100/H82)*C85)/100</f>
        <v>1</v>
      </c>
      <c r="E85" s="135">
        <f ca="1">(((C86/H82*10)+(40/(D82+F82+H82)*C87)+(7.5/(H82)*C88)+(7.5/(H82)*C89)+(10/H82*C90)+(10/H82*C91)+(5/H82*C92)+(5/H82*C93)+(5/H82*C94))/100)</f>
        <v>0.66008974358974359</v>
      </c>
      <c r="F85" s="136"/>
      <c r="G85" s="135">
        <f ca="1">((((C85/H82)*20)+((C86/H82)*25)+(30/(H82+F82+D82)*C87)+(5/H82*C88)+(5/H82*C89)+(5/H82*C90)+(5/H82*C91)+(0/H82*C92)+(0/H82*C93)+(5/H82*C94))/100)</f>
        <v>0.84469230769230774</v>
      </c>
      <c r="H85" s="141"/>
      <c r="I85" s="14" t="s">
        <v>94</v>
      </c>
      <c r="J85" s="28">
        <f ca="1">H82*50%</f>
        <v>22.5</v>
      </c>
    </row>
    <row r="86" spans="1:13" x14ac:dyDescent="0.3">
      <c r="A86" s="122" t="s">
        <v>49</v>
      </c>
      <c r="B86" s="123"/>
      <c r="C86" s="54">
        <v>45</v>
      </c>
      <c r="D86" s="18">
        <f ca="1">((100/H82)*C86)/100</f>
        <v>1</v>
      </c>
      <c r="E86" s="137"/>
      <c r="F86" s="138"/>
      <c r="G86" s="137"/>
      <c r="H86" s="142"/>
      <c r="I86" s="14" t="s">
        <v>95</v>
      </c>
      <c r="J86" s="28">
        <f ca="1">H82</f>
        <v>45</v>
      </c>
    </row>
    <row r="87" spans="1:13" ht="15.75" customHeight="1" x14ac:dyDescent="0.3">
      <c r="A87" s="122" t="s">
        <v>123</v>
      </c>
      <c r="B87" s="123"/>
      <c r="C87" s="42">
        <f>F82+D82+42</f>
        <v>49</v>
      </c>
      <c r="D87" s="18">
        <f ca="1">((100/(D82+F82+H82))*C87)/100</f>
        <v>0.94230769230769229</v>
      </c>
      <c r="E87" s="137"/>
      <c r="F87" s="138"/>
      <c r="G87" s="137"/>
      <c r="H87" s="142"/>
      <c r="I87" s="14" t="s">
        <v>96</v>
      </c>
      <c r="J87" s="29">
        <f ca="1">(IF(B82&gt;1,(H82/(B82+2)),H82/4))</f>
        <v>11.25</v>
      </c>
    </row>
    <row r="88" spans="1:13" ht="15.75" customHeight="1" x14ac:dyDescent="0.3">
      <c r="A88" s="122" t="s">
        <v>130</v>
      </c>
      <c r="B88" s="123" t="s">
        <v>124</v>
      </c>
      <c r="C88" s="42">
        <f>C87-F82-D82</f>
        <v>42</v>
      </c>
      <c r="D88" s="18">
        <f ca="1">((100/H82)*C88)/100</f>
        <v>0.93333333333333346</v>
      </c>
      <c r="E88" s="137"/>
      <c r="F88" s="138"/>
      <c r="G88" s="137"/>
      <c r="H88" s="142"/>
      <c r="I88" s="14" t="s">
        <v>97</v>
      </c>
      <c r="J88" s="29">
        <f ca="1">(IF(B82&gt;1,(H82/(B82+2)+J87),H82/4+J87))</f>
        <v>22.5</v>
      </c>
    </row>
    <row r="89" spans="1:13" ht="15.75" customHeight="1" x14ac:dyDescent="0.3">
      <c r="A89" s="122" t="s">
        <v>131</v>
      </c>
      <c r="B89" s="123" t="s">
        <v>124</v>
      </c>
      <c r="C89" s="54">
        <f>C88*0.75</f>
        <v>31.5</v>
      </c>
      <c r="D89" s="18">
        <f ca="1">((100/H82)*C89)/100</f>
        <v>0.7</v>
      </c>
      <c r="E89" s="137"/>
      <c r="F89" s="138"/>
      <c r="G89" s="137"/>
      <c r="H89" s="142"/>
      <c r="I89" s="14" t="s">
        <v>140</v>
      </c>
      <c r="J89" s="29">
        <f>(IF(B82&gt;1,(H82/(B82+2)+J88),0))</f>
        <v>0</v>
      </c>
    </row>
    <row r="90" spans="1:13" ht="15" customHeight="1" x14ac:dyDescent="0.3">
      <c r="A90" s="122" t="s">
        <v>129</v>
      </c>
      <c r="B90" s="123" t="s">
        <v>126</v>
      </c>
      <c r="C90" s="54">
        <f>C88*0.65</f>
        <v>27.3</v>
      </c>
      <c r="D90" s="18">
        <f ca="1">((100/(H82))*C90)/100</f>
        <v>0.60666666666666669</v>
      </c>
      <c r="E90" s="137"/>
      <c r="F90" s="138"/>
      <c r="G90" s="137"/>
      <c r="H90" s="142"/>
      <c r="I90" s="14" t="s">
        <v>137</v>
      </c>
      <c r="J90" s="29">
        <f>(IF(B82&gt;2,(H82/(B82+2)+J89),0))</f>
        <v>0</v>
      </c>
    </row>
    <row r="91" spans="1:13" ht="15.75" customHeight="1" x14ac:dyDescent="0.3">
      <c r="A91" s="122" t="s">
        <v>125</v>
      </c>
      <c r="B91" s="123" t="s">
        <v>125</v>
      </c>
      <c r="C91" s="42">
        <v>0</v>
      </c>
      <c r="D91" s="18">
        <f ca="1">((100/H82)*C91)/100</f>
        <v>0</v>
      </c>
      <c r="E91" s="137"/>
      <c r="F91" s="138"/>
      <c r="G91" s="137"/>
      <c r="H91" s="142"/>
      <c r="I91" s="14" t="s">
        <v>138</v>
      </c>
      <c r="J91" s="30">
        <f>(IF(B82&gt;3,(H82/(B82+2)+J90),0))</f>
        <v>0</v>
      </c>
    </row>
    <row r="92" spans="1:13" ht="15.75" customHeight="1" x14ac:dyDescent="0.3">
      <c r="A92" s="122" t="s">
        <v>132</v>
      </c>
      <c r="B92" s="123"/>
      <c r="C92" s="42">
        <v>0</v>
      </c>
      <c r="D92" s="18">
        <f ca="1">((100/H82)*C92)/100</f>
        <v>0</v>
      </c>
      <c r="E92" s="137"/>
      <c r="F92" s="138"/>
      <c r="G92" s="137"/>
      <c r="H92" s="142"/>
      <c r="I92" s="14" t="s">
        <v>139</v>
      </c>
      <c r="J92" s="29">
        <f>(IF(B82&gt;4,(H82/(B82+2)+J91),0))</f>
        <v>0</v>
      </c>
    </row>
    <row r="93" spans="1:13" ht="15.75" customHeight="1" x14ac:dyDescent="0.3">
      <c r="A93" s="122" t="s">
        <v>127</v>
      </c>
      <c r="B93" s="123" t="s">
        <v>127</v>
      </c>
      <c r="C93" s="42">
        <v>0</v>
      </c>
      <c r="D93" s="18">
        <f ca="1">((100/(H82))*C93)/100</f>
        <v>0</v>
      </c>
      <c r="E93" s="137"/>
      <c r="F93" s="138"/>
      <c r="G93" s="137"/>
      <c r="H93" s="142"/>
      <c r="I93" s="14" t="s">
        <v>141</v>
      </c>
      <c r="J93" s="29">
        <f ca="1">(IF(B82=1,(H82/(B82+3)+J88),IF(B82=0,(H82/4+J88),IF(B82&gt;1,0))))</f>
        <v>33.75</v>
      </c>
    </row>
    <row r="94" spans="1:13" ht="16.2" thickBot="1" x14ac:dyDescent="0.35">
      <c r="A94" s="194" t="s">
        <v>128</v>
      </c>
      <c r="B94" s="195"/>
      <c r="C94" s="63">
        <v>0</v>
      </c>
      <c r="D94" s="64">
        <f ca="1">((100/(H82))*C94)/100</f>
        <v>0</v>
      </c>
      <c r="E94" s="137"/>
      <c r="F94" s="138"/>
      <c r="G94" s="137"/>
      <c r="H94" s="142"/>
      <c r="I94" s="15" t="s">
        <v>98</v>
      </c>
      <c r="J94" s="31">
        <f ca="1">(IF(B82&gt;1.5,(H82/(B82+2)+J88+MAX(0,J89-J88)+MAX(0,J90-J89)+MAX(0,J91-J90)+MAX(0,J92-J91)+MAX(0,J93-J92)),IF(B82=1,(H82/(B82+3)+J93),IF(B82=0,H82/4+J93))))</f>
        <v>45</v>
      </c>
    </row>
    <row r="95" spans="1:13" x14ac:dyDescent="0.3">
      <c r="A95" s="115" t="s">
        <v>149</v>
      </c>
      <c r="B95" s="115"/>
      <c r="C95" s="115"/>
      <c r="D95" s="115"/>
      <c r="E95" s="115"/>
      <c r="F95" s="121" t="s">
        <v>154</v>
      </c>
      <c r="G95" s="121"/>
      <c r="H95" s="121"/>
    </row>
    <row r="96" spans="1:13" x14ac:dyDescent="0.3">
      <c r="A96" s="81" t="s">
        <v>152</v>
      </c>
      <c r="B96" s="81"/>
      <c r="C96" s="81"/>
      <c r="D96" s="81"/>
      <c r="E96" s="81"/>
      <c r="F96" s="124">
        <v>17000</v>
      </c>
      <c r="G96" s="124"/>
      <c r="H96" s="124"/>
      <c r="J96" s="59" t="s">
        <v>238</v>
      </c>
      <c r="K96" s="60">
        <v>45289</v>
      </c>
      <c r="L96" s="59" t="s">
        <v>239</v>
      </c>
      <c r="M96" s="59" t="s">
        <v>240</v>
      </c>
    </row>
    <row r="97" spans="1:8" hidden="1" x14ac:dyDescent="0.3">
      <c r="A97" s="81" t="s">
        <v>151</v>
      </c>
      <c r="B97" s="81"/>
      <c r="C97" s="81"/>
      <c r="D97" s="81"/>
      <c r="E97" s="81"/>
      <c r="F97" s="80"/>
      <c r="G97" s="80"/>
      <c r="H97" s="80"/>
    </row>
    <row r="98" spans="1:8" hidden="1" x14ac:dyDescent="0.3">
      <c r="A98" s="81" t="s">
        <v>153</v>
      </c>
      <c r="B98" s="81"/>
      <c r="C98" s="81"/>
      <c r="D98" s="81"/>
      <c r="E98" s="81"/>
      <c r="F98" s="80"/>
      <c r="G98" s="80"/>
      <c r="H98" s="80"/>
    </row>
    <row r="99" spans="1:8" s="32" customFormat="1" hidden="1" x14ac:dyDescent="0.25">
      <c r="A99" s="81" t="s">
        <v>150</v>
      </c>
      <c r="B99" s="81"/>
      <c r="C99" s="81"/>
      <c r="D99" s="81"/>
      <c r="E99" s="81"/>
      <c r="F99" s="80"/>
      <c r="G99" s="80"/>
      <c r="H99" s="80"/>
    </row>
    <row r="100" spans="1:8" s="32" customFormat="1" x14ac:dyDescent="0.25">
      <c r="A100" s="81" t="s">
        <v>181</v>
      </c>
      <c r="B100" s="81"/>
      <c r="C100" s="81"/>
      <c r="D100" s="81"/>
      <c r="E100" s="81"/>
      <c r="F100" s="83">
        <v>350000</v>
      </c>
      <c r="G100" s="83"/>
      <c r="H100" s="83"/>
    </row>
    <row r="101" spans="1:8" s="32" customFormat="1" x14ac:dyDescent="0.25">
      <c r="A101" s="81" t="s">
        <v>182</v>
      </c>
      <c r="B101" s="81"/>
      <c r="C101" s="81"/>
      <c r="D101" s="81"/>
      <c r="E101" s="81"/>
      <c r="F101" s="83">
        <v>20000</v>
      </c>
      <c r="G101" s="83"/>
      <c r="H101" s="83"/>
    </row>
    <row r="102" spans="1:8" s="32" customFormat="1" x14ac:dyDescent="0.25">
      <c r="A102" s="81" t="s">
        <v>183</v>
      </c>
      <c r="B102" s="81"/>
      <c r="C102" s="81"/>
      <c r="D102" s="81"/>
      <c r="E102" s="81"/>
      <c r="F102" s="83">
        <v>40000</v>
      </c>
      <c r="G102" s="83"/>
      <c r="H102" s="83"/>
    </row>
    <row r="103" spans="1:8" s="32" customFormat="1" x14ac:dyDescent="0.25">
      <c r="A103" s="81" t="s">
        <v>184</v>
      </c>
      <c r="B103" s="81"/>
      <c r="C103" s="81"/>
      <c r="D103" s="81"/>
      <c r="E103" s="81"/>
      <c r="F103" s="83">
        <v>171000</v>
      </c>
      <c r="G103" s="83"/>
      <c r="H103" s="83"/>
    </row>
    <row r="104" spans="1:8" s="32" customFormat="1" x14ac:dyDescent="0.25">
      <c r="A104" s="81" t="s">
        <v>185</v>
      </c>
      <c r="B104" s="81"/>
      <c r="C104" s="81"/>
      <c r="D104" s="81"/>
      <c r="E104" s="81"/>
      <c r="F104" s="83">
        <v>471000</v>
      </c>
      <c r="G104" s="83"/>
      <c r="H104" s="83"/>
    </row>
    <row r="105" spans="1:8" s="32" customFormat="1" x14ac:dyDescent="0.25">
      <c r="A105" s="81" t="s">
        <v>186</v>
      </c>
      <c r="B105" s="81"/>
      <c r="C105" s="81"/>
      <c r="D105" s="81"/>
      <c r="E105" s="81"/>
      <c r="F105" s="83">
        <v>200000</v>
      </c>
      <c r="G105" s="83"/>
      <c r="H105" s="83"/>
    </row>
    <row r="106" spans="1:8" s="32" customFormat="1" x14ac:dyDescent="0.25">
      <c r="A106" s="81" t="s">
        <v>187</v>
      </c>
      <c r="B106" s="81"/>
      <c r="C106" s="81"/>
      <c r="D106" s="81"/>
      <c r="E106" s="81"/>
      <c r="F106" s="83">
        <v>15000</v>
      </c>
      <c r="G106" s="83"/>
      <c r="H106" s="83"/>
    </row>
    <row r="107" spans="1:8" x14ac:dyDescent="0.3">
      <c r="A107" s="81" t="s">
        <v>50</v>
      </c>
      <c r="B107" s="81"/>
      <c r="C107" s="81"/>
      <c r="D107" s="81"/>
      <c r="E107" s="81"/>
      <c r="F107" s="83">
        <v>800000</v>
      </c>
      <c r="G107" s="83"/>
      <c r="H107" s="83"/>
    </row>
    <row r="108" spans="1:8" s="33" customFormat="1" x14ac:dyDescent="0.3">
      <c r="A108" s="115" t="s">
        <v>51</v>
      </c>
      <c r="B108" s="115"/>
      <c r="C108" s="115"/>
      <c r="D108" s="115"/>
      <c r="E108" s="115"/>
      <c r="F108" s="116">
        <f>F96*0.8</f>
        <v>13600</v>
      </c>
      <c r="G108" s="116"/>
      <c r="H108" s="116"/>
    </row>
    <row r="109" spans="1:8" s="34" customFormat="1" x14ac:dyDescent="0.3">
      <c r="A109" s="117" t="s">
        <v>70</v>
      </c>
      <c r="B109" s="117"/>
      <c r="C109" s="117"/>
      <c r="D109" s="117"/>
      <c r="E109" s="117"/>
      <c r="F109" s="117"/>
      <c r="G109" s="117"/>
      <c r="H109" s="117"/>
    </row>
    <row r="110" spans="1:8" s="34" customFormat="1" ht="15.75" customHeight="1" x14ac:dyDescent="0.3">
      <c r="A110" s="88" t="s">
        <v>52</v>
      </c>
      <c r="B110" s="88"/>
      <c r="C110" s="87" t="s">
        <v>77</v>
      </c>
      <c r="D110" s="87"/>
      <c r="E110" s="82" t="s">
        <v>53</v>
      </c>
      <c r="F110" s="82"/>
      <c r="G110" s="88" t="s">
        <v>54</v>
      </c>
      <c r="H110" s="88"/>
    </row>
    <row r="111" spans="1:8" s="34" customFormat="1" ht="31.5" customHeight="1" x14ac:dyDescent="0.3">
      <c r="A111" s="119" t="s">
        <v>200</v>
      </c>
      <c r="B111" s="61" t="s">
        <v>193</v>
      </c>
      <c r="C111" s="89">
        <f>COUNT(D124:D125,D128)*5+COUNT(D130:D134)*37+COUNT(D136:D137)</f>
        <v>202</v>
      </c>
      <c r="D111" s="89"/>
      <c r="E111" s="119">
        <f>SUM(D124:D125,D128)*5+SUM(D130:D134)*37+SUM(D136:D137)</f>
        <v>187615.87416000001</v>
      </c>
      <c r="F111" s="119"/>
      <c r="G111" s="119">
        <f>SUM(F124:F125,F128)*5+SUM(F130:F134)*37+SUM(F136:F137)</f>
        <v>281423.81124000001</v>
      </c>
      <c r="H111" s="119"/>
    </row>
    <row r="112" spans="1:8" s="34" customFormat="1" ht="31.5" customHeight="1" x14ac:dyDescent="0.3">
      <c r="A112" s="119"/>
      <c r="B112" s="61" t="s">
        <v>198</v>
      </c>
      <c r="C112" s="89">
        <f>COUNT(D146:D149)*5+COUNT(D151:D154)*37+COUNT(D156:D159)</f>
        <v>172</v>
      </c>
      <c r="D112" s="89"/>
      <c r="E112" s="119">
        <f>SUM(D146:D149)*5+SUM(D151:D154)*37+SUM(D156:D159)</f>
        <v>113019.20135999998</v>
      </c>
      <c r="F112" s="119"/>
      <c r="G112" s="119">
        <f>SUM(F146:F149)*5+SUM(F151:F154)*37+SUM(F156:F159)</f>
        <v>169528.80204000001</v>
      </c>
      <c r="H112" s="119"/>
    </row>
    <row r="113" spans="1:14" s="34" customFormat="1" x14ac:dyDescent="0.3">
      <c r="A113" s="127" t="s">
        <v>201</v>
      </c>
      <c r="B113" s="128"/>
      <c r="C113" s="125">
        <f>SUM(C111:D112)</f>
        <v>374</v>
      </c>
      <c r="D113" s="125"/>
      <c r="E113" s="126">
        <f>SUM(E111:F112)</f>
        <v>300635.07551999995</v>
      </c>
      <c r="F113" s="126"/>
      <c r="G113" s="126">
        <f>SUM(G111:H112)</f>
        <v>450952.61328000005</v>
      </c>
      <c r="H113" s="126"/>
    </row>
    <row r="114" spans="1:14" s="33" customFormat="1" x14ac:dyDescent="0.3">
      <c r="A114" s="191" t="s">
        <v>55</v>
      </c>
      <c r="B114" s="192"/>
      <c r="C114" s="192"/>
      <c r="D114" s="192"/>
      <c r="E114" s="192"/>
      <c r="F114" s="192"/>
      <c r="G114" s="192"/>
      <c r="H114" s="193"/>
    </row>
    <row r="115" spans="1:14" x14ac:dyDescent="0.3">
      <c r="A115" s="121" t="s">
        <v>56</v>
      </c>
      <c r="B115" s="121"/>
      <c r="C115" s="121"/>
      <c r="D115" s="121"/>
      <c r="E115" s="121"/>
      <c r="F115" s="121"/>
      <c r="G115" s="121"/>
      <c r="H115" s="121"/>
    </row>
    <row r="116" spans="1:14" ht="47.25" customHeight="1" x14ac:dyDescent="0.3">
      <c r="A116" s="111" t="s">
        <v>112</v>
      </c>
      <c r="B116" s="111" t="s">
        <v>113</v>
      </c>
      <c r="C116" s="129" t="s">
        <v>57</v>
      </c>
      <c r="D116" s="129" t="s">
        <v>58</v>
      </c>
      <c r="E116" s="187" t="s">
        <v>59</v>
      </c>
      <c r="F116" s="41" t="s">
        <v>143</v>
      </c>
      <c r="G116" s="111" t="s">
        <v>60</v>
      </c>
      <c r="H116" s="189"/>
      <c r="I116" s="35"/>
    </row>
    <row r="117" spans="1:14" s="36" customFormat="1" x14ac:dyDescent="0.3">
      <c r="A117" s="112"/>
      <c r="B117" s="112"/>
      <c r="C117" s="130"/>
      <c r="D117" s="130"/>
      <c r="E117" s="188"/>
      <c r="F117" s="13">
        <v>0.5</v>
      </c>
      <c r="G117" s="112"/>
      <c r="H117" s="190"/>
      <c r="I117" s="35"/>
    </row>
    <row r="118" spans="1:14" s="36" customFormat="1" x14ac:dyDescent="0.3">
      <c r="A118" s="206" t="s">
        <v>164</v>
      </c>
      <c r="B118" s="207"/>
      <c r="C118" s="207"/>
      <c r="D118" s="207"/>
      <c r="E118" s="207"/>
      <c r="F118" s="207"/>
      <c r="G118" s="207"/>
      <c r="H118" s="208"/>
      <c r="J118" s="35"/>
    </row>
    <row r="119" spans="1:14" s="36" customFormat="1" x14ac:dyDescent="0.3">
      <c r="A119" s="206" t="s">
        <v>193</v>
      </c>
      <c r="B119" s="207"/>
      <c r="C119" s="207"/>
      <c r="D119" s="207"/>
      <c r="E119" s="207"/>
      <c r="F119" s="207"/>
      <c r="G119" s="207"/>
      <c r="H119" s="208"/>
      <c r="J119" s="35"/>
    </row>
    <row r="120" spans="1:14" s="36" customFormat="1" x14ac:dyDescent="0.3">
      <c r="A120" s="206" t="s">
        <v>191</v>
      </c>
      <c r="B120" s="207"/>
      <c r="C120" s="207"/>
      <c r="D120" s="207"/>
      <c r="E120" s="207"/>
      <c r="F120" s="207"/>
      <c r="G120" s="207"/>
      <c r="H120" s="208"/>
      <c r="J120" s="35"/>
    </row>
    <row r="121" spans="1:14" s="36" customFormat="1" x14ac:dyDescent="0.3">
      <c r="A121" s="206" t="s">
        <v>190</v>
      </c>
      <c r="B121" s="207"/>
      <c r="C121" s="207"/>
      <c r="D121" s="207"/>
      <c r="E121" s="207"/>
      <c r="F121" s="207"/>
      <c r="G121" s="207"/>
      <c r="H121" s="208"/>
      <c r="J121" s="35"/>
    </row>
    <row r="122" spans="1:14" s="36" customFormat="1" x14ac:dyDescent="0.3">
      <c r="A122" s="206" t="s">
        <v>165</v>
      </c>
      <c r="B122" s="207"/>
      <c r="C122" s="207"/>
      <c r="D122" s="207"/>
      <c r="E122" s="207"/>
      <c r="F122" s="207"/>
      <c r="G122" s="207"/>
      <c r="H122" s="208"/>
      <c r="J122" s="35"/>
    </row>
    <row r="123" spans="1:14" s="36" customFormat="1" x14ac:dyDescent="0.3">
      <c r="A123" s="74" t="s">
        <v>176</v>
      </c>
      <c r="B123" s="75"/>
      <c r="C123" s="75"/>
      <c r="D123" s="75"/>
      <c r="E123" s="75"/>
      <c r="F123" s="75"/>
      <c r="G123" s="75"/>
      <c r="H123" s="76"/>
      <c r="J123" s="35"/>
    </row>
    <row r="124" spans="1:14" s="36" customFormat="1" ht="15.75" customHeight="1" x14ac:dyDescent="0.3">
      <c r="A124" s="66">
        <v>1</v>
      </c>
      <c r="B124" s="67"/>
      <c r="C124" s="56" t="s">
        <v>194</v>
      </c>
      <c r="D124" s="53">
        <f>(59.53+1.66)*10.764</f>
        <v>658.64915999999994</v>
      </c>
      <c r="E124" s="57">
        <v>0</v>
      </c>
      <c r="F124" s="57">
        <f>D124*(($F$117)+1)+(IF(E124&lt;101,E124,IF(E124&lt;201,E124/2,IF(E124&lt;=301,E124/3,E124/4))))</f>
        <v>987.97373999999991</v>
      </c>
      <c r="G124" s="70" t="str">
        <f>A123</f>
        <v>1st, 8th, 15th, 22nd &amp; 29th Floor for Residential (Part Refuge Area)</v>
      </c>
      <c r="H124" s="71"/>
      <c r="I124" s="35"/>
      <c r="L124" s="65"/>
      <c r="M124" s="65"/>
      <c r="N124" s="35"/>
    </row>
    <row r="125" spans="1:14" s="36" customFormat="1" x14ac:dyDescent="0.3">
      <c r="A125" s="66">
        <f t="shared" ref="A125:A128" si="0">A124+1</f>
        <v>2</v>
      </c>
      <c r="B125" s="67"/>
      <c r="C125" s="56" t="s">
        <v>195</v>
      </c>
      <c r="D125" s="53">
        <f>(120.93+4.77)*10.764</f>
        <v>1353.0347999999999</v>
      </c>
      <c r="E125" s="57">
        <v>0</v>
      </c>
      <c r="F125" s="57">
        <f>D125*(($F$117)+1)+(IF(E125&lt;101,E125,IF(E125&lt;201,E125/2,IF(E125&lt;=301,E125/3,E125/4))))</f>
        <v>2029.5521999999999</v>
      </c>
      <c r="G125" s="72"/>
      <c r="H125" s="73"/>
      <c r="I125" s="52">
        <f>D125/1647</f>
        <v>0.82151475409836061</v>
      </c>
      <c r="J125" s="35">
        <f>6.4*3.7+6.05*1.45+4.87*0.35+2.97*3.65+2.97*1.265+3.06*5.05+1.72*1.665+1.72*2.15+1.72*0.95+1.825*2.4+1.85*1.2+3.35*4.27+3.35*3.65+4.975*3.59+5.06*0.6+3.005*4.18+1.7*1.43+1.55*1.05+1.85*3.05+1.855*1.82+1*0.62+6.51*1.2+1.43*1.15+1.58*1.35+1.5*1.665+1.58*1.65+1.43*0.85+3.06*1.4+3.05*1.4+7.8*3.85+7.4*1.3+6.22*0.35+3*5.2+1.85*4.38</f>
        <v>244.68310000000002</v>
      </c>
      <c r="K125" s="35"/>
      <c r="L125" s="65"/>
      <c r="M125" s="65"/>
      <c r="N125" s="35"/>
    </row>
    <row r="126" spans="1:14" s="36" customFormat="1" x14ac:dyDescent="0.3">
      <c r="A126" s="66">
        <f t="shared" si="0"/>
        <v>3</v>
      </c>
      <c r="B126" s="67"/>
      <c r="C126" s="70" t="s">
        <v>166</v>
      </c>
      <c r="D126" s="196"/>
      <c r="E126" s="196"/>
      <c r="F126" s="71"/>
      <c r="G126" s="72"/>
      <c r="H126" s="73"/>
      <c r="I126" s="35"/>
      <c r="K126" s="36" t="e">
        <f>31000000/F126</f>
        <v>#DIV/0!</v>
      </c>
      <c r="L126" s="65"/>
      <c r="M126" s="65"/>
      <c r="N126" s="35"/>
    </row>
    <row r="127" spans="1:14" s="36" customFormat="1" x14ac:dyDescent="0.3">
      <c r="A127" s="66">
        <f t="shared" si="0"/>
        <v>4</v>
      </c>
      <c r="B127" s="67"/>
      <c r="C127" s="185"/>
      <c r="D127" s="198"/>
      <c r="E127" s="198"/>
      <c r="F127" s="186"/>
      <c r="G127" s="72"/>
      <c r="H127" s="73"/>
      <c r="I127" s="35"/>
      <c r="L127" s="65"/>
      <c r="M127" s="65"/>
      <c r="N127" s="35"/>
    </row>
    <row r="128" spans="1:14" s="36" customFormat="1" x14ac:dyDescent="0.3">
      <c r="A128" s="66">
        <f t="shared" si="0"/>
        <v>5</v>
      </c>
      <c r="B128" s="67"/>
      <c r="C128" s="56" t="s">
        <v>194</v>
      </c>
      <c r="D128" s="53">
        <f>(56.9+1.36)*10.764</f>
        <v>627.11063999999999</v>
      </c>
      <c r="E128" s="57">
        <v>0</v>
      </c>
      <c r="F128" s="57">
        <f>D128*(($F$117)+1)+(IF(E128&lt;101,E128,IF(E128&lt;201,E128/2,IF(E128&lt;=301,E128/3,E128/4))))</f>
        <v>940.66596000000004</v>
      </c>
      <c r="G128" s="185"/>
      <c r="H128" s="186"/>
      <c r="I128" s="52">
        <f>D128/1647</f>
        <v>0.38075934426229507</v>
      </c>
      <c r="J128" s="35">
        <f>6.4*3.7+6.05*1.45+4.87*0.35+2.97*3.65+2.97*1.265+3.06*5.05+1.72*1.665+1.72*2.15+1.72*0.95+1.825*2.4+1.85*1.2+3.35*4.27+3.35*3.65+4.975*3.59+5.06*0.6+3.005*4.18+1.7*1.43+1.55*1.05+1.85*3.05+1.855*1.82+1*0.62+6.51*1.2+1.43*1.15+1.58*1.35+1.5*1.665+1.58*1.65+1.43*0.85+3.06*1.4+3.05*1.4+7.8*3.85+7.4*1.3+6.22*0.35+3*5.2+1.85*4.38</f>
        <v>244.68310000000002</v>
      </c>
      <c r="K128" s="35"/>
      <c r="L128" s="65"/>
      <c r="M128" s="65"/>
      <c r="N128" s="35"/>
    </row>
    <row r="129" spans="1:14" s="36" customFormat="1" ht="15.75" customHeight="1" x14ac:dyDescent="0.3">
      <c r="A129" s="74" t="s">
        <v>192</v>
      </c>
      <c r="B129" s="75"/>
      <c r="C129" s="75"/>
      <c r="D129" s="75"/>
      <c r="E129" s="75"/>
      <c r="F129" s="75"/>
      <c r="G129" s="75"/>
      <c r="H129" s="76"/>
      <c r="I129" s="58">
        <f>6+6+6+6+6+7</f>
        <v>37</v>
      </c>
      <c r="L129" s="65"/>
      <c r="M129" s="65"/>
    </row>
    <row r="130" spans="1:14" s="36" customFormat="1" ht="15.75" customHeight="1" x14ac:dyDescent="0.3">
      <c r="A130" s="69">
        <v>1</v>
      </c>
      <c r="B130" s="69"/>
      <c r="C130" s="56" t="s">
        <v>194</v>
      </c>
      <c r="D130" s="53">
        <f>(59.53+1.66)*10.764</f>
        <v>658.64915999999994</v>
      </c>
      <c r="E130" s="57">
        <v>0</v>
      </c>
      <c r="F130" s="57">
        <f t="shared" ref="F130:F131" si="1">D130*(($F$117)+1)+(IF(E130&lt;101,E130,IF(E130&lt;201,E130/2,IF(E130&lt;=301,E130/3,E130/4))))</f>
        <v>987.97373999999991</v>
      </c>
      <c r="G130" s="70" t="str">
        <f>A129</f>
        <v>2nd to 7th, 9th to 14th, 16th to 21st, 23rd to 28th, 30th to 35th &amp; 37th to 43rd Floor</v>
      </c>
      <c r="H130" s="71"/>
      <c r="I130" s="35"/>
      <c r="K130" s="36">
        <f>60700000/F130</f>
        <v>61438.879944319175</v>
      </c>
      <c r="N130" s="35"/>
    </row>
    <row r="131" spans="1:14" s="36" customFormat="1" x14ac:dyDescent="0.3">
      <c r="A131" s="69">
        <f>A130+1</f>
        <v>2</v>
      </c>
      <c r="B131" s="69"/>
      <c r="C131" s="56" t="s">
        <v>195</v>
      </c>
      <c r="D131" s="53">
        <f>(120.93+4.77)*10.764</f>
        <v>1353.0347999999999</v>
      </c>
      <c r="E131" s="57">
        <v>0</v>
      </c>
      <c r="F131" s="57">
        <f t="shared" si="1"/>
        <v>2029.5521999999999</v>
      </c>
      <c r="G131" s="72"/>
      <c r="H131" s="73"/>
      <c r="I131" s="53">
        <v>10.763999999999999</v>
      </c>
      <c r="K131" s="36">
        <f>60700000/F131</f>
        <v>29908.075288726253</v>
      </c>
      <c r="L131" s="51"/>
      <c r="N131" s="35"/>
    </row>
    <row r="132" spans="1:14" s="36" customFormat="1" x14ac:dyDescent="0.3">
      <c r="A132" s="69">
        <f>A131+1</f>
        <v>3</v>
      </c>
      <c r="B132" s="69"/>
      <c r="C132" s="56" t="s">
        <v>196</v>
      </c>
      <c r="D132" s="53">
        <f>(79.73+4.24)*10.764</f>
        <v>903.85307999999998</v>
      </c>
      <c r="E132" s="57">
        <v>0</v>
      </c>
      <c r="F132" s="57">
        <f>D132*(($F$117)+1)+(IF(E132&lt;101,E132,IF(E132&lt;201,E132/2,IF(E132&lt;=301,E132/3,E132/4))))</f>
        <v>1355.77962</v>
      </c>
      <c r="G132" s="72"/>
      <c r="H132" s="73"/>
      <c r="I132" s="35"/>
      <c r="K132" s="36">
        <f t="shared" ref="K132:K133" si="2">31000000/F132</f>
        <v>22865.073012382352</v>
      </c>
      <c r="N132" s="35"/>
    </row>
    <row r="133" spans="1:14" s="36" customFormat="1" x14ac:dyDescent="0.3">
      <c r="A133" s="69">
        <f>A132+1</f>
        <v>4</v>
      </c>
      <c r="B133" s="69"/>
      <c r="C133" s="56" t="s">
        <v>197</v>
      </c>
      <c r="D133" s="53">
        <f>(99.86+3.92)*10.764</f>
        <v>1117.0879199999999</v>
      </c>
      <c r="E133" s="57">
        <v>0</v>
      </c>
      <c r="F133" s="57">
        <f>D133*(($F$117)+1)+(IF(E133&lt;101,E133,IF(E133&lt;201,E133/2,IF(E133&lt;=301,E133/3,E133/4))))</f>
        <v>1675.6318799999999</v>
      </c>
      <c r="G133" s="72"/>
      <c r="H133" s="73"/>
      <c r="I133" s="35"/>
      <c r="K133" s="36">
        <f t="shared" si="2"/>
        <v>18500.483531024725</v>
      </c>
      <c r="N133" s="35"/>
    </row>
    <row r="134" spans="1:14" s="36" customFormat="1" x14ac:dyDescent="0.3">
      <c r="A134" s="69">
        <f>A133+1</f>
        <v>5</v>
      </c>
      <c r="B134" s="69"/>
      <c r="C134" s="56" t="s">
        <v>194</v>
      </c>
      <c r="D134" s="53">
        <f>(56.9+1.36)*10.764</f>
        <v>627.11063999999999</v>
      </c>
      <c r="E134" s="57">
        <v>0</v>
      </c>
      <c r="F134" s="57">
        <f>D134*(($F$117)+1)+(IF(E134&lt;101,E134,IF(E134&lt;201,E134/2,IF(E134&lt;=301,E134/3,E134/4))))</f>
        <v>940.66596000000004</v>
      </c>
      <c r="G134" s="185"/>
      <c r="H134" s="186"/>
      <c r="I134" s="35"/>
      <c r="K134" s="36">
        <f t="shared" ref="K134" si="3">31000000/F134</f>
        <v>32955.375572429555</v>
      </c>
      <c r="N134" s="35"/>
    </row>
    <row r="135" spans="1:14" s="36" customFormat="1" x14ac:dyDescent="0.3">
      <c r="A135" s="74" t="s">
        <v>177</v>
      </c>
      <c r="B135" s="75"/>
      <c r="C135" s="75"/>
      <c r="D135" s="75"/>
      <c r="E135" s="75"/>
      <c r="F135" s="75"/>
      <c r="G135" s="75"/>
      <c r="H135" s="76"/>
      <c r="J135" s="35"/>
    </row>
    <row r="136" spans="1:14" s="36" customFormat="1" ht="15.75" customHeight="1" x14ac:dyDescent="0.3">
      <c r="A136" s="66">
        <v>1</v>
      </c>
      <c r="B136" s="67"/>
      <c r="C136" s="56" t="s">
        <v>194</v>
      </c>
      <c r="D136" s="53">
        <f>(59.53+1.66)*10.764</f>
        <v>658.64915999999994</v>
      </c>
      <c r="E136" s="57">
        <v>0</v>
      </c>
      <c r="F136" s="57">
        <f>D136*(($F$117)+1)+(IF(E136&lt;101,E136,IF(E136&lt;201,E136/2,IF(E136&lt;=301,E136/3,E136/4))))</f>
        <v>987.97373999999991</v>
      </c>
      <c r="G136" s="70" t="str">
        <f>A135</f>
        <v>36th Floor (Part Refuge Area)</v>
      </c>
      <c r="H136" s="71"/>
      <c r="I136" s="35"/>
      <c r="L136" s="65"/>
      <c r="M136" s="65"/>
      <c r="N136" s="35"/>
    </row>
    <row r="137" spans="1:14" s="36" customFormat="1" x14ac:dyDescent="0.3">
      <c r="A137" s="66">
        <f t="shared" ref="A137:A140" si="4">A136+1</f>
        <v>2</v>
      </c>
      <c r="B137" s="67"/>
      <c r="C137" s="56" t="s">
        <v>195</v>
      </c>
      <c r="D137" s="53">
        <f>(120.93+4.77)*10.764</f>
        <v>1353.0347999999999</v>
      </c>
      <c r="E137" s="57">
        <v>0</v>
      </c>
      <c r="F137" s="57">
        <f>D137*(($F$117)+1)+(IF(E137&lt;101,E137,IF(E137&lt;201,E137/2,IF(E137&lt;=301,E137/3,E137/4))))</f>
        <v>2029.5521999999999</v>
      </c>
      <c r="G137" s="72"/>
      <c r="H137" s="73"/>
      <c r="I137" s="35"/>
      <c r="J137" s="35"/>
      <c r="L137" s="65"/>
      <c r="M137" s="65"/>
      <c r="N137" s="35"/>
    </row>
    <row r="138" spans="1:14" s="36" customFormat="1" x14ac:dyDescent="0.3">
      <c r="A138" s="66">
        <f t="shared" si="4"/>
        <v>3</v>
      </c>
      <c r="B138" s="67"/>
      <c r="C138" s="70" t="s">
        <v>166</v>
      </c>
      <c r="D138" s="196"/>
      <c r="E138" s="196"/>
      <c r="F138" s="71"/>
      <c r="G138" s="72"/>
      <c r="H138" s="73"/>
      <c r="I138" s="35"/>
      <c r="L138" s="65"/>
      <c r="M138" s="65"/>
      <c r="N138" s="35"/>
    </row>
    <row r="139" spans="1:14" s="36" customFormat="1" x14ac:dyDescent="0.3">
      <c r="A139" s="66">
        <f t="shared" si="4"/>
        <v>4</v>
      </c>
      <c r="B139" s="67"/>
      <c r="C139" s="72"/>
      <c r="D139" s="197"/>
      <c r="E139" s="197"/>
      <c r="F139" s="73"/>
      <c r="G139" s="72"/>
      <c r="H139" s="73"/>
      <c r="I139" s="35"/>
      <c r="L139" s="65"/>
      <c r="M139" s="65"/>
      <c r="N139" s="35"/>
    </row>
    <row r="140" spans="1:14" s="36" customFormat="1" x14ac:dyDescent="0.3">
      <c r="A140" s="66">
        <f t="shared" si="4"/>
        <v>5</v>
      </c>
      <c r="B140" s="67"/>
      <c r="C140" s="185"/>
      <c r="D140" s="198"/>
      <c r="E140" s="198"/>
      <c r="F140" s="186"/>
      <c r="G140" s="185"/>
      <c r="H140" s="186"/>
      <c r="I140" s="35"/>
      <c r="L140" s="65"/>
      <c r="M140" s="65"/>
      <c r="N140" s="35"/>
    </row>
    <row r="141" spans="1:14" s="36" customFormat="1" x14ac:dyDescent="0.3">
      <c r="A141" s="90" t="s">
        <v>198</v>
      </c>
      <c r="B141" s="90"/>
      <c r="C141" s="90"/>
      <c r="D141" s="90"/>
      <c r="E141" s="90"/>
      <c r="F141" s="90"/>
      <c r="G141" s="90"/>
      <c r="H141" s="90"/>
      <c r="J141" s="35"/>
    </row>
    <row r="142" spans="1:14" s="36" customFormat="1" x14ac:dyDescent="0.3">
      <c r="A142" s="90" t="s">
        <v>191</v>
      </c>
      <c r="B142" s="90"/>
      <c r="C142" s="90"/>
      <c r="D142" s="90"/>
      <c r="E142" s="90"/>
      <c r="F142" s="90"/>
      <c r="G142" s="90"/>
      <c r="H142" s="90"/>
      <c r="J142" s="35"/>
    </row>
    <row r="143" spans="1:14" s="36" customFormat="1" x14ac:dyDescent="0.3">
      <c r="A143" s="90" t="s">
        <v>190</v>
      </c>
      <c r="B143" s="90"/>
      <c r="C143" s="90"/>
      <c r="D143" s="90"/>
      <c r="E143" s="90"/>
      <c r="F143" s="90"/>
      <c r="G143" s="90"/>
      <c r="H143" s="90"/>
      <c r="J143" s="35"/>
    </row>
    <row r="144" spans="1:14" s="36" customFormat="1" x14ac:dyDescent="0.3">
      <c r="A144" s="90" t="s">
        <v>165</v>
      </c>
      <c r="B144" s="90"/>
      <c r="C144" s="90"/>
      <c r="D144" s="90"/>
      <c r="E144" s="90"/>
      <c r="F144" s="90"/>
      <c r="G144" s="90"/>
      <c r="H144" s="90"/>
      <c r="J144" s="35"/>
    </row>
    <row r="145" spans="1:14" s="36" customFormat="1" x14ac:dyDescent="0.3">
      <c r="A145" s="68" t="s">
        <v>221</v>
      </c>
      <c r="B145" s="68"/>
      <c r="C145" s="68"/>
      <c r="D145" s="68"/>
      <c r="E145" s="68"/>
      <c r="F145" s="68"/>
      <c r="G145" s="68"/>
      <c r="H145" s="68"/>
      <c r="J145" s="35"/>
    </row>
    <row r="146" spans="1:14" s="36" customFormat="1" ht="15.75" customHeight="1" x14ac:dyDescent="0.3">
      <c r="A146" s="69">
        <v>1</v>
      </c>
      <c r="B146" s="69"/>
      <c r="C146" s="56" t="s">
        <v>199</v>
      </c>
      <c r="D146" s="53">
        <f>(54.48+1.31)*10.764</f>
        <v>600.52355999999997</v>
      </c>
      <c r="E146" s="57">
        <v>0</v>
      </c>
      <c r="F146" s="57">
        <f>D146*(($F$117)+1)+(IF(E146&lt;101,E146,IF(E146&lt;201,E146/2,IF(E146&lt;=301,E146/3,E146/4))))</f>
        <v>900.78533999999991</v>
      </c>
      <c r="G146" s="69" t="str">
        <f>A145</f>
        <v>1st, 8th, 15th, 22nd &amp; 29th Floor for Residential (Refuge Area At Wing C1)</v>
      </c>
      <c r="H146" s="69"/>
      <c r="I146" s="35"/>
      <c r="L146" s="65"/>
      <c r="M146" s="65"/>
      <c r="N146" s="35"/>
    </row>
    <row r="147" spans="1:14" s="36" customFormat="1" x14ac:dyDescent="0.3">
      <c r="A147" s="69">
        <f t="shared" ref="A147:A149" si="5">A146+1</f>
        <v>2</v>
      </c>
      <c r="B147" s="69"/>
      <c r="C147" s="56" t="s">
        <v>199</v>
      </c>
      <c r="D147" s="53">
        <f>(54.48+1.31)*10.764</f>
        <v>600.52355999999997</v>
      </c>
      <c r="E147" s="57">
        <v>0</v>
      </c>
      <c r="F147" s="57">
        <f>D147*(($F$117)+1)+(IF(E147&lt;101,E147,IF(E147&lt;201,E147/2,IF(E147&lt;=301,E147/3,E147/4))))</f>
        <v>900.78533999999991</v>
      </c>
      <c r="G147" s="69"/>
      <c r="H147" s="69"/>
      <c r="I147" s="52">
        <f>D147/1647</f>
        <v>0.36461661202185791</v>
      </c>
      <c r="J147" s="35">
        <f>6.4*3.7+6.05*1.45+4.87*0.35+2.97*3.65+2.97*1.265+3.06*5.05+1.72*1.665+1.72*2.15+1.72*0.95+1.825*2.4+1.85*1.2+3.35*4.27+3.35*3.65+4.975*3.59+5.06*0.6+3.005*4.18+1.7*1.43+1.55*1.05+1.85*3.05+1.855*1.82+1*0.62+6.51*1.2+1.43*1.15+1.58*1.35+1.5*1.665+1.58*1.65+1.43*0.85+3.06*1.4+3.05*1.4+7.8*3.85+7.4*1.3+6.22*0.35+3*5.2+1.85*4.38</f>
        <v>244.68310000000002</v>
      </c>
      <c r="K147" s="35"/>
      <c r="L147" s="65"/>
      <c r="M147" s="65"/>
      <c r="N147" s="35"/>
    </row>
    <row r="148" spans="1:14" s="36" customFormat="1" x14ac:dyDescent="0.3">
      <c r="A148" s="69">
        <f t="shared" si="5"/>
        <v>3</v>
      </c>
      <c r="B148" s="69"/>
      <c r="C148" s="56" t="s">
        <v>194</v>
      </c>
      <c r="D148" s="53">
        <f>(62.98+3.32)*10.764</f>
        <v>713.65319999999997</v>
      </c>
      <c r="E148" s="57">
        <v>0</v>
      </c>
      <c r="F148" s="57">
        <f>D148*(($F$117)+1)+(IF(E148&lt;101,E148,IF(E148&lt;201,E148/2,IF(E148&lt;=301,E148/3,E148/4))))</f>
        <v>1070.4798000000001</v>
      </c>
      <c r="G148" s="69"/>
      <c r="H148" s="69"/>
      <c r="I148" s="35"/>
      <c r="K148" s="36">
        <f>31000000/F148</f>
        <v>28958.977086723167</v>
      </c>
      <c r="L148" s="65"/>
      <c r="M148" s="65"/>
      <c r="N148" s="35"/>
    </row>
    <row r="149" spans="1:14" s="36" customFormat="1" x14ac:dyDescent="0.3">
      <c r="A149" s="69">
        <f t="shared" si="5"/>
        <v>4</v>
      </c>
      <c r="B149" s="69"/>
      <c r="C149" s="56" t="s">
        <v>194</v>
      </c>
      <c r="D149" s="53">
        <f>(62.98+3.32)*10.764</f>
        <v>713.65319999999997</v>
      </c>
      <c r="E149" s="57">
        <v>0</v>
      </c>
      <c r="F149" s="57">
        <f>D149*(($F$117)+1)+(IF(E149&lt;101,E149,IF(E149&lt;201,E149/2,IF(E149&lt;=301,E149/3,E149/4))))</f>
        <v>1070.4798000000001</v>
      </c>
      <c r="G149" s="69"/>
      <c r="H149" s="69"/>
      <c r="I149" s="35"/>
      <c r="L149" s="65"/>
      <c r="M149" s="65"/>
      <c r="N149" s="35"/>
    </row>
    <row r="150" spans="1:14" s="36" customFormat="1" ht="15.75" customHeight="1" x14ac:dyDescent="0.3">
      <c r="A150" s="68" t="s">
        <v>192</v>
      </c>
      <c r="B150" s="68"/>
      <c r="C150" s="68"/>
      <c r="D150" s="68"/>
      <c r="E150" s="68"/>
      <c r="F150" s="68"/>
      <c r="G150" s="68"/>
      <c r="H150" s="68"/>
      <c r="I150" s="58">
        <f>6+6+6+6+6+7</f>
        <v>37</v>
      </c>
      <c r="L150" s="65"/>
      <c r="M150" s="65"/>
    </row>
    <row r="151" spans="1:14" s="36" customFormat="1" ht="15.75" customHeight="1" x14ac:dyDescent="0.3">
      <c r="A151" s="69">
        <v>1</v>
      </c>
      <c r="B151" s="69"/>
      <c r="C151" s="56" t="s">
        <v>199</v>
      </c>
      <c r="D151" s="53">
        <f>(54.48+1.31)*10.764</f>
        <v>600.52355999999997</v>
      </c>
      <c r="E151" s="57">
        <v>0</v>
      </c>
      <c r="F151" s="57">
        <f t="shared" ref="F151:F152" si="6">D151*(($F$117)+1)+(IF(E151&lt;101,E151,IF(E151&lt;201,E151/2,IF(E151&lt;=301,E151/3,E151/4))))</f>
        <v>900.78533999999991</v>
      </c>
      <c r="G151" s="70" t="str">
        <f>A150</f>
        <v>2nd to 7th, 9th to 14th, 16th to 21st, 23rd to 28th, 30th to 35th &amp; 37th to 43rd Floor</v>
      </c>
      <c r="H151" s="71"/>
      <c r="I151" s="35"/>
      <c r="K151" s="36">
        <f>60700000/F151</f>
        <v>67385.643731724151</v>
      </c>
      <c r="N151" s="35"/>
    </row>
    <row r="152" spans="1:14" s="36" customFormat="1" x14ac:dyDescent="0.3">
      <c r="A152" s="69">
        <f>A151+1</f>
        <v>2</v>
      </c>
      <c r="B152" s="69"/>
      <c r="C152" s="56" t="s">
        <v>199</v>
      </c>
      <c r="D152" s="53">
        <f>(54.48+1.31)*10.764</f>
        <v>600.52355999999997</v>
      </c>
      <c r="E152" s="57">
        <v>0</v>
      </c>
      <c r="F152" s="57">
        <f t="shared" si="6"/>
        <v>900.78533999999991</v>
      </c>
      <c r="G152" s="72"/>
      <c r="H152" s="73"/>
      <c r="I152" s="53">
        <v>10.763999999999999</v>
      </c>
      <c r="K152" s="36">
        <f>60700000/F152</f>
        <v>67385.643731724151</v>
      </c>
      <c r="L152" s="51"/>
      <c r="N152" s="35"/>
    </row>
    <row r="153" spans="1:14" s="36" customFormat="1" x14ac:dyDescent="0.3">
      <c r="A153" s="69">
        <f>A152+1</f>
        <v>3</v>
      </c>
      <c r="B153" s="69"/>
      <c r="C153" s="56" t="s">
        <v>194</v>
      </c>
      <c r="D153" s="53">
        <f>(62.98+3.32)*10.764</f>
        <v>713.65319999999997</v>
      </c>
      <c r="E153" s="57">
        <v>0</v>
      </c>
      <c r="F153" s="57">
        <f>D153*(($F$117)+1)+(IF(E153&lt;101,E153,IF(E153&lt;201,E153/2,IF(E153&lt;=301,E153/3,E153/4))))</f>
        <v>1070.4798000000001</v>
      </c>
      <c r="G153" s="72"/>
      <c r="H153" s="73"/>
      <c r="I153" s="35"/>
      <c r="K153" s="36">
        <f t="shared" ref="K153:K154" si="7">31000000/F153</f>
        <v>28958.977086723167</v>
      </c>
      <c r="N153" s="35"/>
    </row>
    <row r="154" spans="1:14" s="36" customFormat="1" x14ac:dyDescent="0.3">
      <c r="A154" s="69">
        <f>A153+1</f>
        <v>4</v>
      </c>
      <c r="B154" s="69"/>
      <c r="C154" s="56" t="s">
        <v>194</v>
      </c>
      <c r="D154" s="53">
        <f>(62.98+3.32)*10.764</f>
        <v>713.65319999999997</v>
      </c>
      <c r="E154" s="57">
        <v>0</v>
      </c>
      <c r="F154" s="57">
        <f>D154*(($F$117)+1)+(IF(E154&lt;101,E154,IF(E154&lt;201,E154/2,IF(E154&lt;=301,E154/3,E154/4))))</f>
        <v>1070.4798000000001</v>
      </c>
      <c r="G154" s="72"/>
      <c r="H154" s="73"/>
      <c r="I154" s="35"/>
      <c r="K154" s="36">
        <f t="shared" si="7"/>
        <v>28958.977086723167</v>
      </c>
      <c r="N154" s="35"/>
    </row>
    <row r="155" spans="1:14" s="36" customFormat="1" x14ac:dyDescent="0.3">
      <c r="A155" s="74" t="s">
        <v>220</v>
      </c>
      <c r="B155" s="75"/>
      <c r="C155" s="75"/>
      <c r="D155" s="75"/>
      <c r="E155" s="75"/>
      <c r="F155" s="75"/>
      <c r="G155" s="75"/>
      <c r="H155" s="76"/>
      <c r="J155" s="35"/>
    </row>
    <row r="156" spans="1:14" s="36" customFormat="1" ht="15.75" customHeight="1" x14ac:dyDescent="0.3">
      <c r="A156" s="66">
        <v>1</v>
      </c>
      <c r="B156" s="67"/>
      <c r="C156" s="56" t="s">
        <v>199</v>
      </c>
      <c r="D156" s="53">
        <f>(54.48+1.31)*10.764</f>
        <v>600.52355999999997</v>
      </c>
      <c r="E156" s="57">
        <v>0</v>
      </c>
      <c r="F156" s="57">
        <f>D156*(($F$117)+1)+(IF(E156&lt;101,E156,IF(E156&lt;201,E156/2,IF(E156&lt;=301,E156/3,E156/4))))</f>
        <v>900.78533999999991</v>
      </c>
      <c r="G156" s="70" t="str">
        <f>A155</f>
        <v>36th Floor (Refuge Area At Wing C1)</v>
      </c>
      <c r="H156" s="71"/>
      <c r="I156" s="35"/>
      <c r="L156" s="65"/>
      <c r="M156" s="65"/>
      <c r="N156" s="35"/>
    </row>
    <row r="157" spans="1:14" s="36" customFormat="1" x14ac:dyDescent="0.3">
      <c r="A157" s="66">
        <f t="shared" ref="A157:A159" si="8">A156+1</f>
        <v>2</v>
      </c>
      <c r="B157" s="67"/>
      <c r="C157" s="56" t="s">
        <v>199</v>
      </c>
      <c r="D157" s="53">
        <f>(54.48+1.31)*10.764</f>
        <v>600.52355999999997</v>
      </c>
      <c r="E157" s="57">
        <v>0</v>
      </c>
      <c r="F157" s="57">
        <f>D157*(($F$117)+1)+(IF(E157&lt;101,E157,IF(E157&lt;201,E157/2,IF(E157&lt;=301,E157/3,E157/4))))</f>
        <v>900.78533999999991</v>
      </c>
      <c r="G157" s="72"/>
      <c r="H157" s="73"/>
      <c r="I157" s="35"/>
      <c r="J157" s="35"/>
      <c r="L157" s="65"/>
      <c r="M157" s="65"/>
      <c r="N157" s="35"/>
    </row>
    <row r="158" spans="1:14" s="36" customFormat="1" x14ac:dyDescent="0.3">
      <c r="A158" s="66">
        <f t="shared" si="8"/>
        <v>3</v>
      </c>
      <c r="B158" s="67"/>
      <c r="C158" s="56" t="s">
        <v>194</v>
      </c>
      <c r="D158" s="53">
        <f>(62.98+3.32)*10.764</f>
        <v>713.65319999999997</v>
      </c>
      <c r="E158" s="57">
        <v>0</v>
      </c>
      <c r="F158" s="57">
        <f>D158*(($F$117)+1)+(IF(E158&lt;101,E158,IF(E158&lt;201,E158/2,IF(E158&lt;=301,E158/3,E158/4))))</f>
        <v>1070.4798000000001</v>
      </c>
      <c r="G158" s="72"/>
      <c r="H158" s="73"/>
      <c r="I158" s="35"/>
      <c r="L158" s="65"/>
      <c r="M158" s="65"/>
      <c r="N158" s="35"/>
    </row>
    <row r="159" spans="1:14" s="36" customFormat="1" x14ac:dyDescent="0.3">
      <c r="A159" s="66">
        <f t="shared" si="8"/>
        <v>4</v>
      </c>
      <c r="B159" s="67"/>
      <c r="C159" s="56" t="s">
        <v>194</v>
      </c>
      <c r="D159" s="53">
        <f>(62.98+3.32)*10.764</f>
        <v>713.65319999999997</v>
      </c>
      <c r="E159" s="57">
        <v>0</v>
      </c>
      <c r="F159" s="57">
        <f>D159*(($F$117)+1)+(IF(E159&lt;101,E159,IF(E159&lt;201,E159/2,IF(E159&lt;=301,E159/3,E159/4))))</f>
        <v>1070.4798000000001</v>
      </c>
      <c r="G159" s="72"/>
      <c r="H159" s="73"/>
      <c r="I159" s="35"/>
      <c r="L159" s="65"/>
      <c r="M159" s="65"/>
      <c r="N159" s="35"/>
    </row>
    <row r="160" spans="1:14" s="34" customFormat="1" x14ac:dyDescent="0.3">
      <c r="A160" s="92" t="s">
        <v>68</v>
      </c>
      <c r="B160" s="92"/>
      <c r="C160" s="92"/>
      <c r="D160" s="92"/>
      <c r="E160" s="92"/>
      <c r="F160" s="92"/>
      <c r="G160" s="92"/>
      <c r="H160" s="92"/>
    </row>
    <row r="161" spans="1:8" s="34" customFormat="1" x14ac:dyDescent="0.3">
      <c r="A161" s="44" t="s">
        <v>146</v>
      </c>
      <c r="B161" s="77" t="s">
        <v>246</v>
      </c>
      <c r="C161" s="78"/>
      <c r="D161" s="78"/>
      <c r="E161" s="78"/>
      <c r="F161" s="78"/>
      <c r="G161" s="78"/>
      <c r="H161" s="79"/>
    </row>
    <row r="162" spans="1:8" s="34" customFormat="1" x14ac:dyDescent="0.3">
      <c r="A162" s="44" t="s">
        <v>146</v>
      </c>
      <c r="B162" s="77" t="str">
        <f>(IF(F116="Saleable area Loading :","We have considered Saleable area of Flats as per our Calculation.","We considered Saleable area of Flat as per Builder area Sheet."))</f>
        <v>We have considered Saleable area of Flats as per our Calculation.</v>
      </c>
      <c r="C162" s="78"/>
      <c r="D162" s="78"/>
      <c r="E162" s="78"/>
      <c r="F162" s="78"/>
      <c r="G162" s="78"/>
      <c r="H162" s="79"/>
    </row>
    <row r="163" spans="1:8" s="34" customFormat="1" x14ac:dyDescent="0.3">
      <c r="A163" s="44" t="s">
        <v>146</v>
      </c>
      <c r="B163" s="84" t="s">
        <v>117</v>
      </c>
      <c r="C163" s="85"/>
      <c r="D163" s="85"/>
      <c r="E163" s="85"/>
      <c r="F163" s="85"/>
      <c r="G163" s="85"/>
      <c r="H163" s="86"/>
    </row>
    <row r="164" spans="1:8" s="34" customFormat="1" x14ac:dyDescent="0.3">
      <c r="A164" s="44" t="s">
        <v>146</v>
      </c>
      <c r="B164" s="84" t="s">
        <v>180</v>
      </c>
      <c r="C164" s="85"/>
      <c r="D164" s="85"/>
      <c r="E164" s="85"/>
      <c r="F164" s="85"/>
      <c r="G164" s="85"/>
      <c r="H164" s="86"/>
    </row>
    <row r="165" spans="1:8" s="34" customFormat="1" x14ac:dyDescent="0.3">
      <c r="A165" s="44" t="s">
        <v>146</v>
      </c>
      <c r="B165" s="84" t="s">
        <v>145</v>
      </c>
      <c r="C165" s="85"/>
      <c r="D165" s="85"/>
      <c r="E165" s="85"/>
      <c r="F165" s="85"/>
      <c r="G165" s="85"/>
      <c r="H165" s="86"/>
    </row>
    <row r="166" spans="1:8" s="34" customFormat="1" x14ac:dyDescent="0.3">
      <c r="A166" s="44" t="s">
        <v>146</v>
      </c>
      <c r="B166" s="84" t="s">
        <v>118</v>
      </c>
      <c r="C166" s="85"/>
      <c r="D166" s="85"/>
      <c r="E166" s="85"/>
      <c r="F166" s="85"/>
      <c r="G166" s="85"/>
      <c r="H166" s="86"/>
    </row>
    <row r="167" spans="1:8" s="34" customFormat="1" ht="31.5" customHeight="1" x14ac:dyDescent="0.3">
      <c r="A167" s="44" t="s">
        <v>146</v>
      </c>
      <c r="B167" s="84" t="s">
        <v>147</v>
      </c>
      <c r="C167" s="85"/>
      <c r="D167" s="85"/>
      <c r="E167" s="85"/>
      <c r="F167" s="85"/>
      <c r="G167" s="85"/>
      <c r="H167" s="86"/>
    </row>
    <row r="168" spans="1:8" s="34" customFormat="1" x14ac:dyDescent="0.3">
      <c r="A168" s="44" t="s">
        <v>146</v>
      </c>
      <c r="B168" s="84" t="s">
        <v>119</v>
      </c>
      <c r="C168" s="85"/>
      <c r="D168" s="85"/>
      <c r="E168" s="85"/>
      <c r="F168" s="85"/>
      <c r="G168" s="85"/>
      <c r="H168" s="86"/>
    </row>
    <row r="169" spans="1:8" s="34" customFormat="1" hidden="1" x14ac:dyDescent="0.3">
      <c r="A169" s="44" t="s">
        <v>146</v>
      </c>
      <c r="B169" s="77" t="s">
        <v>179</v>
      </c>
      <c r="C169" s="78"/>
      <c r="D169" s="78"/>
      <c r="E169" s="78"/>
      <c r="F169" s="78"/>
      <c r="G169" s="78"/>
      <c r="H169" s="79"/>
    </row>
    <row r="170" spans="1:8" s="34" customFormat="1" ht="79.5" hidden="1" customHeight="1" x14ac:dyDescent="0.3">
      <c r="A170" s="44" t="s">
        <v>146</v>
      </c>
      <c r="B170" s="77" t="s">
        <v>188</v>
      </c>
      <c r="C170" s="78"/>
      <c r="D170" s="78"/>
      <c r="E170" s="78"/>
      <c r="F170" s="78"/>
      <c r="G170" s="78"/>
      <c r="H170" s="79"/>
    </row>
    <row r="171" spans="1:8" s="34" customFormat="1" x14ac:dyDescent="0.3">
      <c r="A171" s="44" t="s">
        <v>146</v>
      </c>
      <c r="B171" s="77" t="s">
        <v>203</v>
      </c>
      <c r="C171" s="78"/>
      <c r="D171" s="78"/>
      <c r="E171" s="78"/>
      <c r="F171" s="78"/>
      <c r="G171" s="78"/>
      <c r="H171" s="79"/>
    </row>
    <row r="172" spans="1:8" s="34" customFormat="1" x14ac:dyDescent="0.3">
      <c r="A172" s="44" t="s">
        <v>146</v>
      </c>
      <c r="B172" s="77" t="s">
        <v>207</v>
      </c>
      <c r="C172" s="78"/>
      <c r="D172" s="78"/>
      <c r="E172" s="78"/>
      <c r="F172" s="78"/>
      <c r="G172" s="78"/>
      <c r="H172" s="79"/>
    </row>
    <row r="173" spans="1:8" s="34" customFormat="1" ht="15.75" customHeight="1" x14ac:dyDescent="0.3">
      <c r="A173" s="105" t="s">
        <v>146</v>
      </c>
      <c r="B173" s="108" t="s">
        <v>237</v>
      </c>
      <c r="C173" s="109"/>
      <c r="D173" s="110"/>
      <c r="E173" s="96" t="s">
        <v>232</v>
      </c>
      <c r="F173" s="97"/>
      <c r="G173" s="97"/>
      <c r="H173" s="98"/>
    </row>
    <row r="174" spans="1:8" s="34" customFormat="1" ht="15.75" customHeight="1" x14ac:dyDescent="0.3">
      <c r="A174" s="106"/>
      <c r="B174" s="93" t="s">
        <v>233</v>
      </c>
      <c r="C174" s="94"/>
      <c r="D174" s="95" t="s">
        <v>233</v>
      </c>
      <c r="E174" s="99" t="s">
        <v>235</v>
      </c>
      <c r="F174" s="100"/>
      <c r="G174" s="100"/>
      <c r="H174" s="101"/>
    </row>
    <row r="175" spans="1:8" s="34" customFormat="1" ht="15.75" customHeight="1" x14ac:dyDescent="0.3">
      <c r="A175" s="107"/>
      <c r="B175" s="93" t="s">
        <v>234</v>
      </c>
      <c r="C175" s="94"/>
      <c r="D175" s="95" t="s">
        <v>234</v>
      </c>
      <c r="E175" s="99" t="s">
        <v>236</v>
      </c>
      <c r="F175" s="100"/>
      <c r="G175" s="100"/>
      <c r="H175" s="101"/>
    </row>
    <row r="176" spans="1:8" s="34" customFormat="1" hidden="1" x14ac:dyDescent="0.3">
      <c r="A176" s="44" t="s">
        <v>146</v>
      </c>
      <c r="B176" s="102" t="s">
        <v>222</v>
      </c>
      <c r="C176" s="103"/>
      <c r="D176" s="103"/>
      <c r="E176" s="103"/>
      <c r="F176" s="103"/>
      <c r="G176" s="103"/>
      <c r="H176" s="104"/>
    </row>
    <row r="177" spans="1:8" s="34" customFormat="1" x14ac:dyDescent="0.3">
      <c r="A177" s="44" t="s">
        <v>146</v>
      </c>
      <c r="B177" s="77" t="s">
        <v>241</v>
      </c>
      <c r="C177" s="78"/>
      <c r="D177" s="78"/>
      <c r="E177" s="78"/>
      <c r="F177" s="78"/>
      <c r="G177" s="78"/>
      <c r="H177" s="79"/>
    </row>
    <row r="178" spans="1:8" s="34" customFormat="1" hidden="1" x14ac:dyDescent="0.3">
      <c r="A178" s="44" t="s">
        <v>146</v>
      </c>
      <c r="B178" s="210" t="s">
        <v>244</v>
      </c>
      <c r="C178" s="211"/>
      <c r="D178" s="211"/>
      <c r="E178" s="211"/>
      <c r="F178" s="211"/>
      <c r="G178" s="211"/>
      <c r="H178" s="212"/>
    </row>
    <row r="179" spans="1:8" s="34" customFormat="1" x14ac:dyDescent="0.3">
      <c r="A179" s="44" t="s">
        <v>146</v>
      </c>
      <c r="B179" s="77" t="s">
        <v>249</v>
      </c>
      <c r="C179" s="78"/>
      <c r="D179" s="78"/>
      <c r="E179" s="78"/>
      <c r="F179" s="78"/>
      <c r="G179" s="78"/>
      <c r="H179" s="79"/>
    </row>
    <row r="180" spans="1:8" x14ac:dyDescent="0.3">
      <c r="A180" s="120" t="s">
        <v>61</v>
      </c>
      <c r="B180" s="120"/>
      <c r="C180" s="120"/>
      <c r="D180" s="120"/>
      <c r="E180" s="120"/>
      <c r="F180" s="120"/>
      <c r="G180" s="120"/>
      <c r="H180" s="120"/>
    </row>
    <row r="181" spans="1:8" x14ac:dyDescent="0.3">
      <c r="A181" s="81" t="s">
        <v>62</v>
      </c>
      <c r="B181" s="81"/>
      <c r="C181" s="81"/>
      <c r="D181" s="81"/>
      <c r="E181" s="81"/>
      <c r="F181" s="81"/>
      <c r="G181" s="81"/>
      <c r="H181" s="81"/>
    </row>
    <row r="182" spans="1:8" ht="15.75" customHeight="1" x14ac:dyDescent="0.3">
      <c r="A182" s="91" t="s">
        <v>63</v>
      </c>
      <c r="B182" s="91"/>
      <c r="C182" s="91"/>
      <c r="D182" s="91"/>
      <c r="E182" s="91"/>
      <c r="F182" s="91"/>
      <c r="G182" s="91"/>
      <c r="H182" s="91"/>
    </row>
    <row r="183" spans="1:8" x14ac:dyDescent="0.3">
      <c r="A183" s="81" t="s">
        <v>64</v>
      </c>
      <c r="B183" s="81"/>
      <c r="C183" s="81"/>
      <c r="D183" s="81"/>
      <c r="E183" s="81"/>
      <c r="F183" s="81"/>
      <c r="G183" s="81"/>
      <c r="H183" s="81"/>
    </row>
    <row r="184" spans="1:8" x14ac:dyDescent="0.3">
      <c r="A184" s="81" t="s">
        <v>65</v>
      </c>
      <c r="B184" s="81"/>
      <c r="C184" s="81"/>
      <c r="D184" s="81"/>
      <c r="E184" s="81"/>
      <c r="F184" s="81"/>
      <c r="G184" s="81"/>
      <c r="H184" s="81"/>
    </row>
    <row r="185" spans="1:8" hidden="1" x14ac:dyDescent="0.3">
      <c r="A185" s="81" t="s">
        <v>120</v>
      </c>
      <c r="B185" s="81"/>
      <c r="C185" s="81"/>
      <c r="D185" s="81"/>
      <c r="E185" s="81"/>
      <c r="F185" s="81"/>
      <c r="G185" s="81"/>
      <c r="H185" s="81"/>
    </row>
    <row r="186" spans="1:8" ht="35.25" hidden="1" customHeight="1" x14ac:dyDescent="0.3">
      <c r="A186" s="118" t="s">
        <v>121</v>
      </c>
      <c r="B186" s="118"/>
      <c r="C186" s="118"/>
      <c r="D186" s="118"/>
      <c r="E186" s="118"/>
      <c r="F186" s="118"/>
      <c r="G186" s="118"/>
      <c r="H186" s="118"/>
    </row>
    <row r="187" spans="1:8" x14ac:dyDescent="0.3">
      <c r="A187" s="114" t="s">
        <v>76</v>
      </c>
      <c r="B187" s="114"/>
      <c r="C187" s="114" t="s">
        <v>251</v>
      </c>
      <c r="D187" s="114"/>
      <c r="E187" s="114" t="s">
        <v>99</v>
      </c>
      <c r="F187" s="114"/>
      <c r="G187" s="114" t="s">
        <v>250</v>
      </c>
      <c r="H187" s="114"/>
    </row>
    <row r="188" spans="1:8" x14ac:dyDescent="0.3">
      <c r="A188" s="113" t="s">
        <v>78</v>
      </c>
      <c r="B188" s="113"/>
      <c r="C188" s="113"/>
      <c r="D188" s="113"/>
      <c r="E188" s="113"/>
      <c r="F188" s="113"/>
      <c r="G188" s="113"/>
      <c r="H188" s="113"/>
    </row>
    <row r="189" spans="1:8" x14ac:dyDescent="0.3">
      <c r="A189" s="113"/>
      <c r="B189" s="113"/>
      <c r="C189" s="113"/>
      <c r="D189" s="113"/>
      <c r="E189" s="113"/>
      <c r="F189" s="113"/>
      <c r="G189" s="113"/>
      <c r="H189" s="113"/>
    </row>
    <row r="190" spans="1:8" x14ac:dyDescent="0.3">
      <c r="A190" s="113"/>
      <c r="B190" s="113"/>
      <c r="C190" s="113"/>
      <c r="D190" s="113"/>
      <c r="E190" s="113"/>
      <c r="F190" s="113"/>
      <c r="G190" s="113"/>
      <c r="H190" s="113"/>
    </row>
    <row r="191" spans="1:8" x14ac:dyDescent="0.3">
      <c r="A191" s="113"/>
      <c r="B191" s="113"/>
      <c r="C191" s="113"/>
      <c r="D191" s="113"/>
      <c r="E191" s="113"/>
      <c r="F191" s="113"/>
      <c r="G191" s="113"/>
      <c r="H191" s="113"/>
    </row>
    <row r="192" spans="1:8" x14ac:dyDescent="0.3">
      <c r="A192" s="37" t="s">
        <v>66</v>
      </c>
      <c r="B192" s="38"/>
      <c r="C192" s="38"/>
      <c r="D192" s="37" t="str">
        <f>E8</f>
        <v>Montana Phase 4</v>
      </c>
      <c r="F192" s="38"/>
      <c r="G192" s="38"/>
      <c r="H192" s="38"/>
    </row>
    <row r="193" spans="1:8" x14ac:dyDescent="0.3">
      <c r="A193" s="38"/>
      <c r="B193" s="38"/>
      <c r="C193" s="38"/>
      <c r="D193" s="38"/>
      <c r="E193" s="38"/>
      <c r="F193" s="38"/>
      <c r="G193" s="38"/>
      <c r="H193" s="38"/>
    </row>
    <row r="194" spans="1:8" x14ac:dyDescent="0.3">
      <c r="A194" s="38"/>
      <c r="B194" s="38"/>
      <c r="C194" s="38"/>
      <c r="D194" s="38"/>
      <c r="E194" s="38"/>
      <c r="F194" s="38"/>
      <c r="G194" s="38"/>
      <c r="H194" s="38"/>
    </row>
    <row r="195" spans="1:8" ht="15" customHeight="1" x14ac:dyDescent="0.3"/>
    <row r="234" spans="1:1" x14ac:dyDescent="0.3">
      <c r="A234" s="40" t="s">
        <v>162</v>
      </c>
    </row>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spans="1:1" hidden="1" x14ac:dyDescent="0.3"/>
    <row r="274" spans="1:1" hidden="1" x14ac:dyDescent="0.3"/>
    <row r="275" spans="1:1" hidden="1" x14ac:dyDescent="0.3"/>
    <row r="276" spans="1:1" hidden="1" x14ac:dyDescent="0.3"/>
    <row r="277" spans="1:1" hidden="1" x14ac:dyDescent="0.3"/>
    <row r="278" spans="1:1" x14ac:dyDescent="0.3">
      <c r="A278" s="40" t="s">
        <v>67</v>
      </c>
    </row>
  </sheetData>
  <mergeCells count="336">
    <mergeCell ref="B179:H179"/>
    <mergeCell ref="B178:H178"/>
    <mergeCell ref="E175:H175"/>
    <mergeCell ref="G111:H111"/>
    <mergeCell ref="A125:B125"/>
    <mergeCell ref="C126:F127"/>
    <mergeCell ref="E44:H44"/>
    <mergeCell ref="E45:H45"/>
    <mergeCell ref="E46:H46"/>
    <mergeCell ref="A44:D44"/>
    <mergeCell ref="A78:B78"/>
    <mergeCell ref="A57:C57"/>
    <mergeCell ref="A64:C64"/>
    <mergeCell ref="D64:H64"/>
    <mergeCell ref="A81:B81"/>
    <mergeCell ref="C81:H81"/>
    <mergeCell ref="A83:B83"/>
    <mergeCell ref="C83:H83"/>
    <mergeCell ref="A84:B84"/>
    <mergeCell ref="E84:F84"/>
    <mergeCell ref="G84:H84"/>
    <mergeCell ref="A85:B85"/>
    <mergeCell ref="E85:F94"/>
    <mergeCell ref="G85:H94"/>
    <mergeCell ref="A136:B136"/>
    <mergeCell ref="D61:H61"/>
    <mergeCell ref="A101:E101"/>
    <mergeCell ref="F102:H102"/>
    <mergeCell ref="A149:B149"/>
    <mergeCell ref="A60:C60"/>
    <mergeCell ref="D60:H60"/>
    <mergeCell ref="D57:H57"/>
    <mergeCell ref="G53:H53"/>
    <mergeCell ref="A53:B54"/>
    <mergeCell ref="A61:C61"/>
    <mergeCell ref="F97:H97"/>
    <mergeCell ref="A97:E97"/>
    <mergeCell ref="A99:E99"/>
    <mergeCell ref="A120:H120"/>
    <mergeCell ref="A119:H119"/>
    <mergeCell ref="A118:H118"/>
    <mergeCell ref="A121:H121"/>
    <mergeCell ref="A122:H122"/>
    <mergeCell ref="A135:H135"/>
    <mergeCell ref="A67:B67"/>
    <mergeCell ref="C67:H67"/>
    <mergeCell ref="A75:B75"/>
    <mergeCell ref="A62:C62"/>
    <mergeCell ref="L149:M149"/>
    <mergeCell ref="L156:M156"/>
    <mergeCell ref="A157:B157"/>
    <mergeCell ref="L157:M157"/>
    <mergeCell ref="A156:B156"/>
    <mergeCell ref="G156:H159"/>
    <mergeCell ref="L137:M137"/>
    <mergeCell ref="L138:M138"/>
    <mergeCell ref="A138:B138"/>
    <mergeCell ref="L139:M139"/>
    <mergeCell ref="A140:B140"/>
    <mergeCell ref="L140:M140"/>
    <mergeCell ref="C138:F140"/>
    <mergeCell ref="G136:H140"/>
    <mergeCell ref="L146:M146"/>
    <mergeCell ref="L147:M147"/>
    <mergeCell ref="A148:B148"/>
    <mergeCell ref="L148:M148"/>
    <mergeCell ref="A141:H141"/>
    <mergeCell ref="A137:B137"/>
    <mergeCell ref="A139:B139"/>
    <mergeCell ref="A158:B158"/>
    <mergeCell ref="A147:B147"/>
    <mergeCell ref="A143:H143"/>
    <mergeCell ref="A86:B86"/>
    <mergeCell ref="L136:M136"/>
    <mergeCell ref="L129:M129"/>
    <mergeCell ref="L128:M128"/>
    <mergeCell ref="G130:H134"/>
    <mergeCell ref="D116:D117"/>
    <mergeCell ref="E116:E117"/>
    <mergeCell ref="G116:H117"/>
    <mergeCell ref="L127:M127"/>
    <mergeCell ref="L124:M124"/>
    <mergeCell ref="L125:M125"/>
    <mergeCell ref="L126:M126"/>
    <mergeCell ref="A104:E104"/>
    <mergeCell ref="A114:H114"/>
    <mergeCell ref="A115:H115"/>
    <mergeCell ref="A89:B89"/>
    <mergeCell ref="A90:B90"/>
    <mergeCell ref="A91:B91"/>
    <mergeCell ref="A92:B92"/>
    <mergeCell ref="A93:B93"/>
    <mergeCell ref="A94:B94"/>
    <mergeCell ref="A127:B127"/>
    <mergeCell ref="A130:B130"/>
    <mergeCell ref="G124:H128"/>
    <mergeCell ref="A37:H37"/>
    <mergeCell ref="C54:H54"/>
    <mergeCell ref="A59:C59"/>
    <mergeCell ref="D59:H59"/>
    <mergeCell ref="D58:H58"/>
    <mergeCell ref="A58:C58"/>
    <mergeCell ref="G50:H50"/>
    <mergeCell ref="A51:B52"/>
    <mergeCell ref="A50:B50"/>
    <mergeCell ref="A55:H55"/>
    <mergeCell ref="A56:C56"/>
    <mergeCell ref="C52:E52"/>
    <mergeCell ref="G52:H52"/>
    <mergeCell ref="G51:H51"/>
    <mergeCell ref="D56:H56"/>
    <mergeCell ref="C51:E51"/>
    <mergeCell ref="A36:B36"/>
    <mergeCell ref="C36:E36"/>
    <mergeCell ref="A41:D41"/>
    <mergeCell ref="E41:H41"/>
    <mergeCell ref="F33:H33"/>
    <mergeCell ref="F34:H34"/>
    <mergeCell ref="A40:H40"/>
    <mergeCell ref="C49:E49"/>
    <mergeCell ref="F36:H36"/>
    <mergeCell ref="A38:B38"/>
    <mergeCell ref="C38:H38"/>
    <mergeCell ref="G49:H49"/>
    <mergeCell ref="A39:B39"/>
    <mergeCell ref="C39:H39"/>
    <mergeCell ref="A43:D43"/>
    <mergeCell ref="E43:H43"/>
    <mergeCell ref="A48:B48"/>
    <mergeCell ref="C48:H48"/>
    <mergeCell ref="E42:H42"/>
    <mergeCell ref="A42:D42"/>
    <mergeCell ref="A49:B49"/>
    <mergeCell ref="A45:D45"/>
    <mergeCell ref="A46:D46"/>
    <mergeCell ref="A47:H47"/>
    <mergeCell ref="C50:E50"/>
    <mergeCell ref="C53:E53"/>
    <mergeCell ref="E26:H26"/>
    <mergeCell ref="A28:D28"/>
    <mergeCell ref="E28:H28"/>
    <mergeCell ref="A25:D25"/>
    <mergeCell ref="E25:H25"/>
    <mergeCell ref="A29:D29"/>
    <mergeCell ref="E29:H29"/>
    <mergeCell ref="A26:D26"/>
    <mergeCell ref="A35:B35"/>
    <mergeCell ref="C35:E35"/>
    <mergeCell ref="A30:D30"/>
    <mergeCell ref="E30:H30"/>
    <mergeCell ref="A31:D31"/>
    <mergeCell ref="E31:H31"/>
    <mergeCell ref="A27:D27"/>
    <mergeCell ref="E27:H27"/>
    <mergeCell ref="C32:E32"/>
    <mergeCell ref="F35:H35"/>
    <mergeCell ref="F32:H32"/>
    <mergeCell ref="A33:B33"/>
    <mergeCell ref="A32:B32"/>
    <mergeCell ref="C33:E33"/>
    <mergeCell ref="A34:B34"/>
    <mergeCell ref="C34:E34"/>
    <mergeCell ref="A24:D24"/>
    <mergeCell ref="E24:H24"/>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A16:B16"/>
    <mergeCell ref="A13:D13"/>
    <mergeCell ref="E13:H13"/>
    <mergeCell ref="A14:D14"/>
    <mergeCell ref="A10:D10"/>
    <mergeCell ref="E10:H10"/>
    <mergeCell ref="A11:D11"/>
    <mergeCell ref="E11:H11"/>
    <mergeCell ref="A22:D23"/>
    <mergeCell ref="E22:H23"/>
    <mergeCell ref="E14:H14"/>
    <mergeCell ref="A15:B15"/>
    <mergeCell ref="C15:H15"/>
    <mergeCell ref="C16:H16"/>
    <mergeCell ref="A17:B17"/>
    <mergeCell ref="C17:H17"/>
    <mergeCell ref="A12:D12"/>
    <mergeCell ref="E12:H12"/>
    <mergeCell ref="A1:H1"/>
    <mergeCell ref="A2:H2"/>
    <mergeCell ref="A3:D3"/>
    <mergeCell ref="E3:H3"/>
    <mergeCell ref="A4:D4"/>
    <mergeCell ref="A8:D8"/>
    <mergeCell ref="E8:H8"/>
    <mergeCell ref="A9:D9"/>
    <mergeCell ref="E9:H9"/>
    <mergeCell ref="E4:H4"/>
    <mergeCell ref="A5:D5"/>
    <mergeCell ref="E5:H5"/>
    <mergeCell ref="A6:D6"/>
    <mergeCell ref="E6:H6"/>
    <mergeCell ref="A7:D7"/>
    <mergeCell ref="E7:H7"/>
    <mergeCell ref="D62:H62"/>
    <mergeCell ref="C69:H69"/>
    <mergeCell ref="A72:B72"/>
    <mergeCell ref="A74:B74"/>
    <mergeCell ref="E70:F70"/>
    <mergeCell ref="A63:C63"/>
    <mergeCell ref="D63:H63"/>
    <mergeCell ref="A66:C66"/>
    <mergeCell ref="D66:H66"/>
    <mergeCell ref="A71:B71"/>
    <mergeCell ref="G70:H70"/>
    <mergeCell ref="E71:F80"/>
    <mergeCell ref="G71:H80"/>
    <mergeCell ref="A79:B79"/>
    <mergeCell ref="A80:B80"/>
    <mergeCell ref="A65:C65"/>
    <mergeCell ref="D65:H65"/>
    <mergeCell ref="A77:B77"/>
    <mergeCell ref="A70:B70"/>
    <mergeCell ref="A73:B73"/>
    <mergeCell ref="A69:B69"/>
    <mergeCell ref="A76:B76"/>
    <mergeCell ref="A95:E95"/>
    <mergeCell ref="A96:E96"/>
    <mergeCell ref="F95:H95"/>
    <mergeCell ref="A88:B88"/>
    <mergeCell ref="A87:B87"/>
    <mergeCell ref="B116:B117"/>
    <mergeCell ref="F96:H96"/>
    <mergeCell ref="E112:F112"/>
    <mergeCell ref="G112:H112"/>
    <mergeCell ref="A111:A112"/>
    <mergeCell ref="C113:D113"/>
    <mergeCell ref="E113:F113"/>
    <mergeCell ref="G113:H113"/>
    <mergeCell ref="A113:B113"/>
    <mergeCell ref="C116:C117"/>
    <mergeCell ref="F105:H105"/>
    <mergeCell ref="F103:H103"/>
    <mergeCell ref="A123:H123"/>
    <mergeCell ref="A106:E106"/>
    <mergeCell ref="F106:H106"/>
    <mergeCell ref="A116:A117"/>
    <mergeCell ref="F100:H100"/>
    <mergeCell ref="A188:H191"/>
    <mergeCell ref="A187:B187"/>
    <mergeCell ref="E187:F187"/>
    <mergeCell ref="C187:D187"/>
    <mergeCell ref="G187:H187"/>
    <mergeCell ref="A107:E107"/>
    <mergeCell ref="F107:H107"/>
    <mergeCell ref="A108:E108"/>
    <mergeCell ref="F108:H108"/>
    <mergeCell ref="A129:H129"/>
    <mergeCell ref="A183:H183"/>
    <mergeCell ref="A109:H109"/>
    <mergeCell ref="A186:H186"/>
    <mergeCell ref="A184:H184"/>
    <mergeCell ref="C111:D111"/>
    <mergeCell ref="E111:F111"/>
    <mergeCell ref="A180:H180"/>
    <mergeCell ref="A181:H181"/>
    <mergeCell ref="A126:B126"/>
    <mergeCell ref="A185:H185"/>
    <mergeCell ref="A182:H182"/>
    <mergeCell ref="B164:H164"/>
    <mergeCell ref="A160:H160"/>
    <mergeCell ref="A142:H142"/>
    <mergeCell ref="A131:B131"/>
    <mergeCell ref="A132:B132"/>
    <mergeCell ref="A133:B133"/>
    <mergeCell ref="A128:B128"/>
    <mergeCell ref="A134:B134"/>
    <mergeCell ref="B174:D174"/>
    <mergeCell ref="B175:D175"/>
    <mergeCell ref="E173:H173"/>
    <mergeCell ref="E174:H174"/>
    <mergeCell ref="B177:H177"/>
    <mergeCell ref="B162:H162"/>
    <mergeCell ref="B163:H163"/>
    <mergeCell ref="B176:H176"/>
    <mergeCell ref="B171:H171"/>
    <mergeCell ref="B172:H172"/>
    <mergeCell ref="A173:A175"/>
    <mergeCell ref="B173:D173"/>
    <mergeCell ref="B167:H167"/>
    <mergeCell ref="B165:H165"/>
    <mergeCell ref="A124:B124"/>
    <mergeCell ref="B170:H170"/>
    <mergeCell ref="F98:H98"/>
    <mergeCell ref="A100:E100"/>
    <mergeCell ref="F99:H99"/>
    <mergeCell ref="A98:E98"/>
    <mergeCell ref="E110:F110"/>
    <mergeCell ref="F101:H101"/>
    <mergeCell ref="B168:H168"/>
    <mergeCell ref="B169:H169"/>
    <mergeCell ref="B166:H166"/>
    <mergeCell ref="A103:E103"/>
    <mergeCell ref="A102:E102"/>
    <mergeCell ref="F104:H104"/>
    <mergeCell ref="A105:E105"/>
    <mergeCell ref="C110:D110"/>
    <mergeCell ref="G110:H110"/>
    <mergeCell ref="A110:B110"/>
    <mergeCell ref="C112:D112"/>
    <mergeCell ref="A144:H144"/>
    <mergeCell ref="A145:H145"/>
    <mergeCell ref="A146:B146"/>
    <mergeCell ref="G146:H149"/>
    <mergeCell ref="B161:H161"/>
    <mergeCell ref="L158:M158"/>
    <mergeCell ref="A159:B159"/>
    <mergeCell ref="L159:M159"/>
    <mergeCell ref="A150:H150"/>
    <mergeCell ref="L150:M150"/>
    <mergeCell ref="A151:B151"/>
    <mergeCell ref="G151:H154"/>
    <mergeCell ref="A152:B152"/>
    <mergeCell ref="A153:B153"/>
    <mergeCell ref="A154:B154"/>
    <mergeCell ref="A155:H155"/>
  </mergeCells>
  <hyperlinks>
    <hyperlink ref="C39" r:id="rId1" xr:uid="{00000000-0004-0000-0000-000000000000}"/>
  </hyperlinks>
  <printOptions horizontalCentered="1"/>
  <pageMargins left="0.39370078740157499" right="0.39370078740157499" top="0.82677165354330695" bottom="0.78740157480314998" header="0.15748031496063" footer="0.196850393700787"/>
  <pageSetup paperSize="2" fitToHeight="0" orientation="portrait" r:id="rId2"/>
  <headerFooter>
    <oddHeader>&amp;C&amp;G</oddHeader>
    <oddFooter>&amp;L&amp;"Times New Roman,Bold"&amp;12Ref No: &amp;F&amp;C&amp;G&amp;R&amp;"Times New Roman,Bold"&amp;12&amp;P</oddFooter>
  </headerFooter>
  <rowBreaks count="4" manualBreakCount="4">
    <brk id="66" max="16383" man="1"/>
    <brk id="191" max="16383" man="1"/>
    <brk id="233" max="16383" man="1"/>
    <brk id="277"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topLeftCell="A16" zoomScale="85" zoomScaleNormal="85" workbookViewId="0">
      <selection activeCell="L24" sqref="L24"/>
    </sheetView>
  </sheetViews>
  <sheetFormatPr defaultColWidth="8.77734375" defaultRowHeight="14.4" x14ac:dyDescent="0.3"/>
  <cols>
    <col min="1" max="1" width="8.77734375" style="1"/>
    <col min="2" max="2" width="22.21875" style="1" customWidth="1"/>
    <col min="3" max="3" width="37" style="1" customWidth="1"/>
    <col min="4" max="5" width="11.44140625" style="1" customWidth="1"/>
    <col min="6" max="6" width="14" style="1" customWidth="1"/>
    <col min="7" max="7" width="20" style="1" customWidth="1"/>
    <col min="8" max="8" width="16.44140625" style="1" customWidth="1"/>
    <col min="9" max="16384" width="8.77734375" style="1"/>
  </cols>
  <sheetData>
    <row r="1" spans="1:9" ht="15" customHeight="1" x14ac:dyDescent="0.3"/>
    <row r="2" spans="1:9" ht="15" customHeight="1" x14ac:dyDescent="0.3">
      <c r="A2" s="2"/>
      <c r="B2" s="2"/>
      <c r="C2" s="2"/>
      <c r="D2" s="2"/>
      <c r="E2" s="2"/>
      <c r="F2" s="2"/>
      <c r="G2" s="2"/>
      <c r="H2" s="2"/>
    </row>
    <row r="3" spans="1:9" ht="15.75" customHeight="1" x14ac:dyDescent="0.3">
      <c r="A3" s="2"/>
      <c r="B3" s="219" t="s">
        <v>100</v>
      </c>
      <c r="C3" s="219"/>
      <c r="D3" s="219"/>
      <c r="E3" s="219"/>
      <c r="F3" s="219"/>
      <c r="G3" s="219"/>
      <c r="H3" s="219"/>
    </row>
    <row r="4" spans="1:9" x14ac:dyDescent="0.3">
      <c r="A4" s="2"/>
      <c r="B4" s="3" t="s">
        <v>101</v>
      </c>
      <c r="C4" s="3" t="s">
        <v>102</v>
      </c>
      <c r="D4" s="3" t="s">
        <v>69</v>
      </c>
      <c r="E4" s="3" t="s">
        <v>103</v>
      </c>
      <c r="F4" s="3" t="s">
        <v>109</v>
      </c>
      <c r="G4" s="3" t="s">
        <v>110</v>
      </c>
      <c r="H4" s="3" t="s">
        <v>104</v>
      </c>
    </row>
    <row r="5" spans="1:9" ht="15" customHeight="1" x14ac:dyDescent="0.3">
      <c r="A5" s="2"/>
      <c r="B5" s="5" t="s">
        <v>105</v>
      </c>
      <c r="C5" s="6"/>
      <c r="D5" s="5"/>
      <c r="E5" s="5"/>
      <c r="F5" s="7">
        <f>E5*1.6</f>
        <v>0</v>
      </c>
      <c r="G5" s="7" t="e">
        <f>H5/F5</f>
        <v>#DIV/0!</v>
      </c>
      <c r="H5" s="8"/>
    </row>
    <row r="6" spans="1:9" x14ac:dyDescent="0.3">
      <c r="A6" s="2"/>
      <c r="B6" s="5" t="s">
        <v>105</v>
      </c>
      <c r="C6" s="9"/>
      <c r="D6" s="5"/>
      <c r="E6" s="5"/>
      <c r="F6" s="7">
        <f t="shared" ref="F6:F11" si="0">E6*1.6</f>
        <v>0</v>
      </c>
      <c r="G6" s="7" t="e">
        <f t="shared" ref="G6:G11" si="1">H6/F6</f>
        <v>#DIV/0!</v>
      </c>
      <c r="H6" s="8"/>
    </row>
    <row r="7" spans="1:9" ht="15" customHeight="1" x14ac:dyDescent="0.3">
      <c r="A7" s="2"/>
      <c r="B7" s="5" t="s">
        <v>105</v>
      </c>
      <c r="C7" s="6"/>
      <c r="D7" s="5"/>
      <c r="E7" s="5"/>
      <c r="F7" s="7">
        <f t="shared" si="0"/>
        <v>0</v>
      </c>
      <c r="G7" s="7" t="e">
        <f t="shared" si="1"/>
        <v>#DIV/0!</v>
      </c>
      <c r="H7" s="8"/>
    </row>
    <row r="8" spans="1:9" x14ac:dyDescent="0.3">
      <c r="A8" s="2"/>
      <c r="B8" s="5" t="s">
        <v>105</v>
      </c>
      <c r="C8" s="9"/>
      <c r="D8" s="5"/>
      <c r="E8" s="5"/>
      <c r="F8" s="7">
        <f t="shared" si="0"/>
        <v>0</v>
      </c>
      <c r="G8" s="7" t="e">
        <f t="shared" si="1"/>
        <v>#DIV/0!</v>
      </c>
      <c r="H8" s="8"/>
    </row>
    <row r="9" spans="1:9" ht="15" customHeight="1" x14ac:dyDescent="0.3">
      <c r="A9" s="2"/>
      <c r="B9" s="5" t="s">
        <v>105</v>
      </c>
      <c r="C9" s="9"/>
      <c r="D9" s="5"/>
      <c r="E9" s="5"/>
      <c r="F9" s="7">
        <f t="shared" si="0"/>
        <v>0</v>
      </c>
      <c r="G9" s="7" t="e">
        <f t="shared" si="1"/>
        <v>#DIV/0!</v>
      </c>
      <c r="H9" s="8"/>
    </row>
    <row r="10" spans="1:9" ht="15" customHeight="1" x14ac:dyDescent="0.3">
      <c r="A10" s="2"/>
      <c r="B10" s="5" t="s">
        <v>106</v>
      </c>
      <c r="C10" s="6"/>
      <c r="D10" s="5"/>
      <c r="E10" s="5"/>
      <c r="F10" s="7">
        <f t="shared" si="0"/>
        <v>0</v>
      </c>
      <c r="G10" s="7" t="e">
        <f t="shared" si="1"/>
        <v>#DIV/0!</v>
      </c>
      <c r="H10" s="8"/>
    </row>
    <row r="11" spans="1:9" ht="15" customHeight="1" x14ac:dyDescent="0.3">
      <c r="A11" s="2"/>
      <c r="B11" s="5" t="s">
        <v>106</v>
      </c>
      <c r="C11" s="6"/>
      <c r="D11" s="5"/>
      <c r="E11" s="5"/>
      <c r="F11" s="7">
        <f t="shared" si="0"/>
        <v>0</v>
      </c>
      <c r="G11" s="7" t="e">
        <f t="shared" si="1"/>
        <v>#DIV/0!</v>
      </c>
      <c r="H11" s="8"/>
    </row>
    <row r="12" spans="1:9" ht="15" customHeight="1" x14ac:dyDescent="0.3">
      <c r="A12" s="2"/>
      <c r="B12" s="10" t="s">
        <v>107</v>
      </c>
      <c r="C12" s="5"/>
      <c r="D12" s="5"/>
      <c r="E12" s="5"/>
      <c r="F12" s="5"/>
      <c r="G12" s="11" t="e">
        <f>AVERAGE(G5:G11)</f>
        <v>#DIV/0!</v>
      </c>
      <c r="H12" s="5"/>
    </row>
    <row r="13" spans="1:9" ht="15" customHeight="1" x14ac:dyDescent="0.3">
      <c r="B13" s="10" t="s">
        <v>108</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70" zoomScaleNormal="70" workbookViewId="0">
      <selection activeCell="E24" sqref="E24"/>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2025-08-16T13:13:11Z</cp:lastPrinted>
  <dcterms:created xsi:type="dcterms:W3CDTF">2019-07-16T09:29:46Z</dcterms:created>
  <dcterms:modified xsi:type="dcterms:W3CDTF">2025-08-16T13:14:15Z</dcterms:modified>
</cp:coreProperties>
</file>