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Aug 25\Axis\Dump\Axis Dump\"/>
    </mc:Choice>
  </mc:AlternateContent>
  <xr:revisionPtr revIDLastSave="0" documentId="13_ncr:1_{D017D005-590F-481E-B5A5-6D66224A53D6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2" i="1" l="1"/>
  <c r="D181" i="1"/>
  <c r="D173" i="1"/>
  <c r="D172" i="1"/>
  <c r="D164" i="1"/>
  <c r="D163" i="1"/>
  <c r="D155" i="1"/>
  <c r="D154" i="1"/>
  <c r="D180" i="1" l="1"/>
  <c r="F180" i="1" s="1"/>
  <c r="D179" i="1"/>
  <c r="F179" i="1" s="1"/>
  <c r="D171" i="1"/>
  <c r="D170" i="1"/>
  <c r="F170" i="1" s="1"/>
  <c r="D162" i="1"/>
  <c r="F162" i="1" s="1"/>
  <c r="D161" i="1"/>
  <c r="F161" i="1" s="1"/>
  <c r="D176" i="1"/>
  <c r="D175" i="1"/>
  <c r="F175" i="1" s="1"/>
  <c r="D167" i="1"/>
  <c r="F167" i="1" s="1"/>
  <c r="D166" i="1"/>
  <c r="F166" i="1" s="1"/>
  <c r="D158" i="1"/>
  <c r="F158" i="1" s="1"/>
  <c r="D157" i="1"/>
  <c r="F157" i="1" s="1"/>
  <c r="D153" i="1"/>
  <c r="D152" i="1"/>
  <c r="F152" i="1" s="1"/>
  <c r="D149" i="1"/>
  <c r="D148" i="1"/>
  <c r="D178" i="1"/>
  <c r="F178" i="1" s="1"/>
  <c r="D177" i="1"/>
  <c r="F177" i="1" s="1"/>
  <c r="F173" i="1"/>
  <c r="F172" i="1"/>
  <c r="D169" i="1"/>
  <c r="F169" i="1" s="1"/>
  <c r="D168" i="1"/>
  <c r="F168" i="1" s="1"/>
  <c r="F164" i="1"/>
  <c r="D160" i="1"/>
  <c r="F160" i="1" s="1"/>
  <c r="D159" i="1"/>
  <c r="F159" i="1" s="1"/>
  <c r="F155" i="1"/>
  <c r="F154" i="1"/>
  <c r="D151" i="1"/>
  <c r="D150" i="1"/>
  <c r="F182" i="1"/>
  <c r="F181" i="1"/>
  <c r="F176" i="1"/>
  <c r="A176" i="1"/>
  <c r="A177" i="1" s="1"/>
  <c r="A178" i="1" s="1"/>
  <c r="A179" i="1" s="1"/>
  <c r="A180" i="1" s="1"/>
  <c r="A181" i="1" s="1"/>
  <c r="A182" i="1" s="1"/>
  <c r="G175" i="1"/>
  <c r="G176" i="1" s="1"/>
  <c r="G177" i="1" s="1"/>
  <c r="G178" i="1" s="1"/>
  <c r="G179" i="1" s="1"/>
  <c r="G180" i="1" s="1"/>
  <c r="G181" i="1" s="1"/>
  <c r="G182" i="1" s="1"/>
  <c r="A167" i="1"/>
  <c r="A168" i="1" s="1"/>
  <c r="A169" i="1" s="1"/>
  <c r="A170" i="1" s="1"/>
  <c r="A171" i="1" s="1"/>
  <c r="A172" i="1" s="1"/>
  <c r="A173" i="1" s="1"/>
  <c r="G166" i="1"/>
  <c r="G167" i="1" s="1"/>
  <c r="G168" i="1" s="1"/>
  <c r="G169" i="1" s="1"/>
  <c r="G170" i="1" s="1"/>
  <c r="G171" i="1" s="1"/>
  <c r="G172" i="1" s="1"/>
  <c r="G173" i="1" s="1"/>
  <c r="F163" i="1"/>
  <c r="A158" i="1"/>
  <c r="A159" i="1" s="1"/>
  <c r="A160" i="1" s="1"/>
  <c r="A161" i="1" s="1"/>
  <c r="A162" i="1" s="1"/>
  <c r="A163" i="1" s="1"/>
  <c r="A164" i="1" s="1"/>
  <c r="G157" i="1"/>
  <c r="G158" i="1" s="1"/>
  <c r="G159" i="1" s="1"/>
  <c r="G160" i="1" s="1"/>
  <c r="G161" i="1" s="1"/>
  <c r="G162" i="1" s="1"/>
  <c r="G163" i="1" s="1"/>
  <c r="G164" i="1" s="1"/>
  <c r="F153" i="1"/>
  <c r="G51" i="1"/>
  <c r="E44" i="1"/>
  <c r="E45" i="1"/>
  <c r="C130" i="1" l="1"/>
  <c r="C132" i="1" s="1"/>
  <c r="E130" i="1"/>
  <c r="E132" i="1" s="1"/>
  <c r="F171" i="1"/>
  <c r="C67" i="1"/>
  <c r="Z13" i="1" l="1"/>
  <c r="I15" i="1"/>
  <c r="F148" i="1" l="1"/>
  <c r="F139" i="1"/>
  <c r="E133" i="1" l="1"/>
  <c r="C133" i="1"/>
  <c r="C16" i="1" l="1"/>
  <c r="E31" i="1" l="1"/>
  <c r="F149" i="1" l="1"/>
  <c r="F150" i="1"/>
  <c r="F151" i="1"/>
  <c r="A149" i="1"/>
  <c r="A150" i="1" s="1"/>
  <c r="A151" i="1" s="1"/>
  <c r="A152" i="1" s="1"/>
  <c r="A153" i="1" s="1"/>
  <c r="A154" i="1" s="1"/>
  <c r="A155" i="1" s="1"/>
  <c r="G148" i="1"/>
  <c r="G149" i="1" s="1"/>
  <c r="G150" i="1" s="1"/>
  <c r="G151" i="1" s="1"/>
  <c r="G152" i="1" s="1"/>
  <c r="G153" i="1" s="1"/>
  <c r="G154" i="1" s="1"/>
  <c r="G155" i="1" s="1"/>
  <c r="G130" i="1" l="1"/>
  <c r="G132" i="1" s="1"/>
  <c r="G133" i="1" s="1"/>
  <c r="F122" i="1"/>
  <c r="F140" i="1" l="1"/>
  <c r="F141" i="1"/>
  <c r="F142" i="1"/>
  <c r="B209" i="1" l="1"/>
  <c r="A196" i="1"/>
  <c r="A202" i="1"/>
  <c r="A190" i="1"/>
  <c r="F206" i="1" l="1"/>
  <c r="F205" i="1"/>
  <c r="F204" i="1"/>
  <c r="F203" i="1"/>
  <c r="F202" i="1"/>
  <c r="F200" i="1"/>
  <c r="F199" i="1"/>
  <c r="F198" i="1"/>
  <c r="F197" i="1"/>
  <c r="F196" i="1"/>
  <c r="F194" i="1"/>
  <c r="F193" i="1"/>
  <c r="F192" i="1"/>
  <c r="F191" i="1"/>
  <c r="F190" i="1"/>
  <c r="F188" i="1"/>
  <c r="F187" i="1"/>
  <c r="F185" i="1"/>
  <c r="F184" i="1"/>
  <c r="F186" i="1"/>
  <c r="A197" i="1"/>
  <c r="A191" i="1"/>
  <c r="A203" i="1"/>
  <c r="B210" i="1" l="1"/>
  <c r="A204" i="1"/>
  <c r="A192" i="1"/>
  <c r="A198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34" i="1"/>
  <c r="G202" i="1"/>
  <c r="G203" i="1" s="1"/>
  <c r="G204" i="1" s="1"/>
  <c r="G205" i="1" s="1"/>
  <c r="G206" i="1" s="1"/>
  <c r="G196" i="1"/>
  <c r="G197" i="1" s="1"/>
  <c r="G198" i="1" s="1"/>
  <c r="G199" i="1" s="1"/>
  <c r="G200" i="1" s="1"/>
  <c r="G190" i="1"/>
  <c r="G191" i="1" s="1"/>
  <c r="G192" i="1" s="1"/>
  <c r="G193" i="1" s="1"/>
  <c r="G194" i="1" s="1"/>
  <c r="G184" i="1"/>
  <c r="G185" i="1" s="1"/>
  <c r="G186" i="1" s="1"/>
  <c r="G187" i="1" s="1"/>
  <c r="G188" i="1" s="1"/>
  <c r="A184" i="1"/>
  <c r="A185" i="1" s="1"/>
  <c r="A186" i="1" s="1"/>
  <c r="A187" i="1" s="1"/>
  <c r="A188" i="1" s="1"/>
  <c r="A140" i="1"/>
  <c r="A141" i="1" s="1"/>
  <c r="A142" i="1" s="1"/>
  <c r="G139" i="1"/>
  <c r="G140" i="1" s="1"/>
  <c r="G141" i="1" s="1"/>
  <c r="G142" i="1" s="1"/>
  <c r="C95" i="1"/>
  <c r="B96" i="1" s="1"/>
  <c r="C81" i="1"/>
  <c r="B82" i="1" s="1"/>
  <c r="B68" i="1"/>
  <c r="D56" i="1"/>
  <c r="C51" i="1"/>
  <c r="E28" i="1"/>
  <c r="E26" i="1"/>
  <c r="E7" i="1"/>
  <c r="E3" i="1"/>
  <c r="A193" i="1"/>
  <c r="A199" i="1"/>
  <c r="A205" i="1"/>
  <c r="D61" i="1" l="1"/>
  <c r="H96" i="1"/>
  <c r="H68" i="1"/>
  <c r="A206" i="1"/>
  <c r="H82" i="1"/>
  <c r="A200" i="1"/>
  <c r="A194" i="1"/>
  <c r="J100" i="1" l="1"/>
  <c r="C99" i="1" s="1"/>
  <c r="D99" i="1" s="1"/>
  <c r="J98" i="1"/>
  <c r="C101" i="1"/>
  <c r="J95" i="1" s="1"/>
  <c r="J97" i="1" s="1"/>
  <c r="J101" i="1"/>
  <c r="J102" i="1" s="1"/>
  <c r="J107" i="1" s="1"/>
  <c r="D102" i="1"/>
  <c r="J99" i="1"/>
  <c r="D107" i="1"/>
  <c r="D108" i="1"/>
  <c r="D105" i="1"/>
  <c r="D103" i="1"/>
  <c r="D104" i="1"/>
  <c r="D106" i="1"/>
  <c r="J86" i="1"/>
  <c r="C85" i="1" s="1"/>
  <c r="D85" i="1" s="1"/>
  <c r="J84" i="1"/>
  <c r="J87" i="1"/>
  <c r="J88" i="1" s="1"/>
  <c r="J93" i="1" s="1"/>
  <c r="J81" i="1"/>
  <c r="J83" i="1" s="1"/>
  <c r="D89" i="1"/>
  <c r="D91" i="1"/>
  <c r="D94" i="1"/>
  <c r="D88" i="1"/>
  <c r="D92" i="1"/>
  <c r="D93" i="1"/>
  <c r="D90" i="1"/>
  <c r="J85" i="1"/>
  <c r="D80" i="1"/>
  <c r="D78" i="1"/>
  <c r="D77" i="1"/>
  <c r="D74" i="1"/>
  <c r="D76" i="1"/>
  <c r="J73" i="1"/>
  <c r="D79" i="1"/>
  <c r="J67" i="1"/>
  <c r="J69" i="1" s="1"/>
  <c r="D75" i="1"/>
  <c r="J71" i="1"/>
  <c r="J72" i="1"/>
  <c r="C71" i="1" s="1"/>
  <c r="J70" i="1"/>
  <c r="J103" i="1"/>
  <c r="J104" i="1" s="1"/>
  <c r="J105" i="1" s="1"/>
  <c r="J106" i="1" s="1"/>
  <c r="J89" i="1"/>
  <c r="J90" i="1" s="1"/>
  <c r="J91" i="1" s="1"/>
  <c r="J92" i="1" s="1"/>
  <c r="J75" i="1"/>
  <c r="J76" i="1" s="1"/>
  <c r="J77" i="1" s="1"/>
  <c r="J78" i="1" s="1"/>
  <c r="D87" i="1"/>
  <c r="D73" i="1"/>
  <c r="D101" i="1" l="1"/>
  <c r="J108" i="1"/>
  <c r="C100" i="1" s="1"/>
  <c r="E99" i="1" s="1"/>
  <c r="J74" i="1"/>
  <c r="J79" i="1" s="1"/>
  <c r="J80" i="1" s="1"/>
  <c r="C72" i="1" s="1"/>
  <c r="D71" i="1"/>
  <c r="J94" i="1"/>
  <c r="J82" i="1" s="1"/>
  <c r="J96" i="1" l="1"/>
  <c r="D100" i="1"/>
  <c r="I96" i="1" s="1"/>
  <c r="I97" i="1" s="1"/>
  <c r="I95" i="1" s="1"/>
  <c r="C97" i="1" s="1"/>
  <c r="G99" i="1"/>
  <c r="G71" i="1"/>
  <c r="D65" i="1" s="1"/>
  <c r="D66" i="1" s="1"/>
  <c r="J68" i="1"/>
  <c r="D72" i="1"/>
  <c r="I68" i="1" s="1"/>
  <c r="I69" i="1" s="1"/>
  <c r="E71" i="1"/>
  <c r="E85" i="1"/>
  <c r="G85" i="1"/>
  <c r="D86" i="1"/>
  <c r="I82" i="1" s="1"/>
  <c r="I83" i="1" s="1"/>
  <c r="F66" i="1" l="1"/>
  <c r="I67" i="1"/>
  <c r="C69" i="1" s="1"/>
  <c r="I81" i="1"/>
  <c r="C8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<sst xmlns="http://schemas.openxmlformats.org/spreadsheetml/2006/main" count="498" uniqueCount="294">
  <si>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</si>
  <si>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</si>
  <si>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</si>
  <si>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</si>
  <si>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</si>
  <si>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</si>
  <si>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</si>
  <si>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</si>
  <si>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</si>
  <si>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</si>
  <si>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</si>
  <si>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</si>
  <si>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</si>
  <si>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</si>
  <si>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</si>
  <si>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</si>
  <si>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</si>
  <si>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</si>
  <si>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</si>
  <si>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</si>
  <si>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</si>
  <si>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</si>
  <si>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</si>
  <si>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</si>
  <si>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</si>
  <si>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</si>
  <si>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</si>
  <si>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</si>
  <si>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</si>
  <si>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</si>
  <si>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</si>
  <si>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</si>
  <si>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</si>
  <si>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</si>
  <si>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</si>
  <si>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</si>
  <si>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</si>
  <si>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</si>
  <si>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</si>
  <si>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</si>
  <si>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</si>
  <si>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</si>
  <si>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</si>
  <si>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</si>
  <si>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</si>
  <si>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</si>
  <si>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</si>
  <si>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</si>
  <si>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</si>
  <si>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</si>
  <si>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</si>
  <si>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</si>
  <si>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</si>
  <si>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</si>
  <si>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</si>
  <si>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</si>
  <si>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</si>
  <si>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</si>
  <si>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</si>
  <si>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</si>
  <si>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</si>
  <si>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</si>
  <si>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</si>
  <si>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</si>
  <si>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</si>
  <si>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</si>
  <si>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</si>
  <si>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</si>
  <si>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</si>
  <si>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</si>
  <si>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</si>
  <si>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</si>
  <si>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</si>
  <si>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</si>
  <si>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</si>
  <si>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</si>
  <si>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</si>
  <si>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</si>
  <si>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</si>
  <si>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</si>
  <si>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</si>
  <si>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</si>
  <si>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</si>
  <si>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</si>
  <si>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</si>
  <si>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</si>
  <si>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</si>
  <si>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</si>
  <si>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</si>
  <si>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</si>
  <si>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</si>
  <si>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</si>
  <si>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</si>
  <si>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</si>
  <si>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</si>
  <si>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</si>
  <si>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</si>
  <si>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</si>
  <si>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</si>
  <si>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</si>
  <si>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</si>
  <si>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</si>
  <si>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</si>
  <si>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</si>
  <si>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</si>
  <si>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</si>
  <si>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</si>
  <si>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</si>
  <si>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</si>
  <si>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</si>
  <si>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</si>
  <si>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</si>
  <si>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</si>
  <si>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</si>
  <si>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</si>
  <si>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</si>
  <si>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</si>
  <si>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</si>
  <si>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</si>
  <si>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</si>
  <si>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</si>
  <si>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</si>
  <si>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</si>
  <si>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</si>
  <si>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</si>
  <si>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</si>
  <si>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</si>
  <si>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</si>
  <si>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</si>
  <si>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</si>
  <si>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</si>
  <si>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</si>
  <si>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</si>
  <si>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</si>
  <si>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</si>
  <si>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</si>
  <si>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</si>
  <si>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</si>
  <si>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</si>
  <si>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</si>
  <si>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</si>
  <si>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</si>
  <si>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</si>
  <si>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</si>
  <si>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</si>
  <si>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</si>
  <si>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</si>
  <si>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</si>
  <si>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</si>
  <si>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</si>
  <si>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</si>
  <si>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</si>
  <si>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</si>
  <si>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</si>
  <si>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</si>
  <si>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</si>
  <si>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</si>
  <si>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</si>
  <si>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</si>
  <si>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</si>
  <si>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</si>
  <si>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</si>
  <si>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</si>
  <si>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</si>
  <si>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</si>
  <si>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</si>
  <si>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</si>
  <si>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</si>
  <si>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</si>
  <si>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</si>
  <si>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</si>
  <si>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</si>
  <si>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</si>
  <si>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</si>
  <si>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</si>
  <si>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</si>
  <si>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</si>
  <si>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</si>
  <si>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</si>
  <si>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</si>
  <si>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</si>
  <si>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</si>
  <si>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</si>
  <si>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CTS No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</si>
  <si>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</si>
  <si>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</si>
  <si>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</si>
  <si>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</si>
  <si>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</si>
  <si>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</si>
  <si>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</si>
  <si>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</si>
  <si>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</si>
  <si>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</si>
  <si>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</si>
  <si>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</si>
  <si>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</si>
  <si>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</si>
  <si>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</si>
  <si>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</si>
  <si>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</si>
  <si>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</si>
  <si>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</si>
  <si>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</si>
  <si>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</si>
  <si>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</si>
  <si>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</si>
  <si>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</si>
  <si>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</si>
  <si>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</si>
  <si>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</si>
  <si>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</si>
  <si>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</si>
  <si>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</si>
  <si>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</si>
  <si>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</si>
  <si>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</si>
  <si>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</si>
  <si>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</si>
  <si>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</si>
  <si>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</si>
  <si>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</si>
  <si>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</si>
  <si>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</si>
  <si>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</si>
  <si>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</si>
  <si>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</si>
  <si>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</si>
  <si>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</si>
  <si>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</si>
  <si>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</si>
  <si>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</si>
  <si>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</si>
  <si>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</si>
  <si>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</si>
  <si>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</si>
  <si>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</si>
  <si>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</si>
  <si>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</si>
  <si>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</si>
  <si>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Nehru Nagar Shiv Vaibhav CHS Ltd Bldg No.38</t>
  </si>
  <si>
    <t>Bldg No.38 Shiv Vaibhav CHS Ltd.</t>
  </si>
  <si>
    <t>Kurla III</t>
  </si>
  <si>
    <t>Nehru Nagar Mhada Colony</t>
  </si>
  <si>
    <t>Kedarnath Mandir Road</t>
  </si>
  <si>
    <t>19.062106,72.882955</t>
  </si>
  <si>
    <t>https://goo.gl/maps/9uzQPQXoDFkRVAKy5</t>
  </si>
  <si>
    <t>Kurla East</t>
  </si>
  <si>
    <t>Sai Sadan Co-operative Housing Society</t>
  </si>
  <si>
    <t>Mitra Sahakar Co-operative Housing Society</t>
  </si>
  <si>
    <t>Shops/SG Barve Road</t>
  </si>
  <si>
    <t xml:space="preserve">Kedarnath Mandir Road/Building </t>
  </si>
  <si>
    <t>Bldg No. 39</t>
  </si>
  <si>
    <t>Scheme Amenity</t>
  </si>
  <si>
    <t>Bldg No.41,  Bldg No.40</t>
  </si>
  <si>
    <t>18.30 MTR Wide Existing Road</t>
  </si>
  <si>
    <t>P51800032409</t>
  </si>
  <si>
    <t>Maharashtra Housing and Area Development Authority ( MHADA )</t>
  </si>
  <si>
    <t xml:space="preserve">As per RERA - 31/12/2025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</si>
  <si>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</si>
  <si>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https://www.clicbrics.com/parsn-nehru-nagar-shiv-vaibhav-chs-ltd-bldg-no-38-mumbai</t>
  </si>
  <si>
    <t>https://www.propi.in/project-rera/nehru-nagar-shiv-vaibhav-chs-ltd-bldg-no-38-kurla-by-parsn-foundation-amp-engg-corporation/P51800032409#Wing-Nehru-Nagar-Shiv-Vaibhav-Chs-Ltd-Bldg-No-38</t>
  </si>
  <si>
    <t>12(PT), Redevlopement of " Bldg No. 38 Shiv Vaibhav CHS Ltd."</t>
  </si>
  <si>
    <t>Name of the Project As per Builder Name</t>
  </si>
  <si>
    <t>Name of the Project As Per Rera Name</t>
  </si>
  <si>
    <t>Lavish Lobby, Garden Deck, Children Play Area, Power Back up, Terrace Gym, CCTV Surveillance, Hi-Tech Fire Fighting System.</t>
  </si>
  <si>
    <t>Shiv Vaibhav</t>
  </si>
  <si>
    <t>MH/EE/(BP)/GM/MHADA-22/597/2024/FCC/1/Amend</t>
  </si>
  <si>
    <t xml:space="preserve"> </t>
  </si>
  <si>
    <t>Mhada - 22/597/2024</t>
  </si>
  <si>
    <t>Ground Floor For Entrance Lobby, Fitness Center, Meter Room, Society Office &amp; Parking</t>
  </si>
  <si>
    <t>2BHK</t>
  </si>
  <si>
    <t>1RK</t>
  </si>
  <si>
    <t>1BHK</t>
  </si>
  <si>
    <t>1st to 6th Floor For Residential</t>
  </si>
  <si>
    <t>8th, 10th, 12th, 14th &amp; 16th Floor</t>
  </si>
  <si>
    <t>Flats</t>
  </si>
  <si>
    <t>Please check for Fire Noc.</t>
  </si>
  <si>
    <t>We have updated Approved plans &amp; Approved CC (On date 23/12/2024).</t>
  </si>
  <si>
    <t>Mr. Yohan Patel 9326105537</t>
  </si>
  <si>
    <t>0.55 KM from Kurla Railway Station</t>
  </si>
  <si>
    <t>9th, 11th, 13th &amp; 15th Floor (Refuge Area at midlanding of the staircase)</t>
  </si>
  <si>
    <t>7th Floor (Refuge Area at midlanding of the staircase)</t>
  </si>
  <si>
    <t xml:space="preserve">This full C.C. is issued for building comprising of Basement for Pump Room + Stilt Part for Parking &amp; Utility + Part Ground for Fitness Centre &amp; Society Office + 1st to 16th upper floor for residential use having height 50.42 mt.+ OHT &amp; LMR as per approved amended plans dated 28/03/2024.
</t>
  </si>
  <si>
    <t>Flats = 128</t>
  </si>
  <si>
    <t>G + 1st to 16th Floor</t>
  </si>
  <si>
    <t>We considered Gross carpet area = Net carpet + Balcony.</t>
  </si>
  <si>
    <t>Parsn Construction And Developers Private Limited</t>
  </si>
  <si>
    <t>Akash Kadam</t>
  </si>
  <si>
    <t xml:space="preserve">Recommended Rates / Other charges of the Property have been revised on 03/05/2025.
</t>
  </si>
  <si>
    <t>rate revised by sanjay on 03/05/25</t>
  </si>
  <si>
    <t>Construction work is in process at the time of Visit. (Internal visit was not allowed)</t>
  </si>
  <si>
    <t>Kunal Kadam</t>
  </si>
  <si>
    <t>Validity of CC is expired on 22/07/2025. Please provide revised CC.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</si>
</sst>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4" xfId="1" applyFont="1" applyBorder="1"/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24" xfId="1" applyFont="1" applyBorder="1" applyAlignment="1">
      <alignment horizontal="center"/>
    </xf>
    <xf numFmtId="0" fontId="7" fillId="0" borderId="0" xfId="1" applyFont="1" applyAlignment="1">
      <alignment horizont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20" xfId="1" applyFont="1" applyBorder="1" applyAlignment="1" applyProtection="1">
      <alignment horizontal="center" vertical="top" wrapText="1"/>
      <protection locked="0"/>
    </xf>
    <xf numFmtId="0" fontId="12" fillId="0" borderId="8" xfId="1" applyFont="1" applyBorder="1" applyAlignment="1" applyProtection="1">
      <alignment horizontal="center" vertical="top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1" fontId="10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4" fontId="7" fillId="0" borderId="7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15" xfId="1" applyFont="1" applyBorder="1" applyAlignment="1" applyProtection="1">
      <alignment horizontal="center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2" fillId="0" borderId="7" xfId="1" applyFont="1" applyBorder="1" applyAlignment="1" applyProtection="1">
      <alignment horizontal="center" vertical="center" wrapText="1"/>
      <protection locked="0"/>
    </xf>
    <xf numFmtId="0" fontId="12" fillId="0" borderId="20" xfId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 applyProtection="1">
      <alignment horizontal="left" vertical="top"/>
      <protection locked="0"/>
    </xf>
    <xf numFmtId="0" fontId="10" fillId="0" borderId="20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26" fillId="0" borderId="24" xfId="10" applyBorder="1" applyAlignment="1">
      <alignment horizontal="center"/>
    </xf>
    <xf numFmtId="0" fontId="26" fillId="0" borderId="0" xfId="10" applyAlignment="1">
      <alignment horizontal="center"/>
    </xf>
    <xf numFmtId="0" fontId="26" fillId="0" borderId="34" xfId="10" applyBorder="1" applyAlignment="1">
      <alignment horizontal="center"/>
    </xf>
    <xf numFmtId="0" fontId="7" fillId="0" borderId="34" xfId="1" applyFont="1" applyBorder="1" applyAlignment="1">
      <alignment horizontal="center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" fontId="10" fillId="3" borderId="7" xfId="0" applyNumberFormat="1" applyFont="1" applyFill="1" applyBorder="1" applyAlignment="1" applyProtection="1">
      <alignment vertical="top" wrapText="1"/>
      <protection locked="0"/>
    </xf>
    <xf numFmtId="1" fontId="10" fillId="3" borderId="20" xfId="0" applyNumberFormat="1" applyFont="1" applyFill="1" applyBorder="1" applyAlignment="1" applyProtection="1">
      <alignment vertical="top" wrapText="1"/>
      <protection locked="0"/>
    </xf>
    <xf numFmtId="1" fontId="10" fillId="3" borderId="8" xfId="0" applyNumberFormat="1" applyFont="1" applyFill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717177</xdr:colOff>
      <xdr:row>275</xdr:row>
      <xdr:rowOff>134470</xdr:rowOff>
    </xdr:from>
    <xdr:to>
      <xdr:col>6</xdr:col>
      <xdr:colOff>53238</xdr:colOff>
      <xdr:row>293</xdr:row>
      <xdr:rowOff>103762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206" y="55065705"/>
          <a:ext cx="3683944" cy="360000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206796</xdr:colOff>
      <xdr:row>294</xdr:row>
      <xdr:rowOff>84786</xdr:rowOff>
    </xdr:from>
    <xdr:to>
      <xdr:col>5</xdr:col>
      <xdr:colOff>541207</xdr:colOff>
      <xdr:row>312</xdr:row>
      <xdr:rowOff>54082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7678" y="58848433"/>
          <a:ext cx="2979000" cy="360000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720326</xdr:colOff>
      <xdr:row>336</xdr:row>
      <xdr:rowOff>23039</xdr:rowOff>
    </xdr:from>
    <xdr:to>
      <xdr:col>7</xdr:col>
      <xdr:colOff>156315</xdr:colOff>
      <xdr:row>354</xdr:row>
      <xdr:rowOff>116404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0326" y="68350335"/>
          <a:ext cx="5393974" cy="3767293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2</xdr:col>
      <xdr:colOff>91134</xdr:colOff>
      <xdr:row>342</xdr:row>
      <xdr:rowOff>4583</xdr:rowOff>
    </xdr:from>
    <xdr:to>
      <xdr:col>4</xdr:col>
      <xdr:colOff>565930</xdr:colOff>
      <xdr:row>351</xdr:row>
      <xdr:rowOff>26768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 rot="640939">
          <a:off x="1698954" y="56887883"/>
          <a:ext cx="2196916" cy="1805265"/>
          <a:chOff x="2031697" y="1231357"/>
          <a:chExt cx="2278673" cy="1723477"/>
        </a:xfrm>
      </xdr:grpSpPr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 rot="20959061" flipV="1">
            <a:off x="2031697" y="2103843"/>
            <a:ext cx="371819" cy="850991"/>
          </a:xfrm>
          <a:prstGeom prst="line">
            <a:avLst/>
          </a:prstGeom>
          <a:ln w="28575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 rot="20959061" flipV="1">
            <a:off x="2248402" y="1398811"/>
            <a:ext cx="1462611" cy="557786"/>
          </a:xfrm>
          <a:prstGeom prst="line">
            <a:avLst/>
          </a:prstGeom>
          <a:ln w="28575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 rot="20959061" flipH="1" flipV="1">
            <a:off x="3724290" y="1231357"/>
            <a:ext cx="432349" cy="856480"/>
          </a:xfrm>
          <a:prstGeom prst="line">
            <a:avLst/>
          </a:prstGeom>
          <a:ln w="28575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 rot="20959061" flipV="1">
            <a:off x="3424185" y="2104770"/>
            <a:ext cx="886185" cy="656061"/>
          </a:xfrm>
          <a:prstGeom prst="line">
            <a:avLst/>
          </a:prstGeom>
          <a:ln w="28575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/>
        </xdr:nvCxnSpPr>
        <xdr:spPr>
          <a:xfrm rot="20959061" flipH="1" flipV="1">
            <a:off x="3219664" y="2609207"/>
            <a:ext cx="254603" cy="247389"/>
          </a:xfrm>
          <a:prstGeom prst="line">
            <a:avLst/>
          </a:prstGeom>
          <a:ln w="28575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 rot="20959061" flipH="1">
            <a:off x="2099913" y="2729181"/>
            <a:ext cx="1128328" cy="152821"/>
          </a:xfrm>
          <a:prstGeom prst="line">
            <a:avLst/>
          </a:prstGeom>
          <a:ln w="28575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38646</xdr:colOff>
      <xdr:row>254</xdr:row>
      <xdr:rowOff>117590</xdr:rowOff>
    </xdr:from>
    <xdr:to>
      <xdr:col>3</xdr:col>
      <xdr:colOff>223377</xdr:colOff>
      <xdr:row>264</xdr:row>
      <xdr:rowOff>56518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624003" y="50833355"/>
          <a:ext cx="184731" cy="198000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 editAs="oneCell">
    <xdr:from>
      <xdr:col>8</xdr:col>
      <xdr:colOff>86140</xdr:colOff>
      <xdr:row>15</xdr:row>
      <xdr:rowOff>137905</xdr:rowOff>
    </xdr:from>
    <xdr:to>
      <xdr:col>14</xdr:col>
      <xdr:colOff>96359</xdr:colOff>
      <xdr:row>15</xdr:row>
      <xdr:rowOff>497421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F9CB36-EACC-42F8-A2FC-2383B8B60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55466" y="3682862"/>
          <a:ext cx="4963219" cy="35951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447675</xdr:colOff>
      <xdr:row>146</xdr:row>
      <xdr:rowOff>66675</xdr:rowOff>
    </xdr:from>
    <xdr:to>
      <xdr:col>12</xdr:col>
      <xdr:colOff>124246</xdr:colOff>
      <xdr:row>170</xdr:row>
      <xdr:rowOff>67344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9C9289-598F-4615-AFF4-7439D360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19900" y="23888700"/>
          <a:ext cx="3010320" cy="48012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483704</xdr:colOff>
      <xdr:row>143</xdr:row>
      <xdr:rowOff>258831</xdr:rowOff>
    </xdr:from>
    <xdr:to>
      <xdr:col>12</xdr:col>
      <xdr:colOff>96490</xdr:colOff>
      <xdr:row>145</xdr:row>
      <xdr:rowOff>41081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3FFB6F-D1FC-4AE7-B2FB-DB053CC64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3030" y="22547331"/>
          <a:ext cx="2942394" cy="57737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66675</xdr:colOff>
      <xdr:row>51</xdr:row>
      <xdr:rowOff>38100</xdr:rowOff>
    </xdr:from>
    <xdr:to>
      <xdr:col>14</xdr:col>
      <xdr:colOff>504150</xdr:colOff>
      <xdr:row>52</xdr:row>
      <xdr:rowOff>1020357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438900" y="12134850"/>
          <a:ext cx="5400000" cy="139183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66675</xdr:colOff>
      <xdr:row>52</xdr:row>
      <xdr:rowOff>1076325</xdr:rowOff>
    </xdr:from>
    <xdr:to>
      <xdr:col>12</xdr:col>
      <xdr:colOff>56735</xdr:colOff>
      <xdr:row>57</xdr:row>
      <xdr:rowOff>162566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438900" y="13582650"/>
          <a:ext cx="3323809" cy="150476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47625</xdr:colOff>
      <xdr:row>44</xdr:row>
      <xdr:rowOff>123825</xdr:rowOff>
    </xdr:from>
    <xdr:to>
      <xdr:col>13</xdr:col>
      <xdr:colOff>304253</xdr:colOff>
      <xdr:row>50</xdr:row>
      <xdr:rowOff>171265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419850" y="10591800"/>
          <a:ext cx="4380952" cy="147619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463827</xdr:colOff>
      <xdr:row>320</xdr:row>
      <xdr:rowOff>165652</xdr:rowOff>
    </xdr:from>
    <xdr:to>
      <xdr:col>6</xdr:col>
      <xdr:colOff>421627</xdr:colOff>
      <xdr:row>335</xdr:row>
      <xdr:rowOff>14200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25827" y="53091522"/>
          <a:ext cx="3991430" cy="283028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693749</xdr:colOff>
      <xdr:row>235</xdr:row>
      <xdr:rowOff>109991</xdr:rowOff>
    </xdr:from>
    <xdr:to>
      <xdr:col>18</xdr:col>
      <xdr:colOff>222949</xdr:colOff>
      <xdr:row>265</xdr:row>
      <xdr:rowOff>133025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8489009" y="35802071"/>
          <a:ext cx="6166220" cy="5959014"/>
          <a:chOff x="306455" y="35292194"/>
          <a:chExt cx="6008850" cy="5978230"/>
        </a:xfrm>
      </xdr:grpSpPr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6455" y="39254593"/>
            <a:ext cx="1133905" cy="201583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 descr="https://vsjcllp.vsjadon.com/upload/insp-233079-1525.jpg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731605" y="39251281"/>
            <a:ext cx="3583700" cy="201583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33079-846.jpg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41814" y="35292194"/>
            <a:ext cx="2703742" cy="388454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33079-848.jpg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17372" y="39252990"/>
            <a:ext cx="1133905" cy="201583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33079-852.jpg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84314" y="35292194"/>
            <a:ext cx="2789170" cy="388454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289560</xdr:colOff>
      <xdr:row>235</xdr:row>
      <xdr:rowOff>7620</xdr:rowOff>
    </xdr:from>
    <xdr:to>
      <xdr:col>7</xdr:col>
      <xdr:colOff>577680</xdr:colOff>
      <xdr:row>271</xdr:row>
      <xdr:rowOff>82920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7D4C8C1A-C333-F854-1C62-2C2850743A80}"/>
            </a:ext>
          </a:extLst>
        </xdr:cNvPr>
        <xdr:cNvGrpSpPr/>
      </xdr:nvGrpSpPr>
      <xdr:grpSpPr>
        <a:xfrm>
          <a:off x="289560" y="35699700"/>
          <a:ext cx="6003120" cy="7200000"/>
          <a:chOff x="328740" y="266400"/>
          <a:chExt cx="6003120" cy="7200000"/>
        </a:xfrm>
      </xdr:grpSpPr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6C0FE413-9665-7FD7-CCF8-02942C0338AC}"/>
              </a:ext>
            </a:extLst>
          </xdr:cNvPr>
          <xdr:cNvGrpSpPr/>
        </xdr:nvGrpSpPr>
        <xdr:grpSpPr>
          <a:xfrm>
            <a:off x="328740" y="266400"/>
            <a:ext cx="6003120" cy="5220000"/>
            <a:chOff x="328740" y="266400"/>
            <a:chExt cx="6003120" cy="5220000"/>
          </a:xfrm>
        </xdr:grpSpPr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56300366-BE0B-7D77-46DE-BD12DEBD5C1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41860" y="2966400"/>
              <a:ext cx="1890000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9" name="Picture 38">
              <a:extLst>
                <a:ext uri="{FF2B5EF4-FFF2-40B4-BE49-F238E27FC236}">
                  <a16:creationId xmlns:a16="http://schemas.microsoft.com/office/drawing/2014/main" id="{105D659C-D0F3-4868-A7F6-5B958930D22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8740" y="266400"/>
              <a:ext cx="3915000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0" name="Picture 39">
              <a:extLst>
                <a:ext uri="{FF2B5EF4-FFF2-40B4-BE49-F238E27FC236}">
                  <a16:creationId xmlns:a16="http://schemas.microsoft.com/office/drawing/2014/main" id="{0B434D88-0F9F-5EBA-EADA-12E584A4CD1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41860" y="266400"/>
              <a:ext cx="1890000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A23AC207-53E4-34C3-088E-AF9D4381249C}"/>
              </a:ext>
            </a:extLst>
          </xdr:cNvPr>
          <xdr:cNvGrpSpPr/>
        </xdr:nvGrpSpPr>
        <xdr:grpSpPr>
          <a:xfrm>
            <a:off x="350930" y="5666400"/>
            <a:ext cx="5958740" cy="1800000"/>
            <a:chOff x="328740" y="5666400"/>
            <a:chExt cx="5958740" cy="1800000"/>
          </a:xfrm>
        </xdr:grpSpPr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60F00727-23A6-1E55-B680-AB14DB70FCC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087480" y="5666400"/>
              <a:ext cx="320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2D1A9C22-034A-005D-FAF8-7CE65A03B10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39360" y="5666400"/>
              <a:ext cx="135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EAB79F01-97F0-4EB6-ABDD-6CFE6731183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8740" y="5666400"/>
              <a:ext cx="10125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134470</xdr:colOff>
      <xdr:row>13</xdr:row>
      <xdr:rowOff>112059</xdr:rowOff>
    </xdr:from>
    <xdr:to>
      <xdr:col>6</xdr:col>
      <xdr:colOff>174006</xdr:colOff>
      <xdr:row>25</xdr:row>
      <xdr:rowOff>7011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176" y="2599765"/>
          <a:ext cx="6438095" cy="21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propi.in/project-rera/nehru-nagar-shiv-vaibhav-chs-ltd-bldg-no-38-kurla-by-parsn-foundation-amp-engg-corporation/P51800032409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clicbrics.com/parsn-nehru-nagar-shiv-vaibhav-chs-ltd-bldg-no-38-mumbai" TargetMode="External"/><Relationship Id="rId1" Type="http://schemas.openxmlformats.org/officeDocument/2006/relationships/hyperlink" Target="https://goo.gl/maps/9uzQPQXoDFkRVAKy5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317"/>
  <sheetViews>
    <sheetView tabSelected="1" view="pageBreakPreview" topLeftCell="A66" zoomScaleNormal="100" zoomScaleSheetLayoutView="100" zoomScalePageLayoutView="98" workbookViewId="0">
      <selection activeCell="M75" sqref="M75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2.44140625" style="40" customWidth="1"/>
    <col min="5" max="6" width="11.6640625" style="40" customWidth="1"/>
    <col min="7" max="7" width="11.44140625" style="40" customWidth="1"/>
    <col min="8" max="8" width="12.88671875" style="40" customWidth="1"/>
    <col min="9" max="9" width="17.44140625" style="21" customWidth="1"/>
    <col min="10" max="10" width="11.44140625" style="21" customWidth="1"/>
    <col min="11" max="11" width="10.5546875" style="21" bestFit="1" customWidth="1"/>
    <col min="12" max="12" width="10.5546875" style="21" customWidth="1"/>
    <col min="13" max="13" width="11.88671875" style="21" customWidth="1"/>
    <col min="14" max="14" width="12.5546875" style="21" customWidth="1"/>
    <col min="15" max="15" width="9.88671875" style="21" customWidth="1"/>
    <col min="16" max="16" width="11.6640625" style="21" customWidth="1"/>
    <col min="17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26" ht="46.5" customHeight="1" x14ac:dyDescent="0.3">
      <c r="A1" s="154" t="s">
        <v>171</v>
      </c>
      <c r="B1" s="154"/>
      <c r="C1" s="154"/>
      <c r="D1" s="154"/>
      <c r="E1" s="154"/>
      <c r="F1" s="154"/>
      <c r="G1" s="154"/>
      <c r="H1" s="154"/>
    </row>
    <row r="2" spans="1:26" ht="16.5" customHeight="1" x14ac:dyDescent="0.3">
      <c r="A2" s="70" t="s">
        <v>0</v>
      </c>
      <c r="B2" s="70"/>
      <c r="C2" s="70"/>
      <c r="D2" s="70"/>
      <c r="E2" s="70"/>
      <c r="F2" s="70"/>
      <c r="G2" s="70"/>
      <c r="H2" s="70"/>
    </row>
    <row r="3" spans="1:26" x14ac:dyDescent="0.3">
      <c r="A3" s="72" t="s">
        <v>1</v>
      </c>
      <c r="B3" s="72"/>
      <c r="C3" s="72"/>
      <c r="D3" s="72"/>
      <c r="E3" s="72" t="str">
        <f ca="1">TEXT(TODAY(),"DD/MM/YYYY")</f>
        <v>20/08/2025</v>
      </c>
      <c r="F3" s="72"/>
      <c r="G3" s="72"/>
      <c r="H3" s="72"/>
    </row>
    <row r="4" spans="1:26" ht="15" customHeight="1" x14ac:dyDescent="0.3">
      <c r="A4" s="72" t="s">
        <v>2</v>
      </c>
      <c r="B4" s="72"/>
      <c r="C4" s="72"/>
      <c r="D4" s="72"/>
      <c r="E4" s="61" t="s">
        <v>177</v>
      </c>
      <c r="F4" s="61"/>
      <c r="G4" s="61"/>
      <c r="H4" s="61"/>
    </row>
    <row r="5" spans="1:26" x14ac:dyDescent="0.3">
      <c r="A5" s="72" t="s">
        <v>3</v>
      </c>
      <c r="B5" s="72"/>
      <c r="C5" s="72"/>
      <c r="D5" s="72"/>
      <c r="E5" s="156">
        <v>45883</v>
      </c>
      <c r="F5" s="61"/>
      <c r="G5" s="61"/>
      <c r="H5" s="61"/>
    </row>
    <row r="6" spans="1:26" ht="16.5" customHeight="1" x14ac:dyDescent="0.3">
      <c r="A6" s="72" t="s">
        <v>4</v>
      </c>
      <c r="B6" s="72"/>
      <c r="C6" s="72"/>
      <c r="D6" s="72"/>
      <c r="E6" s="72" t="s">
        <v>287</v>
      </c>
      <c r="F6" s="72"/>
      <c r="G6" s="72"/>
      <c r="H6" s="72"/>
    </row>
    <row r="7" spans="1:26" ht="15" customHeight="1" x14ac:dyDescent="0.3">
      <c r="A7" s="72" t="s">
        <v>5</v>
      </c>
      <c r="B7" s="72"/>
      <c r="C7" s="72"/>
      <c r="D7" s="72"/>
      <c r="E7" s="72" t="str">
        <f>E6</f>
        <v>Parsn Construction And Developers Private Limited</v>
      </c>
      <c r="F7" s="72"/>
      <c r="G7" s="72"/>
      <c r="H7" s="72"/>
    </row>
    <row r="8" spans="1:26" x14ac:dyDescent="0.3">
      <c r="A8" s="72" t="s">
        <v>263</v>
      </c>
      <c r="B8" s="72"/>
      <c r="C8" s="72"/>
      <c r="D8" s="72"/>
      <c r="E8" s="155" t="s">
        <v>266</v>
      </c>
      <c r="F8" s="150"/>
      <c r="G8" s="150"/>
      <c r="H8" s="150"/>
    </row>
    <row r="9" spans="1:26" x14ac:dyDescent="0.3">
      <c r="A9" s="72" t="s">
        <v>264</v>
      </c>
      <c r="B9" s="72"/>
      <c r="C9" s="72"/>
      <c r="D9" s="72"/>
      <c r="E9" s="155" t="s">
        <v>240</v>
      </c>
      <c r="F9" s="150"/>
      <c r="G9" s="150"/>
      <c r="H9" s="150"/>
    </row>
    <row r="10" spans="1:26" x14ac:dyDescent="0.3">
      <c r="A10" s="72" t="s">
        <v>174</v>
      </c>
      <c r="B10" s="72"/>
      <c r="C10" s="72"/>
      <c r="D10" s="72"/>
      <c r="E10" s="72">
        <v>9821221738</v>
      </c>
      <c r="F10" s="72"/>
      <c r="G10" s="72"/>
      <c r="H10" s="72"/>
    </row>
    <row r="11" spans="1:26" x14ac:dyDescent="0.3">
      <c r="A11" s="72" t="s">
        <v>175</v>
      </c>
      <c r="B11" s="72"/>
      <c r="C11" s="72"/>
      <c r="D11" s="72"/>
      <c r="E11" s="61" t="s">
        <v>279</v>
      </c>
      <c r="F11" s="61"/>
      <c r="G11" s="61"/>
      <c r="H11" s="61"/>
    </row>
    <row r="12" spans="1:26" x14ac:dyDescent="0.3">
      <c r="A12" s="72" t="s">
        <v>6</v>
      </c>
      <c r="B12" s="72"/>
      <c r="C12" s="72"/>
      <c r="D12" s="72"/>
      <c r="E12" s="72" t="s">
        <v>122</v>
      </c>
      <c r="F12" s="72"/>
      <c r="G12" s="72"/>
      <c r="H12" s="72"/>
    </row>
    <row r="13" spans="1:26" x14ac:dyDescent="0.3">
      <c r="A13" s="72" t="s">
        <v>178</v>
      </c>
      <c r="B13" s="72"/>
      <c r="C13" s="72"/>
      <c r="D13" s="72"/>
      <c r="E13" s="72" t="s">
        <v>241</v>
      </c>
      <c r="F13" s="72"/>
      <c r="G13" s="72"/>
      <c r="H13" s="72"/>
      <c r="S13" s="56" t="s">
        <v>187</v>
      </c>
      <c r="T13" s="56" t="s">
        <v>197</v>
      </c>
      <c r="U13" s="56" t="s">
        <v>179</v>
      </c>
      <c r="V13" s="56" t="s">
        <v>202</v>
      </c>
      <c r="W13" s="56" t="s">
        <v>220</v>
      </c>
      <c r="X13"/>
      <c r="Y13" t="s">
        <v>202</v>
      </c>
      <c r="Z13" t="e">
        <f ca="1">OFFSET($S$13,1,MATCH($G20,$S$13:$W$13,0)-1,15,1)</f>
        <v>#VALUE!</v>
      </c>
    </row>
    <row r="14" spans="1:26" x14ac:dyDescent="0.3">
      <c r="A14" s="76" t="s">
        <v>7</v>
      </c>
      <c r="B14" s="76"/>
      <c r="C14" s="76"/>
      <c r="D14" s="76"/>
      <c r="E14" s="157" t="s">
        <v>236</v>
      </c>
      <c r="F14" s="157"/>
      <c r="G14" s="157"/>
      <c r="H14" s="157"/>
      <c r="S14" s="56" t="s">
        <v>188</v>
      </c>
      <c r="T14" s="56" t="s">
        <v>195</v>
      </c>
      <c r="U14" s="56" t="s">
        <v>217</v>
      </c>
      <c r="V14" s="56" t="s">
        <v>203</v>
      </c>
      <c r="W14" s="56" t="s">
        <v>221</v>
      </c>
      <c r="X14"/>
      <c r="Y14"/>
      <c r="Z14"/>
    </row>
    <row r="15" spans="1:26" x14ac:dyDescent="0.3">
      <c r="A15" s="76" t="s">
        <v>8</v>
      </c>
      <c r="B15" s="76"/>
      <c r="C15" s="76"/>
      <c r="D15" s="76"/>
      <c r="E15" s="157" t="s">
        <v>256</v>
      </c>
      <c r="F15" s="61"/>
      <c r="G15" s="61"/>
      <c r="H15" s="61"/>
      <c r="I15" s="65" t="e">
        <f ca="1">OFFSET($D$4,1,MATCH($J13,$D$4:$H$4,0)-1,15,1)</f>
        <v>#N/A</v>
      </c>
      <c r="J15" s="66"/>
      <c r="K15" s="66"/>
      <c r="L15" s="66"/>
      <c r="M15" s="66"/>
      <c r="N15" s="66"/>
      <c r="O15" s="66"/>
      <c r="P15" s="66"/>
      <c r="S15" s="56" t="s">
        <v>189</v>
      </c>
      <c r="T15" s="56" t="s">
        <v>196</v>
      </c>
      <c r="U15" s="56" t="s">
        <v>218</v>
      </c>
      <c r="V15" s="56" t="s">
        <v>204</v>
      </c>
      <c r="W15" s="56" t="s">
        <v>234</v>
      </c>
      <c r="X15"/>
      <c r="Y15"/>
      <c r="Z15"/>
    </row>
    <row r="16" spans="1:26" ht="67.5" customHeight="1" x14ac:dyDescent="0.3">
      <c r="A16" s="80" t="s">
        <v>9</v>
      </c>
      <c r="B16" s="80"/>
      <c r="C16" s="80" t="str">
        <f>CONCATENATE((IF(OR(E9="",E9="NA"),"",E9)),", ",(IF(OR(A17="",A17="NA"),"",A17)),".",(IF(OR(C17="",C17="NA"),"",C17)),", near ",(IF(OR(C22="",C22="NA"),"",C22)),", ",(IF(OR(C19="",C19="NA"),"",C19)),", ",(IF(OR(C18="",C18="NA"),"",C18)),", ",(IF(OR(G19="",G19="NA"),"",G19)),", ",(IF(OR(C20="",C20="NA"),"",C20)),", ",(IF(OR(C21="",C21="NA"),"",C21)),", ",(IF(OR(G20="",G20="NA"),"",G20))," - ",(IF(OR(G21="",G21="NA"),"",G21)),".")</f>
        <v>Nehru Nagar Shiv Vaibhav CHS Ltd Bldg No.38, CTS No.12(PT), Redevlopement of " Bldg No. 38 Shiv Vaibhav CHS Ltd.", near Sai Sadan Co-operative Housing Society, Kedarnath Mandir Road, Nehru Nagar Mhada Colony, Kurla III, Kurla East, Kurla, Mumbai - 400071.</v>
      </c>
      <c r="D16" s="80"/>
      <c r="E16" s="80"/>
      <c r="F16" s="80"/>
      <c r="G16" s="80"/>
      <c r="H16" s="80"/>
      <c r="S16" s="56" t="s">
        <v>190</v>
      </c>
      <c r="T16" s="56" t="s">
        <v>198</v>
      </c>
      <c r="U16" s="56" t="s">
        <v>219</v>
      </c>
      <c r="V16" s="56" t="s">
        <v>205</v>
      </c>
      <c r="W16" s="56" t="s">
        <v>222</v>
      </c>
      <c r="X16"/>
      <c r="Y16"/>
      <c r="Z16"/>
    </row>
    <row r="17" spans="1:26" x14ac:dyDescent="0.3">
      <c r="A17" s="157" t="s">
        <v>183</v>
      </c>
      <c r="B17" s="157"/>
      <c r="C17" s="157" t="s">
        <v>262</v>
      </c>
      <c r="D17" s="157"/>
      <c r="E17" s="157"/>
      <c r="F17" s="157"/>
      <c r="G17" s="157"/>
      <c r="H17" s="157"/>
      <c r="S17" s="56" t="s">
        <v>191</v>
      </c>
      <c r="T17" s="56" t="s">
        <v>199</v>
      </c>
      <c r="U17" s="56"/>
      <c r="V17" s="56" t="s">
        <v>206</v>
      </c>
      <c r="W17" s="56" t="s">
        <v>223</v>
      </c>
      <c r="X17"/>
      <c r="Y17"/>
      <c r="Z17"/>
    </row>
    <row r="18" spans="1:26" ht="15.75" customHeight="1" x14ac:dyDescent="0.3">
      <c r="A18" s="103" t="s">
        <v>169</v>
      </c>
      <c r="B18" s="103"/>
      <c r="C18" s="103" t="s">
        <v>243</v>
      </c>
      <c r="D18" s="103"/>
      <c r="E18" s="103"/>
      <c r="F18" s="103"/>
      <c r="G18" s="103"/>
      <c r="H18" s="103"/>
      <c r="S18" s="56" t="s">
        <v>192</v>
      </c>
      <c r="T18" s="56" t="s">
        <v>197</v>
      </c>
      <c r="U18" s="56"/>
      <c r="V18" s="56" t="s">
        <v>207</v>
      </c>
      <c r="W18" s="56" t="s">
        <v>224</v>
      </c>
      <c r="X18"/>
      <c r="Y18"/>
      <c r="Z18"/>
    </row>
    <row r="19" spans="1:26" ht="15.75" customHeight="1" x14ac:dyDescent="0.3">
      <c r="A19" s="80" t="s">
        <v>10</v>
      </c>
      <c r="B19" s="80"/>
      <c r="C19" s="72" t="s">
        <v>244</v>
      </c>
      <c r="D19" s="72"/>
      <c r="E19" s="80" t="s">
        <v>71</v>
      </c>
      <c r="F19" s="80"/>
      <c r="G19" s="103" t="s">
        <v>242</v>
      </c>
      <c r="H19" s="103"/>
      <c r="S19" s="56" t="s">
        <v>193</v>
      </c>
      <c r="T19" s="56" t="s">
        <v>200</v>
      </c>
      <c r="U19" s="56"/>
      <c r="V19" s="56" t="s">
        <v>208</v>
      </c>
      <c r="W19" s="56" t="s">
        <v>225</v>
      </c>
      <c r="X19"/>
      <c r="Y19"/>
      <c r="Z19"/>
    </row>
    <row r="20" spans="1:26" x14ac:dyDescent="0.3">
      <c r="A20" s="76" t="s">
        <v>12</v>
      </c>
      <c r="B20" s="76"/>
      <c r="C20" s="103" t="s">
        <v>247</v>
      </c>
      <c r="D20" s="103"/>
      <c r="E20" s="80" t="s">
        <v>11</v>
      </c>
      <c r="F20" s="80"/>
      <c r="G20" s="161" t="s">
        <v>179</v>
      </c>
      <c r="H20" s="161"/>
      <c r="S20" s="56" t="s">
        <v>194</v>
      </c>
      <c r="T20" s="56" t="s">
        <v>201</v>
      </c>
      <c r="U20" s="56"/>
      <c r="V20" s="56" t="s">
        <v>209</v>
      </c>
      <c r="W20" s="56" t="s">
        <v>226</v>
      </c>
      <c r="X20"/>
      <c r="Y20"/>
      <c r="Z20"/>
    </row>
    <row r="21" spans="1:26" x14ac:dyDescent="0.3">
      <c r="A21" s="76" t="s">
        <v>72</v>
      </c>
      <c r="B21" s="76"/>
      <c r="C21" s="157" t="s">
        <v>219</v>
      </c>
      <c r="D21" s="157"/>
      <c r="E21" s="80" t="s">
        <v>13</v>
      </c>
      <c r="F21" s="80"/>
      <c r="G21" s="103">
        <v>400071</v>
      </c>
      <c r="H21" s="103"/>
      <c r="S21" s="56"/>
      <c r="T21" s="56"/>
      <c r="U21" s="56"/>
      <c r="V21" s="56" t="s">
        <v>210</v>
      </c>
      <c r="W21" s="56" t="s">
        <v>227</v>
      </c>
      <c r="X21"/>
      <c r="Y21"/>
      <c r="Z21"/>
    </row>
    <row r="22" spans="1:26" ht="32.25" customHeight="1" x14ac:dyDescent="0.3">
      <c r="A22" s="76" t="s">
        <v>124</v>
      </c>
      <c r="B22" s="76"/>
      <c r="C22" s="103" t="s">
        <v>248</v>
      </c>
      <c r="D22" s="103"/>
      <c r="E22" s="80" t="s">
        <v>14</v>
      </c>
      <c r="F22" s="80"/>
      <c r="G22" s="157" t="s">
        <v>280</v>
      </c>
      <c r="H22" s="157"/>
      <c r="S22" s="56"/>
      <c r="T22" s="56"/>
      <c r="U22" s="56"/>
      <c r="V22" s="56" t="s">
        <v>211</v>
      </c>
      <c r="W22" s="56" t="s">
        <v>228</v>
      </c>
      <c r="X22"/>
      <c r="Y22"/>
      <c r="Z22"/>
    </row>
    <row r="23" spans="1:26" ht="15" customHeight="1" x14ac:dyDescent="0.3">
      <c r="A23" s="80" t="s">
        <v>74</v>
      </c>
      <c r="B23" s="80"/>
      <c r="C23" s="80"/>
      <c r="D23" s="80"/>
      <c r="E23" s="72" t="s">
        <v>15</v>
      </c>
      <c r="F23" s="72"/>
      <c r="G23" s="72"/>
      <c r="H23" s="72"/>
      <c r="S23" s="56"/>
      <c r="T23" s="56"/>
      <c r="U23" s="56"/>
      <c r="V23" s="56" t="s">
        <v>212</v>
      </c>
      <c r="W23" s="56" t="s">
        <v>229</v>
      </c>
      <c r="X23"/>
      <c r="Y23"/>
      <c r="Z23"/>
    </row>
    <row r="24" spans="1:26" ht="18.75" customHeight="1" x14ac:dyDescent="0.3">
      <c r="A24" s="80"/>
      <c r="B24" s="80"/>
      <c r="C24" s="80"/>
      <c r="D24" s="80"/>
      <c r="E24" s="72"/>
      <c r="F24" s="72"/>
      <c r="G24" s="72"/>
      <c r="H24" s="72"/>
      <c r="S24" s="56"/>
      <c r="T24" s="56"/>
      <c r="U24" s="56"/>
      <c r="V24" s="56" t="s">
        <v>213</v>
      </c>
      <c r="W24" s="56" t="s">
        <v>230</v>
      </c>
      <c r="X24"/>
      <c r="Y24"/>
      <c r="Z24"/>
    </row>
    <row r="25" spans="1:26" ht="15" customHeight="1" x14ac:dyDescent="0.3">
      <c r="A25" s="80" t="s">
        <v>16</v>
      </c>
      <c r="B25" s="80"/>
      <c r="C25" s="80"/>
      <c r="D25" s="80"/>
      <c r="E25" s="103" t="s">
        <v>17</v>
      </c>
      <c r="F25" s="103"/>
      <c r="G25" s="103"/>
      <c r="H25" s="103"/>
      <c r="S25" s="56"/>
      <c r="T25" s="56"/>
      <c r="U25" s="56"/>
      <c r="V25" s="56" t="s">
        <v>214</v>
      </c>
      <c r="W25" s="56" t="s">
        <v>231</v>
      </c>
      <c r="X25"/>
      <c r="Y25"/>
      <c r="Z25"/>
    </row>
    <row r="26" spans="1:26" ht="15" customHeight="1" x14ac:dyDescent="0.3">
      <c r="A26" s="76" t="s">
        <v>18</v>
      </c>
      <c r="B26" s="76"/>
      <c r="C26" s="76"/>
      <c r="D26" s="76"/>
      <c r="E26" s="103" t="str">
        <f>IF(AND(G20="Mumbai"),"Upper Class","Middle Class")</f>
        <v>Upper Class</v>
      </c>
      <c r="F26" s="103"/>
      <c r="G26" s="103"/>
      <c r="H26" s="103"/>
      <c r="S26" s="56"/>
      <c r="T26" s="56"/>
      <c r="U26" s="56"/>
      <c r="V26" s="56" t="s">
        <v>215</v>
      </c>
      <c r="W26" s="56" t="s">
        <v>232</v>
      </c>
      <c r="X26"/>
      <c r="Y26"/>
      <c r="Z26"/>
    </row>
    <row r="27" spans="1:26" x14ac:dyDescent="0.3">
      <c r="A27" s="76" t="s">
        <v>19</v>
      </c>
      <c r="B27" s="76"/>
      <c r="C27" s="76"/>
      <c r="D27" s="76"/>
      <c r="E27" s="103" t="s">
        <v>20</v>
      </c>
      <c r="F27" s="103"/>
      <c r="G27" s="103"/>
      <c r="H27" s="103"/>
      <c r="S27" s="56"/>
      <c r="T27" s="56"/>
      <c r="U27" s="56"/>
      <c r="V27" s="56" t="s">
        <v>216</v>
      </c>
      <c r="W27" s="56" t="s">
        <v>233</v>
      </c>
      <c r="X27"/>
      <c r="Y27"/>
      <c r="Z27"/>
    </row>
    <row r="28" spans="1:26" ht="15.75" customHeight="1" x14ac:dyDescent="0.3">
      <c r="A28" s="76" t="s">
        <v>21</v>
      </c>
      <c r="B28" s="76"/>
      <c r="C28" s="76"/>
      <c r="D28" s="76"/>
      <c r="E28" s="103" t="str">
        <f>IF(AND(G20="Mumbai"),"Developed","Developing")</f>
        <v>Developed</v>
      </c>
      <c r="F28" s="103"/>
      <c r="G28" s="103"/>
      <c r="H28" s="103"/>
    </row>
    <row r="29" spans="1:26" x14ac:dyDescent="0.3">
      <c r="A29" s="76" t="s">
        <v>22</v>
      </c>
      <c r="B29" s="76"/>
      <c r="C29" s="76"/>
      <c r="D29" s="76"/>
      <c r="E29" s="103" t="s">
        <v>23</v>
      </c>
      <c r="F29" s="103"/>
      <c r="G29" s="103"/>
      <c r="H29" s="103"/>
    </row>
    <row r="30" spans="1:26" ht="15.75" customHeight="1" x14ac:dyDescent="0.3">
      <c r="A30" s="76" t="s">
        <v>79</v>
      </c>
      <c r="B30" s="76"/>
      <c r="C30" s="76"/>
      <c r="D30" s="76"/>
      <c r="E30" s="103" t="s">
        <v>80</v>
      </c>
      <c r="F30" s="103"/>
      <c r="G30" s="103"/>
      <c r="H30" s="103"/>
    </row>
    <row r="31" spans="1:26" ht="15" customHeight="1" x14ac:dyDescent="0.3">
      <c r="A31" s="76" t="s">
        <v>31</v>
      </c>
      <c r="B31" s="76"/>
      <c r="C31" s="76"/>
      <c r="D31" s="76"/>
      <c r="E31" s="103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</v>
      </c>
      <c r="F31" s="103"/>
      <c r="G31" s="103"/>
      <c r="H31" s="103"/>
    </row>
    <row r="32" spans="1:26" ht="15.75" customHeight="1" x14ac:dyDescent="0.3">
      <c r="A32" s="76" t="s">
        <v>91</v>
      </c>
      <c r="B32" s="76"/>
      <c r="C32" s="76"/>
      <c r="D32" s="76"/>
      <c r="E32" s="103" t="s">
        <v>32</v>
      </c>
      <c r="F32" s="103"/>
      <c r="G32" s="103"/>
      <c r="H32" s="103"/>
    </row>
    <row r="33" spans="1:12" s="22" customFormat="1" x14ac:dyDescent="0.3">
      <c r="A33" s="173" t="s">
        <v>92</v>
      </c>
      <c r="B33" s="173"/>
      <c r="C33" s="166" t="s">
        <v>180</v>
      </c>
      <c r="D33" s="167"/>
      <c r="E33" s="168"/>
      <c r="F33" s="166" t="s">
        <v>29</v>
      </c>
      <c r="G33" s="167"/>
      <c r="H33" s="168"/>
    </row>
    <row r="34" spans="1:12" s="22" customFormat="1" x14ac:dyDescent="0.3">
      <c r="A34" s="172" t="s">
        <v>24</v>
      </c>
      <c r="B34" s="172" t="s">
        <v>28</v>
      </c>
      <c r="C34" s="158" t="s">
        <v>253</v>
      </c>
      <c r="D34" s="159"/>
      <c r="E34" s="160"/>
      <c r="F34" s="158" t="s">
        <v>250</v>
      </c>
      <c r="G34" s="159"/>
      <c r="H34" s="160"/>
    </row>
    <row r="35" spans="1:12" ht="32.25" customHeight="1" x14ac:dyDescent="0.3">
      <c r="A35" s="172" t="s">
        <v>25</v>
      </c>
      <c r="B35" s="172" t="s">
        <v>28</v>
      </c>
      <c r="C35" s="158" t="s">
        <v>254</v>
      </c>
      <c r="D35" s="159"/>
      <c r="E35" s="160"/>
      <c r="F35" s="83" t="s">
        <v>248</v>
      </c>
      <c r="G35" s="84"/>
      <c r="H35" s="85"/>
    </row>
    <row r="36" spans="1:12" s="22" customFormat="1" ht="31.5" customHeight="1" x14ac:dyDescent="0.3">
      <c r="A36" s="162" t="s">
        <v>27</v>
      </c>
      <c r="B36" s="162" t="s">
        <v>28</v>
      </c>
      <c r="C36" s="163" t="s">
        <v>252</v>
      </c>
      <c r="D36" s="164"/>
      <c r="E36" s="165"/>
      <c r="F36" s="169" t="s">
        <v>249</v>
      </c>
      <c r="G36" s="170"/>
      <c r="H36" s="171"/>
    </row>
    <row r="37" spans="1:12" x14ac:dyDescent="0.3">
      <c r="A37" s="172" t="s">
        <v>26</v>
      </c>
      <c r="B37" s="172" t="s">
        <v>28</v>
      </c>
      <c r="C37" s="158" t="s">
        <v>255</v>
      </c>
      <c r="D37" s="159"/>
      <c r="E37" s="160"/>
      <c r="F37" s="158" t="s">
        <v>251</v>
      </c>
      <c r="G37" s="159"/>
      <c r="H37" s="160"/>
    </row>
    <row r="38" spans="1:12" x14ac:dyDescent="0.3">
      <c r="A38" s="76" t="s">
        <v>30</v>
      </c>
      <c r="B38" s="76"/>
      <c r="C38" s="76"/>
      <c r="D38" s="76"/>
      <c r="E38" s="76"/>
      <c r="F38" s="76"/>
      <c r="G38" s="76"/>
      <c r="H38" s="76"/>
    </row>
    <row r="39" spans="1:12" ht="15.75" customHeight="1" x14ac:dyDescent="0.3">
      <c r="A39" s="76" t="s">
        <v>172</v>
      </c>
      <c r="B39" s="76"/>
      <c r="C39" s="178" t="s">
        <v>245</v>
      </c>
      <c r="D39" s="178"/>
      <c r="E39" s="178"/>
      <c r="F39" s="178"/>
      <c r="G39" s="178"/>
      <c r="H39" s="178"/>
    </row>
    <row r="40" spans="1:12" x14ac:dyDescent="0.3">
      <c r="A40" s="76" t="s">
        <v>168</v>
      </c>
      <c r="B40" s="76"/>
      <c r="C40" s="196" t="s">
        <v>246</v>
      </c>
      <c r="D40" s="103"/>
      <c r="E40" s="103"/>
      <c r="F40" s="103"/>
      <c r="G40" s="103"/>
      <c r="H40" s="103"/>
    </row>
    <row r="41" spans="1:12" x14ac:dyDescent="0.3">
      <c r="A41" s="178" t="s">
        <v>33</v>
      </c>
      <c r="B41" s="178"/>
      <c r="C41" s="178"/>
      <c r="D41" s="178"/>
      <c r="E41" s="178"/>
      <c r="F41" s="178"/>
      <c r="G41" s="178"/>
      <c r="H41" s="178"/>
    </row>
    <row r="42" spans="1:12" x14ac:dyDescent="0.3">
      <c r="A42" s="76" t="s">
        <v>34</v>
      </c>
      <c r="B42" s="76"/>
      <c r="C42" s="76"/>
      <c r="D42" s="76"/>
      <c r="E42" s="177">
        <v>1288.8499999999999</v>
      </c>
      <c r="F42" s="177"/>
      <c r="G42" s="177"/>
      <c r="H42" s="177"/>
    </row>
    <row r="43" spans="1:12" x14ac:dyDescent="0.3">
      <c r="A43" s="76" t="s">
        <v>35</v>
      </c>
      <c r="B43" s="76"/>
      <c r="C43" s="76"/>
      <c r="D43" s="76"/>
      <c r="E43" s="82">
        <v>3</v>
      </c>
      <c r="F43" s="82"/>
      <c r="G43" s="82"/>
      <c r="H43" s="82"/>
    </row>
    <row r="44" spans="1:12" x14ac:dyDescent="0.3">
      <c r="A44" s="76" t="s">
        <v>36</v>
      </c>
      <c r="B44" s="76"/>
      <c r="C44" s="76"/>
      <c r="D44" s="76"/>
      <c r="E44" s="82">
        <f>E46/E42-E43</f>
        <v>3.1294952864957137</v>
      </c>
      <c r="F44" s="82"/>
      <c r="G44" s="82"/>
      <c r="H44" s="82"/>
      <c r="I44" s="82"/>
      <c r="J44" s="82"/>
      <c r="K44" s="82"/>
      <c r="L44" s="82"/>
    </row>
    <row r="45" spans="1:12" x14ac:dyDescent="0.3">
      <c r="A45" s="76" t="s">
        <v>37</v>
      </c>
      <c r="B45" s="76"/>
      <c r="C45" s="76"/>
      <c r="D45" s="76"/>
      <c r="E45" s="82">
        <f>I43+I44</f>
        <v>0</v>
      </c>
      <c r="F45" s="82"/>
      <c r="G45" s="82"/>
      <c r="H45" s="82"/>
      <c r="I45" s="82"/>
      <c r="J45" s="82"/>
      <c r="K45" s="82"/>
      <c r="L45" s="82"/>
    </row>
    <row r="46" spans="1:12" x14ac:dyDescent="0.3">
      <c r="A46" s="76" t="s">
        <v>90</v>
      </c>
      <c r="B46" s="76"/>
      <c r="C46" s="76"/>
      <c r="D46" s="76"/>
      <c r="E46" s="180">
        <v>7900</v>
      </c>
      <c r="F46" s="180"/>
      <c r="G46" s="180"/>
      <c r="H46" s="180"/>
    </row>
    <row r="47" spans="1:12" x14ac:dyDescent="0.3">
      <c r="A47" s="72" t="s">
        <v>38</v>
      </c>
      <c r="B47" s="72"/>
      <c r="C47" s="72"/>
      <c r="D47" s="72"/>
      <c r="E47" s="61" t="s">
        <v>122</v>
      </c>
      <c r="F47" s="61"/>
      <c r="G47" s="61"/>
      <c r="H47" s="61"/>
    </row>
    <row r="48" spans="1:12" x14ac:dyDescent="0.3">
      <c r="A48" s="178" t="s">
        <v>39</v>
      </c>
      <c r="B48" s="178"/>
      <c r="C48" s="178"/>
      <c r="D48" s="178"/>
      <c r="E48" s="178"/>
      <c r="F48" s="178"/>
      <c r="G48" s="178"/>
      <c r="H48" s="178"/>
    </row>
    <row r="49" spans="1:14" ht="33.75" customHeight="1" x14ac:dyDescent="0.3">
      <c r="A49" s="99" t="s">
        <v>156</v>
      </c>
      <c r="B49" s="100"/>
      <c r="C49" s="187" t="s">
        <v>257</v>
      </c>
      <c r="D49" s="188"/>
      <c r="E49" s="188"/>
      <c r="F49" s="188"/>
      <c r="G49" s="188"/>
      <c r="H49" s="189"/>
    </row>
    <row r="50" spans="1:14" ht="15.75" customHeight="1" x14ac:dyDescent="0.3">
      <c r="A50" s="99" t="s">
        <v>40</v>
      </c>
      <c r="B50" s="100"/>
      <c r="C50" s="62" t="s">
        <v>269</v>
      </c>
      <c r="D50" s="63"/>
      <c r="E50" s="64"/>
      <c r="F50" s="59" t="s">
        <v>41</v>
      </c>
      <c r="G50" s="101">
        <v>45379</v>
      </c>
      <c r="H50" s="64"/>
    </row>
    <row r="51" spans="1:14" x14ac:dyDescent="0.3">
      <c r="A51" s="99" t="s">
        <v>42</v>
      </c>
      <c r="B51" s="100"/>
      <c r="C51" s="62" t="str">
        <f>C50</f>
        <v>Mhada - 22/597/2024</v>
      </c>
      <c r="D51" s="63"/>
      <c r="E51" s="64"/>
      <c r="F51" s="59" t="s">
        <v>41</v>
      </c>
      <c r="G51" s="101">
        <f>G50</f>
        <v>45379</v>
      </c>
      <c r="H51" s="64"/>
    </row>
    <row r="52" spans="1:14" s="23" customFormat="1" ht="32.25" customHeight="1" x14ac:dyDescent="0.3">
      <c r="A52" s="198" t="s">
        <v>160</v>
      </c>
      <c r="B52" s="199"/>
      <c r="C52" s="62" t="s">
        <v>267</v>
      </c>
      <c r="D52" s="63"/>
      <c r="E52" s="64"/>
      <c r="F52" s="59" t="s">
        <v>41</v>
      </c>
      <c r="G52" s="101">
        <v>45643</v>
      </c>
      <c r="H52" s="64"/>
    </row>
    <row r="53" spans="1:14" s="23" customFormat="1" ht="127.5" customHeight="1" x14ac:dyDescent="0.3">
      <c r="A53" s="200"/>
      <c r="B53" s="201"/>
      <c r="C53" s="62" t="s">
        <v>283</v>
      </c>
      <c r="D53" s="63"/>
      <c r="E53" s="64"/>
      <c r="F53" s="59" t="s">
        <v>123</v>
      </c>
      <c r="G53" s="101">
        <v>45860</v>
      </c>
      <c r="H53" s="64"/>
    </row>
    <row r="54" spans="1:14" x14ac:dyDescent="0.3">
      <c r="A54" s="73" t="s">
        <v>43</v>
      </c>
      <c r="B54" s="74"/>
      <c r="C54" s="73" t="s">
        <v>104</v>
      </c>
      <c r="D54" s="75"/>
      <c r="E54" s="74"/>
      <c r="F54" s="46" t="s">
        <v>41</v>
      </c>
      <c r="G54" s="104" t="s">
        <v>28</v>
      </c>
      <c r="H54" s="105"/>
    </row>
    <row r="55" spans="1:14" x14ac:dyDescent="0.3">
      <c r="A55" s="102" t="s">
        <v>268</v>
      </c>
      <c r="B55" s="102"/>
      <c r="C55" s="102"/>
      <c r="D55" s="102"/>
      <c r="E55" s="102"/>
      <c r="F55" s="102"/>
      <c r="G55" s="102"/>
      <c r="H55" s="102"/>
    </row>
    <row r="56" spans="1:14" x14ac:dyDescent="0.3">
      <c r="A56" s="80" t="s">
        <v>89</v>
      </c>
      <c r="B56" s="80"/>
      <c r="C56" s="80"/>
      <c r="D56" s="76">
        <f>E46</f>
        <v>7900</v>
      </c>
      <c r="E56" s="76"/>
      <c r="F56" s="76"/>
      <c r="G56" s="76"/>
      <c r="H56" s="76"/>
    </row>
    <row r="57" spans="1:14" x14ac:dyDescent="0.3">
      <c r="A57" s="103" t="s">
        <v>45</v>
      </c>
      <c r="B57" s="72"/>
      <c r="C57" s="72"/>
      <c r="D57" s="61" t="s">
        <v>284</v>
      </c>
      <c r="E57" s="61"/>
      <c r="F57" s="61"/>
      <c r="G57" s="61"/>
      <c r="H57" s="61"/>
      <c r="I57" s="24"/>
    </row>
    <row r="58" spans="1:14" x14ac:dyDescent="0.3">
      <c r="A58" s="106" t="s">
        <v>46</v>
      </c>
      <c r="B58" s="107"/>
      <c r="C58" s="197"/>
      <c r="D58" s="157" t="s">
        <v>285</v>
      </c>
      <c r="E58" s="61"/>
      <c r="F58" s="61"/>
      <c r="G58" s="61"/>
      <c r="H58" s="61"/>
    </row>
    <row r="59" spans="1:14" ht="15.75" customHeight="1" x14ac:dyDescent="0.3">
      <c r="A59" s="106" t="s">
        <v>87</v>
      </c>
      <c r="B59" s="107"/>
      <c r="C59" s="107"/>
      <c r="D59" s="61" t="s">
        <v>285</v>
      </c>
      <c r="E59" s="61"/>
      <c r="F59" s="61"/>
      <c r="G59" s="61"/>
      <c r="H59" s="61"/>
    </row>
    <row r="60" spans="1:14" ht="15.75" customHeight="1" x14ac:dyDescent="0.3">
      <c r="A60" s="76" t="s">
        <v>44</v>
      </c>
      <c r="B60" s="76"/>
      <c r="C60" s="76"/>
      <c r="D60" s="157" t="s">
        <v>258</v>
      </c>
      <c r="E60" s="157"/>
      <c r="F60" s="157"/>
      <c r="G60" s="157"/>
      <c r="H60" s="157"/>
      <c r="J60" s="25"/>
      <c r="K60" s="24"/>
      <c r="N60" s="24"/>
    </row>
    <row r="61" spans="1:14" ht="15.75" customHeight="1" x14ac:dyDescent="0.3">
      <c r="A61" s="76" t="s">
        <v>85</v>
      </c>
      <c r="B61" s="76"/>
      <c r="C61" s="76"/>
      <c r="D61" s="179" t="str">
        <f>(IF(G54="NA","60 Years After Completion",IF(G54&lt;&gt;"NA",""&amp;60-ROUNDDOWN((E3-G54)/360,0)&amp;" Years"," ")))</f>
        <v>60 Years After Completion</v>
      </c>
      <c r="E61" s="179"/>
      <c r="F61" s="179"/>
      <c r="G61" s="179"/>
      <c r="H61" s="179"/>
      <c r="N61" s="24"/>
    </row>
    <row r="62" spans="1:14" ht="15.75" customHeight="1" x14ac:dyDescent="0.3">
      <c r="A62" s="76" t="s">
        <v>86</v>
      </c>
      <c r="B62" s="76"/>
      <c r="C62" s="76"/>
      <c r="D62" s="80" t="s">
        <v>23</v>
      </c>
      <c r="E62" s="80"/>
      <c r="F62" s="80"/>
      <c r="G62" s="80"/>
      <c r="H62" s="80"/>
      <c r="J62" s="26"/>
      <c r="K62" s="26"/>
    </row>
    <row r="63" spans="1:14" ht="34.5" customHeight="1" x14ac:dyDescent="0.3">
      <c r="A63" s="61" t="s">
        <v>259</v>
      </c>
      <c r="B63" s="61"/>
      <c r="C63" s="61"/>
      <c r="D63" s="103" t="s">
        <v>265</v>
      </c>
      <c r="E63" s="103"/>
      <c r="F63" s="103"/>
      <c r="G63" s="103"/>
      <c r="H63" s="103"/>
      <c r="I63" s="191" t="s">
        <v>260</v>
      </c>
      <c r="J63" s="192"/>
      <c r="K63" s="192"/>
      <c r="L63" s="192"/>
      <c r="M63" s="192"/>
    </row>
    <row r="64" spans="1:14" x14ac:dyDescent="0.3">
      <c r="A64" s="80" t="s">
        <v>152</v>
      </c>
      <c r="B64" s="80"/>
      <c r="C64" s="80"/>
      <c r="D64" s="80" t="s">
        <v>28</v>
      </c>
      <c r="E64" s="80"/>
      <c r="F64" s="80"/>
      <c r="G64" s="80"/>
      <c r="H64" s="80"/>
      <c r="I64" s="27"/>
      <c r="J64" s="27"/>
      <c r="K64" s="27"/>
      <c r="L64" s="27"/>
      <c r="M64" s="27"/>
      <c r="N64" s="27"/>
    </row>
    <row r="65" spans="1:16" ht="15.75" customHeight="1" x14ac:dyDescent="0.3">
      <c r="A65" s="81" t="s">
        <v>84</v>
      </c>
      <c r="B65" s="81"/>
      <c r="C65" s="81"/>
      <c r="D65" s="153" t="str">
        <f ca="1">(IF(G71&gt;95%,"Nothing",IF(G71&gt;0%,"Cement, Aggregate, Steel, etc",IF(G71=0%,"Work not yet Started"))))</f>
        <v>Cement, Aggregate, Steel, etc</v>
      </c>
      <c r="E65" s="153"/>
      <c r="F65" s="153"/>
      <c r="G65" s="153"/>
      <c r="H65" s="153"/>
      <c r="J65" s="26"/>
    </row>
    <row r="66" spans="1:16" ht="33.75" customHeight="1" thickBot="1" x14ac:dyDescent="0.35">
      <c r="A66" s="152" t="s">
        <v>117</v>
      </c>
      <c r="B66" s="152"/>
      <c r="C66" s="152"/>
      <c r="D66" s="153" t="str">
        <f ca="1">(IF(D65="Nothing","Yes",IF(D65="Cement, Aggregate, Steel, etc","Under Construction",IF(D65="Work not yet Started","Work not yet Started"))))</f>
        <v>Under Construction</v>
      </c>
      <c r="E66" s="153"/>
      <c r="F66" s="153" t="str">
        <f ca="1">(IF(D65="Nothing","Yes",IF(D65="Cement, Aggregate, Steel, etc","Under Construction",IF(D65="Work not yet Started","Work not yet Started"))))</f>
        <v>Under Construction</v>
      </c>
      <c r="G66" s="153"/>
      <c r="H66" s="153"/>
    </row>
    <row r="67" spans="1:16" ht="15.75" customHeight="1" x14ac:dyDescent="0.3">
      <c r="A67" s="92" t="s">
        <v>142</v>
      </c>
      <c r="B67" s="93"/>
      <c r="C67" s="94" t="str">
        <f>D59</f>
        <v>G + 1st to 16th Floor</v>
      </c>
      <c r="D67" s="95"/>
      <c r="E67" s="95"/>
      <c r="F67" s="95"/>
      <c r="G67" s="95"/>
      <c r="H67" s="96"/>
      <c r="I67" s="50" t="str">
        <f ca="1">IF(D80=100%,"All work Completed. Possession granted to the Building.",IF(D79=100%,"All work Completed, Waiting for OC",I68&amp;""&amp;I69&amp;""&amp;J68&amp;""&amp;J67&amp;" "&amp;J69))</f>
        <v>Excavation, Plinth Completed, RCC upto 15 Slab, Brickwork upto 10 Floor, Internal Plaster upto 5 Floor Completed</v>
      </c>
      <c r="J67" s="51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15 Slab, Brickwork upto 10 Floor, Internal Plaster upto 5 Floor</v>
      </c>
      <c r="K67" s="193" t="s">
        <v>261</v>
      </c>
      <c r="L67" s="66"/>
      <c r="M67" s="66"/>
      <c r="N67" s="66"/>
      <c r="O67" s="66"/>
      <c r="P67" s="66"/>
    </row>
    <row r="68" spans="1:16" x14ac:dyDescent="0.3">
      <c r="A68" s="17" t="s">
        <v>144</v>
      </c>
      <c r="B68" s="48">
        <f>IF(AND(ISNUMBER(SEARCH("1B",C67))),1,IF(AND(ISNUMBER(SEARCH("2B",C67))),2,IF(AND(ISNUMBER(SEARCH("3B",C67))),3,IF(AND(ISNUMBER(SEARCH("4B",C67))),4,IF(ISNUMBER(SEARCH("5B",C67)),5,0)))))</f>
        <v>0</v>
      </c>
      <c r="C68" s="48" t="s">
        <v>70</v>
      </c>
      <c r="D68" s="48">
        <v>1</v>
      </c>
      <c r="E68" s="48" t="s">
        <v>69</v>
      </c>
      <c r="F68" s="58">
        <v>0</v>
      </c>
      <c r="G68" s="49" t="s">
        <v>78</v>
      </c>
      <c r="H68" s="18">
        <f ca="1">--TRIM(RIGHT(SUBSTITUTE(LEFT(C67,_xlfn.AGGREGATE(16,6,FIND({0,1,2,3,4,5,6,7,8,9},C67,ROW(INDIRECT("1:"&amp;LEN(C67)))),1))," ",REPT(" ",LEN(C67))),LEN(C67)))</f>
        <v>16</v>
      </c>
      <c r="I68" s="52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53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  <c r="K68" s="194"/>
      <c r="L68" s="66"/>
      <c r="M68" s="66"/>
      <c r="N68" s="66"/>
      <c r="O68" s="66"/>
      <c r="P68" s="66"/>
    </row>
    <row r="69" spans="1:16" ht="31.5" customHeight="1" x14ac:dyDescent="0.3">
      <c r="A69" s="181" t="s">
        <v>88</v>
      </c>
      <c r="B69" s="150"/>
      <c r="C69" s="155" t="str">
        <f ca="1">I67</f>
        <v>Excavation, Plinth Completed, RCC upto 15 Slab, Brickwork upto 10 Floor, Internal Plaster upto 5 Floor Completed</v>
      </c>
      <c r="D69" s="155"/>
      <c r="E69" s="155"/>
      <c r="F69" s="155"/>
      <c r="G69" s="155"/>
      <c r="H69" s="182"/>
      <c r="I69" s="52" t="str">
        <f ca="1">IF(I68&lt;&gt;""," Completed","")</f>
        <v xml:space="preserve"> Completed</v>
      </c>
      <c r="J69" s="53" t="str">
        <f ca="1">IF(J67&lt;&gt;"","Completed","")</f>
        <v>Completed</v>
      </c>
      <c r="K69" s="57"/>
    </row>
    <row r="70" spans="1:16" ht="15.75" customHeight="1" x14ac:dyDescent="0.3">
      <c r="A70" s="97" t="s">
        <v>47</v>
      </c>
      <c r="B70" s="98"/>
      <c r="C70" s="44" t="s">
        <v>141</v>
      </c>
      <c r="D70" s="44" t="s">
        <v>81</v>
      </c>
      <c r="E70" s="98" t="s">
        <v>83</v>
      </c>
      <c r="F70" s="98"/>
      <c r="G70" s="98" t="s">
        <v>82</v>
      </c>
      <c r="H70" s="140"/>
      <c r="I70" s="14" t="s">
        <v>143</v>
      </c>
      <c r="J70" s="28">
        <f ca="1">H68*25%</f>
        <v>4</v>
      </c>
      <c r="K70" s="57"/>
    </row>
    <row r="71" spans="1:16" x14ac:dyDescent="0.3">
      <c r="A71" s="97" t="s">
        <v>130</v>
      </c>
      <c r="B71" s="98"/>
      <c r="C71" s="54">
        <f ca="1">J72</f>
        <v>16</v>
      </c>
      <c r="D71" s="19">
        <f ca="1">((100/H68)*C71)/100</f>
        <v>1</v>
      </c>
      <c r="E71" s="141">
        <f ca="1">(((C72/H68*10)+(40/(D68+F68+H68)*C73)+(7.5/(H68)*C74)+(7.5/(H68)*C75)+(10/H68*C76)+(10/H68*C77)+(5/H68*C78)+(5/H68*C79)+(5/H68*C80))/100)</f>
        <v>0.52325367647058829</v>
      </c>
      <c r="F71" s="142"/>
      <c r="G71" s="141">
        <f ca="1">((((C71/H68)*20)+((C72/H68)*25)+(30/(H68+F68+D68)*C73)+(5/H68*C74)+(5/H68*C75)+(5/H68*C76)+(5/H68*C77)+(0/H68*C78)+(0/H68*C79)+(5/H68*C80))/100)</f>
        <v>0.76158088235294119</v>
      </c>
      <c r="H71" s="174"/>
      <c r="I71" s="14" t="s">
        <v>99</v>
      </c>
      <c r="J71" s="29">
        <f ca="1">H68*50%</f>
        <v>8</v>
      </c>
    </row>
    <row r="72" spans="1:16" x14ac:dyDescent="0.3">
      <c r="A72" s="97" t="s">
        <v>48</v>
      </c>
      <c r="B72" s="98"/>
      <c r="C72" s="54">
        <f ca="1">J80</f>
        <v>16</v>
      </c>
      <c r="D72" s="19">
        <f ca="1">((100/H68)*C72)/100</f>
        <v>1</v>
      </c>
      <c r="E72" s="143"/>
      <c r="F72" s="144"/>
      <c r="G72" s="143"/>
      <c r="H72" s="175"/>
      <c r="I72" s="14" t="s">
        <v>100</v>
      </c>
      <c r="J72" s="29">
        <f ca="1">H68</f>
        <v>16</v>
      </c>
    </row>
    <row r="73" spans="1:16" ht="15.75" customHeight="1" x14ac:dyDescent="0.3">
      <c r="A73" s="97" t="s">
        <v>131</v>
      </c>
      <c r="B73" s="98"/>
      <c r="C73" s="44">
        <v>15</v>
      </c>
      <c r="D73" s="19">
        <f ca="1">((100/(D68+F68+H68))*C73)/100</f>
        <v>0.88235294117647067</v>
      </c>
      <c r="E73" s="143"/>
      <c r="F73" s="144"/>
      <c r="G73" s="143"/>
      <c r="H73" s="175"/>
      <c r="I73" s="14" t="s">
        <v>101</v>
      </c>
      <c r="J73" s="30">
        <f ca="1">(IF(B68&gt;1,(H68/(B68+2)),H68/4))</f>
        <v>4</v>
      </c>
    </row>
    <row r="74" spans="1:16" ht="15.75" customHeight="1" x14ac:dyDescent="0.3">
      <c r="A74" s="97" t="s">
        <v>138</v>
      </c>
      <c r="B74" s="98" t="s">
        <v>132</v>
      </c>
      <c r="C74" s="44">
        <v>10</v>
      </c>
      <c r="D74" s="19">
        <f ca="1">((100/H68)*C74)/100</f>
        <v>0.625</v>
      </c>
      <c r="E74" s="143"/>
      <c r="F74" s="144"/>
      <c r="G74" s="143"/>
      <c r="H74" s="175"/>
      <c r="I74" s="14" t="s">
        <v>102</v>
      </c>
      <c r="J74" s="30">
        <f ca="1">(IF(B68&gt;1,(H68/(B68+2)+J73),H68/4+J73))</f>
        <v>8</v>
      </c>
    </row>
    <row r="75" spans="1:16" ht="15.75" customHeight="1" x14ac:dyDescent="0.3">
      <c r="A75" s="97" t="s">
        <v>139</v>
      </c>
      <c r="B75" s="98" t="s">
        <v>132</v>
      </c>
      <c r="C75" s="44">
        <v>5</v>
      </c>
      <c r="D75" s="19">
        <f ca="1">((100/H68)*C75)/100</f>
        <v>0.3125</v>
      </c>
      <c r="E75" s="143"/>
      <c r="F75" s="144"/>
      <c r="G75" s="143"/>
      <c r="H75" s="175"/>
      <c r="I75" s="14" t="s">
        <v>150</v>
      </c>
      <c r="J75" s="30">
        <f>(IF(B68&gt;1,(H68/(B68+2)+J74),0))</f>
        <v>0</v>
      </c>
    </row>
    <row r="76" spans="1:16" ht="15" customHeight="1" x14ac:dyDescent="0.3">
      <c r="A76" s="97" t="s">
        <v>137</v>
      </c>
      <c r="B76" s="98" t="s">
        <v>134</v>
      </c>
      <c r="C76" s="44">
        <v>0</v>
      </c>
      <c r="D76" s="19">
        <f ca="1">((100/(H68))*C76)/100</f>
        <v>0</v>
      </c>
      <c r="E76" s="143"/>
      <c r="F76" s="144"/>
      <c r="G76" s="143"/>
      <c r="H76" s="175"/>
      <c r="I76" s="14" t="s">
        <v>145</v>
      </c>
      <c r="J76" s="30">
        <f>(IF(B68&gt;2,(H68/(B68+2)+J75),0))</f>
        <v>0</v>
      </c>
    </row>
    <row r="77" spans="1:16" ht="15.75" customHeight="1" x14ac:dyDescent="0.3">
      <c r="A77" s="97" t="s">
        <v>133</v>
      </c>
      <c r="B77" s="98" t="s">
        <v>133</v>
      </c>
      <c r="C77" s="44">
        <v>0</v>
      </c>
      <c r="D77" s="19">
        <f ca="1">((100/H68)*C77)/100</f>
        <v>0</v>
      </c>
      <c r="E77" s="143"/>
      <c r="F77" s="144"/>
      <c r="G77" s="143"/>
      <c r="H77" s="175"/>
      <c r="I77" s="14" t="s">
        <v>146</v>
      </c>
      <c r="J77" s="31">
        <f>(IF(B68&gt;3,(H68/(B68+2)+J76),0))</f>
        <v>0</v>
      </c>
    </row>
    <row r="78" spans="1:16" ht="15.75" customHeight="1" x14ac:dyDescent="0.3">
      <c r="A78" s="97" t="s">
        <v>140</v>
      </c>
      <c r="B78" s="98"/>
      <c r="C78" s="44">
        <v>0</v>
      </c>
      <c r="D78" s="19">
        <f ca="1">((100/H68)*C78)/100</f>
        <v>0</v>
      </c>
      <c r="E78" s="143"/>
      <c r="F78" s="144"/>
      <c r="G78" s="143"/>
      <c r="H78" s="175"/>
      <c r="I78" s="14" t="s">
        <v>147</v>
      </c>
      <c r="J78" s="30">
        <f>(IF(B68&gt;4,(H68/(B68+2)+J77),0))</f>
        <v>0</v>
      </c>
    </row>
    <row r="79" spans="1:16" ht="15.75" customHeight="1" x14ac:dyDescent="0.3">
      <c r="A79" s="97" t="s">
        <v>135</v>
      </c>
      <c r="B79" s="98" t="s">
        <v>135</v>
      </c>
      <c r="C79" s="44">
        <v>0</v>
      </c>
      <c r="D79" s="19">
        <f ca="1">((100/(H68))*C79)/100</f>
        <v>0</v>
      </c>
      <c r="E79" s="143"/>
      <c r="F79" s="144"/>
      <c r="G79" s="143"/>
      <c r="H79" s="175"/>
      <c r="I79" s="14" t="s">
        <v>151</v>
      </c>
      <c r="J79" s="30">
        <f ca="1">(IF(B68=1,(H68/(B68+3)+J74),IF(B68=0,(H68/4+J74),IF(B68&gt;1,0))))</f>
        <v>12</v>
      </c>
    </row>
    <row r="80" spans="1:16" ht="16.2" thickBot="1" x14ac:dyDescent="0.35">
      <c r="A80" s="109" t="s">
        <v>136</v>
      </c>
      <c r="B80" s="110"/>
      <c r="C80" s="45">
        <v>0</v>
      </c>
      <c r="D80" s="20">
        <f ca="1">((100/(H68))*C80)/100</f>
        <v>0</v>
      </c>
      <c r="E80" s="145"/>
      <c r="F80" s="146"/>
      <c r="G80" s="145"/>
      <c r="H80" s="176"/>
      <c r="I80" s="16" t="s">
        <v>103</v>
      </c>
      <c r="J80" s="32">
        <f ca="1">(IF(B68&gt;1.5,(H68/(B68+2)+J74+MAX(0,J75-J74)+MAX(0,J76-J75)+MAX(0,J77-J76)+MAX(0,J78-J77)+MAX(0,J79-J78)),IF(B68=1,(H68/(B68+3)+J79),IF(B68=0,H68/4+J79))))</f>
        <v>16</v>
      </c>
    </row>
    <row r="81" spans="1:10" ht="15.75" hidden="1" customHeight="1" x14ac:dyDescent="0.3">
      <c r="A81" s="92" t="s">
        <v>142</v>
      </c>
      <c r="B81" s="93"/>
      <c r="C81" s="94" t="e">
        <f>#REF!</f>
        <v>#REF!</v>
      </c>
      <c r="D81" s="95"/>
      <c r="E81" s="95"/>
      <c r="F81" s="95"/>
      <c r="G81" s="95"/>
      <c r="H81" s="96"/>
      <c r="I81" s="50" t="e">
        <f ca="1">IF(D94=100%,"All work Completed. Possession granted to the Building.",IF(D93=100%,"All work Completed, Waiting for OC",I82&amp;""&amp;I83&amp;""&amp;J82&amp;""&amp;J81&amp;" "&amp;J83))</f>
        <v>#REF!</v>
      </c>
      <c r="J81" s="51" t="e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#REF!</v>
      </c>
    </row>
    <row r="82" spans="1:10" hidden="1" x14ac:dyDescent="0.3">
      <c r="A82" s="17" t="s">
        <v>144</v>
      </c>
      <c r="B82" s="48">
        <f>IF(AND(ISNUMBER(SEARCH("1B",C81))),1,IF(AND(ISNUMBER(SEARCH("2B",C81))),2,IF(AND(ISNUMBER(SEARCH("3B",C81))),3,IF(AND(ISNUMBER(SEARCH("4B",C81))),4,IF(ISNUMBER(SEARCH("5B",C81)),5,0)))))</f>
        <v>0</v>
      </c>
      <c r="C82" s="48" t="s">
        <v>70</v>
      </c>
      <c r="D82" s="48">
        <v>1</v>
      </c>
      <c r="E82" s="48" t="s">
        <v>69</v>
      </c>
      <c r="F82" s="15">
        <v>0</v>
      </c>
      <c r="G82" s="49" t="s">
        <v>78</v>
      </c>
      <c r="H82" s="18" t="e">
        <f ca="1">--TRIM(RIGHT(SUBSTITUTE(LEFT(C81,_xlfn.AGGREGATE(16,6,FIND({0,1,2,3,4,5,6,7,8,9},C81,ROW(INDIRECT("1:"&amp;LEN(C81)))),1))," ",REPT(" ",LEN(C81))),LEN(C81)))</f>
        <v>#REF!</v>
      </c>
      <c r="I82" s="52" t="e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#REF!</v>
      </c>
      <c r="J82" s="53" t="e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>#REF!</v>
      </c>
    </row>
    <row r="83" spans="1:10" ht="33.75" hidden="1" customHeight="1" x14ac:dyDescent="0.3">
      <c r="A83" s="181" t="s">
        <v>88</v>
      </c>
      <c r="B83" s="150"/>
      <c r="C83" s="155" t="e">
        <f ca="1">(IF($G$54="NA",I81,"All work Completed. OC Received."))</f>
        <v>#REF!</v>
      </c>
      <c r="D83" s="155"/>
      <c r="E83" s="155"/>
      <c r="F83" s="155"/>
      <c r="G83" s="155"/>
      <c r="H83" s="182"/>
      <c r="I83" s="52" t="e">
        <f ca="1">IF(I82&lt;&gt;""," Completed","")</f>
        <v>#REF!</v>
      </c>
      <c r="J83" s="53" t="e">
        <f ca="1">IF(J81&lt;&gt;"","Completed","")</f>
        <v>#REF!</v>
      </c>
    </row>
    <row r="84" spans="1:10" ht="15.75" hidden="1" customHeight="1" x14ac:dyDescent="0.3">
      <c r="A84" s="97" t="s">
        <v>47</v>
      </c>
      <c r="B84" s="98"/>
      <c r="C84" s="44" t="s">
        <v>141</v>
      </c>
      <c r="D84" s="44" t="s">
        <v>81</v>
      </c>
      <c r="E84" s="98" t="s">
        <v>83</v>
      </c>
      <c r="F84" s="98"/>
      <c r="G84" s="98" t="s">
        <v>82</v>
      </c>
      <c r="H84" s="140"/>
      <c r="I84" s="14" t="s">
        <v>143</v>
      </c>
      <c r="J84" s="28" t="e">
        <f ca="1">H82*25%</f>
        <v>#REF!</v>
      </c>
    </row>
    <row r="85" spans="1:10" hidden="1" x14ac:dyDescent="0.3">
      <c r="A85" s="97" t="s">
        <v>130</v>
      </c>
      <c r="B85" s="98"/>
      <c r="C85" s="44" t="e">
        <f ca="1">J86</f>
        <v>#REF!</v>
      </c>
      <c r="D85" s="19" t="e">
        <f ca="1">((100/H82)*C85)/100</f>
        <v>#REF!</v>
      </c>
      <c r="E85" s="141" t="e">
        <f ca="1">(((C86/H82*10)+(40/(D82+F82+H82)*C87)+(7.5/(H82)*C88)+(7.5/(H82)*C89)+(10/H82*C90)+(10/H82*C91)+(5/H82*C92)+(5/H82*C93)+(5/H82*C94))/100)</f>
        <v>#REF!</v>
      </c>
      <c r="F85" s="142"/>
      <c r="G85" s="141" t="e">
        <f ca="1">((((C85/H82)*20)+((C86/H82)*25)+(30/(H82+F82+D82)*C87)+(5/H82*C88)+(5/H82*C89)+(5/H82*C90)+(5/H82*C91)+(0/H82*C92)+(0/H82*C93)+(5/H82*C94))/100)</f>
        <v>#REF!</v>
      </c>
      <c r="H85" s="174"/>
      <c r="I85" s="14" t="s">
        <v>99</v>
      </c>
      <c r="J85" s="29" t="e">
        <f ca="1">H82*50%</f>
        <v>#REF!</v>
      </c>
    </row>
    <row r="86" spans="1:10" hidden="1" x14ac:dyDescent="0.3">
      <c r="A86" s="97" t="s">
        <v>48</v>
      </c>
      <c r="B86" s="98"/>
      <c r="C86" s="54">
        <v>20</v>
      </c>
      <c r="D86" s="19" t="e">
        <f ca="1">((100/H82)*C86)/100</f>
        <v>#REF!</v>
      </c>
      <c r="E86" s="143"/>
      <c r="F86" s="144"/>
      <c r="G86" s="143"/>
      <c r="H86" s="175"/>
      <c r="I86" s="14" t="s">
        <v>100</v>
      </c>
      <c r="J86" s="29" t="e">
        <f ca="1">H82</f>
        <v>#REF!</v>
      </c>
    </row>
    <row r="87" spans="1:10" ht="15.75" hidden="1" customHeight="1" x14ac:dyDescent="0.3">
      <c r="A87" s="97" t="s">
        <v>131</v>
      </c>
      <c r="B87" s="98"/>
      <c r="C87" s="44">
        <v>0</v>
      </c>
      <c r="D87" s="19" t="e">
        <f ca="1">((100/(D82+F82+H82))*C87)/100</f>
        <v>#REF!</v>
      </c>
      <c r="E87" s="143"/>
      <c r="F87" s="144"/>
      <c r="G87" s="143"/>
      <c r="H87" s="175"/>
      <c r="I87" s="14" t="s">
        <v>101</v>
      </c>
      <c r="J87" s="30" t="e">
        <f ca="1">(IF(B82&gt;1,(H82/(B82+2)),H82/4))</f>
        <v>#REF!</v>
      </c>
    </row>
    <row r="88" spans="1:10" ht="15.75" hidden="1" customHeight="1" x14ac:dyDescent="0.3">
      <c r="A88" s="97" t="s">
        <v>138</v>
      </c>
      <c r="B88" s="98" t="s">
        <v>132</v>
      </c>
      <c r="C88" s="44">
        <v>0</v>
      </c>
      <c r="D88" s="19" t="e">
        <f ca="1">((100/H82)*C88)/100</f>
        <v>#REF!</v>
      </c>
      <c r="E88" s="143"/>
      <c r="F88" s="144"/>
      <c r="G88" s="143"/>
      <c r="H88" s="175"/>
      <c r="I88" s="14" t="s">
        <v>102</v>
      </c>
      <c r="J88" s="30" t="e">
        <f ca="1">(IF(B82&gt;1,(H82/(B82+2)+J87),H82/4+J87))</f>
        <v>#REF!</v>
      </c>
    </row>
    <row r="89" spans="1:10" ht="15.75" hidden="1" customHeight="1" x14ac:dyDescent="0.3">
      <c r="A89" s="97" t="s">
        <v>139</v>
      </c>
      <c r="B89" s="98" t="s">
        <v>132</v>
      </c>
      <c r="C89" s="44">
        <v>0</v>
      </c>
      <c r="D89" s="19" t="e">
        <f ca="1">((100/H82)*C89)/100</f>
        <v>#REF!</v>
      </c>
      <c r="E89" s="143"/>
      <c r="F89" s="144"/>
      <c r="G89" s="143"/>
      <c r="H89" s="175"/>
      <c r="I89" s="14" t="s">
        <v>150</v>
      </c>
      <c r="J89" s="30">
        <f>(IF(B82&gt;1,(H82/(B82+2)+J88),0))</f>
        <v>0</v>
      </c>
    </row>
    <row r="90" spans="1:10" ht="15" hidden="1" customHeight="1" x14ac:dyDescent="0.3">
      <c r="A90" s="97" t="s">
        <v>137</v>
      </c>
      <c r="B90" s="98" t="s">
        <v>134</v>
      </c>
      <c r="C90" s="44">
        <v>0</v>
      </c>
      <c r="D90" s="19" t="e">
        <f ca="1">((100/(H82))*C90)/100</f>
        <v>#REF!</v>
      </c>
      <c r="E90" s="143"/>
      <c r="F90" s="144"/>
      <c r="G90" s="143"/>
      <c r="H90" s="175"/>
      <c r="I90" s="14" t="s">
        <v>145</v>
      </c>
      <c r="J90" s="30">
        <f>(IF(B82&gt;2,(H82/(B82+2)+J89),0))</f>
        <v>0</v>
      </c>
    </row>
    <row r="91" spans="1:10" ht="15.75" hidden="1" customHeight="1" x14ac:dyDescent="0.3">
      <c r="A91" s="97" t="s">
        <v>133</v>
      </c>
      <c r="B91" s="98" t="s">
        <v>133</v>
      </c>
      <c r="C91" s="44">
        <v>0</v>
      </c>
      <c r="D91" s="19" t="e">
        <f ca="1">((100/H82)*C91)/100</f>
        <v>#REF!</v>
      </c>
      <c r="E91" s="143"/>
      <c r="F91" s="144"/>
      <c r="G91" s="143"/>
      <c r="H91" s="175"/>
      <c r="I91" s="14" t="s">
        <v>146</v>
      </c>
      <c r="J91" s="31">
        <f>(IF(B82&gt;3,(H82/(B82+2)+J90),0))</f>
        <v>0</v>
      </c>
    </row>
    <row r="92" spans="1:10" ht="15.75" hidden="1" customHeight="1" x14ac:dyDescent="0.3">
      <c r="A92" s="97" t="s">
        <v>140</v>
      </c>
      <c r="B92" s="98"/>
      <c r="C92" s="44">
        <v>0</v>
      </c>
      <c r="D92" s="19" t="e">
        <f ca="1">((100/H82)*C92)/100</f>
        <v>#REF!</v>
      </c>
      <c r="E92" s="143"/>
      <c r="F92" s="144"/>
      <c r="G92" s="143"/>
      <c r="H92" s="175"/>
      <c r="I92" s="14" t="s">
        <v>147</v>
      </c>
      <c r="J92" s="30">
        <f>(IF(B82&gt;4,(H82/(B82+2)+J91),0))</f>
        <v>0</v>
      </c>
    </row>
    <row r="93" spans="1:10" ht="15.75" hidden="1" customHeight="1" x14ac:dyDescent="0.3">
      <c r="A93" s="97" t="s">
        <v>135</v>
      </c>
      <c r="B93" s="98" t="s">
        <v>135</v>
      </c>
      <c r="C93" s="44">
        <v>0</v>
      </c>
      <c r="D93" s="19" t="e">
        <f ca="1">((100/(H82))*C93)/100</f>
        <v>#REF!</v>
      </c>
      <c r="E93" s="143"/>
      <c r="F93" s="144"/>
      <c r="G93" s="143"/>
      <c r="H93" s="175"/>
      <c r="I93" s="14" t="s">
        <v>151</v>
      </c>
      <c r="J93" s="30" t="e">
        <f ca="1">(IF(B82=1,(H82/(B82+3)+J88),IF(B82=0,(H82/4+J88),IF(B82&gt;1,0))))</f>
        <v>#REF!</v>
      </c>
    </row>
    <row r="94" spans="1:10" ht="16.2" hidden="1" thickBot="1" x14ac:dyDescent="0.35">
      <c r="A94" s="109" t="s">
        <v>136</v>
      </c>
      <c r="B94" s="110"/>
      <c r="C94" s="45">
        <v>0</v>
      </c>
      <c r="D94" s="20" t="e">
        <f ca="1">((100/(H82))*C94)/100</f>
        <v>#REF!</v>
      </c>
      <c r="E94" s="145"/>
      <c r="F94" s="146"/>
      <c r="G94" s="145"/>
      <c r="H94" s="176"/>
      <c r="I94" s="16" t="s">
        <v>103</v>
      </c>
      <c r="J94" s="32" t="e">
        <f ca="1">(IF(B82&gt;1.5,(H82/(B82+2)+J88+MAX(0,J89-J88)+MAX(0,J90-J89)+MAX(0,J91-J90)+MAX(0,J92-J91)+MAX(0,J93-J92)),IF(B82=1,(H82/(B82+3)+J93),IF(B82=0,H82/4+J93))))</f>
        <v>#REF!</v>
      </c>
    </row>
    <row r="95" spans="1:10" ht="15.75" hidden="1" customHeight="1" x14ac:dyDescent="0.3">
      <c r="A95" s="92" t="s">
        <v>142</v>
      </c>
      <c r="B95" s="93"/>
      <c r="C95" s="94" t="e">
        <f>#REF!</f>
        <v>#REF!</v>
      </c>
      <c r="D95" s="95"/>
      <c r="E95" s="95"/>
      <c r="F95" s="95"/>
      <c r="G95" s="95"/>
      <c r="H95" s="96"/>
      <c r="I95" s="50" t="e">
        <f ca="1">IF(D108=100%,"All work Completed. Possession granted to the Building.",IF(D107=100%,"All work Completed, Waiting for OC",I96&amp;""&amp;I97&amp;""&amp;J96&amp;""&amp;J95&amp;" "&amp;J97))</f>
        <v>#REF!</v>
      </c>
      <c r="J95" s="51" t="e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>#REF!</v>
      </c>
    </row>
    <row r="96" spans="1:10" hidden="1" x14ac:dyDescent="0.3">
      <c r="A96" s="17" t="s">
        <v>144</v>
      </c>
      <c r="B96" s="48">
        <f>IF(AND(ISNUMBER(SEARCH("1B",C95))),1,IF(AND(ISNUMBER(SEARCH("2B",C95))),2,IF(AND(ISNUMBER(SEARCH("3B",C95))),3,IF(AND(ISNUMBER(SEARCH("4B",C95))),4,IF(ISNUMBER(SEARCH("5B",C95)),5,0)))))</f>
        <v>0</v>
      </c>
      <c r="C96" s="48" t="s">
        <v>70</v>
      </c>
      <c r="D96" s="48">
        <v>1</v>
      </c>
      <c r="E96" s="48" t="s">
        <v>69</v>
      </c>
      <c r="F96" s="15">
        <v>0</v>
      </c>
      <c r="G96" s="49" t="s">
        <v>78</v>
      </c>
      <c r="H96" s="18" t="e">
        <f ca="1">--TRIM(RIGHT(SUBSTITUTE(LEFT(C95,_xlfn.AGGREGATE(16,6,FIND({0,1,2,3,4,5,6,7,8,9},C95,ROW(INDIRECT("1:"&amp;LEN(C95)))),1))," ",REPT(" ",LEN(C95))),LEN(C95)))</f>
        <v>#REF!</v>
      </c>
      <c r="I96" s="52" t="e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#REF!</v>
      </c>
      <c r="J96" s="53" t="e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>#REF!</v>
      </c>
    </row>
    <row r="97" spans="1:10" ht="33" hidden="1" customHeight="1" x14ac:dyDescent="0.3">
      <c r="A97" s="181" t="s">
        <v>88</v>
      </c>
      <c r="B97" s="150"/>
      <c r="C97" s="155" t="e">
        <f ca="1">(IF($G$54="NA",I95,"All work Completed. OC Received."))</f>
        <v>#REF!</v>
      </c>
      <c r="D97" s="155"/>
      <c r="E97" s="155"/>
      <c r="F97" s="155"/>
      <c r="G97" s="155"/>
      <c r="H97" s="182"/>
      <c r="I97" s="52" t="e">
        <f ca="1">IF(I96&lt;&gt;""," Completed","")</f>
        <v>#REF!</v>
      </c>
      <c r="J97" s="53" t="e">
        <f ca="1">IF(J95&lt;&gt;"","Completed","")</f>
        <v>#REF!</v>
      </c>
    </row>
    <row r="98" spans="1:10" ht="15.75" hidden="1" customHeight="1" x14ac:dyDescent="0.3">
      <c r="A98" s="97" t="s">
        <v>47</v>
      </c>
      <c r="B98" s="98"/>
      <c r="C98" s="44" t="s">
        <v>141</v>
      </c>
      <c r="D98" s="44" t="s">
        <v>81</v>
      </c>
      <c r="E98" s="98" t="s">
        <v>83</v>
      </c>
      <c r="F98" s="98"/>
      <c r="G98" s="98" t="s">
        <v>82</v>
      </c>
      <c r="H98" s="140"/>
      <c r="I98" s="14" t="s">
        <v>143</v>
      </c>
      <c r="J98" s="28" t="e">
        <f ca="1">H96*25%</f>
        <v>#REF!</v>
      </c>
    </row>
    <row r="99" spans="1:10" hidden="1" x14ac:dyDescent="0.3">
      <c r="A99" s="97" t="s">
        <v>130</v>
      </c>
      <c r="B99" s="98"/>
      <c r="C99" s="44" t="e">
        <f ca="1">J100</f>
        <v>#REF!</v>
      </c>
      <c r="D99" s="19" t="e">
        <f ca="1">((100/H96)*C99)/100</f>
        <v>#REF!</v>
      </c>
      <c r="E99" s="141" t="e">
        <f ca="1">(((C100/H96*10)+(40/(D96+F96+H96)*C101)+(7.5/(H96)*C102)+(7.5/(H96)*C103)+(10/H96*C104)+(10/H96*C105)+(5/H96*C106)+(5/H96*C107)+(5/H96*C108))/100)</f>
        <v>#REF!</v>
      </c>
      <c r="F99" s="142"/>
      <c r="G99" s="141" t="e">
        <f ca="1">((((C99/H96)*20)+((C100/H96)*25)+(30/(H96+F96+D96)*C101)+(5/H96*C102)+(5/H96*C103)+(5/H96*C104)+(5/H96*C105)+(0/H96*C106)+(0/H96*C107)+(5/H96*C108))/100)</f>
        <v>#REF!</v>
      </c>
      <c r="H99" s="174"/>
      <c r="I99" s="14" t="s">
        <v>99</v>
      </c>
      <c r="J99" s="29" t="e">
        <f ca="1">H96*50%</f>
        <v>#REF!</v>
      </c>
    </row>
    <row r="100" spans="1:10" hidden="1" x14ac:dyDescent="0.3">
      <c r="A100" s="97" t="s">
        <v>48</v>
      </c>
      <c r="B100" s="98"/>
      <c r="C100" s="44" t="e">
        <f ca="1">J108</f>
        <v>#REF!</v>
      </c>
      <c r="D100" s="19" t="e">
        <f ca="1">((100/H96)*C100)/100</f>
        <v>#REF!</v>
      </c>
      <c r="E100" s="143"/>
      <c r="F100" s="144"/>
      <c r="G100" s="143"/>
      <c r="H100" s="175"/>
      <c r="I100" s="14" t="s">
        <v>100</v>
      </c>
      <c r="J100" s="29" t="e">
        <f ca="1">H96</f>
        <v>#REF!</v>
      </c>
    </row>
    <row r="101" spans="1:10" ht="15.75" hidden="1" customHeight="1" x14ac:dyDescent="0.3">
      <c r="A101" s="97" t="s">
        <v>131</v>
      </c>
      <c r="B101" s="98"/>
      <c r="C101" s="44" t="e">
        <f ca="1">D96+H96</f>
        <v>#REF!</v>
      </c>
      <c r="D101" s="19" t="e">
        <f ca="1">((100/(D96+F96+H96))*C101)/100</f>
        <v>#REF!</v>
      </c>
      <c r="E101" s="143"/>
      <c r="F101" s="144"/>
      <c r="G101" s="143"/>
      <c r="H101" s="175"/>
      <c r="I101" s="14" t="s">
        <v>101</v>
      </c>
      <c r="J101" s="30" t="e">
        <f ca="1">(IF(B96&gt;1,(H96/(B96+2)),H96/4))</f>
        <v>#REF!</v>
      </c>
    </row>
    <row r="102" spans="1:10" ht="15.75" hidden="1" customHeight="1" x14ac:dyDescent="0.3">
      <c r="A102" s="97" t="s">
        <v>138</v>
      </c>
      <c r="B102" s="98" t="s">
        <v>132</v>
      </c>
      <c r="C102" s="44">
        <v>0</v>
      </c>
      <c r="D102" s="19" t="e">
        <f ca="1">((100/H96)*C102)/100</f>
        <v>#REF!</v>
      </c>
      <c r="E102" s="143"/>
      <c r="F102" s="144"/>
      <c r="G102" s="143"/>
      <c r="H102" s="175"/>
      <c r="I102" s="14" t="s">
        <v>102</v>
      </c>
      <c r="J102" s="30" t="e">
        <f ca="1">(IF(B96&gt;1,(H96/(B96+2)+J101),H96/4+J101))</f>
        <v>#REF!</v>
      </c>
    </row>
    <row r="103" spans="1:10" ht="15.75" hidden="1" customHeight="1" x14ac:dyDescent="0.3">
      <c r="A103" s="97" t="s">
        <v>139</v>
      </c>
      <c r="B103" s="98" t="s">
        <v>132</v>
      </c>
      <c r="C103" s="44">
        <v>0</v>
      </c>
      <c r="D103" s="19" t="e">
        <f ca="1">((100/H96)*C103)/100</f>
        <v>#REF!</v>
      </c>
      <c r="E103" s="143"/>
      <c r="F103" s="144"/>
      <c r="G103" s="143"/>
      <c r="H103" s="175"/>
      <c r="I103" s="14" t="s">
        <v>150</v>
      </c>
      <c r="J103" s="30">
        <f>(IF(B96&gt;1,(H96/(B96+2)+J102),0))</f>
        <v>0</v>
      </c>
    </row>
    <row r="104" spans="1:10" ht="15" hidden="1" customHeight="1" x14ac:dyDescent="0.3">
      <c r="A104" s="97" t="s">
        <v>137</v>
      </c>
      <c r="B104" s="98" t="s">
        <v>134</v>
      </c>
      <c r="C104" s="44">
        <v>0</v>
      </c>
      <c r="D104" s="19" t="e">
        <f ca="1">((100/(H96))*C104)/100</f>
        <v>#REF!</v>
      </c>
      <c r="E104" s="143"/>
      <c r="F104" s="144"/>
      <c r="G104" s="143"/>
      <c r="H104" s="175"/>
      <c r="I104" s="14" t="s">
        <v>145</v>
      </c>
      <c r="J104" s="30">
        <f>(IF(B96&gt;2,(H96/(B96+2)+J103),0))</f>
        <v>0</v>
      </c>
    </row>
    <row r="105" spans="1:10" ht="15.75" hidden="1" customHeight="1" x14ac:dyDescent="0.3">
      <c r="A105" s="97" t="s">
        <v>133</v>
      </c>
      <c r="B105" s="98" t="s">
        <v>133</v>
      </c>
      <c r="C105" s="44">
        <v>0</v>
      </c>
      <c r="D105" s="19" t="e">
        <f ca="1">((100/H96)*C105)/100</f>
        <v>#REF!</v>
      </c>
      <c r="E105" s="143"/>
      <c r="F105" s="144"/>
      <c r="G105" s="143"/>
      <c r="H105" s="175"/>
      <c r="I105" s="14" t="s">
        <v>146</v>
      </c>
      <c r="J105" s="31">
        <f>(IF(B96&gt;3,(H96/(B96+2)+J104),0))</f>
        <v>0</v>
      </c>
    </row>
    <row r="106" spans="1:10" ht="15.75" hidden="1" customHeight="1" x14ac:dyDescent="0.3">
      <c r="A106" s="97" t="s">
        <v>140</v>
      </c>
      <c r="B106" s="98"/>
      <c r="C106" s="44">
        <v>0</v>
      </c>
      <c r="D106" s="19" t="e">
        <f ca="1">((100/H96)*C106)/100</f>
        <v>#REF!</v>
      </c>
      <c r="E106" s="143"/>
      <c r="F106" s="144"/>
      <c r="G106" s="143"/>
      <c r="H106" s="175"/>
      <c r="I106" s="14" t="s">
        <v>147</v>
      </c>
      <c r="J106" s="30">
        <f>(IF(B96&gt;4,(H96/(B96+2)+J105),0))</f>
        <v>0</v>
      </c>
    </row>
    <row r="107" spans="1:10" ht="15.75" hidden="1" customHeight="1" x14ac:dyDescent="0.3">
      <c r="A107" s="97" t="s">
        <v>135</v>
      </c>
      <c r="B107" s="98" t="s">
        <v>135</v>
      </c>
      <c r="C107" s="44">
        <v>0</v>
      </c>
      <c r="D107" s="19" t="e">
        <f ca="1">((100/(H96))*C107)/100</f>
        <v>#REF!</v>
      </c>
      <c r="E107" s="143"/>
      <c r="F107" s="144"/>
      <c r="G107" s="143"/>
      <c r="H107" s="175"/>
      <c r="I107" s="14" t="s">
        <v>151</v>
      </c>
      <c r="J107" s="30" t="e">
        <f ca="1">(IF(B96=1,(H96/(B96+3)+J102),IF(B96=0,(H96/4+J102),IF(B96&gt;1,0))))</f>
        <v>#REF!</v>
      </c>
    </row>
    <row r="108" spans="1:10" ht="16.2" hidden="1" thickBot="1" x14ac:dyDescent="0.35">
      <c r="A108" s="109" t="s">
        <v>136</v>
      </c>
      <c r="B108" s="110"/>
      <c r="C108" s="45">
        <v>0</v>
      </c>
      <c r="D108" s="20" t="e">
        <f ca="1">((100/(H96))*C108)/100</f>
        <v>#REF!</v>
      </c>
      <c r="E108" s="145"/>
      <c r="F108" s="146"/>
      <c r="G108" s="145"/>
      <c r="H108" s="176"/>
      <c r="I108" s="16" t="s">
        <v>103</v>
      </c>
      <c r="J108" s="32" t="e">
        <f ca="1">(IF(B96&gt;1.5,(H96/(B96+2)+J102+MAX(0,J103-J102)+MAX(0,J104-J103)+MAX(0,J105-J104)+MAX(0,J106-J105)+MAX(0,J107-J106)),IF(B96=1,(H96/(B96+3)+J107),IF(B96=0,H96/4+J107))))</f>
        <v>#REF!</v>
      </c>
    </row>
    <row r="109" spans="1:10" x14ac:dyDescent="0.3">
      <c r="A109" s="190" t="s">
        <v>162</v>
      </c>
      <c r="B109" s="190"/>
      <c r="C109" s="190"/>
      <c r="D109" s="190"/>
      <c r="E109" s="190"/>
      <c r="F109" s="139" t="s">
        <v>166</v>
      </c>
      <c r="G109" s="139"/>
      <c r="H109" s="139"/>
    </row>
    <row r="110" spans="1:10" x14ac:dyDescent="0.3">
      <c r="A110" s="72" t="s">
        <v>164</v>
      </c>
      <c r="B110" s="72"/>
      <c r="C110" s="72"/>
      <c r="D110" s="72"/>
      <c r="E110" s="72"/>
      <c r="F110" s="69">
        <v>16000</v>
      </c>
      <c r="G110" s="69"/>
      <c r="H110" s="69"/>
      <c r="J110" s="21" t="s">
        <v>290</v>
      </c>
    </row>
    <row r="111" spans="1:10" hidden="1" x14ac:dyDescent="0.3">
      <c r="A111" s="72" t="s">
        <v>163</v>
      </c>
      <c r="B111" s="72"/>
      <c r="C111" s="72"/>
      <c r="D111" s="72"/>
      <c r="E111" s="72"/>
      <c r="F111" s="69"/>
      <c r="G111" s="69"/>
      <c r="H111" s="69"/>
    </row>
    <row r="112" spans="1:10" hidden="1" x14ac:dyDescent="0.3">
      <c r="A112" s="72" t="s">
        <v>165</v>
      </c>
      <c r="B112" s="72"/>
      <c r="C112" s="72"/>
      <c r="D112" s="72"/>
      <c r="E112" s="72"/>
      <c r="F112" s="69"/>
      <c r="G112" s="69"/>
      <c r="H112" s="69"/>
    </row>
    <row r="113" spans="1:8" s="33" customFormat="1" hidden="1" x14ac:dyDescent="0.25">
      <c r="A113" s="72" t="s">
        <v>182</v>
      </c>
      <c r="B113" s="72"/>
      <c r="C113" s="72"/>
      <c r="D113" s="72"/>
      <c r="E113" s="72"/>
      <c r="F113" s="69"/>
      <c r="G113" s="69"/>
      <c r="H113" s="69"/>
    </row>
    <row r="114" spans="1:8" s="33" customFormat="1" hidden="1" x14ac:dyDescent="0.25">
      <c r="A114" s="72" t="s">
        <v>93</v>
      </c>
      <c r="B114" s="72"/>
      <c r="C114" s="72"/>
      <c r="D114" s="72"/>
      <c r="E114" s="72"/>
      <c r="F114" s="69"/>
      <c r="G114" s="69"/>
      <c r="H114" s="69"/>
    </row>
    <row r="115" spans="1:8" s="33" customFormat="1" hidden="1" x14ac:dyDescent="0.25">
      <c r="A115" s="72" t="s">
        <v>94</v>
      </c>
      <c r="B115" s="72"/>
      <c r="C115" s="72"/>
      <c r="D115" s="72"/>
      <c r="E115" s="72"/>
      <c r="F115" s="69"/>
      <c r="G115" s="69"/>
      <c r="H115" s="69"/>
    </row>
    <row r="116" spans="1:8" s="33" customFormat="1" hidden="1" x14ac:dyDescent="0.25">
      <c r="A116" s="72" t="s">
        <v>167</v>
      </c>
      <c r="B116" s="72"/>
      <c r="C116" s="72"/>
      <c r="D116" s="72"/>
      <c r="E116" s="72"/>
      <c r="F116" s="69"/>
      <c r="G116" s="69"/>
      <c r="H116" s="69"/>
    </row>
    <row r="117" spans="1:8" s="33" customFormat="1" hidden="1" x14ac:dyDescent="0.25">
      <c r="A117" s="72" t="s">
        <v>95</v>
      </c>
      <c r="B117" s="72"/>
      <c r="C117" s="72"/>
      <c r="D117" s="72"/>
      <c r="E117" s="72"/>
      <c r="F117" s="69"/>
      <c r="G117" s="69"/>
      <c r="H117" s="69"/>
    </row>
    <row r="118" spans="1:8" s="33" customFormat="1" hidden="1" x14ac:dyDescent="0.25">
      <c r="A118" s="72" t="s">
        <v>96</v>
      </c>
      <c r="B118" s="72"/>
      <c r="C118" s="72"/>
      <c r="D118" s="72"/>
      <c r="E118" s="72"/>
      <c r="F118" s="69"/>
      <c r="G118" s="69"/>
      <c r="H118" s="69"/>
    </row>
    <row r="119" spans="1:8" s="33" customFormat="1" hidden="1" x14ac:dyDescent="0.25">
      <c r="A119" s="72" t="s">
        <v>97</v>
      </c>
      <c r="B119" s="72"/>
      <c r="C119" s="72"/>
      <c r="D119" s="72"/>
      <c r="E119" s="72"/>
      <c r="F119" s="69"/>
      <c r="G119" s="69"/>
      <c r="H119" s="69"/>
    </row>
    <row r="120" spans="1:8" s="33" customFormat="1" hidden="1" x14ac:dyDescent="0.25">
      <c r="A120" s="72" t="s">
        <v>98</v>
      </c>
      <c r="B120" s="72"/>
      <c r="C120" s="72"/>
      <c r="D120" s="72"/>
      <c r="E120" s="72"/>
      <c r="F120" s="69"/>
      <c r="G120" s="69"/>
      <c r="H120" s="69"/>
    </row>
    <row r="121" spans="1:8" x14ac:dyDescent="0.3">
      <c r="A121" s="72" t="s">
        <v>49</v>
      </c>
      <c r="B121" s="72"/>
      <c r="C121" s="72"/>
      <c r="D121" s="72"/>
      <c r="E121" s="72"/>
      <c r="F121" s="69">
        <v>700000</v>
      </c>
      <c r="G121" s="69"/>
      <c r="H121" s="69"/>
    </row>
    <row r="122" spans="1:8" s="34" customFormat="1" x14ac:dyDescent="0.3">
      <c r="A122" s="150" t="s">
        <v>50</v>
      </c>
      <c r="B122" s="150"/>
      <c r="C122" s="150"/>
      <c r="D122" s="150"/>
      <c r="E122" s="150"/>
      <c r="F122" s="69">
        <f>F110*0.8</f>
        <v>12800</v>
      </c>
      <c r="G122" s="69"/>
      <c r="H122" s="69"/>
    </row>
    <row r="123" spans="1:8" s="35" customFormat="1" ht="15.75" hidden="1" customHeight="1" x14ac:dyDescent="0.3">
      <c r="A123" s="115" t="s">
        <v>73</v>
      </c>
      <c r="B123" s="115"/>
      <c r="C123" s="115"/>
      <c r="D123" s="115"/>
      <c r="E123" s="115"/>
      <c r="F123" s="115"/>
      <c r="G123" s="115"/>
      <c r="H123" s="115"/>
    </row>
    <row r="124" spans="1:8" s="35" customFormat="1" ht="15.75" hidden="1" customHeight="1" x14ac:dyDescent="0.3">
      <c r="A124" s="71" t="s">
        <v>51</v>
      </c>
      <c r="B124" s="71"/>
      <c r="C124" s="79" t="s">
        <v>76</v>
      </c>
      <c r="D124" s="79"/>
      <c r="E124" s="77" t="s">
        <v>52</v>
      </c>
      <c r="F124" s="77"/>
      <c r="G124" s="71" t="s">
        <v>53</v>
      </c>
      <c r="H124" s="71"/>
    </row>
    <row r="125" spans="1:8" s="35" customFormat="1" hidden="1" x14ac:dyDescent="0.3">
      <c r="A125" s="78"/>
      <c r="B125" s="78"/>
      <c r="C125" s="113"/>
      <c r="D125" s="113"/>
      <c r="E125" s="114"/>
      <c r="F125" s="114"/>
      <c r="G125" s="108"/>
      <c r="H125" s="108"/>
    </row>
    <row r="126" spans="1:8" s="35" customFormat="1" hidden="1" x14ac:dyDescent="0.3">
      <c r="A126" s="78"/>
      <c r="B126" s="78"/>
      <c r="C126" s="113"/>
      <c r="D126" s="113"/>
      <c r="E126" s="114"/>
      <c r="F126" s="114"/>
      <c r="G126" s="108"/>
      <c r="H126" s="108"/>
    </row>
    <row r="127" spans="1:8" s="35" customFormat="1" hidden="1" x14ac:dyDescent="0.3">
      <c r="A127" s="115" t="s">
        <v>155</v>
      </c>
      <c r="B127" s="115"/>
      <c r="C127" s="79"/>
      <c r="D127" s="79"/>
      <c r="E127" s="77"/>
      <c r="F127" s="77"/>
      <c r="G127" s="71"/>
      <c r="H127" s="71"/>
    </row>
    <row r="128" spans="1:8" s="35" customFormat="1" x14ac:dyDescent="0.3">
      <c r="A128" s="115" t="s">
        <v>68</v>
      </c>
      <c r="B128" s="115"/>
      <c r="C128" s="115"/>
      <c r="D128" s="115"/>
      <c r="E128" s="115"/>
      <c r="F128" s="115"/>
      <c r="G128" s="115"/>
      <c r="H128" s="115"/>
    </row>
    <row r="129" spans="1:14" s="35" customFormat="1" ht="15.75" customHeight="1" x14ac:dyDescent="0.3">
      <c r="A129" s="71" t="s">
        <v>51</v>
      </c>
      <c r="B129" s="71"/>
      <c r="C129" s="79" t="s">
        <v>76</v>
      </c>
      <c r="D129" s="79"/>
      <c r="E129" s="77" t="s">
        <v>52</v>
      </c>
      <c r="F129" s="77"/>
      <c r="G129" s="71" t="s">
        <v>53</v>
      </c>
      <c r="H129" s="71"/>
    </row>
    <row r="130" spans="1:14" s="35" customFormat="1" ht="16.2" thickBot="1" x14ac:dyDescent="0.35">
      <c r="A130" s="78" t="s">
        <v>276</v>
      </c>
      <c r="B130" s="78"/>
      <c r="C130" s="113">
        <f>COUNT(D148:D155)*6+COUNT(D157:D164)+COUNT(D166:D173)*5+COUNT(D175:D182)*4</f>
        <v>128</v>
      </c>
      <c r="D130" s="113"/>
      <c r="E130" s="184">
        <f>SUM(D148:D155)*6+SUM(D157:D164)+SUM(D166:D173)*5+SUM(D175:D182)*4</f>
        <v>76925.571840000004</v>
      </c>
      <c r="F130" s="184"/>
      <c r="G130" s="184">
        <f>SUM(F148:F155)*6+SUM(F157:F164)+SUM(F166:F173)*5+SUM(F175:F182)*4</f>
        <v>115388.35776000001</v>
      </c>
      <c r="H130" s="184"/>
    </row>
    <row r="131" spans="1:14" s="35" customFormat="1" hidden="1" x14ac:dyDescent="0.3">
      <c r="A131" s="78"/>
      <c r="B131" s="78"/>
      <c r="C131" s="113"/>
      <c r="D131" s="113"/>
      <c r="E131" s="116"/>
      <c r="F131" s="116"/>
      <c r="G131" s="108"/>
      <c r="H131" s="108"/>
    </row>
    <row r="132" spans="1:14" s="35" customFormat="1" ht="16.2" hidden="1" thickBot="1" x14ac:dyDescent="0.35">
      <c r="A132" s="195" t="s">
        <v>155</v>
      </c>
      <c r="B132" s="195"/>
      <c r="C132" s="185">
        <f>C130</f>
        <v>128</v>
      </c>
      <c r="D132" s="185"/>
      <c r="E132" s="112">
        <f t="shared" ref="E132" si="0">E130</f>
        <v>76925.571840000004</v>
      </c>
      <c r="F132" s="112"/>
      <c r="G132" s="112">
        <f t="shared" ref="G132" si="1">G130</f>
        <v>115388.35776000001</v>
      </c>
      <c r="H132" s="112"/>
    </row>
    <row r="133" spans="1:14" s="35" customFormat="1" ht="16.2" thickBot="1" x14ac:dyDescent="0.35">
      <c r="A133" s="86" t="s">
        <v>173</v>
      </c>
      <c r="B133" s="87"/>
      <c r="C133" s="88">
        <f>C127+C132</f>
        <v>128</v>
      </c>
      <c r="D133" s="88"/>
      <c r="E133" s="89">
        <f>E127+E132</f>
        <v>76925.571840000004</v>
      </c>
      <c r="F133" s="89"/>
      <c r="G133" s="90">
        <f>G127+G132</f>
        <v>115388.35776000001</v>
      </c>
      <c r="H133" s="91"/>
    </row>
    <row r="134" spans="1:14" s="34" customFormat="1" x14ac:dyDescent="0.3">
      <c r="A134" s="111" t="s">
        <v>54</v>
      </c>
      <c r="B134" s="111"/>
      <c r="C134" s="111"/>
      <c r="D134" s="111"/>
      <c r="E134" s="111"/>
      <c r="F134" s="111"/>
      <c r="G134" s="111"/>
      <c r="H134" s="111"/>
    </row>
    <row r="135" spans="1:14" x14ac:dyDescent="0.3">
      <c r="A135" s="70" t="s">
        <v>181</v>
      </c>
      <c r="B135" s="70"/>
      <c r="C135" s="70"/>
      <c r="D135" s="70"/>
      <c r="E135" s="70"/>
      <c r="F135" s="70"/>
      <c r="G135" s="70"/>
      <c r="H135" s="70"/>
      <c r="I135" s="42">
        <v>10.763999999999999</v>
      </c>
    </row>
    <row r="136" spans="1:14" ht="47.25" hidden="1" customHeight="1" x14ac:dyDescent="0.3">
      <c r="A136" s="128" t="s">
        <v>120</v>
      </c>
      <c r="B136" s="128" t="s">
        <v>184</v>
      </c>
      <c r="C136" s="128" t="s">
        <v>55</v>
      </c>
      <c r="D136" s="128" t="s">
        <v>56</v>
      </c>
      <c r="E136" s="130" t="s">
        <v>161</v>
      </c>
      <c r="F136" s="43" t="s">
        <v>153</v>
      </c>
      <c r="G136" s="132" t="s">
        <v>58</v>
      </c>
      <c r="H136" s="133"/>
    </row>
    <row r="137" spans="1:14" s="37" customFormat="1" hidden="1" x14ac:dyDescent="0.3">
      <c r="A137" s="129"/>
      <c r="B137" s="129"/>
      <c r="C137" s="129"/>
      <c r="D137" s="129"/>
      <c r="E137" s="131"/>
      <c r="F137" s="13">
        <v>0.45</v>
      </c>
      <c r="G137" s="134"/>
      <c r="H137" s="135"/>
    </row>
    <row r="138" spans="1:14" s="37" customFormat="1" hidden="1" x14ac:dyDescent="0.3">
      <c r="A138" s="136" t="s">
        <v>118</v>
      </c>
      <c r="B138" s="137"/>
      <c r="C138" s="137"/>
      <c r="D138" s="137"/>
      <c r="E138" s="137"/>
      <c r="F138" s="137"/>
      <c r="G138" s="137"/>
      <c r="H138" s="138"/>
      <c r="J138" s="36"/>
    </row>
    <row r="139" spans="1:14" s="37" customFormat="1" hidden="1" x14ac:dyDescent="0.3">
      <c r="A139" s="67">
        <v>1</v>
      </c>
      <c r="B139" s="68"/>
      <c r="C139" s="42"/>
      <c r="D139" s="42"/>
      <c r="E139" s="42">
        <v>0</v>
      </c>
      <c r="F139" s="42">
        <f>(D139+E139)*(($F$137)+1)</f>
        <v>0</v>
      </c>
      <c r="G139" s="67" t="str">
        <f>A138</f>
        <v>Ground Floor</v>
      </c>
      <c r="H139" s="68"/>
      <c r="I139" s="36"/>
      <c r="L139" s="183"/>
      <c r="M139" s="183"/>
      <c r="N139" s="36"/>
    </row>
    <row r="140" spans="1:14" s="37" customFormat="1" hidden="1" x14ac:dyDescent="0.3">
      <c r="A140" s="67">
        <f t="shared" ref="A140:A142" si="2">A139+1</f>
        <v>2</v>
      </c>
      <c r="B140" s="68"/>
      <c r="C140" s="42"/>
      <c r="D140" s="42"/>
      <c r="E140" s="42">
        <v>0</v>
      </c>
      <c r="F140" s="42">
        <f t="shared" ref="F140:F142" si="3">(D140+E140)*(($F$137)+1)</f>
        <v>0</v>
      </c>
      <c r="G140" s="67" t="str">
        <f t="shared" ref="G140:G142" si="4">G139</f>
        <v>Ground Floor</v>
      </c>
      <c r="H140" s="68"/>
      <c r="I140" s="36"/>
      <c r="L140" s="183"/>
      <c r="M140" s="183"/>
      <c r="N140" s="36"/>
    </row>
    <row r="141" spans="1:14" s="37" customFormat="1" hidden="1" x14ac:dyDescent="0.3">
      <c r="A141" s="67">
        <f t="shared" si="2"/>
        <v>3</v>
      </c>
      <c r="B141" s="68"/>
      <c r="C141" s="42"/>
      <c r="D141" s="42"/>
      <c r="E141" s="42">
        <v>0</v>
      </c>
      <c r="F141" s="42">
        <f t="shared" si="3"/>
        <v>0</v>
      </c>
      <c r="G141" s="67" t="str">
        <f t="shared" si="4"/>
        <v>Ground Floor</v>
      </c>
      <c r="H141" s="68"/>
      <c r="I141" s="36"/>
      <c r="L141" s="183"/>
      <c r="M141" s="183"/>
      <c r="N141" s="36"/>
    </row>
    <row r="142" spans="1:14" s="37" customFormat="1" hidden="1" x14ac:dyDescent="0.3">
      <c r="A142" s="67">
        <f t="shared" si="2"/>
        <v>4</v>
      </c>
      <c r="B142" s="68"/>
      <c r="C142" s="42"/>
      <c r="D142" s="42"/>
      <c r="E142" s="42">
        <v>0</v>
      </c>
      <c r="F142" s="42">
        <f t="shared" si="3"/>
        <v>0</v>
      </c>
      <c r="G142" s="67" t="str">
        <f t="shared" si="4"/>
        <v>Ground Floor</v>
      </c>
      <c r="H142" s="68"/>
      <c r="I142" s="36"/>
      <c r="L142" s="183"/>
      <c r="M142" s="183"/>
      <c r="N142" s="36"/>
    </row>
    <row r="143" spans="1:14" s="37" customFormat="1" hidden="1" x14ac:dyDescent="0.3">
      <c r="A143" s="67"/>
      <c r="B143" s="147"/>
      <c r="C143" s="147"/>
      <c r="D143" s="147"/>
      <c r="E143" s="147"/>
      <c r="F143" s="147"/>
      <c r="G143" s="147"/>
      <c r="H143" s="68"/>
      <c r="I143" s="36"/>
      <c r="N143" s="36"/>
    </row>
    <row r="144" spans="1:14" ht="47.25" customHeight="1" x14ac:dyDescent="0.3">
      <c r="A144" s="132" t="s">
        <v>121</v>
      </c>
      <c r="B144" s="128" t="s">
        <v>185</v>
      </c>
      <c r="C144" s="128" t="s">
        <v>55</v>
      </c>
      <c r="D144" s="128" t="s">
        <v>56</v>
      </c>
      <c r="E144" s="130" t="s">
        <v>57</v>
      </c>
      <c r="F144" s="43" t="s">
        <v>153</v>
      </c>
      <c r="G144" s="132" t="s">
        <v>58</v>
      </c>
      <c r="H144" s="133"/>
      <c r="I144" s="36"/>
    </row>
    <row r="145" spans="1:14" s="37" customFormat="1" x14ac:dyDescent="0.3">
      <c r="A145" s="134"/>
      <c r="B145" s="129"/>
      <c r="C145" s="129"/>
      <c r="D145" s="129"/>
      <c r="E145" s="131"/>
      <c r="F145" s="13">
        <v>0.5</v>
      </c>
      <c r="G145" s="134"/>
      <c r="H145" s="135"/>
      <c r="I145" s="36"/>
    </row>
    <row r="146" spans="1:14" s="37" customFormat="1" x14ac:dyDescent="0.3">
      <c r="A146" s="136" t="s">
        <v>270</v>
      </c>
      <c r="B146" s="137"/>
      <c r="C146" s="137"/>
      <c r="D146" s="137"/>
      <c r="E146" s="137"/>
      <c r="F146" s="137"/>
      <c r="G146" s="137"/>
      <c r="H146" s="138"/>
      <c r="J146" s="36"/>
    </row>
    <row r="147" spans="1:14" s="37" customFormat="1" x14ac:dyDescent="0.3">
      <c r="A147" s="136" t="s">
        <v>274</v>
      </c>
      <c r="B147" s="137"/>
      <c r="C147" s="137"/>
      <c r="D147" s="137"/>
      <c r="E147" s="137"/>
      <c r="F147" s="137"/>
      <c r="G147" s="137"/>
      <c r="H147" s="138"/>
      <c r="J147" s="36"/>
    </row>
    <row r="148" spans="1:14" s="37" customFormat="1" x14ac:dyDescent="0.3">
      <c r="A148" s="67">
        <v>1</v>
      </c>
      <c r="B148" s="68"/>
      <c r="C148" s="42" t="s">
        <v>271</v>
      </c>
      <c r="D148" s="42">
        <f>(57.25+7.29)*10.764</f>
        <v>694.70856000000003</v>
      </c>
      <c r="E148" s="42">
        <v>0</v>
      </c>
      <c r="F148" s="42">
        <f>D148*(($F$145)+1)+(IF(E148&lt;101,E148,IF(E148&lt;201,E148/2,IF(E148&lt;=301,E148/3,E148/4))))</f>
        <v>1042.0628400000001</v>
      </c>
      <c r="G148" s="67" t="str">
        <f>A147</f>
        <v>1st to 6th Floor For Residential</v>
      </c>
      <c r="H148" s="68"/>
      <c r="I148" s="36"/>
      <c r="L148" s="183"/>
      <c r="M148" s="183"/>
      <c r="N148" s="36"/>
    </row>
    <row r="149" spans="1:14" s="37" customFormat="1" x14ac:dyDescent="0.3">
      <c r="A149" s="67">
        <f t="shared" ref="A149:A155" si="5">A148+1</f>
        <v>2</v>
      </c>
      <c r="B149" s="68"/>
      <c r="C149" s="42" t="s">
        <v>271</v>
      </c>
      <c r="D149" s="42">
        <f>(57.25+7.29)*10.764</f>
        <v>694.70856000000003</v>
      </c>
      <c r="E149" s="42">
        <v>0</v>
      </c>
      <c r="F149" s="42">
        <f>D149*(($F$145)+1)+(IF(E149&lt;101,E149,IF(E149&lt;201,E149/2,IF(E149&lt;=301,E149/3,E149/4))))</f>
        <v>1042.0628400000001</v>
      </c>
      <c r="G149" s="67" t="str">
        <f t="shared" ref="G149:G155" si="6">G148</f>
        <v>1st to 6th Floor For Residential</v>
      </c>
      <c r="H149" s="68"/>
      <c r="I149" s="36"/>
      <c r="L149" s="183"/>
      <c r="M149" s="183"/>
      <c r="N149" s="36"/>
    </row>
    <row r="150" spans="1:14" s="37" customFormat="1" x14ac:dyDescent="0.3">
      <c r="A150" s="67">
        <f t="shared" si="5"/>
        <v>3</v>
      </c>
      <c r="B150" s="68"/>
      <c r="C150" s="42" t="s">
        <v>272</v>
      </c>
      <c r="D150" s="42">
        <f>(24.16)*10.764</f>
        <v>260.05824000000001</v>
      </c>
      <c r="E150" s="42">
        <v>0</v>
      </c>
      <c r="F150" s="42">
        <f>D150*(($F$145)+1)+(IF(E150&lt;101,E150,IF(E150&lt;201,E150/2,IF(E150&lt;=301,E150/3,E150/4))))</f>
        <v>390.08735999999999</v>
      </c>
      <c r="G150" s="67" t="str">
        <f t="shared" si="6"/>
        <v>1st to 6th Floor For Residential</v>
      </c>
      <c r="H150" s="68"/>
      <c r="I150" s="36"/>
      <c r="L150" s="183"/>
      <c r="M150" s="183"/>
      <c r="N150" s="36"/>
    </row>
    <row r="151" spans="1:14" s="37" customFormat="1" x14ac:dyDescent="0.3">
      <c r="A151" s="67">
        <f t="shared" si="5"/>
        <v>4</v>
      </c>
      <c r="B151" s="68"/>
      <c r="C151" s="42" t="s">
        <v>273</v>
      </c>
      <c r="D151" s="42">
        <f>(42.76)*10.764</f>
        <v>460.26863999999995</v>
      </c>
      <c r="E151" s="42">
        <v>0</v>
      </c>
      <c r="F151" s="42">
        <f>D151*(($F$145)+1)+(IF(E151&lt;101,E151,IF(E151&lt;201,E151/2,IF(E151&lt;=301,E151/3,E151/4))))</f>
        <v>690.40295999999989</v>
      </c>
      <c r="G151" s="67" t="str">
        <f t="shared" si="6"/>
        <v>1st to 6th Floor For Residential</v>
      </c>
      <c r="H151" s="68"/>
      <c r="I151" s="36"/>
      <c r="L151" s="183"/>
      <c r="M151" s="183"/>
      <c r="N151" s="36"/>
    </row>
    <row r="152" spans="1:14" s="37" customFormat="1" x14ac:dyDescent="0.3">
      <c r="A152" s="67">
        <f t="shared" si="5"/>
        <v>5</v>
      </c>
      <c r="B152" s="68"/>
      <c r="C152" s="42" t="s">
        <v>271</v>
      </c>
      <c r="D152" s="42">
        <f>(57.25+7.29)*10.764</f>
        <v>694.70856000000003</v>
      </c>
      <c r="E152" s="42">
        <v>0</v>
      </c>
      <c r="F152" s="42">
        <f t="shared" ref="F152:F155" si="7">D152*(($F$145)+1)+(IF(E152&lt;101,E152,IF(E152&lt;201,E152/2,IF(E152&lt;=301,E152/3,E152/4))))</f>
        <v>1042.0628400000001</v>
      </c>
      <c r="G152" s="67" t="str">
        <f t="shared" si="6"/>
        <v>1st to 6th Floor For Residential</v>
      </c>
      <c r="H152" s="68"/>
      <c r="I152" s="36"/>
      <c r="L152" s="183"/>
      <c r="M152" s="183"/>
      <c r="N152" s="36"/>
    </row>
    <row r="153" spans="1:14" s="37" customFormat="1" x14ac:dyDescent="0.3">
      <c r="A153" s="67">
        <f t="shared" si="5"/>
        <v>6</v>
      </c>
      <c r="B153" s="68"/>
      <c r="C153" s="42" t="s">
        <v>271</v>
      </c>
      <c r="D153" s="42">
        <f>(57.25+7.29)*10.764</f>
        <v>694.70856000000003</v>
      </c>
      <c r="E153" s="42">
        <v>0</v>
      </c>
      <c r="F153" s="42">
        <f t="shared" si="7"/>
        <v>1042.0628400000001</v>
      </c>
      <c r="G153" s="67" t="str">
        <f t="shared" si="6"/>
        <v>1st to 6th Floor For Residential</v>
      </c>
      <c r="H153" s="68"/>
      <c r="I153" s="36"/>
      <c r="L153" s="183"/>
      <c r="M153" s="183"/>
      <c r="N153" s="36"/>
    </row>
    <row r="154" spans="1:14" s="37" customFormat="1" x14ac:dyDescent="0.3">
      <c r="A154" s="67">
        <f t="shared" si="5"/>
        <v>7</v>
      </c>
      <c r="B154" s="68"/>
      <c r="C154" s="42" t="s">
        <v>271</v>
      </c>
      <c r="D154" s="42">
        <f>(58.46+3*0.75)*10.764</f>
        <v>653.48244</v>
      </c>
      <c r="E154" s="42">
        <v>0</v>
      </c>
      <c r="F154" s="42">
        <f t="shared" si="7"/>
        <v>980.22366</v>
      </c>
      <c r="G154" s="67" t="str">
        <f t="shared" si="6"/>
        <v>1st to 6th Floor For Residential</v>
      </c>
      <c r="H154" s="68"/>
      <c r="I154" s="36"/>
      <c r="L154" s="183"/>
      <c r="M154" s="183"/>
      <c r="N154" s="36"/>
    </row>
    <row r="155" spans="1:14" s="37" customFormat="1" x14ac:dyDescent="0.3">
      <c r="A155" s="67">
        <f t="shared" si="5"/>
        <v>8</v>
      </c>
      <c r="B155" s="68"/>
      <c r="C155" s="42" t="s">
        <v>271</v>
      </c>
      <c r="D155" s="42">
        <f>(58.62+3*0.75)*10.764</f>
        <v>655.20467999999994</v>
      </c>
      <c r="E155" s="42">
        <v>0</v>
      </c>
      <c r="F155" s="42">
        <f t="shared" si="7"/>
        <v>982.80701999999997</v>
      </c>
      <c r="G155" s="67" t="str">
        <f t="shared" si="6"/>
        <v>1st to 6th Floor For Residential</v>
      </c>
      <c r="H155" s="68"/>
      <c r="I155" s="36"/>
      <c r="L155" s="183"/>
      <c r="M155" s="183"/>
      <c r="N155" s="36"/>
    </row>
    <row r="156" spans="1:14" s="37" customFormat="1" x14ac:dyDescent="0.3">
      <c r="A156" s="136" t="s">
        <v>282</v>
      </c>
      <c r="B156" s="137"/>
      <c r="C156" s="137"/>
      <c r="D156" s="137"/>
      <c r="E156" s="137"/>
      <c r="F156" s="137"/>
      <c r="G156" s="137"/>
      <c r="H156" s="138"/>
      <c r="J156" s="36"/>
    </row>
    <row r="157" spans="1:14" s="37" customFormat="1" x14ac:dyDescent="0.3">
      <c r="A157" s="67">
        <v>1</v>
      </c>
      <c r="B157" s="68"/>
      <c r="C157" s="42" t="s">
        <v>271</v>
      </c>
      <c r="D157" s="42">
        <f>(57.25+7.29)*10.764</f>
        <v>694.70856000000003</v>
      </c>
      <c r="E157" s="42">
        <v>0</v>
      </c>
      <c r="F157" s="42">
        <f>D157*(($F$145)+1)+(IF(E157&lt;101,E157,IF(E157&lt;201,E157/2,IF(E157&lt;=301,E157/3,E157/4))))</f>
        <v>1042.0628400000001</v>
      </c>
      <c r="G157" s="67" t="str">
        <f>A156</f>
        <v>7th Floor (Refuge Area at midlanding of the staircase)</v>
      </c>
      <c r="H157" s="68"/>
      <c r="I157" s="36"/>
      <c r="L157" s="183"/>
      <c r="M157" s="183"/>
      <c r="N157" s="36"/>
    </row>
    <row r="158" spans="1:14" s="37" customFormat="1" x14ac:dyDescent="0.3">
      <c r="A158" s="67">
        <f t="shared" ref="A158:A164" si="8">A157+1</f>
        <v>2</v>
      </c>
      <c r="B158" s="68"/>
      <c r="C158" s="42" t="s">
        <v>271</v>
      </c>
      <c r="D158" s="42">
        <f>(57.25+7.29)*10.764</f>
        <v>694.70856000000003</v>
      </c>
      <c r="E158" s="42">
        <v>0</v>
      </c>
      <c r="F158" s="42">
        <f>D158*(($F$145)+1)+(IF(E158&lt;101,E158,IF(E158&lt;201,E158/2,IF(E158&lt;=301,E158/3,E158/4))))</f>
        <v>1042.0628400000001</v>
      </c>
      <c r="G158" s="67" t="str">
        <f t="shared" ref="G158:G164" si="9">G157</f>
        <v>7th Floor (Refuge Area at midlanding of the staircase)</v>
      </c>
      <c r="H158" s="68"/>
      <c r="I158" s="36"/>
      <c r="L158" s="183"/>
      <c r="M158" s="183"/>
      <c r="N158" s="36"/>
    </row>
    <row r="159" spans="1:14" s="37" customFormat="1" x14ac:dyDescent="0.3">
      <c r="A159" s="67">
        <f t="shared" si="8"/>
        <v>3</v>
      </c>
      <c r="B159" s="68"/>
      <c r="C159" s="42" t="s">
        <v>272</v>
      </c>
      <c r="D159" s="42">
        <f>(24.16)*10.764</f>
        <v>260.05824000000001</v>
      </c>
      <c r="E159" s="42">
        <v>0</v>
      </c>
      <c r="F159" s="42">
        <f>D159*(($F$145)+1)+(IF(E159&lt;101,E159,IF(E159&lt;201,E159/2,IF(E159&lt;=301,E159/3,E159/4))))</f>
        <v>390.08735999999999</v>
      </c>
      <c r="G159" s="67" t="str">
        <f t="shared" si="9"/>
        <v>7th Floor (Refuge Area at midlanding of the staircase)</v>
      </c>
      <c r="H159" s="68"/>
      <c r="I159" s="36"/>
      <c r="L159" s="183"/>
      <c r="M159" s="183"/>
      <c r="N159" s="36"/>
    </row>
    <row r="160" spans="1:14" s="37" customFormat="1" x14ac:dyDescent="0.3">
      <c r="A160" s="67">
        <f t="shared" si="8"/>
        <v>4</v>
      </c>
      <c r="B160" s="68"/>
      <c r="C160" s="42" t="s">
        <v>273</v>
      </c>
      <c r="D160" s="42">
        <f>(42.76)*10.764</f>
        <v>460.26863999999995</v>
      </c>
      <c r="E160" s="42">
        <v>0</v>
      </c>
      <c r="F160" s="42">
        <f>D160*(($F$145)+1)+(IF(E160&lt;101,E160,IF(E160&lt;201,E160/2,IF(E160&lt;=301,E160/3,E160/4))))</f>
        <v>690.40295999999989</v>
      </c>
      <c r="G160" s="67" t="str">
        <f t="shared" si="9"/>
        <v>7th Floor (Refuge Area at midlanding of the staircase)</v>
      </c>
      <c r="H160" s="68"/>
      <c r="I160" s="36"/>
      <c r="L160" s="183"/>
      <c r="M160" s="183"/>
      <c r="N160" s="36"/>
    </row>
    <row r="161" spans="1:14" s="37" customFormat="1" x14ac:dyDescent="0.3">
      <c r="A161" s="67">
        <f t="shared" si="8"/>
        <v>5</v>
      </c>
      <c r="B161" s="68"/>
      <c r="C161" s="42" t="s">
        <v>271</v>
      </c>
      <c r="D161" s="42">
        <f>(57.25+7.29)*10.764</f>
        <v>694.70856000000003</v>
      </c>
      <c r="E161" s="42">
        <v>0</v>
      </c>
      <c r="F161" s="42">
        <f t="shared" ref="F161:F164" si="10">D161*(($F$145)+1)+(IF(E161&lt;101,E161,IF(E161&lt;201,E161/2,IF(E161&lt;=301,E161/3,E161/4))))</f>
        <v>1042.0628400000001</v>
      </c>
      <c r="G161" s="67" t="str">
        <f t="shared" si="9"/>
        <v>7th Floor (Refuge Area at midlanding of the staircase)</v>
      </c>
      <c r="H161" s="68"/>
      <c r="I161" s="36"/>
      <c r="L161" s="183"/>
      <c r="M161" s="183"/>
      <c r="N161" s="36"/>
    </row>
    <row r="162" spans="1:14" s="37" customFormat="1" x14ac:dyDescent="0.3">
      <c r="A162" s="67">
        <f t="shared" si="8"/>
        <v>6</v>
      </c>
      <c r="B162" s="68"/>
      <c r="C162" s="42" t="s">
        <v>271</v>
      </c>
      <c r="D162" s="42">
        <f>(57.25+7.29)*10.764</f>
        <v>694.70856000000003</v>
      </c>
      <c r="E162" s="42">
        <v>0</v>
      </c>
      <c r="F162" s="42">
        <f t="shared" si="10"/>
        <v>1042.0628400000001</v>
      </c>
      <c r="G162" s="67" t="str">
        <f t="shared" si="9"/>
        <v>7th Floor (Refuge Area at midlanding of the staircase)</v>
      </c>
      <c r="H162" s="68"/>
      <c r="I162" s="36"/>
      <c r="L162" s="183"/>
      <c r="M162" s="183"/>
      <c r="N162" s="36"/>
    </row>
    <row r="163" spans="1:14" s="37" customFormat="1" x14ac:dyDescent="0.3">
      <c r="A163" s="67">
        <f t="shared" si="8"/>
        <v>7</v>
      </c>
      <c r="B163" s="68"/>
      <c r="C163" s="42" t="s">
        <v>271</v>
      </c>
      <c r="D163" s="42">
        <f>(58.46+3*0.75)*10.764</f>
        <v>653.48244</v>
      </c>
      <c r="E163" s="42">
        <v>0</v>
      </c>
      <c r="F163" s="42">
        <f t="shared" si="10"/>
        <v>980.22366</v>
      </c>
      <c r="G163" s="67" t="str">
        <f t="shared" si="9"/>
        <v>7th Floor (Refuge Area at midlanding of the staircase)</v>
      </c>
      <c r="H163" s="68"/>
      <c r="I163" s="36"/>
      <c r="L163" s="183"/>
      <c r="M163" s="183"/>
      <c r="N163" s="36"/>
    </row>
    <row r="164" spans="1:14" s="37" customFormat="1" x14ac:dyDescent="0.3">
      <c r="A164" s="67">
        <f t="shared" si="8"/>
        <v>8</v>
      </c>
      <c r="B164" s="68"/>
      <c r="C164" s="42" t="s">
        <v>271</v>
      </c>
      <c r="D164" s="42">
        <f>(58.62+3*0.75)*10.764</f>
        <v>655.20467999999994</v>
      </c>
      <c r="E164" s="42">
        <v>0</v>
      </c>
      <c r="F164" s="42">
        <f t="shared" si="10"/>
        <v>982.80701999999997</v>
      </c>
      <c r="G164" s="67" t="str">
        <f t="shared" si="9"/>
        <v>7th Floor (Refuge Area at midlanding of the staircase)</v>
      </c>
      <c r="H164" s="68"/>
      <c r="I164" s="36"/>
      <c r="L164" s="183"/>
      <c r="M164" s="183"/>
      <c r="N164" s="36"/>
    </row>
    <row r="165" spans="1:14" s="37" customFormat="1" x14ac:dyDescent="0.3">
      <c r="A165" s="136" t="s">
        <v>275</v>
      </c>
      <c r="B165" s="137"/>
      <c r="C165" s="137"/>
      <c r="D165" s="137"/>
      <c r="E165" s="137"/>
      <c r="F165" s="137"/>
      <c r="G165" s="137"/>
      <c r="H165" s="138"/>
      <c r="J165" s="36"/>
    </row>
    <row r="166" spans="1:14" s="37" customFormat="1" x14ac:dyDescent="0.3">
      <c r="A166" s="67">
        <v>1</v>
      </c>
      <c r="B166" s="68"/>
      <c r="C166" s="42" t="s">
        <v>271</v>
      </c>
      <c r="D166" s="42">
        <f>(57.25+7.29)*10.764</f>
        <v>694.70856000000003</v>
      </c>
      <c r="E166" s="42">
        <v>0</v>
      </c>
      <c r="F166" s="42">
        <f>D166*(($F$145)+1)+(IF(E166&lt;101,E166,IF(E166&lt;201,E166/2,IF(E166&lt;=301,E166/3,E166/4))))</f>
        <v>1042.0628400000001</v>
      </c>
      <c r="G166" s="67" t="str">
        <f>A165</f>
        <v>8th, 10th, 12th, 14th &amp; 16th Floor</v>
      </c>
      <c r="H166" s="68"/>
      <c r="I166" s="36"/>
      <c r="L166" s="183"/>
      <c r="M166" s="183"/>
      <c r="N166" s="36"/>
    </row>
    <row r="167" spans="1:14" s="37" customFormat="1" x14ac:dyDescent="0.3">
      <c r="A167" s="67">
        <f t="shared" ref="A167:A173" si="11">A166+1</f>
        <v>2</v>
      </c>
      <c r="B167" s="68"/>
      <c r="C167" s="42" t="s">
        <v>271</v>
      </c>
      <c r="D167" s="42">
        <f>(57.25+7.29)*10.764</f>
        <v>694.70856000000003</v>
      </c>
      <c r="E167" s="42">
        <v>0</v>
      </c>
      <c r="F167" s="42">
        <f>D167*(($F$145)+1)+(IF(E167&lt;101,E167,IF(E167&lt;201,E167/2,IF(E167&lt;=301,E167/3,E167/4))))</f>
        <v>1042.0628400000001</v>
      </c>
      <c r="G167" s="67" t="str">
        <f t="shared" ref="G167:G173" si="12">G166</f>
        <v>8th, 10th, 12th, 14th &amp; 16th Floor</v>
      </c>
      <c r="H167" s="68"/>
      <c r="I167" s="36"/>
      <c r="L167" s="183"/>
      <c r="M167" s="183"/>
      <c r="N167" s="36"/>
    </row>
    <row r="168" spans="1:14" s="37" customFormat="1" x14ac:dyDescent="0.3">
      <c r="A168" s="67">
        <f t="shared" si="11"/>
        <v>3</v>
      </c>
      <c r="B168" s="68"/>
      <c r="C168" s="42" t="s">
        <v>272</v>
      </c>
      <c r="D168" s="42">
        <f>(24.16)*10.764</f>
        <v>260.05824000000001</v>
      </c>
      <c r="E168" s="42">
        <v>0</v>
      </c>
      <c r="F168" s="42">
        <f>D168*(($F$145)+1)+(IF(E168&lt;101,E168,IF(E168&lt;201,E168/2,IF(E168&lt;=301,E168/3,E168/4))))</f>
        <v>390.08735999999999</v>
      </c>
      <c r="G168" s="67" t="str">
        <f t="shared" si="12"/>
        <v>8th, 10th, 12th, 14th &amp; 16th Floor</v>
      </c>
      <c r="H168" s="68"/>
      <c r="I168" s="36"/>
      <c r="L168" s="183"/>
      <c r="M168" s="183"/>
      <c r="N168" s="36"/>
    </row>
    <row r="169" spans="1:14" s="37" customFormat="1" x14ac:dyDescent="0.3">
      <c r="A169" s="67">
        <f t="shared" si="11"/>
        <v>4</v>
      </c>
      <c r="B169" s="68"/>
      <c r="C169" s="42" t="s">
        <v>273</v>
      </c>
      <c r="D169" s="42">
        <f>(42.76)*10.764</f>
        <v>460.26863999999995</v>
      </c>
      <c r="E169" s="42">
        <v>0</v>
      </c>
      <c r="F169" s="42">
        <f>D169*(($F$145)+1)+(IF(E169&lt;101,E169,IF(E169&lt;201,E169/2,IF(E169&lt;=301,E169/3,E169/4))))</f>
        <v>690.40295999999989</v>
      </c>
      <c r="G169" s="67" t="str">
        <f t="shared" si="12"/>
        <v>8th, 10th, 12th, 14th &amp; 16th Floor</v>
      </c>
      <c r="H169" s="68"/>
      <c r="I169" s="36"/>
      <c r="L169" s="183"/>
      <c r="M169" s="183"/>
      <c r="N169" s="36"/>
    </row>
    <row r="170" spans="1:14" s="37" customFormat="1" x14ac:dyDescent="0.3">
      <c r="A170" s="67">
        <f t="shared" si="11"/>
        <v>5</v>
      </c>
      <c r="B170" s="68"/>
      <c r="C170" s="42" t="s">
        <v>271</v>
      </c>
      <c r="D170" s="42">
        <f>(57.25+7.29)*10.764</f>
        <v>694.70856000000003</v>
      </c>
      <c r="E170" s="42">
        <v>0</v>
      </c>
      <c r="F170" s="42">
        <f t="shared" ref="F170:F173" si="13">D170*(($F$145)+1)+(IF(E170&lt;101,E170,IF(E170&lt;201,E170/2,IF(E170&lt;=301,E170/3,E170/4))))</f>
        <v>1042.0628400000001</v>
      </c>
      <c r="G170" s="67" t="str">
        <f t="shared" si="12"/>
        <v>8th, 10th, 12th, 14th &amp; 16th Floor</v>
      </c>
      <c r="H170" s="68"/>
      <c r="I170" s="36"/>
      <c r="L170" s="183"/>
      <c r="M170" s="183"/>
      <c r="N170" s="36"/>
    </row>
    <row r="171" spans="1:14" s="37" customFormat="1" x14ac:dyDescent="0.3">
      <c r="A171" s="67">
        <f t="shared" si="11"/>
        <v>6</v>
      </c>
      <c r="B171" s="68"/>
      <c r="C171" s="42" t="s">
        <v>271</v>
      </c>
      <c r="D171" s="42">
        <f>(57.25+7.29)*10.764</f>
        <v>694.70856000000003</v>
      </c>
      <c r="E171" s="42">
        <v>0</v>
      </c>
      <c r="F171" s="42">
        <f t="shared" si="13"/>
        <v>1042.0628400000001</v>
      </c>
      <c r="G171" s="67" t="str">
        <f t="shared" si="12"/>
        <v>8th, 10th, 12th, 14th &amp; 16th Floor</v>
      </c>
      <c r="H171" s="68"/>
      <c r="I171" s="36"/>
      <c r="L171" s="183"/>
      <c r="M171" s="183"/>
      <c r="N171" s="36"/>
    </row>
    <row r="172" spans="1:14" s="37" customFormat="1" x14ac:dyDescent="0.3">
      <c r="A172" s="67">
        <f t="shared" si="11"/>
        <v>7</v>
      </c>
      <c r="B172" s="68"/>
      <c r="C172" s="42" t="s">
        <v>271</v>
      </c>
      <c r="D172" s="42">
        <f>(58.46+3*0.75)*10.764</f>
        <v>653.48244</v>
      </c>
      <c r="E172" s="42">
        <v>0</v>
      </c>
      <c r="F172" s="42">
        <f t="shared" si="13"/>
        <v>980.22366</v>
      </c>
      <c r="G172" s="67" t="str">
        <f t="shared" si="12"/>
        <v>8th, 10th, 12th, 14th &amp; 16th Floor</v>
      </c>
      <c r="H172" s="68"/>
      <c r="I172" s="36"/>
      <c r="L172" s="183"/>
      <c r="M172" s="183"/>
      <c r="N172" s="36"/>
    </row>
    <row r="173" spans="1:14" s="37" customFormat="1" x14ac:dyDescent="0.3">
      <c r="A173" s="67">
        <f t="shared" si="11"/>
        <v>8</v>
      </c>
      <c r="B173" s="68"/>
      <c r="C173" s="42" t="s">
        <v>271</v>
      </c>
      <c r="D173" s="42">
        <f>(58.62+3*0.75)*10.764</f>
        <v>655.20467999999994</v>
      </c>
      <c r="E173" s="42">
        <v>0</v>
      </c>
      <c r="F173" s="42">
        <f t="shared" si="13"/>
        <v>982.80701999999997</v>
      </c>
      <c r="G173" s="67" t="str">
        <f t="shared" si="12"/>
        <v>8th, 10th, 12th, 14th &amp; 16th Floor</v>
      </c>
      <c r="H173" s="68"/>
      <c r="I173" s="36"/>
      <c r="L173" s="183"/>
      <c r="M173" s="183"/>
      <c r="N173" s="36"/>
    </row>
    <row r="174" spans="1:14" s="37" customFormat="1" x14ac:dyDescent="0.3">
      <c r="A174" s="136" t="s">
        <v>281</v>
      </c>
      <c r="B174" s="137"/>
      <c r="C174" s="137"/>
      <c r="D174" s="137"/>
      <c r="E174" s="137"/>
      <c r="F174" s="137"/>
      <c r="G174" s="137"/>
      <c r="H174" s="138"/>
      <c r="J174" s="36"/>
    </row>
    <row r="175" spans="1:14" s="37" customFormat="1" x14ac:dyDescent="0.3">
      <c r="A175" s="67">
        <v>1</v>
      </c>
      <c r="B175" s="68"/>
      <c r="C175" s="42" t="s">
        <v>271</v>
      </c>
      <c r="D175" s="42">
        <f>(57.25+7.29)*10.764</f>
        <v>694.70856000000003</v>
      </c>
      <c r="E175" s="42">
        <v>0</v>
      </c>
      <c r="F175" s="42">
        <f>D175*(($F$145)+1)+(IF(E175&lt;101,E175,IF(E175&lt;201,E175/2,IF(E175&lt;=301,E175/3,E175/4))))</f>
        <v>1042.0628400000001</v>
      </c>
      <c r="G175" s="67" t="str">
        <f>A174</f>
        <v>9th, 11th, 13th &amp; 15th Floor (Refuge Area at midlanding of the staircase)</v>
      </c>
      <c r="H175" s="68"/>
      <c r="I175" s="36"/>
      <c r="L175" s="183"/>
      <c r="M175" s="183"/>
      <c r="N175" s="36"/>
    </row>
    <row r="176" spans="1:14" s="37" customFormat="1" x14ac:dyDescent="0.3">
      <c r="A176" s="67">
        <f t="shared" ref="A176:A182" si="14">A175+1</f>
        <v>2</v>
      </c>
      <c r="B176" s="68"/>
      <c r="C176" s="42" t="s">
        <v>271</v>
      </c>
      <c r="D176" s="42">
        <f>(57.25+7.29)*10.764</f>
        <v>694.70856000000003</v>
      </c>
      <c r="E176" s="42">
        <v>0</v>
      </c>
      <c r="F176" s="42">
        <f>D176*(($F$145)+1)+(IF(E176&lt;101,E176,IF(E176&lt;201,E176/2,IF(E176&lt;=301,E176/3,E176/4))))</f>
        <v>1042.0628400000001</v>
      </c>
      <c r="G176" s="67" t="str">
        <f t="shared" ref="G176:G182" si="15">G175</f>
        <v>9th, 11th, 13th &amp; 15th Floor (Refuge Area at midlanding of the staircase)</v>
      </c>
      <c r="H176" s="68"/>
      <c r="I176" s="36"/>
      <c r="L176" s="183"/>
      <c r="M176" s="183"/>
      <c r="N176" s="36"/>
    </row>
    <row r="177" spans="1:14" s="37" customFormat="1" x14ac:dyDescent="0.3">
      <c r="A177" s="67">
        <f t="shared" si="14"/>
        <v>3</v>
      </c>
      <c r="B177" s="68"/>
      <c r="C177" s="42" t="s">
        <v>272</v>
      </c>
      <c r="D177" s="42">
        <f>(24.16)*10.764</f>
        <v>260.05824000000001</v>
      </c>
      <c r="E177" s="42">
        <v>0</v>
      </c>
      <c r="F177" s="42">
        <f>D177*(($F$145)+1)+(IF(E177&lt;101,E177,IF(E177&lt;201,E177/2,IF(E177&lt;=301,E177/3,E177/4))))</f>
        <v>390.08735999999999</v>
      </c>
      <c r="G177" s="67" t="str">
        <f t="shared" si="15"/>
        <v>9th, 11th, 13th &amp; 15th Floor (Refuge Area at midlanding of the staircase)</v>
      </c>
      <c r="H177" s="68"/>
      <c r="I177" s="36"/>
      <c r="L177" s="183"/>
      <c r="M177" s="183"/>
      <c r="N177" s="36"/>
    </row>
    <row r="178" spans="1:14" s="37" customFormat="1" x14ac:dyDescent="0.3">
      <c r="A178" s="67">
        <f t="shared" si="14"/>
        <v>4</v>
      </c>
      <c r="B178" s="68"/>
      <c r="C178" s="42" t="s">
        <v>273</v>
      </c>
      <c r="D178" s="42">
        <f>(42.76)*10.764</f>
        <v>460.26863999999995</v>
      </c>
      <c r="E178" s="42">
        <v>0</v>
      </c>
      <c r="F178" s="42">
        <f>D178*(($F$145)+1)+(IF(E178&lt;101,E178,IF(E178&lt;201,E178/2,IF(E178&lt;=301,E178/3,E178/4))))</f>
        <v>690.40295999999989</v>
      </c>
      <c r="G178" s="67" t="str">
        <f t="shared" si="15"/>
        <v>9th, 11th, 13th &amp; 15th Floor (Refuge Area at midlanding of the staircase)</v>
      </c>
      <c r="H178" s="68"/>
      <c r="I178" s="36"/>
      <c r="L178" s="183"/>
      <c r="M178" s="183"/>
      <c r="N178" s="36"/>
    </row>
    <row r="179" spans="1:14" s="37" customFormat="1" x14ac:dyDescent="0.3">
      <c r="A179" s="67">
        <f t="shared" si="14"/>
        <v>5</v>
      </c>
      <c r="B179" s="68"/>
      <c r="C179" s="42" t="s">
        <v>271</v>
      </c>
      <c r="D179" s="42">
        <f>(57.25+7.29)*10.764</f>
        <v>694.70856000000003</v>
      </c>
      <c r="E179" s="42">
        <v>0</v>
      </c>
      <c r="F179" s="42">
        <f t="shared" ref="F179:F182" si="16">D179*(($F$145)+1)+(IF(E179&lt;101,E179,IF(E179&lt;201,E179/2,IF(E179&lt;=301,E179/3,E179/4))))</f>
        <v>1042.0628400000001</v>
      </c>
      <c r="G179" s="67" t="str">
        <f t="shared" si="15"/>
        <v>9th, 11th, 13th &amp; 15th Floor (Refuge Area at midlanding of the staircase)</v>
      </c>
      <c r="H179" s="68"/>
      <c r="I179" s="36"/>
      <c r="L179" s="183"/>
      <c r="M179" s="183"/>
      <c r="N179" s="36"/>
    </row>
    <row r="180" spans="1:14" s="37" customFormat="1" x14ac:dyDescent="0.3">
      <c r="A180" s="67">
        <f t="shared" si="14"/>
        <v>6</v>
      </c>
      <c r="B180" s="68"/>
      <c r="C180" s="42" t="s">
        <v>271</v>
      </c>
      <c r="D180" s="42">
        <f>(57.25+7.29)*10.764</f>
        <v>694.70856000000003</v>
      </c>
      <c r="E180" s="42">
        <v>0</v>
      </c>
      <c r="F180" s="42">
        <f t="shared" si="16"/>
        <v>1042.0628400000001</v>
      </c>
      <c r="G180" s="67" t="str">
        <f t="shared" si="15"/>
        <v>9th, 11th, 13th &amp; 15th Floor (Refuge Area at midlanding of the staircase)</v>
      </c>
      <c r="H180" s="68"/>
      <c r="I180" s="36"/>
      <c r="L180" s="183"/>
      <c r="M180" s="183"/>
      <c r="N180" s="36"/>
    </row>
    <row r="181" spans="1:14" s="37" customFormat="1" x14ac:dyDescent="0.3">
      <c r="A181" s="67">
        <f t="shared" si="14"/>
        <v>7</v>
      </c>
      <c r="B181" s="68"/>
      <c r="C181" s="42" t="s">
        <v>271</v>
      </c>
      <c r="D181" s="42">
        <f>(58.46+3*0.75)*10.764</f>
        <v>653.48244</v>
      </c>
      <c r="E181" s="42">
        <v>0</v>
      </c>
      <c r="F181" s="42">
        <f t="shared" si="16"/>
        <v>980.22366</v>
      </c>
      <c r="G181" s="67" t="str">
        <f t="shared" si="15"/>
        <v>9th, 11th, 13th &amp; 15th Floor (Refuge Area at midlanding of the staircase)</v>
      </c>
      <c r="H181" s="68"/>
      <c r="I181" s="36"/>
      <c r="L181" s="183"/>
      <c r="M181" s="183"/>
      <c r="N181" s="36"/>
    </row>
    <row r="182" spans="1:14" s="37" customFormat="1" x14ac:dyDescent="0.3">
      <c r="A182" s="67">
        <f t="shared" si="14"/>
        <v>8</v>
      </c>
      <c r="B182" s="68"/>
      <c r="C182" s="42" t="s">
        <v>271</v>
      </c>
      <c r="D182" s="42">
        <f>(58.62+3*0.75)*10.764</f>
        <v>655.20467999999994</v>
      </c>
      <c r="E182" s="42">
        <v>0</v>
      </c>
      <c r="F182" s="42">
        <f t="shared" si="16"/>
        <v>982.80701999999997</v>
      </c>
      <c r="G182" s="67" t="str">
        <f t="shared" si="15"/>
        <v>9th, 11th, 13th &amp; 15th Floor (Refuge Area at midlanding of the staircase)</v>
      </c>
      <c r="H182" s="68"/>
      <c r="I182" s="36"/>
      <c r="L182" s="183"/>
      <c r="M182" s="183"/>
      <c r="N182" s="36"/>
    </row>
    <row r="183" spans="1:14" s="37" customFormat="1" hidden="1" x14ac:dyDescent="0.3">
      <c r="A183" s="151" t="s">
        <v>119</v>
      </c>
      <c r="B183" s="151"/>
      <c r="C183" s="151"/>
      <c r="D183" s="151"/>
      <c r="E183" s="151"/>
      <c r="F183" s="151"/>
      <c r="G183" s="151"/>
      <c r="H183" s="151"/>
      <c r="I183" s="36"/>
      <c r="L183" s="183"/>
      <c r="M183" s="183"/>
    </row>
    <row r="184" spans="1:14" s="37" customFormat="1" hidden="1" x14ac:dyDescent="0.3">
      <c r="A184" s="127">
        <f>LEFT(A183,SUM(LEN(A183)-LEN(SUBSTITUTE(A183,{"0","1","2","3","4","5","6","7","8","9"},""))))*100+1</f>
        <v>201</v>
      </c>
      <c r="B184" s="127"/>
      <c r="C184" s="42"/>
      <c r="D184" s="42"/>
      <c r="E184" s="42">
        <v>0</v>
      </c>
      <c r="F184" s="42">
        <f t="shared" ref="F184:F185" si="17">D184*(($F$145)+1)+(IF(E184&lt;101,E184,IF(E184&lt;201,E184/2,IF(E184&lt;=301,E184/3,E184/4))))</f>
        <v>0</v>
      </c>
      <c r="G184" s="127" t="str">
        <f>A183</f>
        <v>2nd Floor</v>
      </c>
      <c r="H184" s="127"/>
      <c r="I184" s="36"/>
      <c r="N184" s="36"/>
    </row>
    <row r="185" spans="1:14" s="37" customFormat="1" hidden="1" x14ac:dyDescent="0.3">
      <c r="A185" s="127">
        <f>A184+1</f>
        <v>202</v>
      </c>
      <c r="B185" s="127"/>
      <c r="C185" s="42"/>
      <c r="D185" s="42"/>
      <c r="E185" s="42">
        <v>0</v>
      </c>
      <c r="F185" s="42">
        <f t="shared" si="17"/>
        <v>0</v>
      </c>
      <c r="G185" s="127" t="str">
        <f>G184</f>
        <v>2nd Floor</v>
      </c>
      <c r="H185" s="127"/>
      <c r="I185" s="36"/>
      <c r="N185" s="36"/>
    </row>
    <row r="186" spans="1:14" s="37" customFormat="1" hidden="1" x14ac:dyDescent="0.3">
      <c r="A186" s="127">
        <f>A185+1</f>
        <v>203</v>
      </c>
      <c r="B186" s="127"/>
      <c r="C186" s="42"/>
      <c r="D186" s="42"/>
      <c r="E186" s="42">
        <v>0</v>
      </c>
      <c r="F186" s="42">
        <f>D186*(($F$145)+1)+(IF(E186&lt;101,E186,IF(E186&lt;201,E186/2,IF(E186&lt;=301,E186/3,E186/4))))</f>
        <v>0</v>
      </c>
      <c r="G186" s="127" t="str">
        <f>G185</f>
        <v>2nd Floor</v>
      </c>
      <c r="H186" s="127"/>
      <c r="I186" s="36"/>
      <c r="N186" s="36"/>
    </row>
    <row r="187" spans="1:14" s="37" customFormat="1" hidden="1" x14ac:dyDescent="0.3">
      <c r="A187" s="127">
        <f>A186+1</f>
        <v>204</v>
      </c>
      <c r="B187" s="127"/>
      <c r="C187" s="42"/>
      <c r="D187" s="42"/>
      <c r="E187" s="42">
        <v>0</v>
      </c>
      <c r="F187" s="42">
        <f>D187*(($F$145)+1)+(IF(E187&lt;101,E187,IF(E187&lt;201,E187/2,IF(E187&lt;=301,E187/3,E187/4))))</f>
        <v>0</v>
      </c>
      <c r="G187" s="127" t="str">
        <f>G186</f>
        <v>2nd Floor</v>
      </c>
      <c r="H187" s="127"/>
      <c r="I187" s="36"/>
      <c r="N187" s="36"/>
    </row>
    <row r="188" spans="1:14" s="37" customFormat="1" hidden="1" x14ac:dyDescent="0.3">
      <c r="A188" s="127">
        <f>A187+1</f>
        <v>205</v>
      </c>
      <c r="B188" s="127"/>
      <c r="C188" s="42"/>
      <c r="D188" s="42"/>
      <c r="E188" s="42">
        <v>0</v>
      </c>
      <c r="F188" s="42">
        <f>D188*(($F$145)+1)+(IF(E188&lt;101,E188,IF(E188&lt;201,E188/2,IF(E188&lt;=301,E188/3,E188/4))))</f>
        <v>0</v>
      </c>
      <c r="G188" s="127" t="str">
        <f>G187</f>
        <v>2nd Floor</v>
      </c>
      <c r="H188" s="127"/>
      <c r="I188" s="36"/>
      <c r="N188" s="36"/>
    </row>
    <row r="189" spans="1:14" s="37" customFormat="1" ht="15.75" hidden="1" customHeight="1" x14ac:dyDescent="0.3">
      <c r="A189" s="136" t="s">
        <v>154</v>
      </c>
      <c r="B189" s="137"/>
      <c r="C189" s="137"/>
      <c r="D189" s="137"/>
      <c r="E189" s="137"/>
      <c r="F189" s="137"/>
      <c r="G189" s="137"/>
      <c r="H189" s="138"/>
      <c r="I189" s="36"/>
    </row>
    <row r="190" spans="1:14" s="37" customFormat="1" hidden="1" x14ac:dyDescent="0.3">
      <c r="A190" s="67" t="str">
        <f ca="1">(SUMPRODUCT(MID(0&amp;(LEFT(A189,SUM(LEN(A189)-LEN(SUBSTITUTE(A189,{"0","1","2"},""))))), LARGE(INDEX(ISNUMBER(--MID((LEFT(A189,SUM(LEN(A189)-LEN(SUBSTITUTE(A189,{"0","1","2"},""))))), ROW(INDIRECT("1:"&amp;LEN((LEFT(A189,SUM(LEN(A189)-LEN(SUBSTITUTE(A189,{"0","1","2"},"")))))))), 1)) * ROW(INDIRECT("1:"&amp;LEN((LEFT(A189,SUM(LEN(A189)-LEN(SUBSTITUTE(A189,{"0","1","2"},"")))))))), 0), ROW(INDIRECT("1:"&amp;LEN((LEFT(A189,SUM(LEN(A189)-LEN(SUBSTITUTE(A189,{"0","1","2"},"")))))))))+1, 1) * 10^ROW(INDIRECT("1:"&amp;LEN((LEFT(A189,SUM(LEN(A189)-LEN(SUBSTITUTE(A189,{"0","1","2"},""))))))))/10))*100+1&amp;""&amp;" ,.., "&amp;""&amp;(SUMPRODUCT(MID(0&amp;(--TRIM(RIGHT(SUBSTITUTE(LEFT(A189,_xlfn.AGGREGATE(16,6,FIND({0,1,2,3,4,5,6,7,8,9},A189,ROW(INDIRECT("1:"&amp;LEN(A189)))),1))," ",REPT(" ",LEN(A189))),LEN(A189)))), LARGE(INDEX(ISNUMBER(--MID((--TRIM(RIGHT(SUBSTITUTE(LEFT(A189,_xlfn.AGGREGATE(16,6,FIND({0,1,2,3,4,5,6,7,8,9},A189,ROW(INDIRECT("1:"&amp;LEN(A189)))),1))," ",REPT(" ",LEN(A189))),LEN(A189)))), ROW(INDIRECT("1:"&amp;LEN((--TRIM(RIGHT(SUBSTITUTE(LEFT(A189,_xlfn.AGGREGATE(16,6,FIND({0,1,2,3,4,5,6,7,8,9},A189,ROW(INDIRECT("1:"&amp;LEN(A189)))),1))," ",REPT(" ",LEN(A189))),LEN(A189))))))), 1)) * ROW(INDIRECT("1:"&amp;LEN((--TRIM(RIGHT(SUBSTITUTE(LEFT(A189,_xlfn.AGGREGATE(16,6,FIND({0,1,2,3,4,5,6,7,8,9},A189,ROW(INDIRECT("1:"&amp;LEN(A189)))),1))," ",REPT(" ",LEN(A189))),LEN(A189))))))), 0), ROW(INDIRECT("1:"&amp;LEN((--TRIM(RIGHT(SUBSTITUTE(LEFT(A189,_xlfn.AGGREGATE(16,6,FIND({0,1,2,3,4,5,6,7,8,9},A189,ROW(INDIRECT("1:"&amp;LEN(A189)))),1))," ",REPT(" ",LEN(A189))),LEN(A189))))))))+1, 1) * 10^ROW(INDIRECT("1:"&amp;LEN((--TRIM(RIGHT(SUBSTITUTE(LEFT(A189,_xlfn.AGGREGATE(16,6,FIND({0,1,2,3,4,5,6,7,8,9},A189,ROW(INDIRECT("1:"&amp;LEN(A189)))),1))," ",REPT(" ",LEN(A189))),LEN(A189)))))))/10))*100+1</f>
        <v>301 ,.., 1501</v>
      </c>
      <c r="B190" s="68"/>
      <c r="C190" s="42"/>
      <c r="D190" s="42"/>
      <c r="E190" s="42">
        <v>0</v>
      </c>
      <c r="F190" s="42">
        <f>D190*(($F$145)+1)+(IF(E190&lt;101,E190,IF(E190&lt;201,E190/2,IF(E190&lt;=301,E190/3,E190/4))))</f>
        <v>0</v>
      </c>
      <c r="G190" s="67" t="str">
        <f>A189</f>
        <v>3rd, 5th, 7th, 9th, 11th, 13th, 15th Floor</v>
      </c>
      <c r="H190" s="68"/>
      <c r="I190" s="36"/>
    </row>
    <row r="191" spans="1:14" s="37" customFormat="1" hidden="1" x14ac:dyDescent="0.3">
      <c r="A191" s="67" t="str">
        <f ca="1">(SUMPRODUCT(MID(0&amp;(LEFT(A190,SUM(LEN(A190)-LEN(SUBSTITUTE(A190,{"0","1","2"},""))))), LARGE(INDEX(ISNUMBER(--MID((LEFT(A190,SUM(LEN(A190)-LEN(SUBSTITUTE(A190,{"0","1","2"},""))))), ROW(INDIRECT("1:"&amp;LEN((LEFT(A190,SUM(LEN(A190)-LEN(SUBSTITUTE(A190,{"0","1","2"},"")))))))), 1)) * ROW(INDIRECT("1:"&amp;LEN((LEFT(A190,SUM(LEN(A190)-LEN(SUBSTITUTE(A190,{"0","1","2"},"")))))))), 0), ROW(INDIRECT("1:"&amp;LEN((LEFT(A190,SUM(LEN(A190)-LEN(SUBSTITUTE(A190,{"0","1","2"},"")))))))))+1, 1) * 10^ROW(INDIRECT("1:"&amp;LEN((LEFT(A190,SUM(LEN(A190)-LEN(SUBSTITUTE(A190,{"0","1","2"},""))))))))/10))*1+1&amp;""&amp;" ,.., "&amp;""&amp;(SUMPRODUCT(MID(0&amp;(--TRIM(RIGHT(SUBSTITUTE(LEFT(A190,_xlfn.AGGREGATE(16,6,FIND({0,1,2,3,4,5,6,7,8,9},A190,ROW(INDIRECT("1:"&amp;LEN(A190)))),1))," ",REPT(" ",LEN(A190))),LEN(A190)))), LARGE(INDEX(ISNUMBER(--MID((--TRIM(RIGHT(SUBSTITUTE(LEFT(A190,_xlfn.AGGREGATE(16,6,FIND({0,1,2,3,4,5,6,7,8,9},A190,ROW(INDIRECT("1:"&amp;LEN(A190)))),1))," ",REPT(" ",LEN(A190))),LEN(A190)))), ROW(INDIRECT("1:"&amp;LEN((--TRIM(RIGHT(SUBSTITUTE(LEFT(A190,_xlfn.AGGREGATE(16,6,FIND({0,1,2,3,4,5,6,7,8,9},A190,ROW(INDIRECT("1:"&amp;LEN(A190)))),1))," ",REPT(" ",LEN(A190))),LEN(A190))))))), 1)) * ROW(INDIRECT("1:"&amp;LEN((--TRIM(RIGHT(SUBSTITUTE(LEFT(A190,_xlfn.AGGREGATE(16,6,FIND({0,1,2,3,4,5,6,7,8,9},A190,ROW(INDIRECT("1:"&amp;LEN(A190)))),1))," ",REPT(" ",LEN(A190))),LEN(A190))))))), 0), ROW(INDIRECT("1:"&amp;LEN((--TRIM(RIGHT(SUBSTITUTE(LEFT(A190,_xlfn.AGGREGATE(16,6,FIND({0,1,2,3,4,5,6,7,8,9},A190,ROW(INDIRECT("1:"&amp;LEN(A190)))),1))," ",REPT(" ",LEN(A190))),LEN(A190))))))))+1, 1) * 10^ROW(INDIRECT("1:"&amp;LEN((--TRIM(RIGHT(SUBSTITUTE(LEFT(A190,_xlfn.AGGREGATE(16,6,FIND({0,1,2,3,4,5,6,7,8,9},A190,ROW(INDIRECT("1:"&amp;LEN(A190)))),1))," ",REPT(" ",LEN(A190))),LEN(A190)))))))/10))*1+1</f>
        <v>302 ,.., 1502</v>
      </c>
      <c r="B191" s="68"/>
      <c r="C191" s="42"/>
      <c r="D191" s="42"/>
      <c r="E191" s="42">
        <v>0</v>
      </c>
      <c r="F191" s="42">
        <f>D191*(($F$145)+1)+(IF(E191&lt;101,E191,IF(E191&lt;201,E191/2,IF(E191&lt;=301,E191/3,E191/4))))</f>
        <v>0</v>
      </c>
      <c r="G191" s="67" t="str">
        <f>G190</f>
        <v>3rd, 5th, 7th, 9th, 11th, 13th, 15th Floor</v>
      </c>
      <c r="H191" s="68"/>
      <c r="I191" s="36"/>
    </row>
    <row r="192" spans="1:14" s="37" customFormat="1" ht="15.75" hidden="1" customHeight="1" x14ac:dyDescent="0.3">
      <c r="A192" s="67" t="str">
        <f ca="1">(SUMPRODUCT(MID(0&amp;(LEFT(A191,SUM(LEN(A191)-LEN(SUBSTITUTE(A191,{"0","1","2"},""))))), LARGE(INDEX(ISNUMBER(--MID((LEFT(A191,SUM(LEN(A191)-LEN(SUBSTITUTE(A191,{"0","1","2"},""))))), ROW(INDIRECT("1:"&amp;LEN((LEFT(A191,SUM(LEN(A191)-LEN(SUBSTITUTE(A191,{"0","1","2"},"")))))))), 1)) * ROW(INDIRECT("1:"&amp;LEN((LEFT(A191,SUM(LEN(A191)-LEN(SUBSTITUTE(A191,{"0","1","2"},"")))))))), 0), ROW(INDIRECT("1:"&amp;LEN((LEFT(A191,SUM(LEN(A191)-LEN(SUBSTITUTE(A191,{"0","1","2"},"")))))))))+1, 1) * 10^ROW(INDIRECT("1:"&amp;LEN((LEFT(A191,SUM(LEN(A191)-LEN(SUBSTITUTE(A191,{"0","1","2"},""))))))))/10))*1+1&amp;""&amp;" ,.., "&amp;""&amp;(SUMPRODUCT(MID(0&amp;(--TRIM(RIGHT(SUBSTITUTE(LEFT(A191,_xlfn.AGGREGATE(16,6,FIND({0,1,2,3,4,5,6,7,8,9},A191,ROW(INDIRECT("1:"&amp;LEN(A191)))),1))," ",REPT(" ",LEN(A191))),LEN(A191)))), LARGE(INDEX(ISNUMBER(--MID((--TRIM(RIGHT(SUBSTITUTE(LEFT(A191,_xlfn.AGGREGATE(16,6,FIND({0,1,2,3,4,5,6,7,8,9},A191,ROW(INDIRECT("1:"&amp;LEN(A191)))),1))," ",REPT(" ",LEN(A191))),LEN(A191)))), ROW(INDIRECT("1:"&amp;LEN((--TRIM(RIGHT(SUBSTITUTE(LEFT(A191,_xlfn.AGGREGATE(16,6,FIND({0,1,2,3,4,5,6,7,8,9},A191,ROW(INDIRECT("1:"&amp;LEN(A191)))),1))," ",REPT(" ",LEN(A191))),LEN(A191))))))), 1)) * ROW(INDIRECT("1:"&amp;LEN((--TRIM(RIGHT(SUBSTITUTE(LEFT(A191,_xlfn.AGGREGATE(16,6,FIND({0,1,2,3,4,5,6,7,8,9},A191,ROW(INDIRECT("1:"&amp;LEN(A191)))),1))," ",REPT(" ",LEN(A191))),LEN(A191))))))), 0), ROW(INDIRECT("1:"&amp;LEN((--TRIM(RIGHT(SUBSTITUTE(LEFT(A191,_xlfn.AGGREGATE(16,6,FIND({0,1,2,3,4,5,6,7,8,9},A191,ROW(INDIRECT("1:"&amp;LEN(A191)))),1))," ",REPT(" ",LEN(A191))),LEN(A191))))))))+1, 1) * 10^ROW(INDIRECT("1:"&amp;LEN((--TRIM(RIGHT(SUBSTITUTE(LEFT(A191,_xlfn.AGGREGATE(16,6,FIND({0,1,2,3,4,5,6,7,8,9},A191,ROW(INDIRECT("1:"&amp;LEN(A191)))),1))," ",REPT(" ",LEN(A191))),LEN(A191)))))))/10))*1+1</f>
        <v>303 ,.., 1503</v>
      </c>
      <c r="B192" s="68"/>
      <c r="C192" s="42"/>
      <c r="D192" s="42"/>
      <c r="E192" s="42">
        <v>0</v>
      </c>
      <c r="F192" s="42">
        <f>D192*(($F$145)+1)+(IF(E192&lt;101,E192,IF(E192&lt;201,E192/2,IF(E192&lt;=301,E192/3,E192/4))))</f>
        <v>0</v>
      </c>
      <c r="G192" s="67" t="str">
        <f>G191</f>
        <v>3rd, 5th, 7th, 9th, 11th, 13th, 15th Floor</v>
      </c>
      <c r="H192" s="68"/>
      <c r="I192" s="36"/>
    </row>
    <row r="193" spans="1:9" s="37" customFormat="1" ht="15.75" hidden="1" customHeight="1" x14ac:dyDescent="0.3">
      <c r="A193" s="67" t="str">
        <f ca="1">(SUMPRODUCT(MID(0&amp;(LEFT(A192,SUM(LEN(A192)-LEN(SUBSTITUTE(A192,{"0","1","2"},""))))), LARGE(INDEX(ISNUMBER(--MID((LEFT(A192,SUM(LEN(A192)-LEN(SUBSTITUTE(A192,{"0","1","2"},""))))), ROW(INDIRECT("1:"&amp;LEN((LEFT(A192,SUM(LEN(A192)-LEN(SUBSTITUTE(A192,{"0","1","2"},"")))))))), 1)) * ROW(INDIRECT("1:"&amp;LEN((LEFT(A192,SUM(LEN(A192)-LEN(SUBSTITUTE(A192,{"0","1","2"},"")))))))), 0), ROW(INDIRECT("1:"&amp;LEN((LEFT(A192,SUM(LEN(A192)-LEN(SUBSTITUTE(A192,{"0","1","2"},"")))))))))+1, 1) * 10^ROW(INDIRECT("1:"&amp;LEN((LEFT(A192,SUM(LEN(A192)-LEN(SUBSTITUTE(A192,{"0","1","2"},""))))))))/10))*1+1&amp;""&amp;" ,.., "&amp;""&amp;(SUMPRODUCT(MID(0&amp;(--TRIM(RIGHT(SUBSTITUTE(LEFT(A192,_xlfn.AGGREGATE(16,6,FIND({0,1,2,3,4,5,6,7,8,9},A192,ROW(INDIRECT("1:"&amp;LEN(A192)))),1))," ",REPT(" ",LEN(A192))),LEN(A192)))), LARGE(INDEX(ISNUMBER(--MID((--TRIM(RIGHT(SUBSTITUTE(LEFT(A192,_xlfn.AGGREGATE(16,6,FIND({0,1,2,3,4,5,6,7,8,9},A192,ROW(INDIRECT("1:"&amp;LEN(A192)))),1))," ",REPT(" ",LEN(A192))),LEN(A192)))), ROW(INDIRECT("1:"&amp;LEN((--TRIM(RIGHT(SUBSTITUTE(LEFT(A192,_xlfn.AGGREGATE(16,6,FIND({0,1,2,3,4,5,6,7,8,9},A192,ROW(INDIRECT("1:"&amp;LEN(A192)))),1))," ",REPT(" ",LEN(A192))),LEN(A192))))))), 1)) * ROW(INDIRECT("1:"&amp;LEN((--TRIM(RIGHT(SUBSTITUTE(LEFT(A192,_xlfn.AGGREGATE(16,6,FIND({0,1,2,3,4,5,6,7,8,9},A192,ROW(INDIRECT("1:"&amp;LEN(A192)))),1))," ",REPT(" ",LEN(A192))),LEN(A192))))))), 0), ROW(INDIRECT("1:"&amp;LEN((--TRIM(RIGHT(SUBSTITUTE(LEFT(A192,_xlfn.AGGREGATE(16,6,FIND({0,1,2,3,4,5,6,7,8,9},A192,ROW(INDIRECT("1:"&amp;LEN(A192)))),1))," ",REPT(" ",LEN(A192))),LEN(A192))))))))+1, 1) * 10^ROW(INDIRECT("1:"&amp;LEN((--TRIM(RIGHT(SUBSTITUTE(LEFT(A192,_xlfn.AGGREGATE(16,6,FIND({0,1,2,3,4,5,6,7,8,9},A192,ROW(INDIRECT("1:"&amp;LEN(A192)))),1))," ",REPT(" ",LEN(A192))),LEN(A192)))))))/10))*1+1</f>
        <v>304 ,.., 1504</v>
      </c>
      <c r="B193" s="68"/>
      <c r="C193" s="42"/>
      <c r="D193" s="42"/>
      <c r="E193" s="42">
        <v>0</v>
      </c>
      <c r="F193" s="42">
        <f>D193*(($F$145)+1)+(IF(E193&lt;101,E193,IF(E193&lt;201,E193/2,IF(E193&lt;=301,E193/3,E193/4))))</f>
        <v>0</v>
      </c>
      <c r="G193" s="67" t="str">
        <f>G192</f>
        <v>3rd, 5th, 7th, 9th, 11th, 13th, 15th Floor</v>
      </c>
      <c r="H193" s="68"/>
      <c r="I193" s="36"/>
    </row>
    <row r="194" spans="1:9" s="37" customFormat="1" ht="15.75" hidden="1" customHeight="1" x14ac:dyDescent="0.3">
      <c r="A194" s="67" t="str">
        <f ca="1">(SUMPRODUCT(MID(0&amp;(LEFT(A193,SUM(LEN(A193)-LEN(SUBSTITUTE(A193,{"0","1","2"},""))))), LARGE(INDEX(ISNUMBER(--MID((LEFT(A193,SUM(LEN(A193)-LEN(SUBSTITUTE(A193,{"0","1","2"},""))))), ROW(INDIRECT("1:"&amp;LEN((LEFT(A193,SUM(LEN(A193)-LEN(SUBSTITUTE(A193,{"0","1","2"},"")))))))), 1)) * ROW(INDIRECT("1:"&amp;LEN((LEFT(A193,SUM(LEN(A193)-LEN(SUBSTITUTE(A193,{"0","1","2"},"")))))))), 0), ROW(INDIRECT("1:"&amp;LEN((LEFT(A193,SUM(LEN(A193)-LEN(SUBSTITUTE(A193,{"0","1","2"},"")))))))))+1, 1) * 10^ROW(INDIRECT("1:"&amp;LEN((LEFT(A193,SUM(LEN(A193)-LEN(SUBSTITUTE(A193,{"0","1","2"},""))))))))/10))*1+1&amp;""&amp;" ,.., "&amp;""&amp;(SUMPRODUCT(MID(0&amp;(--TRIM(RIGHT(SUBSTITUTE(LEFT(A193,_xlfn.AGGREGATE(16,6,FIND({0,1,2,3,4,5,6,7,8,9},A193,ROW(INDIRECT("1:"&amp;LEN(A193)))),1))," ",REPT(" ",LEN(A193))),LEN(A193)))), LARGE(INDEX(ISNUMBER(--MID((--TRIM(RIGHT(SUBSTITUTE(LEFT(A193,_xlfn.AGGREGATE(16,6,FIND({0,1,2,3,4,5,6,7,8,9},A193,ROW(INDIRECT("1:"&amp;LEN(A193)))),1))," ",REPT(" ",LEN(A193))),LEN(A193)))), ROW(INDIRECT("1:"&amp;LEN((--TRIM(RIGHT(SUBSTITUTE(LEFT(A193,_xlfn.AGGREGATE(16,6,FIND({0,1,2,3,4,5,6,7,8,9},A193,ROW(INDIRECT("1:"&amp;LEN(A193)))),1))," ",REPT(" ",LEN(A193))),LEN(A193))))))), 1)) * ROW(INDIRECT("1:"&amp;LEN((--TRIM(RIGHT(SUBSTITUTE(LEFT(A193,_xlfn.AGGREGATE(16,6,FIND({0,1,2,3,4,5,6,7,8,9},A193,ROW(INDIRECT("1:"&amp;LEN(A193)))),1))," ",REPT(" ",LEN(A193))),LEN(A193))))))), 0), ROW(INDIRECT("1:"&amp;LEN((--TRIM(RIGHT(SUBSTITUTE(LEFT(A193,_xlfn.AGGREGATE(16,6,FIND({0,1,2,3,4,5,6,7,8,9},A193,ROW(INDIRECT("1:"&amp;LEN(A193)))),1))," ",REPT(" ",LEN(A193))),LEN(A193))))))))+1, 1) * 10^ROW(INDIRECT("1:"&amp;LEN((--TRIM(RIGHT(SUBSTITUTE(LEFT(A193,_xlfn.AGGREGATE(16,6,FIND({0,1,2,3,4,5,6,7,8,9},A193,ROW(INDIRECT("1:"&amp;LEN(A193)))),1))," ",REPT(" ",LEN(A193))),LEN(A193)))))))/10))*1+1</f>
        <v>305 ,.., 1505</v>
      </c>
      <c r="B194" s="68"/>
      <c r="C194" s="42"/>
      <c r="D194" s="42"/>
      <c r="E194" s="42">
        <v>0</v>
      </c>
      <c r="F194" s="42">
        <f>D194*(($F$145)+1)+(IF(E194&lt;101,E194,IF(E194&lt;201,E194/2,IF(E194&lt;=301,E194/3,E194/4))))</f>
        <v>0</v>
      </c>
      <c r="G194" s="67" t="str">
        <f>G193</f>
        <v>3rd, 5th, 7th, 9th, 11th, 13th, 15th Floor</v>
      </c>
      <c r="H194" s="68"/>
      <c r="I194" s="36"/>
    </row>
    <row r="195" spans="1:9" s="37" customFormat="1" hidden="1" x14ac:dyDescent="0.3">
      <c r="A195" s="136" t="s">
        <v>148</v>
      </c>
      <c r="B195" s="137"/>
      <c r="C195" s="137"/>
      <c r="D195" s="137"/>
      <c r="E195" s="137"/>
      <c r="F195" s="137"/>
      <c r="G195" s="137"/>
      <c r="H195" s="138"/>
      <c r="I195" s="36"/>
    </row>
    <row r="196" spans="1:9" s="37" customFormat="1" hidden="1" x14ac:dyDescent="0.3">
      <c r="A196" s="67" t="str">
        <f ca="1">(SUMPRODUCT(MID(0&amp;(LEFT(A195,SUM(LEN(A195)-LEN(SUBSTITUTE(A195,{"0","1","2"},""))))), LARGE(INDEX(ISNUMBER(--MID((LEFT(A195,SUM(LEN(A195)-LEN(SUBSTITUTE(A195,{"0","1","2"},""))))), ROW(INDIRECT("1:"&amp;LEN((LEFT(A195,SUM(LEN(A195)-LEN(SUBSTITUTE(A195,{"0","1","2"},"")))))))), 1)) * ROW(INDIRECT("1:"&amp;LEN((LEFT(A195,SUM(LEN(A195)-LEN(SUBSTITUTE(A195,{"0","1","2"},"")))))))), 0), ROW(INDIRECT("1:"&amp;LEN((LEFT(A195,SUM(LEN(A195)-LEN(SUBSTITUTE(A195,{"0","1","2"},"")))))))))+1, 1) * 10^ROW(INDIRECT("1:"&amp;LEN((LEFT(A195,SUM(LEN(A195)-LEN(SUBSTITUTE(A195,{"0","1","2"},""))))))))/10))*100+1&amp;""&amp;" to "&amp;""&amp;(SUMPRODUCT(MID(0&amp;(--TRIM(RIGHT(SUBSTITUTE(LEFT(A195,_xlfn.AGGREGATE(16,6,FIND({0,1,2,3,4,5,6,7,8,9},A195,ROW(INDIRECT("1:"&amp;LEN(A195)))),1))," ",REPT(" ",LEN(A195))),LEN(A195)))), LARGE(INDEX(ISNUMBER(--MID((--TRIM(RIGHT(SUBSTITUTE(LEFT(A195,_xlfn.AGGREGATE(16,6,FIND({0,1,2,3,4,5,6,7,8,9},A195,ROW(INDIRECT("1:"&amp;LEN(A195)))),1))," ",REPT(" ",LEN(A195))),LEN(A195)))), ROW(INDIRECT("1:"&amp;LEN((--TRIM(RIGHT(SUBSTITUTE(LEFT(A195,_xlfn.AGGREGATE(16,6,FIND({0,1,2,3,4,5,6,7,8,9},A195,ROW(INDIRECT("1:"&amp;LEN(A195)))),1))," ",REPT(" ",LEN(A195))),LEN(A195))))))), 1)) * ROW(INDIRECT("1:"&amp;LEN((--TRIM(RIGHT(SUBSTITUTE(LEFT(A195,_xlfn.AGGREGATE(16,6,FIND({0,1,2,3,4,5,6,7,8,9},A195,ROW(INDIRECT("1:"&amp;LEN(A195)))),1))," ",REPT(" ",LEN(A195))),LEN(A195))))))), 0), ROW(INDIRECT("1:"&amp;LEN((--TRIM(RIGHT(SUBSTITUTE(LEFT(A195,_xlfn.AGGREGATE(16,6,FIND({0,1,2,3,4,5,6,7,8,9},A195,ROW(INDIRECT("1:"&amp;LEN(A195)))),1))," ",REPT(" ",LEN(A195))),LEN(A195))))))))+1, 1) * 10^ROW(INDIRECT("1:"&amp;LEN((--TRIM(RIGHT(SUBSTITUTE(LEFT(A195,_xlfn.AGGREGATE(16,6,FIND({0,1,2,3,4,5,6,7,8,9},A195,ROW(INDIRECT("1:"&amp;LEN(A195)))),1))," ",REPT(" ",LEN(A195))),LEN(A195)))))))/10))*100+1</f>
        <v>201 to 501</v>
      </c>
      <c r="B196" s="68"/>
      <c r="C196" s="42"/>
      <c r="D196" s="42"/>
      <c r="E196" s="42">
        <v>0</v>
      </c>
      <c r="F196" s="42">
        <f>D196*(($F$145)+1)+(IF(E196&lt;101,E196,IF(E196&lt;201,E196/2,IF(E196&lt;=301,E196/3,E196/4))))</f>
        <v>0</v>
      </c>
      <c r="G196" s="67" t="str">
        <f>A195</f>
        <v>2nd to 5th Floor</v>
      </c>
      <c r="H196" s="68"/>
      <c r="I196" s="36"/>
    </row>
    <row r="197" spans="1:9" s="37" customFormat="1" hidden="1" x14ac:dyDescent="0.3">
      <c r="A197" s="67" t="str">
        <f ca="1">(SUMPRODUCT(MID(0&amp;(LEFT(A196,SUM(LEN(A196)-LEN(SUBSTITUTE(A196,{"0","1","2"},""))))), LARGE(INDEX(ISNUMBER(--MID((LEFT(A196,SUM(LEN(A196)-LEN(SUBSTITUTE(A196,{"0","1","2"},""))))), ROW(INDIRECT("1:"&amp;LEN((LEFT(A196,SUM(LEN(A196)-LEN(SUBSTITUTE(A196,{"0","1","2"},"")))))))), 1)) * ROW(INDIRECT("1:"&amp;LEN((LEFT(A196,SUM(LEN(A196)-LEN(SUBSTITUTE(A196,{"0","1","2"},"")))))))), 0), ROW(INDIRECT("1:"&amp;LEN((LEFT(A196,SUM(LEN(A196)-LEN(SUBSTITUTE(A196,{"0","1","2"},"")))))))))+1, 1) * 10^ROW(INDIRECT("1:"&amp;LEN((LEFT(A196,SUM(LEN(A196)-LEN(SUBSTITUTE(A196,{"0","1","2"},""))))))))/10))*1+1&amp;""&amp;" to "&amp;""&amp;(SUMPRODUCT(MID(0&amp;(--TRIM(RIGHT(SUBSTITUTE(LEFT(A196,_xlfn.AGGREGATE(16,6,FIND({0,1,2,3,4,5,6,7,8,9},A196,ROW(INDIRECT("1:"&amp;LEN(A196)))),1))," ",REPT(" ",LEN(A196))),LEN(A196)))), LARGE(INDEX(ISNUMBER(--MID((--TRIM(RIGHT(SUBSTITUTE(LEFT(A196,_xlfn.AGGREGATE(16,6,FIND({0,1,2,3,4,5,6,7,8,9},A196,ROW(INDIRECT("1:"&amp;LEN(A196)))),1))," ",REPT(" ",LEN(A196))),LEN(A196)))), ROW(INDIRECT("1:"&amp;LEN((--TRIM(RIGHT(SUBSTITUTE(LEFT(A196,_xlfn.AGGREGATE(16,6,FIND({0,1,2,3,4,5,6,7,8,9},A196,ROW(INDIRECT("1:"&amp;LEN(A196)))),1))," ",REPT(" ",LEN(A196))),LEN(A196))))))), 1)) * ROW(INDIRECT("1:"&amp;LEN((--TRIM(RIGHT(SUBSTITUTE(LEFT(A196,_xlfn.AGGREGATE(16,6,FIND({0,1,2,3,4,5,6,7,8,9},A196,ROW(INDIRECT("1:"&amp;LEN(A196)))),1))," ",REPT(" ",LEN(A196))),LEN(A196))))))), 0), ROW(INDIRECT("1:"&amp;LEN((--TRIM(RIGHT(SUBSTITUTE(LEFT(A196,_xlfn.AGGREGATE(16,6,FIND({0,1,2,3,4,5,6,7,8,9},A196,ROW(INDIRECT("1:"&amp;LEN(A196)))),1))," ",REPT(" ",LEN(A196))),LEN(A196))))))))+1, 1) * 10^ROW(INDIRECT("1:"&amp;LEN((--TRIM(RIGHT(SUBSTITUTE(LEFT(A196,_xlfn.AGGREGATE(16,6,FIND({0,1,2,3,4,5,6,7,8,9},A196,ROW(INDIRECT("1:"&amp;LEN(A196)))),1))," ",REPT(" ",LEN(A196))),LEN(A196)))))))/10))*1+1</f>
        <v>202 to 502</v>
      </c>
      <c r="B197" s="68"/>
      <c r="C197" s="42"/>
      <c r="D197" s="42"/>
      <c r="E197" s="42">
        <v>0</v>
      </c>
      <c r="F197" s="42">
        <f>D197*(($F$145)+1)+(IF(E197&lt;101,E197,IF(E197&lt;201,E197/2,IF(E197&lt;=301,E197/3,E197/4))))</f>
        <v>0</v>
      </c>
      <c r="G197" s="67" t="str">
        <f>G196</f>
        <v>2nd to 5th Floor</v>
      </c>
      <c r="H197" s="68"/>
      <c r="I197" s="36"/>
    </row>
    <row r="198" spans="1:9" s="37" customFormat="1" hidden="1" x14ac:dyDescent="0.3">
      <c r="A198" s="67" t="str">
        <f ca="1">(SUMPRODUCT(MID(0&amp;(LEFT(A197,SUM(LEN(A197)-LEN(SUBSTITUTE(A197,{"0","1","2"},""))))), LARGE(INDEX(ISNUMBER(--MID((LEFT(A197,SUM(LEN(A197)-LEN(SUBSTITUTE(A197,{"0","1","2"},""))))), ROW(INDIRECT("1:"&amp;LEN((LEFT(A197,SUM(LEN(A197)-LEN(SUBSTITUTE(A197,{"0","1","2"},"")))))))), 1)) * ROW(INDIRECT("1:"&amp;LEN((LEFT(A197,SUM(LEN(A197)-LEN(SUBSTITUTE(A197,{"0","1","2"},"")))))))), 0), ROW(INDIRECT("1:"&amp;LEN((LEFT(A197,SUM(LEN(A197)-LEN(SUBSTITUTE(A197,{"0","1","2"},"")))))))))+1, 1) * 10^ROW(INDIRECT("1:"&amp;LEN((LEFT(A197,SUM(LEN(A197)-LEN(SUBSTITUTE(A197,{"0","1","2"},""))))))))/10))*1+1&amp;""&amp;" to "&amp;""&amp;(SUMPRODUCT(MID(0&amp;(--TRIM(RIGHT(SUBSTITUTE(LEFT(A197,_xlfn.AGGREGATE(16,6,FIND({0,1,2,3,4,5,6,7,8,9},A197,ROW(INDIRECT("1:"&amp;LEN(A197)))),1))," ",REPT(" ",LEN(A197))),LEN(A197)))), LARGE(INDEX(ISNUMBER(--MID((--TRIM(RIGHT(SUBSTITUTE(LEFT(A197,_xlfn.AGGREGATE(16,6,FIND({0,1,2,3,4,5,6,7,8,9},A197,ROW(INDIRECT("1:"&amp;LEN(A197)))),1))," ",REPT(" ",LEN(A197))),LEN(A197)))), ROW(INDIRECT("1:"&amp;LEN((--TRIM(RIGHT(SUBSTITUTE(LEFT(A197,_xlfn.AGGREGATE(16,6,FIND({0,1,2,3,4,5,6,7,8,9},A197,ROW(INDIRECT("1:"&amp;LEN(A197)))),1))," ",REPT(" ",LEN(A197))),LEN(A197))))))), 1)) * ROW(INDIRECT("1:"&amp;LEN((--TRIM(RIGHT(SUBSTITUTE(LEFT(A197,_xlfn.AGGREGATE(16,6,FIND({0,1,2,3,4,5,6,7,8,9},A197,ROW(INDIRECT("1:"&amp;LEN(A197)))),1))," ",REPT(" ",LEN(A197))),LEN(A197))))))), 0), ROW(INDIRECT("1:"&amp;LEN((--TRIM(RIGHT(SUBSTITUTE(LEFT(A197,_xlfn.AGGREGATE(16,6,FIND({0,1,2,3,4,5,6,7,8,9},A197,ROW(INDIRECT("1:"&amp;LEN(A197)))),1))," ",REPT(" ",LEN(A197))),LEN(A197))))))))+1, 1) * 10^ROW(INDIRECT("1:"&amp;LEN((--TRIM(RIGHT(SUBSTITUTE(LEFT(A197,_xlfn.AGGREGATE(16,6,FIND({0,1,2,3,4,5,6,7,8,9},A197,ROW(INDIRECT("1:"&amp;LEN(A197)))),1))," ",REPT(" ",LEN(A197))),LEN(A197)))))))/10))*1+1</f>
        <v>203 to 503</v>
      </c>
      <c r="B198" s="68"/>
      <c r="C198" s="42"/>
      <c r="D198" s="42"/>
      <c r="E198" s="42">
        <v>0</v>
      </c>
      <c r="F198" s="42">
        <f>D198*(($F$145)+1)+(IF(E198&lt;101,E198,IF(E198&lt;201,E198/2,IF(E198&lt;=301,E198/3,E198/4))))</f>
        <v>0</v>
      </c>
      <c r="G198" s="67" t="str">
        <f>G197</f>
        <v>2nd to 5th Floor</v>
      </c>
      <c r="H198" s="68"/>
      <c r="I198" s="36"/>
    </row>
    <row r="199" spans="1:9" s="37" customFormat="1" hidden="1" x14ac:dyDescent="0.3">
      <c r="A199" s="67" t="str">
        <f ca="1">(SUMPRODUCT(MID(0&amp;(LEFT(A198,SUM(LEN(A198)-LEN(SUBSTITUTE(A198,{"0","1","2"},""))))), LARGE(INDEX(ISNUMBER(--MID((LEFT(A198,SUM(LEN(A198)-LEN(SUBSTITUTE(A198,{"0","1","2"},""))))), ROW(INDIRECT("1:"&amp;LEN((LEFT(A198,SUM(LEN(A198)-LEN(SUBSTITUTE(A198,{"0","1","2"},"")))))))), 1)) * ROW(INDIRECT("1:"&amp;LEN((LEFT(A198,SUM(LEN(A198)-LEN(SUBSTITUTE(A198,{"0","1","2"},"")))))))), 0), ROW(INDIRECT("1:"&amp;LEN((LEFT(A198,SUM(LEN(A198)-LEN(SUBSTITUTE(A198,{"0","1","2"},"")))))))))+1, 1) * 10^ROW(INDIRECT("1:"&amp;LEN((LEFT(A198,SUM(LEN(A198)-LEN(SUBSTITUTE(A198,{"0","1","2"},""))))))))/10))*1+1&amp;""&amp;" to "&amp;""&amp;(SUMPRODUCT(MID(0&amp;(--TRIM(RIGHT(SUBSTITUTE(LEFT(A198,_xlfn.AGGREGATE(16,6,FIND({0,1,2,3,4,5,6,7,8,9},A198,ROW(INDIRECT("1:"&amp;LEN(A198)))),1))," ",REPT(" ",LEN(A198))),LEN(A198)))), LARGE(INDEX(ISNUMBER(--MID((--TRIM(RIGHT(SUBSTITUTE(LEFT(A198,_xlfn.AGGREGATE(16,6,FIND({0,1,2,3,4,5,6,7,8,9},A198,ROW(INDIRECT("1:"&amp;LEN(A198)))),1))," ",REPT(" ",LEN(A198))),LEN(A198)))), ROW(INDIRECT("1:"&amp;LEN((--TRIM(RIGHT(SUBSTITUTE(LEFT(A198,_xlfn.AGGREGATE(16,6,FIND({0,1,2,3,4,5,6,7,8,9},A198,ROW(INDIRECT("1:"&amp;LEN(A198)))),1))," ",REPT(" ",LEN(A198))),LEN(A198))))))), 1)) * ROW(INDIRECT("1:"&amp;LEN((--TRIM(RIGHT(SUBSTITUTE(LEFT(A198,_xlfn.AGGREGATE(16,6,FIND({0,1,2,3,4,5,6,7,8,9},A198,ROW(INDIRECT("1:"&amp;LEN(A198)))),1))," ",REPT(" ",LEN(A198))),LEN(A198))))))), 0), ROW(INDIRECT("1:"&amp;LEN((--TRIM(RIGHT(SUBSTITUTE(LEFT(A198,_xlfn.AGGREGATE(16,6,FIND({0,1,2,3,4,5,6,7,8,9},A198,ROW(INDIRECT("1:"&amp;LEN(A198)))),1))," ",REPT(" ",LEN(A198))),LEN(A198))))))))+1, 1) * 10^ROW(INDIRECT("1:"&amp;LEN((--TRIM(RIGHT(SUBSTITUTE(LEFT(A198,_xlfn.AGGREGATE(16,6,FIND({0,1,2,3,4,5,6,7,8,9},A198,ROW(INDIRECT("1:"&amp;LEN(A198)))),1))," ",REPT(" ",LEN(A198))),LEN(A198)))))))/10))*1+1</f>
        <v>204 to 504</v>
      </c>
      <c r="B199" s="68"/>
      <c r="C199" s="42"/>
      <c r="D199" s="42"/>
      <c r="E199" s="42">
        <v>0</v>
      </c>
      <c r="F199" s="42">
        <f>D199*(($F$145)+1)+(IF(E199&lt;101,E199,IF(E199&lt;201,E199/2,IF(E199&lt;=301,E199/3,E199/4))))</f>
        <v>0</v>
      </c>
      <c r="G199" s="67" t="str">
        <f>G198</f>
        <v>2nd to 5th Floor</v>
      </c>
      <c r="H199" s="68"/>
      <c r="I199" s="36"/>
    </row>
    <row r="200" spans="1:9" s="37" customFormat="1" hidden="1" x14ac:dyDescent="0.3">
      <c r="A200" s="67" t="str">
        <f ca="1">(SUMPRODUCT(MID(0&amp;(LEFT(A199,SUM(LEN(A199)-LEN(SUBSTITUTE(A199,{"0","1","2"},""))))), LARGE(INDEX(ISNUMBER(--MID((LEFT(A199,SUM(LEN(A199)-LEN(SUBSTITUTE(A199,{"0","1","2"},""))))), ROW(INDIRECT("1:"&amp;LEN((LEFT(A199,SUM(LEN(A199)-LEN(SUBSTITUTE(A199,{"0","1","2"},"")))))))), 1)) * ROW(INDIRECT("1:"&amp;LEN((LEFT(A199,SUM(LEN(A199)-LEN(SUBSTITUTE(A199,{"0","1","2"},"")))))))), 0), ROW(INDIRECT("1:"&amp;LEN((LEFT(A199,SUM(LEN(A199)-LEN(SUBSTITUTE(A199,{"0","1","2"},"")))))))))+1, 1) * 10^ROW(INDIRECT("1:"&amp;LEN((LEFT(A199,SUM(LEN(A199)-LEN(SUBSTITUTE(A199,{"0","1","2"},""))))))))/10))*1+1&amp;""&amp;" to "&amp;""&amp;(SUMPRODUCT(MID(0&amp;(--TRIM(RIGHT(SUBSTITUTE(LEFT(A199,_xlfn.AGGREGATE(16,6,FIND({0,1,2,3,4,5,6,7,8,9},A199,ROW(INDIRECT("1:"&amp;LEN(A199)))),1))," ",REPT(" ",LEN(A199))),LEN(A199)))), LARGE(INDEX(ISNUMBER(--MID((--TRIM(RIGHT(SUBSTITUTE(LEFT(A199,_xlfn.AGGREGATE(16,6,FIND({0,1,2,3,4,5,6,7,8,9},A199,ROW(INDIRECT("1:"&amp;LEN(A199)))),1))," ",REPT(" ",LEN(A199))),LEN(A199)))), ROW(INDIRECT("1:"&amp;LEN((--TRIM(RIGHT(SUBSTITUTE(LEFT(A199,_xlfn.AGGREGATE(16,6,FIND({0,1,2,3,4,5,6,7,8,9},A199,ROW(INDIRECT("1:"&amp;LEN(A199)))),1))," ",REPT(" ",LEN(A199))),LEN(A199))))))), 1)) * ROW(INDIRECT("1:"&amp;LEN((--TRIM(RIGHT(SUBSTITUTE(LEFT(A199,_xlfn.AGGREGATE(16,6,FIND({0,1,2,3,4,5,6,7,8,9},A199,ROW(INDIRECT("1:"&amp;LEN(A199)))),1))," ",REPT(" ",LEN(A199))),LEN(A199))))))), 0), ROW(INDIRECT("1:"&amp;LEN((--TRIM(RIGHT(SUBSTITUTE(LEFT(A199,_xlfn.AGGREGATE(16,6,FIND({0,1,2,3,4,5,6,7,8,9},A199,ROW(INDIRECT("1:"&amp;LEN(A199)))),1))," ",REPT(" ",LEN(A199))),LEN(A199))))))))+1, 1) * 10^ROW(INDIRECT("1:"&amp;LEN((--TRIM(RIGHT(SUBSTITUTE(LEFT(A199,_xlfn.AGGREGATE(16,6,FIND({0,1,2,3,4,5,6,7,8,9},A199,ROW(INDIRECT("1:"&amp;LEN(A199)))),1))," ",REPT(" ",LEN(A199))),LEN(A199)))))))/10))*1+1</f>
        <v>205 to 505</v>
      </c>
      <c r="B200" s="68"/>
      <c r="C200" s="42"/>
      <c r="D200" s="42"/>
      <c r="E200" s="42">
        <v>0</v>
      </c>
      <c r="F200" s="42">
        <f>D200*(($F$145)+1)+(IF(E200&lt;101,E200,IF(E200&lt;201,E200/2,IF(E200&lt;=301,E200/3,E200/4))))</f>
        <v>0</v>
      </c>
      <c r="G200" s="67" t="str">
        <f>G199</f>
        <v>2nd to 5th Floor</v>
      </c>
      <c r="H200" s="68"/>
      <c r="I200" s="36"/>
    </row>
    <row r="201" spans="1:9" s="37" customFormat="1" hidden="1" x14ac:dyDescent="0.3">
      <c r="A201" s="136" t="s">
        <v>149</v>
      </c>
      <c r="B201" s="137"/>
      <c r="C201" s="137"/>
      <c r="D201" s="137"/>
      <c r="E201" s="137"/>
      <c r="F201" s="137"/>
      <c r="G201" s="137"/>
      <c r="H201" s="138"/>
      <c r="I201" s="36"/>
    </row>
    <row r="202" spans="1:9" s="37" customFormat="1" hidden="1" x14ac:dyDescent="0.3">
      <c r="A202" s="67" t="str">
        <f ca="1">(SUMPRODUCT(MID(0&amp;(LEFT(A201,SUM(LEN(A201)-LEN(SUBSTITUTE(A201,{"0","1","2"},""))))), LARGE(INDEX(ISNUMBER(--MID((LEFT(A201,SUM(LEN(A201)-LEN(SUBSTITUTE(A201,{"0","1","2"},""))))), ROW(INDIRECT("1:"&amp;LEN((LEFT(A201,SUM(LEN(A201)-LEN(SUBSTITUTE(A201,{"0","1","2"},"")))))))), 1)) * ROW(INDIRECT("1:"&amp;LEN((LEFT(A201,SUM(LEN(A201)-LEN(SUBSTITUTE(A201,{"0","1","2"},"")))))))), 0), ROW(INDIRECT("1:"&amp;LEN((LEFT(A201,SUM(LEN(A201)-LEN(SUBSTITUTE(A201,{"0","1","2"},"")))))))))+1, 1) * 10^ROW(INDIRECT("1:"&amp;LEN((LEFT(A201,SUM(LEN(A201)-LEN(SUBSTITUTE(A201,{"0","1","2"},""))))))))/10))*100+1&amp;""&amp;" &amp; "&amp;""&amp;(SUMPRODUCT(MID(0&amp;(--TRIM(RIGHT(SUBSTITUTE(LEFT(A201,_xlfn.AGGREGATE(16,6,FIND({0,1,2,3,4,5,6,7,8,9},A201,ROW(INDIRECT("1:"&amp;LEN(A201)))),1)),"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",LEN(A201))),LEN(A201)))))))/10))*100+1</f>
        <v>201 &amp; 501</v>
      </c>
      <c r="B202" s="68"/>
      <c r="C202" s="42"/>
      <c r="D202" s="42"/>
      <c r="E202" s="42">
        <v>0</v>
      </c>
      <c r="F202" s="42">
        <f>D202*(($F$145)+1)+(IF(E202&lt;101,E202,IF(E202&lt;201,E202/2,IF(E202&lt;=301,E202/3,E202/4))))</f>
        <v>0</v>
      </c>
      <c r="G202" s="67" t="str">
        <f>A201</f>
        <v>2nd &amp; 5th Floor</v>
      </c>
      <c r="H202" s="68"/>
      <c r="I202" s="36"/>
    </row>
    <row r="203" spans="1:9" s="37" customFormat="1" hidden="1" x14ac:dyDescent="0.3">
      <c r="A203" s="67" t="str">
        <f ca="1">(SUMPRODUCT(MID(0&amp;(LEFT(A202,SUM(LEN(A202)-LEN(SUBSTITUTE(A202,{"0","1","2"},""))))), LARGE(INDEX(ISNUMBER(--MID((LEFT(A202,SUM(LEN(A202)-LEN(SUBSTITUTE(A202,{"0","1","2"},""))))), ROW(INDIRECT("1:"&amp;LEN((LEFT(A202,SUM(LEN(A202)-LEN(SUBSTITUTE(A202,{"0","1","2"},"")))))))), 1)) * ROW(INDIRECT("1:"&amp;LEN((LEFT(A202,SUM(LEN(A202)-LEN(SUBSTITUTE(A202,{"0","1","2"},"")))))))), 0), ROW(INDIRECT("1:"&amp;LEN((LEFT(A202,SUM(LEN(A202)-LEN(SUBSTITUTE(A202,{"0","1","2"},"")))))))))+1, 1) * 10^ROW(INDIRECT("1:"&amp;LEN((LEFT(A202,SUM(LEN(A202)-LEN(SUBSTITUTE(A202,{"0","1","2"},""))))))))/10))*1+1&amp;""&amp;" &amp; "&amp;""&amp;(SUMPRODUCT(MID(0&amp;(--TRIM(RIGHT(SUBSTITUTE(LEFT(A202,_xlfn.AGGREGATE(16,6,FIND({0,1,2,3,4,5,6,7,8,9},A202,ROW(INDIRECT("1:"&amp;LEN(A202)))),1))," ",REPT(" ",LEN(A202))),LEN(A202)))), LARGE(INDEX(ISNUMBER(--MID((--TRIM(RIGHT(SUBSTITUTE(LEFT(A202,_xlfn.AGGREGATE(16,6,FIND({0,1,2,3,4,5,6,7,8,9},A202,ROW(INDIRECT("1:"&amp;LEN(A202)))),1))," ",REPT(" ",LEN(A202))),LEN(A202)))), ROW(INDIRECT("1:"&amp;LEN((--TRIM(RIGHT(SUBSTITUTE(LEFT(A202,_xlfn.AGGREGATE(16,6,FIND({0,1,2,3,4,5,6,7,8,9},A202,ROW(INDIRECT("1:"&amp;LEN(A202)))),1))," ",REPT(" ",LEN(A202))),LEN(A202))))))), 1)) * ROW(INDIRECT("1:"&amp;LEN((--TRIM(RIGHT(SUBSTITUTE(LEFT(A202,_xlfn.AGGREGATE(16,6,FIND({0,1,2,3,4,5,6,7,8,9},A202,ROW(INDIRECT("1:"&amp;LEN(A202)))),1))," ",REPT(" ",LEN(A202))),LEN(A202))))))), 0), ROW(INDIRECT("1:"&amp;LEN((--TRIM(RIGHT(SUBSTITUTE(LEFT(A202,_xlfn.AGGREGATE(16,6,FIND({0,1,2,3,4,5,6,7,8,9},A202,ROW(INDIRECT("1:"&amp;LEN(A202)))),1))," ",REPT(" ",LEN(A202))),LEN(A202))))))))+1, 1) * 10^ROW(INDIRECT("1:"&amp;LEN((--TRIM(RIGHT(SUBSTITUTE(LEFT(A202,_xlfn.AGGREGATE(16,6,FIND({0,1,2,3,4,5,6,7,8,9},A202,ROW(INDIRECT("1:"&amp;LEN(A202)))),1))," ",REPT(" ",LEN(A202))),LEN(A202)))))))/10))*1+1</f>
        <v>202 &amp; 502</v>
      </c>
      <c r="B203" s="68"/>
      <c r="C203" s="42"/>
      <c r="D203" s="42"/>
      <c r="E203" s="42">
        <v>0</v>
      </c>
      <c r="F203" s="42">
        <f>D203*(($F$145)+1)+(IF(E203&lt;101,E203,IF(E203&lt;201,E203/2,IF(E203&lt;=301,E203/3,E203/4))))</f>
        <v>0</v>
      </c>
      <c r="G203" s="67" t="str">
        <f t="shared" ref="G203:G206" si="18">G202</f>
        <v>2nd &amp; 5th Floor</v>
      </c>
      <c r="H203" s="68"/>
      <c r="I203" s="36"/>
    </row>
    <row r="204" spans="1:9" s="37" customFormat="1" hidden="1" x14ac:dyDescent="0.3">
      <c r="A204" s="67" t="str">
        <f ca="1">(SUMPRODUCT(MID(0&amp;(LEFT(A203,SUM(LEN(A203)-LEN(SUBSTITUTE(A203,{"0","1","2"},""))))), LARGE(INDEX(ISNUMBER(--MID((LEFT(A203,SUM(LEN(A203)-LEN(SUBSTITUTE(A203,{"0","1","2"},""))))), ROW(INDIRECT("1:"&amp;LEN((LEFT(A203,SUM(LEN(A203)-LEN(SUBSTITUTE(A203,{"0","1","2"},"")))))))), 1)) * ROW(INDIRECT("1:"&amp;LEN((LEFT(A203,SUM(LEN(A203)-LEN(SUBSTITUTE(A203,{"0","1","2"},"")))))))), 0), ROW(INDIRECT("1:"&amp;LEN((LEFT(A203,SUM(LEN(A203)-LEN(SUBSTITUTE(A203,{"0","1","2"},"")))))))))+1, 1) * 10^ROW(INDIRECT("1:"&amp;LEN((LEFT(A203,SUM(LEN(A203)-LEN(SUBSTITUTE(A203,{"0","1","2"},""))))))))/10))*1+1&amp;""&amp;" &amp; "&amp;""&amp;(SUMPRODUCT(MID(0&amp;(--TRIM(RIGHT(SUBSTITUTE(LEFT(A203,_xlfn.AGGREGATE(16,6,FIND({0,1,2,3,4,5,6,7,8,9},A203,ROW(INDIRECT("1:"&amp;LEN(A203)))),1))," ",REPT(" ",LEN(A203))),LEN(A203)))), LARGE(INDEX(ISNUMBER(--MID((--TRIM(RIGHT(SUBSTITUTE(LEFT(A203,_xlfn.AGGREGATE(16,6,FIND({0,1,2,3,4,5,6,7,8,9},A203,ROW(INDIRECT("1:"&amp;LEN(A203)))),1))," ",REPT(" ",LEN(A203))),LEN(A203)))), ROW(INDIRECT("1:"&amp;LEN((--TRIM(RIGHT(SUBSTITUTE(LEFT(A203,_xlfn.AGGREGATE(16,6,FIND({0,1,2,3,4,5,6,7,8,9},A203,ROW(INDIRECT("1:"&amp;LEN(A203)))),1))," ",REPT(" ",LEN(A203))),LEN(A203))))))), 1)) * ROW(INDIRECT("1:"&amp;LEN((--TRIM(RIGHT(SUBSTITUTE(LEFT(A203,_xlfn.AGGREGATE(16,6,FIND({0,1,2,3,4,5,6,7,8,9},A203,ROW(INDIRECT("1:"&amp;LEN(A203)))),1))," ",REPT(" ",LEN(A203))),LEN(A203))))))), 0), ROW(INDIRECT("1:"&amp;LEN((--TRIM(RIGHT(SUBSTITUTE(LEFT(A203,_xlfn.AGGREGATE(16,6,FIND({0,1,2,3,4,5,6,7,8,9},A203,ROW(INDIRECT("1:"&amp;LEN(A203)))),1))," ",REPT(" ",LEN(A203))),LEN(A203))))))))+1, 1) * 10^ROW(INDIRECT("1:"&amp;LEN((--TRIM(RIGHT(SUBSTITUTE(LEFT(A203,_xlfn.AGGREGATE(16,6,FIND({0,1,2,3,4,5,6,7,8,9},A203,ROW(INDIRECT("1:"&amp;LEN(A203)))),1))," ",REPT(" ",LEN(A203))),LEN(A203)))))))/10))*1+1</f>
        <v>203 &amp; 503</v>
      </c>
      <c r="B204" s="68"/>
      <c r="C204" s="42"/>
      <c r="D204" s="42"/>
      <c r="E204" s="42">
        <v>0</v>
      </c>
      <c r="F204" s="42">
        <f>D204*(($F$145)+1)+(IF(E204&lt;101,E204,IF(E204&lt;201,E204/2,IF(E204&lt;=301,E204/3,E204/4))))</f>
        <v>0</v>
      </c>
      <c r="G204" s="67" t="str">
        <f t="shared" si="18"/>
        <v>2nd &amp; 5th Floor</v>
      </c>
      <c r="H204" s="68"/>
      <c r="I204" s="36"/>
    </row>
    <row r="205" spans="1:9" s="37" customFormat="1" hidden="1" x14ac:dyDescent="0.3">
      <c r="A205" s="67" t="str">
        <f ca="1">(SUMPRODUCT(MID(0&amp;(LEFT(A204,SUM(LEN(A204)-LEN(SUBSTITUTE(A204,{"0","1","2"},""))))), LARGE(INDEX(ISNUMBER(--MID((LEFT(A204,SUM(LEN(A204)-LEN(SUBSTITUTE(A204,{"0","1","2"},""))))), ROW(INDIRECT("1:"&amp;LEN((LEFT(A204,SUM(LEN(A204)-LEN(SUBSTITUTE(A204,{"0","1","2"},"")))))))), 1)) * ROW(INDIRECT("1:"&amp;LEN((LEFT(A204,SUM(LEN(A204)-LEN(SUBSTITUTE(A204,{"0","1","2"},"")))))))), 0), ROW(INDIRECT("1:"&amp;LEN((LEFT(A204,SUM(LEN(A204)-LEN(SUBSTITUTE(A204,{"0","1","2"},"")))))))))+1, 1) * 10^ROW(INDIRECT("1:"&amp;LEN((LEFT(A204,SUM(LEN(A204)-LEN(SUBSTITUTE(A204,{"0","1","2"},""))))))))/10))*1+1&amp;""&amp;" &amp; "&amp;""&amp;(SUMPRODUCT(MID(0&amp;(--TRIM(RIGHT(SUBSTITUTE(LEFT(A204,_xlfn.AGGREGATE(16,6,FIND({0,1,2,3,4,5,6,7,8,9},A204,ROW(INDIRECT("1:"&amp;LEN(A204)))),1))," ",REPT(" ",LEN(A204))),LEN(A204)))), LARGE(INDEX(ISNUMBER(--MID((--TRIM(RIGHT(SUBSTITUTE(LEFT(A204,_xlfn.AGGREGATE(16,6,FIND({0,1,2,3,4,5,6,7,8,9},A204,ROW(INDIRECT("1:"&amp;LEN(A204)))),1))," ",REPT(" ",LEN(A204))),LEN(A204)))), ROW(INDIRECT("1:"&amp;LEN((--TRIM(RIGHT(SUBSTITUTE(LEFT(A204,_xlfn.AGGREGATE(16,6,FIND({0,1,2,3,4,5,6,7,8,9},A204,ROW(INDIRECT("1:"&amp;LEN(A204)))),1))," ",REPT(" ",LEN(A204))),LEN(A204))))))), 1)) * ROW(INDIRECT("1:"&amp;LEN((--TRIM(RIGHT(SUBSTITUTE(LEFT(A204,_xlfn.AGGREGATE(16,6,FIND({0,1,2,3,4,5,6,7,8,9},A204,ROW(INDIRECT("1:"&amp;LEN(A204)))),1))," ",REPT(" ",LEN(A204))),LEN(A204))))))), 0), ROW(INDIRECT("1:"&amp;LEN((--TRIM(RIGHT(SUBSTITUTE(LEFT(A204,_xlfn.AGGREGATE(16,6,FIND({0,1,2,3,4,5,6,7,8,9},A204,ROW(INDIRECT("1:"&amp;LEN(A204)))),1))," ",REPT(" ",LEN(A204))),LEN(A204))))))))+1, 1) * 10^ROW(INDIRECT("1:"&amp;LEN((--TRIM(RIGHT(SUBSTITUTE(LEFT(A204,_xlfn.AGGREGATE(16,6,FIND({0,1,2,3,4,5,6,7,8,9},A204,ROW(INDIRECT("1:"&amp;LEN(A204)))),1))," ",REPT(" ",LEN(A204))),LEN(A204)))))))/10))*1+1</f>
        <v>204 &amp; 504</v>
      </c>
      <c r="B205" s="68"/>
      <c r="C205" s="42"/>
      <c r="D205" s="42"/>
      <c r="E205" s="42">
        <v>0</v>
      </c>
      <c r="F205" s="42">
        <f>D205*(($F$145)+1)+(IF(E205&lt;101,E205,IF(E205&lt;201,E205/2,IF(E205&lt;=301,E205/3,E205/4))))</f>
        <v>0</v>
      </c>
      <c r="G205" s="67" t="str">
        <f t="shared" si="18"/>
        <v>2nd &amp; 5th Floor</v>
      </c>
      <c r="H205" s="68"/>
      <c r="I205" s="36"/>
    </row>
    <row r="206" spans="1:9" s="37" customFormat="1" hidden="1" x14ac:dyDescent="0.3">
      <c r="A206" s="67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10^ROW(INDIRECT("1:"&amp;LEN((LEFT(A205,SUM(LEN(A205)-LEN(SUBSTITUTE(A205,{"0","1","2"},""))))))))/10))*1+1&amp;""&amp;" &amp;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",LEN(A205))),LEN(A205)))))))/10))*1+1</f>
        <v>205 &amp; 505</v>
      </c>
      <c r="B206" s="68"/>
      <c r="C206" s="42"/>
      <c r="D206" s="42"/>
      <c r="E206" s="42">
        <v>0</v>
      </c>
      <c r="F206" s="42">
        <f>D206*(($F$145)+1)+(IF(E206&lt;101,E206,IF(E206&lt;201,E206/2,IF(E206&lt;=301,E206/3,E206/4))))</f>
        <v>0</v>
      </c>
      <c r="G206" s="67" t="str">
        <f t="shared" si="18"/>
        <v>2nd &amp; 5th Floor</v>
      </c>
      <c r="H206" s="68"/>
      <c r="I206" s="36"/>
    </row>
    <row r="207" spans="1:9" s="35" customFormat="1" x14ac:dyDescent="0.3">
      <c r="A207" s="186" t="s">
        <v>66</v>
      </c>
      <c r="B207" s="186"/>
      <c r="C207" s="186"/>
      <c r="D207" s="186"/>
      <c r="E207" s="186"/>
      <c r="F207" s="186"/>
      <c r="G207" s="186"/>
      <c r="H207" s="186"/>
    </row>
    <row r="208" spans="1:9" s="35" customFormat="1" x14ac:dyDescent="0.3">
      <c r="A208" s="47" t="s">
        <v>158</v>
      </c>
      <c r="B208" s="117" t="s">
        <v>291</v>
      </c>
      <c r="C208" s="118"/>
      <c r="D208" s="118"/>
      <c r="E208" s="118"/>
      <c r="F208" s="118"/>
      <c r="G208" s="118"/>
      <c r="H208" s="119"/>
    </row>
    <row r="209" spans="1:8" s="35" customFormat="1" x14ac:dyDescent="0.3">
      <c r="A209" s="47" t="s">
        <v>158</v>
      </c>
      <c r="B209" s="120" t="str">
        <f>(IF(F144="Saleable area Loading :","We have considered Saleable area of Flats as per our Calculation.","We considered Saleable area of Flat as per Builder area Sheet."))</f>
        <v>We have considered Saleable area of Flats as per our Calculation.</v>
      </c>
      <c r="C209" s="121"/>
      <c r="D209" s="121"/>
      <c r="E209" s="121"/>
      <c r="F209" s="121"/>
      <c r="G209" s="121"/>
      <c r="H209" s="122"/>
    </row>
    <row r="210" spans="1:8" s="35" customFormat="1" hidden="1" x14ac:dyDescent="0.3">
      <c r="A210" s="47" t="s">
        <v>158</v>
      </c>
      <c r="B210" s="120" t="str">
        <f>(IF(F136="Saleable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10" s="121"/>
      <c r="D210" s="121"/>
      <c r="E210" s="121"/>
      <c r="F210" s="121"/>
      <c r="G210" s="121"/>
      <c r="H210" s="122"/>
    </row>
    <row r="211" spans="1:8" s="35" customFormat="1" x14ac:dyDescent="0.3">
      <c r="A211" s="47" t="s">
        <v>158</v>
      </c>
      <c r="B211" s="123" t="s">
        <v>125</v>
      </c>
      <c r="C211" s="124"/>
      <c r="D211" s="124"/>
      <c r="E211" s="124"/>
      <c r="F211" s="124"/>
      <c r="G211" s="124"/>
      <c r="H211" s="125"/>
    </row>
    <row r="212" spans="1:8" s="35" customFormat="1" x14ac:dyDescent="0.3">
      <c r="A212" s="47" t="s">
        <v>158</v>
      </c>
      <c r="B212" s="123" t="s">
        <v>286</v>
      </c>
      <c r="C212" s="124"/>
      <c r="D212" s="124"/>
      <c r="E212" s="124"/>
      <c r="F212" s="124"/>
      <c r="G212" s="124"/>
      <c r="H212" s="125"/>
    </row>
    <row r="213" spans="1:8" s="35" customFormat="1" x14ac:dyDescent="0.3">
      <c r="A213" s="47" t="s">
        <v>158</v>
      </c>
      <c r="B213" s="123" t="s">
        <v>157</v>
      </c>
      <c r="C213" s="124"/>
      <c r="D213" s="124"/>
      <c r="E213" s="124"/>
      <c r="F213" s="124"/>
      <c r="G213" s="124"/>
      <c r="H213" s="125"/>
    </row>
    <row r="214" spans="1:8" s="35" customFormat="1" x14ac:dyDescent="0.3">
      <c r="A214" s="47" t="s">
        <v>158</v>
      </c>
      <c r="B214" s="123" t="s">
        <v>126</v>
      </c>
      <c r="C214" s="124"/>
      <c r="D214" s="124"/>
      <c r="E214" s="124"/>
      <c r="F214" s="124"/>
      <c r="G214" s="124"/>
      <c r="H214" s="125"/>
    </row>
    <row r="215" spans="1:8" s="35" customFormat="1" ht="30.75" customHeight="1" x14ac:dyDescent="0.3">
      <c r="A215" s="47" t="s">
        <v>158</v>
      </c>
      <c r="B215" s="123" t="s">
        <v>159</v>
      </c>
      <c r="C215" s="124"/>
      <c r="D215" s="124"/>
      <c r="E215" s="124"/>
      <c r="F215" s="124"/>
      <c r="G215" s="124"/>
      <c r="H215" s="125"/>
    </row>
    <row r="216" spans="1:8" s="35" customFormat="1" x14ac:dyDescent="0.3">
      <c r="A216" s="47" t="s">
        <v>158</v>
      </c>
      <c r="B216" s="123" t="s">
        <v>127</v>
      </c>
      <c r="C216" s="124"/>
      <c r="D216" s="124"/>
      <c r="E216" s="124"/>
      <c r="F216" s="124"/>
      <c r="G216" s="124"/>
      <c r="H216" s="125"/>
    </row>
    <row r="217" spans="1:8" s="35" customFormat="1" ht="32.25" customHeight="1" x14ac:dyDescent="0.3">
      <c r="A217" s="47" t="s">
        <v>158</v>
      </c>
      <c r="B217" s="117" t="s">
        <v>186</v>
      </c>
      <c r="C217" s="118"/>
      <c r="D217" s="118"/>
      <c r="E217" s="118"/>
      <c r="F217" s="118"/>
      <c r="G217" s="118"/>
      <c r="H217" s="119"/>
    </row>
    <row r="218" spans="1:8" s="35" customFormat="1" x14ac:dyDescent="0.3">
      <c r="A218" s="47" t="s">
        <v>158</v>
      </c>
      <c r="B218" s="117" t="s">
        <v>278</v>
      </c>
      <c r="C218" s="118"/>
      <c r="D218" s="118"/>
      <c r="E218" s="118"/>
      <c r="F218" s="118"/>
      <c r="G218" s="118"/>
      <c r="H218" s="119"/>
    </row>
    <row r="219" spans="1:8" s="35" customFormat="1" x14ac:dyDescent="0.3">
      <c r="A219" s="47" t="s">
        <v>158</v>
      </c>
      <c r="B219" s="117" t="s">
        <v>277</v>
      </c>
      <c r="C219" s="118"/>
      <c r="D219" s="118"/>
      <c r="E219" s="118"/>
      <c r="F219" s="118"/>
      <c r="G219" s="118"/>
      <c r="H219" s="119"/>
    </row>
    <row r="220" spans="1:8" s="35" customFormat="1" x14ac:dyDescent="0.3">
      <c r="A220" s="60" t="s">
        <v>158</v>
      </c>
      <c r="B220" s="202" t="s">
        <v>289</v>
      </c>
      <c r="C220" s="203"/>
      <c r="D220" s="203"/>
      <c r="E220" s="203"/>
      <c r="F220" s="203"/>
      <c r="G220" s="203"/>
      <c r="H220" s="204"/>
    </row>
    <row r="221" spans="1:8" s="35" customFormat="1" ht="15.6" customHeight="1" x14ac:dyDescent="0.3">
      <c r="A221" s="47" t="s">
        <v>158</v>
      </c>
      <c r="B221" s="117" t="s">
        <v>293</v>
      </c>
      <c r="C221" s="118"/>
      <c r="D221" s="118"/>
      <c r="E221" s="118"/>
      <c r="F221" s="118"/>
      <c r="G221" s="118"/>
      <c r="H221" s="119"/>
    </row>
    <row r="222" spans="1:8" x14ac:dyDescent="0.3">
      <c r="A222" s="102" t="s">
        <v>59</v>
      </c>
      <c r="B222" s="102"/>
      <c r="C222" s="102"/>
      <c r="D222" s="102"/>
      <c r="E222" s="102"/>
      <c r="F222" s="102"/>
      <c r="G222" s="102"/>
      <c r="H222" s="102"/>
    </row>
    <row r="223" spans="1:8" x14ac:dyDescent="0.3">
      <c r="A223" s="76" t="s">
        <v>60</v>
      </c>
      <c r="B223" s="76"/>
      <c r="C223" s="76"/>
      <c r="D223" s="76"/>
      <c r="E223" s="76"/>
      <c r="F223" s="76"/>
      <c r="G223" s="76"/>
      <c r="H223" s="76"/>
    </row>
    <row r="224" spans="1:8" ht="15.75" customHeight="1" x14ac:dyDescent="0.3">
      <c r="A224" s="126" t="s">
        <v>61</v>
      </c>
      <c r="B224" s="126"/>
      <c r="C224" s="126"/>
      <c r="D224" s="126"/>
      <c r="E224" s="126"/>
      <c r="F224" s="126"/>
      <c r="G224" s="126"/>
      <c r="H224" s="126"/>
    </row>
    <row r="225" spans="1:8" x14ac:dyDescent="0.3">
      <c r="A225" s="76" t="s">
        <v>62</v>
      </c>
      <c r="B225" s="76"/>
      <c r="C225" s="76"/>
      <c r="D225" s="76"/>
      <c r="E225" s="76"/>
      <c r="F225" s="76"/>
      <c r="G225" s="76"/>
      <c r="H225" s="76"/>
    </row>
    <row r="226" spans="1:8" x14ac:dyDescent="0.3">
      <c r="A226" s="76" t="s">
        <v>63</v>
      </c>
      <c r="B226" s="76"/>
      <c r="C226" s="76"/>
      <c r="D226" s="76"/>
      <c r="E226" s="76"/>
      <c r="F226" s="76"/>
      <c r="G226" s="76"/>
      <c r="H226" s="76"/>
    </row>
    <row r="227" spans="1:8" hidden="1" x14ac:dyDescent="0.3">
      <c r="A227" s="76" t="s">
        <v>128</v>
      </c>
      <c r="B227" s="76"/>
      <c r="C227" s="76"/>
      <c r="D227" s="76"/>
      <c r="E227" s="76"/>
      <c r="F227" s="76"/>
      <c r="G227" s="76"/>
      <c r="H227" s="76"/>
    </row>
    <row r="228" spans="1:8" ht="33.9" hidden="1" customHeight="1" x14ac:dyDescent="0.3">
      <c r="A228" s="80" t="s">
        <v>129</v>
      </c>
      <c r="B228" s="80"/>
      <c r="C228" s="80"/>
      <c r="D228" s="80"/>
      <c r="E228" s="80"/>
      <c r="F228" s="80"/>
      <c r="G228" s="80"/>
      <c r="H228" s="80"/>
    </row>
    <row r="229" spans="1:8" x14ac:dyDescent="0.3">
      <c r="A229" s="149" t="s">
        <v>75</v>
      </c>
      <c r="B229" s="149"/>
      <c r="C229" s="149" t="s">
        <v>288</v>
      </c>
      <c r="D229" s="149"/>
      <c r="E229" s="149" t="s">
        <v>105</v>
      </c>
      <c r="F229" s="149"/>
      <c r="G229" s="149" t="s">
        <v>292</v>
      </c>
      <c r="H229" s="149"/>
    </row>
    <row r="230" spans="1:8" x14ac:dyDescent="0.3">
      <c r="A230" s="148" t="s">
        <v>77</v>
      </c>
      <c r="B230" s="148"/>
      <c r="C230" s="148"/>
      <c r="D230" s="148"/>
      <c r="E230" s="148"/>
      <c r="F230" s="148"/>
      <c r="G230" s="148"/>
      <c r="H230" s="148"/>
    </row>
    <row r="231" spans="1:8" x14ac:dyDescent="0.3">
      <c r="A231" s="148"/>
      <c r="B231" s="148"/>
      <c r="C231" s="148"/>
      <c r="D231" s="148"/>
      <c r="E231" s="148"/>
      <c r="F231" s="148"/>
      <c r="G231" s="148"/>
      <c r="H231" s="148"/>
    </row>
    <row r="232" spans="1:8" x14ac:dyDescent="0.3">
      <c r="A232" s="148"/>
      <c r="B232" s="148"/>
      <c r="C232" s="148"/>
      <c r="D232" s="148"/>
      <c r="E232" s="148"/>
      <c r="F232" s="148"/>
      <c r="G232" s="148"/>
      <c r="H232" s="148"/>
    </row>
    <row r="233" spans="1:8" x14ac:dyDescent="0.3">
      <c r="A233" s="148"/>
      <c r="B233" s="148"/>
      <c r="C233" s="148"/>
      <c r="D233" s="148"/>
      <c r="E233" s="148"/>
      <c r="F233" s="148"/>
      <c r="G233" s="148"/>
      <c r="H233" s="148"/>
    </row>
    <row r="234" spans="1:8" x14ac:dyDescent="0.3">
      <c r="A234" s="38" t="s">
        <v>64</v>
      </c>
      <c r="B234" s="39"/>
      <c r="C234" s="39"/>
      <c r="D234" s="38" t="str">
        <f>E9</f>
        <v>Nehru Nagar Shiv Vaibhav CHS Ltd Bldg No.38</v>
      </c>
      <c r="F234" s="39"/>
      <c r="G234" s="39"/>
      <c r="H234" s="39"/>
    </row>
    <row r="235" spans="1:8" x14ac:dyDescent="0.3">
      <c r="A235" s="39"/>
      <c r="B235" s="39"/>
      <c r="C235" s="39"/>
      <c r="D235" s="39"/>
      <c r="E235" s="39"/>
      <c r="F235" s="39"/>
      <c r="G235" s="39"/>
      <c r="H235" s="39"/>
    </row>
    <row r="236" spans="1:8" x14ac:dyDescent="0.3">
      <c r="A236" s="39"/>
      <c r="B236" s="39"/>
      <c r="C236" s="39"/>
      <c r="D236" s="39"/>
      <c r="E236" s="39"/>
      <c r="F236" s="39"/>
      <c r="G236" s="39"/>
      <c r="H236" s="39"/>
    </row>
    <row r="237" spans="1:8" ht="15" customHeight="1" x14ac:dyDescent="0.3"/>
    <row r="275" spans="1:1" x14ac:dyDescent="0.3">
      <c r="A275" s="41" t="s">
        <v>170</v>
      </c>
    </row>
    <row r="317" spans="1:1" x14ac:dyDescent="0.3">
      <c r="A317" s="41" t="s">
        <v>65</v>
      </c>
    </row>
  </sheetData>
  <mergeCells count="470">
    <mergeCell ref="B214:H214"/>
    <mergeCell ref="B210:H210"/>
    <mergeCell ref="A204:B204"/>
    <mergeCell ref="B221:H221"/>
    <mergeCell ref="L177:M177"/>
    <mergeCell ref="A178:B178"/>
    <mergeCell ref="G178:H178"/>
    <mergeCell ref="L178:M178"/>
    <mergeCell ref="A179:B179"/>
    <mergeCell ref="G179:H179"/>
    <mergeCell ref="L179:M179"/>
    <mergeCell ref="B220:H220"/>
    <mergeCell ref="A180:B180"/>
    <mergeCell ref="G180:H180"/>
    <mergeCell ref="L180:M180"/>
    <mergeCell ref="A181:B181"/>
    <mergeCell ref="G181:H181"/>
    <mergeCell ref="L181:M181"/>
    <mergeCell ref="A182:B182"/>
    <mergeCell ref="G182:H182"/>
    <mergeCell ref="L182:M182"/>
    <mergeCell ref="B219:H219"/>
    <mergeCell ref="L183:M183"/>
    <mergeCell ref="A185:B185"/>
    <mergeCell ref="A186:B186"/>
    <mergeCell ref="G185:H185"/>
    <mergeCell ref="B218:H218"/>
    <mergeCell ref="B216:H216"/>
    <mergeCell ref="L172:M172"/>
    <mergeCell ref="A173:B173"/>
    <mergeCell ref="G173:H173"/>
    <mergeCell ref="L173:M173"/>
    <mergeCell ref="A174:H174"/>
    <mergeCell ref="A175:B175"/>
    <mergeCell ref="G175:H175"/>
    <mergeCell ref="L175:M175"/>
    <mergeCell ref="A176:B176"/>
    <mergeCell ref="G176:H176"/>
    <mergeCell ref="L176:M176"/>
    <mergeCell ref="L168:M168"/>
    <mergeCell ref="A169:B169"/>
    <mergeCell ref="G169:H169"/>
    <mergeCell ref="L169:M169"/>
    <mergeCell ref="A170:B170"/>
    <mergeCell ref="G170:H170"/>
    <mergeCell ref="L170:M170"/>
    <mergeCell ref="A171:B171"/>
    <mergeCell ref="G171:H171"/>
    <mergeCell ref="L171:M171"/>
    <mergeCell ref="L163:M163"/>
    <mergeCell ref="A164:B164"/>
    <mergeCell ref="G164:H164"/>
    <mergeCell ref="L164:M164"/>
    <mergeCell ref="A165:H165"/>
    <mergeCell ref="A166:B166"/>
    <mergeCell ref="G166:H166"/>
    <mergeCell ref="L166:M166"/>
    <mergeCell ref="A167:B167"/>
    <mergeCell ref="G167:H167"/>
    <mergeCell ref="L167:M167"/>
    <mergeCell ref="L159:M159"/>
    <mergeCell ref="A160:B160"/>
    <mergeCell ref="G160:H160"/>
    <mergeCell ref="L160:M160"/>
    <mergeCell ref="A161:B161"/>
    <mergeCell ref="G161:H161"/>
    <mergeCell ref="L161:M161"/>
    <mergeCell ref="A162:B162"/>
    <mergeCell ref="G162:H162"/>
    <mergeCell ref="L162:M162"/>
    <mergeCell ref="A40:B40"/>
    <mergeCell ref="C40:H40"/>
    <mergeCell ref="A97:B97"/>
    <mergeCell ref="C97:H97"/>
    <mergeCell ref="A98:B98"/>
    <mergeCell ref="A47:D47"/>
    <mergeCell ref="A48:H48"/>
    <mergeCell ref="D58:H58"/>
    <mergeCell ref="A58:C58"/>
    <mergeCell ref="G51:H51"/>
    <mergeCell ref="A52:B53"/>
    <mergeCell ref="A77:B77"/>
    <mergeCell ref="A70:B70"/>
    <mergeCell ref="A73:B73"/>
    <mergeCell ref="A69:B69"/>
    <mergeCell ref="A67:B67"/>
    <mergeCell ref="A49:B49"/>
    <mergeCell ref="A85:B85"/>
    <mergeCell ref="A75:B75"/>
    <mergeCell ref="G98:H98"/>
    <mergeCell ref="A62:C62"/>
    <mergeCell ref="D62:H62"/>
    <mergeCell ref="C69:H69"/>
    <mergeCell ref="A72:B72"/>
    <mergeCell ref="A129:B129"/>
    <mergeCell ref="G152:H152"/>
    <mergeCell ref="A188:B188"/>
    <mergeCell ref="I63:M63"/>
    <mergeCell ref="K67:P68"/>
    <mergeCell ref="A114:E114"/>
    <mergeCell ref="A94:B94"/>
    <mergeCell ref="A99:B99"/>
    <mergeCell ref="A132:B132"/>
    <mergeCell ref="E132:F132"/>
    <mergeCell ref="L152:M152"/>
    <mergeCell ref="A153:B153"/>
    <mergeCell ref="G153:H153"/>
    <mergeCell ref="L153:M153"/>
    <mergeCell ref="A154:B154"/>
    <mergeCell ref="G154:H154"/>
    <mergeCell ref="L154:M154"/>
    <mergeCell ref="A155:B155"/>
    <mergeCell ref="G155:H155"/>
    <mergeCell ref="L155:M155"/>
    <mergeCell ref="A156:H156"/>
    <mergeCell ref="A157:B157"/>
    <mergeCell ref="G157:H157"/>
    <mergeCell ref="L157:M157"/>
    <mergeCell ref="B136:B137"/>
    <mergeCell ref="A152:B152"/>
    <mergeCell ref="C49:H49"/>
    <mergeCell ref="B213:H213"/>
    <mergeCell ref="A100:B100"/>
    <mergeCell ref="A101:B101"/>
    <mergeCell ref="G85:H94"/>
    <mergeCell ref="A86:B86"/>
    <mergeCell ref="A87:B87"/>
    <mergeCell ref="A88:B88"/>
    <mergeCell ref="F111:H111"/>
    <mergeCell ref="A111:E111"/>
    <mergeCell ref="G191:H191"/>
    <mergeCell ref="G187:H187"/>
    <mergeCell ref="G184:H184"/>
    <mergeCell ref="D136:D137"/>
    <mergeCell ref="A113:E113"/>
    <mergeCell ref="A104:B104"/>
    <mergeCell ref="A106:B106"/>
    <mergeCell ref="A107:B107"/>
    <mergeCell ref="A112:E112"/>
    <mergeCell ref="A109:E109"/>
    <mergeCell ref="F113:H113"/>
    <mergeCell ref="A146:H146"/>
    <mergeCell ref="L150:M150"/>
    <mergeCell ref="B211:H211"/>
    <mergeCell ref="B212:H212"/>
    <mergeCell ref="G202:H202"/>
    <mergeCell ref="G200:H200"/>
    <mergeCell ref="A207:H207"/>
    <mergeCell ref="A199:B199"/>
    <mergeCell ref="A200:B200"/>
    <mergeCell ref="G198:H198"/>
    <mergeCell ref="A195:H195"/>
    <mergeCell ref="A189:H189"/>
    <mergeCell ref="A151:B151"/>
    <mergeCell ref="G192:H192"/>
    <mergeCell ref="G190:H190"/>
    <mergeCell ref="A197:B197"/>
    <mergeCell ref="A198:B198"/>
    <mergeCell ref="A187:B187"/>
    <mergeCell ref="G188:H188"/>
    <mergeCell ref="G194:H194"/>
    <mergeCell ref="A158:B158"/>
    <mergeCell ref="G158:H158"/>
    <mergeCell ref="L158:M158"/>
    <mergeCell ref="A159:B159"/>
    <mergeCell ref="G159:H159"/>
    <mergeCell ref="L151:M151"/>
    <mergeCell ref="L148:M148"/>
    <mergeCell ref="A149:B149"/>
    <mergeCell ref="G149:H149"/>
    <mergeCell ref="A39:B39"/>
    <mergeCell ref="C39:H39"/>
    <mergeCell ref="A46:D46"/>
    <mergeCell ref="L142:M142"/>
    <mergeCell ref="L141:M141"/>
    <mergeCell ref="L140:M140"/>
    <mergeCell ref="L139:M139"/>
    <mergeCell ref="A78:B78"/>
    <mergeCell ref="C130:D130"/>
    <mergeCell ref="E130:F130"/>
    <mergeCell ref="G130:H130"/>
    <mergeCell ref="F116:H116"/>
    <mergeCell ref="A110:E110"/>
    <mergeCell ref="A95:B95"/>
    <mergeCell ref="C95:H95"/>
    <mergeCell ref="A138:H138"/>
    <mergeCell ref="E136:E137"/>
    <mergeCell ref="G136:H137"/>
    <mergeCell ref="C132:D132"/>
    <mergeCell ref="L149:M149"/>
    <mergeCell ref="A38:H38"/>
    <mergeCell ref="A37:B37"/>
    <mergeCell ref="C37:E37"/>
    <mergeCell ref="G99:H108"/>
    <mergeCell ref="A42:D42"/>
    <mergeCell ref="E42:H42"/>
    <mergeCell ref="A41:H41"/>
    <mergeCell ref="A60:C60"/>
    <mergeCell ref="A61:C61"/>
    <mergeCell ref="D60:H60"/>
    <mergeCell ref="E71:F80"/>
    <mergeCell ref="G71:H80"/>
    <mergeCell ref="A79:B79"/>
    <mergeCell ref="A80:B80"/>
    <mergeCell ref="D61:H61"/>
    <mergeCell ref="A44:D44"/>
    <mergeCell ref="E44:H44"/>
    <mergeCell ref="E45:H45"/>
    <mergeCell ref="E46:H46"/>
    <mergeCell ref="A84:B84"/>
    <mergeCell ref="E47:H47"/>
    <mergeCell ref="A83:B83"/>
    <mergeCell ref="C83:H83"/>
    <mergeCell ref="A45:D45"/>
    <mergeCell ref="F37:H37"/>
    <mergeCell ref="E27:H27"/>
    <mergeCell ref="A29:D29"/>
    <mergeCell ref="E29:H29"/>
    <mergeCell ref="A26:D26"/>
    <mergeCell ref="E26:H26"/>
    <mergeCell ref="A30:D30"/>
    <mergeCell ref="E30:H30"/>
    <mergeCell ref="A27:D27"/>
    <mergeCell ref="A36:B36"/>
    <mergeCell ref="C36:E36"/>
    <mergeCell ref="A31:D31"/>
    <mergeCell ref="E31:H31"/>
    <mergeCell ref="A32:D32"/>
    <mergeCell ref="E32:H32"/>
    <mergeCell ref="A28:D28"/>
    <mergeCell ref="E28:H28"/>
    <mergeCell ref="C33:E33"/>
    <mergeCell ref="F36:H36"/>
    <mergeCell ref="F33:H33"/>
    <mergeCell ref="A34:B34"/>
    <mergeCell ref="A33:B33"/>
    <mergeCell ref="C34:E34"/>
    <mergeCell ref="A35:B35"/>
    <mergeCell ref="C35:E35"/>
    <mergeCell ref="A25:D25"/>
    <mergeCell ref="E25:H25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F34:H34"/>
    <mergeCell ref="E14:H14"/>
    <mergeCell ref="A15:D15"/>
    <mergeCell ref="A11:D11"/>
    <mergeCell ref="E11:H11"/>
    <mergeCell ref="A23:D24"/>
    <mergeCell ref="E23:H24"/>
    <mergeCell ref="E15:H15"/>
    <mergeCell ref="A16:B16"/>
    <mergeCell ref="C16:H16"/>
    <mergeCell ref="C17:H17"/>
    <mergeCell ref="A18:B18"/>
    <mergeCell ref="C18:H18"/>
    <mergeCell ref="A13:D13"/>
    <mergeCell ref="E13:H13"/>
    <mergeCell ref="A12:D12"/>
    <mergeCell ref="E12:H12"/>
    <mergeCell ref="A17:B17"/>
    <mergeCell ref="A14:D14"/>
    <mergeCell ref="A1:H1"/>
    <mergeCell ref="A2:H2"/>
    <mergeCell ref="A3:D3"/>
    <mergeCell ref="E3:H3"/>
    <mergeCell ref="A4:D4"/>
    <mergeCell ref="A9:D9"/>
    <mergeCell ref="E9:H9"/>
    <mergeCell ref="A10:D10"/>
    <mergeCell ref="E10:H10"/>
    <mergeCell ref="E4:H4"/>
    <mergeCell ref="A5:D5"/>
    <mergeCell ref="E5:H5"/>
    <mergeCell ref="A6:D6"/>
    <mergeCell ref="E6:H6"/>
    <mergeCell ref="A7:D7"/>
    <mergeCell ref="E7:H7"/>
    <mergeCell ref="A8:D8"/>
    <mergeCell ref="E8:H8"/>
    <mergeCell ref="A74:B74"/>
    <mergeCell ref="E70:F70"/>
    <mergeCell ref="A63:C63"/>
    <mergeCell ref="D63:H63"/>
    <mergeCell ref="A66:C66"/>
    <mergeCell ref="D66:H66"/>
    <mergeCell ref="A64:C64"/>
    <mergeCell ref="D65:H65"/>
    <mergeCell ref="A71:B71"/>
    <mergeCell ref="G70:H70"/>
    <mergeCell ref="C67:H67"/>
    <mergeCell ref="A230:H233"/>
    <mergeCell ref="A229:B229"/>
    <mergeCell ref="E229:F229"/>
    <mergeCell ref="C229:D229"/>
    <mergeCell ref="G229:H229"/>
    <mergeCell ref="A123:H123"/>
    <mergeCell ref="A121:E121"/>
    <mergeCell ref="F121:H121"/>
    <mergeCell ref="A122:E122"/>
    <mergeCell ref="F122:H122"/>
    <mergeCell ref="A183:H183"/>
    <mergeCell ref="A130:B130"/>
    <mergeCell ref="A192:B192"/>
    <mergeCell ref="A125:B125"/>
    <mergeCell ref="A225:H225"/>
    <mergeCell ref="A128:H128"/>
    <mergeCell ref="A228:H228"/>
    <mergeCell ref="A226:H226"/>
    <mergeCell ref="A222:H222"/>
    <mergeCell ref="G129:H129"/>
    <mergeCell ref="G196:H196"/>
    <mergeCell ref="A194:B194"/>
    <mergeCell ref="C136:C137"/>
    <mergeCell ref="B144:B145"/>
    <mergeCell ref="F109:H109"/>
    <mergeCell ref="F114:H114"/>
    <mergeCell ref="A148:B148"/>
    <mergeCell ref="A142:B142"/>
    <mergeCell ref="A141:B141"/>
    <mergeCell ref="E84:F84"/>
    <mergeCell ref="G84:H84"/>
    <mergeCell ref="A115:E115"/>
    <mergeCell ref="F115:H115"/>
    <mergeCell ref="A116:E116"/>
    <mergeCell ref="A118:E118"/>
    <mergeCell ref="F112:H112"/>
    <mergeCell ref="A117:E117"/>
    <mergeCell ref="A102:B102"/>
    <mergeCell ref="A103:B103"/>
    <mergeCell ref="E85:F94"/>
    <mergeCell ref="A92:B92"/>
    <mergeCell ref="A93:B93"/>
    <mergeCell ref="E98:F98"/>
    <mergeCell ref="E99:F108"/>
    <mergeCell ref="A143:H143"/>
    <mergeCell ref="G148:H148"/>
    <mergeCell ref="E129:F129"/>
    <mergeCell ref="A136:A137"/>
    <mergeCell ref="G203:H203"/>
    <mergeCell ref="A201:H201"/>
    <mergeCell ref="A202:B202"/>
    <mergeCell ref="A203:B203"/>
    <mergeCell ref="A206:B206"/>
    <mergeCell ref="G206:H206"/>
    <mergeCell ref="A205:B205"/>
    <mergeCell ref="G205:H205"/>
    <mergeCell ref="A144:A145"/>
    <mergeCell ref="C144:C145"/>
    <mergeCell ref="A150:B150"/>
    <mergeCell ref="G150:H150"/>
    <mergeCell ref="A163:B163"/>
    <mergeCell ref="G163:H163"/>
    <mergeCell ref="A168:B168"/>
    <mergeCell ref="G168:H168"/>
    <mergeCell ref="A172:B172"/>
    <mergeCell ref="G172:H172"/>
    <mergeCell ref="A177:B177"/>
    <mergeCell ref="G177:H177"/>
    <mergeCell ref="G193:H193"/>
    <mergeCell ref="B208:H208"/>
    <mergeCell ref="B209:H209"/>
    <mergeCell ref="A196:B196"/>
    <mergeCell ref="A139:B139"/>
    <mergeCell ref="B215:H215"/>
    <mergeCell ref="A227:H227"/>
    <mergeCell ref="A224:H224"/>
    <mergeCell ref="G199:H199"/>
    <mergeCell ref="A184:B184"/>
    <mergeCell ref="D144:D145"/>
    <mergeCell ref="E144:E145"/>
    <mergeCell ref="G144:H145"/>
    <mergeCell ref="A147:H147"/>
    <mergeCell ref="A193:B193"/>
    <mergeCell ref="A190:B190"/>
    <mergeCell ref="G151:H151"/>
    <mergeCell ref="G186:H186"/>
    <mergeCell ref="A223:H223"/>
    <mergeCell ref="B217:H217"/>
    <mergeCell ref="G141:H141"/>
    <mergeCell ref="G139:H139"/>
    <mergeCell ref="G140:H140"/>
    <mergeCell ref="G142:H142"/>
    <mergeCell ref="G204:H204"/>
    <mergeCell ref="A90:B90"/>
    <mergeCell ref="A91:B91"/>
    <mergeCell ref="A105:B105"/>
    <mergeCell ref="F110:H110"/>
    <mergeCell ref="G125:H125"/>
    <mergeCell ref="A108:B108"/>
    <mergeCell ref="F117:H117"/>
    <mergeCell ref="C124:D124"/>
    <mergeCell ref="A134:H134"/>
    <mergeCell ref="A120:E120"/>
    <mergeCell ref="G132:H132"/>
    <mergeCell ref="C126:D126"/>
    <mergeCell ref="E126:F126"/>
    <mergeCell ref="G126:H126"/>
    <mergeCell ref="A127:B127"/>
    <mergeCell ref="C127:D127"/>
    <mergeCell ref="E127:F127"/>
    <mergeCell ref="G127:H127"/>
    <mergeCell ref="A131:B131"/>
    <mergeCell ref="C131:D131"/>
    <mergeCell ref="E131:F131"/>
    <mergeCell ref="G131:H131"/>
    <mergeCell ref="C125:D125"/>
    <mergeCell ref="E125:F125"/>
    <mergeCell ref="A133:B133"/>
    <mergeCell ref="C133:D133"/>
    <mergeCell ref="E133:F133"/>
    <mergeCell ref="G133:H133"/>
    <mergeCell ref="E43:H43"/>
    <mergeCell ref="A43:D43"/>
    <mergeCell ref="A81:B81"/>
    <mergeCell ref="C81:H81"/>
    <mergeCell ref="A76:B76"/>
    <mergeCell ref="A50:B50"/>
    <mergeCell ref="C50:E50"/>
    <mergeCell ref="C53:E53"/>
    <mergeCell ref="G53:H53"/>
    <mergeCell ref="G50:H50"/>
    <mergeCell ref="G52:H52"/>
    <mergeCell ref="A51:B51"/>
    <mergeCell ref="A55:H55"/>
    <mergeCell ref="A56:C56"/>
    <mergeCell ref="A57:C57"/>
    <mergeCell ref="D57:H57"/>
    <mergeCell ref="G54:H54"/>
    <mergeCell ref="C52:E52"/>
    <mergeCell ref="A59:C59"/>
    <mergeCell ref="A89:B89"/>
    <mergeCell ref="D59:H59"/>
    <mergeCell ref="C51:E51"/>
    <mergeCell ref="I15:P15"/>
    <mergeCell ref="G197:H197"/>
    <mergeCell ref="F120:H120"/>
    <mergeCell ref="F118:H118"/>
    <mergeCell ref="A191:B191"/>
    <mergeCell ref="A135:H135"/>
    <mergeCell ref="G124:H124"/>
    <mergeCell ref="A119:E119"/>
    <mergeCell ref="A140:B140"/>
    <mergeCell ref="A54:B54"/>
    <mergeCell ref="C54:E54"/>
    <mergeCell ref="D56:H56"/>
    <mergeCell ref="F119:H119"/>
    <mergeCell ref="E124:F124"/>
    <mergeCell ref="A124:B124"/>
    <mergeCell ref="A126:B126"/>
    <mergeCell ref="C129:D129"/>
    <mergeCell ref="D64:H64"/>
    <mergeCell ref="A65:C65"/>
    <mergeCell ref="I45:L45"/>
    <mergeCell ref="I44:L44"/>
    <mergeCell ref="F35:H35"/>
  </mergeCells>
  <dataValidations count="13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7:B17" xr:uid="{00000000-0002-0000-0000-000001000000}">
      <formula1>"CTS No,Survey No,Plot No,Gut No,FP No,"</formula1>
    </dataValidation>
    <dataValidation type="list" allowBlank="1" showInputMessage="1" showErrorMessage="1" sqref="G20:H20" xr:uid="{00000000-0002-0000-0000-000002000000}">
      <formula1>$S$13:$W$13</formula1>
    </dataValidation>
    <dataValidation type="list" allowBlank="1" showInputMessage="1" showErrorMessage="1" sqref="E136:E137" xr:uid="{00000000-0002-0000-0000-000003000000}">
      <formula1>"Attached Loft area,Attached Terrace area,Attached Mezzanine area"</formula1>
    </dataValidation>
    <dataValidation type="list" allowBlank="1" showInputMessage="1" showErrorMessage="1" sqref="F137 F145" xr:uid="{00000000-0002-0000-0000-000004000000}">
      <formula1>"45%,50%,55%,60%"</formula1>
    </dataValidation>
    <dataValidation type="list" allowBlank="1" showInputMessage="1" showErrorMessage="1" sqref="G229:H229" xr:uid="{00000000-0002-0000-0000-000005000000}">
      <formula1>"Gaurav Panchal, Kunal Kadam,Pranita Mhatre,Shruti Fule,Pooja Kawale,Mansee Mohite,Shruti Tathare, Hitakshi Mhatre, Sachin Sawant"</formula1>
    </dataValidation>
    <dataValidation type="list" allowBlank="1" showInputMessage="1" showErrorMessage="1" sqref="F109:H109" xr:uid="{00000000-0002-0000-0000-000006000000}">
      <formula1>"On Saleable Area,On Builtup Area,On Carpet Area,On Plot Area"</formula1>
    </dataValidation>
    <dataValidation type="list" allowBlank="1" showInputMessage="1" showErrorMessage="1" sqref="F121:H121" xr:uid="{00000000-0002-0000-0000-000007000000}">
      <formula1>"100000,150000,200000,250000,300000,350000,400000,500000,600000,700000,800000,900000,1000000,1200000,1400000,1500000"</formula1>
    </dataValidation>
    <dataValidation type="list" allowBlank="1" showInputMessage="1" showErrorMessage="1" sqref="F136 F144" xr:uid="{00000000-0002-0000-0000-000008000000}">
      <formula1>"Saleable area Loading :,Builder Saleable area"</formula1>
    </dataValidation>
    <dataValidation type="list" allowBlank="1" showInputMessage="1" showErrorMessage="1" sqref="B136:B137" xr:uid="{00000000-0002-0000-0000-000009000000}">
      <formula1>"Shop No. (Sale Plan),Sale / Rehab,Sale / Mhada"</formula1>
    </dataValidation>
    <dataValidation type="list" allowBlank="1" showInputMessage="1" showErrorMessage="1" sqref="B144:B145" xr:uid="{00000000-0002-0000-0000-00000A000000}">
      <formula1>"Flat No. (Sale Plan),Sale / Rehab,Sale / Mhada"</formula1>
    </dataValidation>
    <dataValidation type="list" allowBlank="1" showInputMessage="1" showErrorMessage="1" sqref="C21:D21" xr:uid="{00000000-0002-0000-0000-00000B000000}">
      <formula1>OFFSET($S$13,1,MATCH($G20,$S$13:$W$13,0)-1,15,1)</formula1>
    </dataValidation>
    <dataValidation type="list" allowBlank="1" showInputMessage="1" showErrorMessage="1" sqref="Y13" xr:uid="{00000000-0002-0000-0000-00000C000000}">
      <formula1>$D$4:$H$4</formula1>
    </dataValidation>
  </dataValidations>
  <hyperlinks>
    <hyperlink ref="C40" r:id="rId1" xr:uid="{00000000-0004-0000-0000-000000000000}"/>
    <hyperlink ref="I63" r:id="rId2" xr:uid="{00000000-0004-0000-0000-000001000000}"/>
    <hyperlink ref="K67" r:id="rId3" location="Wing-Nehru-Nagar-Shiv-Vaibhav-Chs-Ltd-Bldg-No-38" xr:uid="{00000000-0004-0000-0000-000002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4"/>
  <headerFooter>
    <oddHeader>&amp;C&amp;G</oddHeader>
    <oddFooter>&amp;L&amp;"Times New Roman,Bold"&amp;12Ref No: &amp;F&amp;C&amp;G&amp;R&amp;"Times New Roman,Bold"&amp;12&amp;P</oddFooter>
  </headerFooter>
  <rowBreaks count="3" manualBreakCount="3">
    <brk id="233" max="16383" man="1"/>
    <brk id="274" max="16383" man="1"/>
    <brk id="316" max="16383" man="1"/>
  </rowBreaks>
  <drawing r:id="rId5"/>
  <legacy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G18" sqref="G18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05" t="s">
        <v>106</v>
      </c>
      <c r="C3" s="205"/>
      <c r="D3" s="205"/>
      <c r="E3" s="205"/>
      <c r="F3" s="205"/>
      <c r="G3" s="205"/>
      <c r="H3" s="205"/>
    </row>
    <row r="4" spans="1:9" x14ac:dyDescent="0.3">
      <c r="A4" s="2"/>
      <c r="B4" s="3" t="s">
        <v>107</v>
      </c>
      <c r="C4" s="3" t="s">
        <v>108</v>
      </c>
      <c r="D4" s="3" t="s">
        <v>67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55"/>
      <c r="C4" s="55" t="s">
        <v>11</v>
      </c>
      <c r="D4" s="56" t="s">
        <v>187</v>
      </c>
      <c r="E4" s="56" t="s">
        <v>197</v>
      </c>
      <c r="F4" s="56" t="s">
        <v>179</v>
      </c>
      <c r="G4" s="56" t="s">
        <v>202</v>
      </c>
      <c r="H4" s="56" t="s">
        <v>220</v>
      </c>
      <c r="J4" t="s">
        <v>202</v>
      </c>
      <c r="K4" t="s">
        <v>218</v>
      </c>
    </row>
    <row r="5" spans="2:11" x14ac:dyDescent="0.3">
      <c r="B5" s="55"/>
      <c r="C5" s="55"/>
      <c r="D5" s="56" t="s">
        <v>188</v>
      </c>
      <c r="E5" s="56" t="s">
        <v>195</v>
      </c>
      <c r="F5" s="56" t="s">
        <v>217</v>
      </c>
      <c r="G5" s="56" t="s">
        <v>203</v>
      </c>
      <c r="H5" s="56" t="s">
        <v>221</v>
      </c>
    </row>
    <row r="6" spans="2:11" x14ac:dyDescent="0.3">
      <c r="B6" s="55"/>
      <c r="C6" s="55"/>
      <c r="D6" s="56" t="s">
        <v>189</v>
      </c>
      <c r="E6" s="56" t="s">
        <v>196</v>
      </c>
      <c r="F6" s="56" t="s">
        <v>218</v>
      </c>
      <c r="G6" s="56" t="s">
        <v>204</v>
      </c>
      <c r="H6" s="56" t="s">
        <v>234</v>
      </c>
    </row>
    <row r="7" spans="2:11" x14ac:dyDescent="0.3">
      <c r="B7" s="55"/>
      <c r="C7" s="55"/>
      <c r="D7" s="56" t="s">
        <v>190</v>
      </c>
      <c r="E7" s="56" t="s">
        <v>198</v>
      </c>
      <c r="F7" s="56" t="s">
        <v>219</v>
      </c>
      <c r="G7" s="56" t="s">
        <v>205</v>
      </c>
      <c r="H7" s="56" t="s">
        <v>222</v>
      </c>
    </row>
    <row r="8" spans="2:11" x14ac:dyDescent="0.3">
      <c r="B8" s="55"/>
      <c r="C8" s="55"/>
      <c r="D8" s="56" t="s">
        <v>191</v>
      </c>
      <c r="E8" s="56" t="s">
        <v>199</v>
      </c>
      <c r="F8" s="56"/>
      <c r="G8" s="56" t="s">
        <v>206</v>
      </c>
      <c r="H8" s="56" t="s">
        <v>223</v>
      </c>
    </row>
    <row r="9" spans="2:11" x14ac:dyDescent="0.3">
      <c r="B9" s="55"/>
      <c r="C9" s="55"/>
      <c r="D9" s="56" t="s">
        <v>192</v>
      </c>
      <c r="E9" s="56" t="s">
        <v>197</v>
      </c>
      <c r="F9" s="56"/>
      <c r="G9" s="56" t="s">
        <v>207</v>
      </c>
      <c r="H9" s="56" t="s">
        <v>224</v>
      </c>
    </row>
    <row r="10" spans="2:11" x14ac:dyDescent="0.3">
      <c r="B10" s="55"/>
      <c r="C10" s="55"/>
      <c r="D10" s="56" t="s">
        <v>193</v>
      </c>
      <c r="E10" s="56" t="s">
        <v>200</v>
      </c>
      <c r="F10" s="56"/>
      <c r="G10" s="56" t="s">
        <v>208</v>
      </c>
      <c r="H10" s="56" t="s">
        <v>225</v>
      </c>
    </row>
    <row r="11" spans="2:11" x14ac:dyDescent="0.3">
      <c r="B11" s="55"/>
      <c r="C11" s="55"/>
      <c r="D11" s="56" t="s">
        <v>194</v>
      </c>
      <c r="E11" s="56" t="s">
        <v>201</v>
      </c>
      <c r="F11" s="56"/>
      <c r="G11" s="56" t="s">
        <v>209</v>
      </c>
      <c r="H11" s="56" t="s">
        <v>226</v>
      </c>
    </row>
    <row r="12" spans="2:11" x14ac:dyDescent="0.3">
      <c r="B12" s="55"/>
      <c r="C12" s="55"/>
      <c r="D12" s="56"/>
      <c r="E12" s="56"/>
      <c r="F12" s="56"/>
      <c r="G12" s="56" t="s">
        <v>210</v>
      </c>
      <c r="H12" s="56" t="s">
        <v>227</v>
      </c>
    </row>
    <row r="13" spans="2:11" x14ac:dyDescent="0.3">
      <c r="B13" s="55"/>
      <c r="C13" s="55"/>
      <c r="D13" s="56"/>
      <c r="E13" s="56"/>
      <c r="F13" s="56"/>
      <c r="G13" s="56" t="s">
        <v>211</v>
      </c>
      <c r="H13" s="56" t="s">
        <v>228</v>
      </c>
    </row>
    <row r="14" spans="2:11" x14ac:dyDescent="0.3">
      <c r="B14" s="55"/>
      <c r="C14" s="55"/>
      <c r="D14" s="56"/>
      <c r="E14" s="56"/>
      <c r="F14" s="56"/>
      <c r="G14" s="56" t="s">
        <v>212</v>
      </c>
      <c r="H14" s="56" t="s">
        <v>229</v>
      </c>
    </row>
    <row r="15" spans="2:11" x14ac:dyDescent="0.3">
      <c r="B15" s="55"/>
      <c r="C15" s="55"/>
      <c r="D15" s="56"/>
      <c r="E15" s="56"/>
      <c r="F15" s="56"/>
      <c r="G15" s="56" t="s">
        <v>213</v>
      </c>
      <c r="H15" s="56" t="s">
        <v>230</v>
      </c>
    </row>
    <row r="16" spans="2:11" x14ac:dyDescent="0.3">
      <c r="B16" s="55"/>
      <c r="C16" s="55"/>
      <c r="D16" s="56"/>
      <c r="E16" s="56"/>
      <c r="F16" s="56"/>
      <c r="G16" s="56" t="s">
        <v>214</v>
      </c>
      <c r="H16" s="56" t="s">
        <v>231</v>
      </c>
    </row>
    <row r="17" spans="2:8" x14ac:dyDescent="0.3">
      <c r="B17" s="55"/>
      <c r="C17" s="55"/>
      <c r="D17" s="56"/>
      <c r="E17" s="56"/>
      <c r="F17" s="56"/>
      <c r="G17" s="56" t="s">
        <v>215</v>
      </c>
      <c r="H17" s="56" t="s">
        <v>232</v>
      </c>
    </row>
    <row r="18" spans="2:8" x14ac:dyDescent="0.3">
      <c r="B18" s="55"/>
      <c r="C18" s="55"/>
      <c r="D18" s="56"/>
      <c r="E18" s="56"/>
      <c r="F18" s="56"/>
      <c r="G18" s="56" t="s">
        <v>216</v>
      </c>
      <c r="H18" s="56" t="s">
        <v>233</v>
      </c>
    </row>
    <row r="24" spans="2:8" x14ac:dyDescent="0.3">
      <c r="C24" t="s">
        <v>176</v>
      </c>
    </row>
    <row r="25" spans="2:8" x14ac:dyDescent="0.3">
      <c r="C25" t="s">
        <v>235</v>
      </c>
    </row>
    <row r="26" spans="2:8" x14ac:dyDescent="0.3">
      <c r="C26" t="s">
        <v>236</v>
      </c>
    </row>
    <row r="27" spans="2:8" x14ac:dyDescent="0.3">
      <c r="C27" t="s">
        <v>237</v>
      </c>
    </row>
    <row r="28" spans="2:8" x14ac:dyDescent="0.3">
      <c r="C28" t="s">
        <v>238</v>
      </c>
    </row>
    <row r="29" spans="2:8" x14ac:dyDescent="0.3">
      <c r="C29" t="s">
        <v>239</v>
      </c>
    </row>
    <row r="30" spans="2:8" x14ac:dyDescent="0.3">
      <c r="C30" t="s">
        <v>176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2025-08-20T10:35:03Z</cp:lastPrinted>
  <dcterms:created xsi:type="dcterms:W3CDTF">2019-07-16T09:29:46Z</dcterms:created>
  <dcterms:modified xsi:type="dcterms:W3CDTF">2025-08-20T10:35:36Z</dcterms:modified>
</cp:coreProperties>
</file>