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43D4C6B1-2450-486C-8063-8415413172B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6" i="1" l="1"/>
  <c r="M137" i="1"/>
  <c r="M138" i="1"/>
  <c r="M139" i="1"/>
  <c r="M140" i="1"/>
  <c r="M141" i="1"/>
  <c r="M135" i="1"/>
  <c r="K81" i="1"/>
  <c r="G96" i="1"/>
  <c r="G97" i="1"/>
  <c r="G101" i="1"/>
  <c r="G102" i="1" s="1"/>
  <c r="D109" i="1"/>
  <c r="L109" i="1" s="1"/>
  <c r="L114" i="1"/>
  <c r="D136" i="1"/>
  <c r="L136" i="1" s="1"/>
  <c r="D149" i="1"/>
  <c r="D148" i="1"/>
  <c r="D147" i="1"/>
  <c r="D146" i="1"/>
  <c r="D145" i="1"/>
  <c r="D144" i="1"/>
  <c r="D141" i="1"/>
  <c r="D140" i="1"/>
  <c r="D139" i="1"/>
  <c r="L139" i="1" s="1"/>
  <c r="D138" i="1"/>
  <c r="L138" i="1" s="1"/>
  <c r="D137" i="1"/>
  <c r="L137" i="1" s="1"/>
  <c r="D135" i="1"/>
  <c r="L135" i="1" s="1"/>
  <c r="E133" i="1"/>
  <c r="E132" i="1"/>
  <c r="E131" i="1"/>
  <c r="D133" i="1"/>
  <c r="L133" i="1" s="1"/>
  <c r="D132" i="1"/>
  <c r="L132" i="1" s="1"/>
  <c r="D131" i="1"/>
  <c r="L131" i="1" s="1"/>
  <c r="D130" i="1"/>
  <c r="L130" i="1" s="1"/>
  <c r="D129" i="1"/>
  <c r="L129" i="1" s="1"/>
  <c r="D128" i="1"/>
  <c r="L128" i="1" s="1"/>
  <c r="D127" i="1"/>
  <c r="L127" i="1" s="1"/>
  <c r="D125" i="1"/>
  <c r="D124" i="1"/>
  <c r="D123" i="1"/>
  <c r="D122" i="1"/>
  <c r="D118" i="1"/>
  <c r="L118" i="1" s="1"/>
  <c r="D117" i="1"/>
  <c r="D116" i="1"/>
  <c r="L116" i="1" s="1"/>
  <c r="D115" i="1"/>
  <c r="D113" i="1"/>
  <c r="D112" i="1"/>
  <c r="L112" i="1" s="1"/>
  <c r="D111" i="1"/>
  <c r="L111" i="1" s="1"/>
  <c r="D110" i="1"/>
  <c r="L110" i="1" s="1"/>
  <c r="D108" i="1"/>
  <c r="L108" i="1" s="1"/>
  <c r="J107" i="1"/>
  <c r="A145" i="1"/>
  <c r="A146" i="1" s="1"/>
  <c r="A147" i="1" s="1"/>
  <c r="A148" i="1" s="1"/>
  <c r="A149" i="1" s="1"/>
  <c r="G143" i="1"/>
  <c r="A136" i="1"/>
  <c r="A137" i="1" s="1"/>
  <c r="A138" i="1" s="1"/>
  <c r="A139" i="1" s="1"/>
  <c r="A140" i="1" s="1"/>
  <c r="A141" i="1" s="1"/>
  <c r="G135" i="1"/>
  <c r="G136" i="1" s="1"/>
  <c r="G137" i="1" s="1"/>
  <c r="G138" i="1" s="1"/>
  <c r="G139" i="1" s="1"/>
  <c r="G140" i="1" s="1"/>
  <c r="G141" i="1" s="1"/>
  <c r="F154" i="1"/>
  <c r="F153" i="1"/>
  <c r="F152" i="1"/>
  <c r="A152" i="1"/>
  <c r="A153" i="1" s="1"/>
  <c r="A154" i="1" s="1"/>
  <c r="G151" i="1"/>
  <c r="G152" i="1" s="1"/>
  <c r="G153" i="1" s="1"/>
  <c r="G154" i="1" s="1"/>
  <c r="F151" i="1"/>
  <c r="J123" i="1"/>
  <c r="J122" i="1"/>
  <c r="A123" i="1"/>
  <c r="A124" i="1" s="1"/>
  <c r="A125" i="1" s="1"/>
  <c r="G122" i="1"/>
  <c r="G123" i="1" s="1"/>
  <c r="G124" i="1" s="1"/>
  <c r="G125" i="1" s="1"/>
  <c r="J112" i="1"/>
  <c r="A116" i="1"/>
  <c r="A117" i="1" s="1"/>
  <c r="A118" i="1" s="1"/>
  <c r="G115" i="1"/>
  <c r="E101" i="1" l="1"/>
  <c r="E102" i="1" s="1"/>
  <c r="E97" i="1"/>
  <c r="C97" i="1"/>
  <c r="G98" i="1"/>
  <c r="E96" i="1"/>
  <c r="C101" i="1"/>
  <c r="C102" i="1" s="1"/>
  <c r="C96" i="1"/>
  <c r="C98" i="1" s="1"/>
  <c r="L115" i="1"/>
  <c r="L140" i="1"/>
  <c r="L113" i="1"/>
  <c r="L141" i="1"/>
  <c r="L117" i="1"/>
  <c r="Z12" i="1"/>
  <c r="I14" i="1"/>
  <c r="E98" i="1" l="1"/>
  <c r="E103" i="1" s="1"/>
  <c r="G103" i="1"/>
  <c r="C103" i="1"/>
  <c r="E43" i="1" l="1"/>
  <c r="E44" i="1" s="1"/>
  <c r="C15" i="1" l="1"/>
  <c r="E30" i="1" l="1"/>
  <c r="A128" i="1" l="1"/>
  <c r="A129" i="1" s="1"/>
  <c r="A130" i="1" s="1"/>
  <c r="A131" i="1" s="1"/>
  <c r="A132" i="1" s="1"/>
  <c r="A133" i="1" s="1"/>
  <c r="G127" i="1"/>
  <c r="G128" i="1" s="1"/>
  <c r="G129" i="1" s="1"/>
  <c r="G130" i="1" s="1"/>
  <c r="G131" i="1" s="1"/>
  <c r="G132" i="1" s="1"/>
  <c r="G133" i="1" s="1"/>
  <c r="F93" i="1" l="1"/>
  <c r="B181" i="1" l="1"/>
  <c r="A174" i="1"/>
  <c r="A162" i="1"/>
  <c r="A168" i="1"/>
  <c r="F178" i="1" l="1"/>
  <c r="F177" i="1"/>
  <c r="F176" i="1"/>
  <c r="F175" i="1"/>
  <c r="F174" i="1"/>
  <c r="F172" i="1"/>
  <c r="F171" i="1"/>
  <c r="F170" i="1"/>
  <c r="F169" i="1"/>
  <c r="F168" i="1"/>
  <c r="F166" i="1"/>
  <c r="F165" i="1"/>
  <c r="F164" i="1"/>
  <c r="F163" i="1"/>
  <c r="F162" i="1"/>
  <c r="F160" i="1"/>
  <c r="F159" i="1"/>
  <c r="F157" i="1"/>
  <c r="F156" i="1"/>
  <c r="F158" i="1"/>
  <c r="A169" i="1"/>
  <c r="A163" i="1"/>
  <c r="A175" i="1"/>
  <c r="B182" i="1" l="1"/>
  <c r="A176" i="1"/>
  <c r="A164" i="1"/>
  <c r="A17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2" i="1"/>
  <c r="G174" i="1"/>
  <c r="G175" i="1" s="1"/>
  <c r="G176" i="1" s="1"/>
  <c r="G177" i="1" s="1"/>
  <c r="G178" i="1" s="1"/>
  <c r="G168" i="1"/>
  <c r="G169" i="1" s="1"/>
  <c r="G170" i="1" s="1"/>
  <c r="G171" i="1" s="1"/>
  <c r="G172" i="1" s="1"/>
  <c r="G162" i="1"/>
  <c r="G163" i="1" s="1"/>
  <c r="G164" i="1" s="1"/>
  <c r="G165" i="1" s="1"/>
  <c r="G166" i="1" s="1"/>
  <c r="G156" i="1"/>
  <c r="G157" i="1" s="1"/>
  <c r="G158" i="1" s="1"/>
  <c r="G159" i="1" s="1"/>
  <c r="G160" i="1" s="1"/>
  <c r="A156" i="1"/>
  <c r="A157" i="1" s="1"/>
  <c r="A158" i="1" s="1"/>
  <c r="A159" i="1" s="1"/>
  <c r="A160" i="1" s="1"/>
  <c r="A109" i="1"/>
  <c r="A110" i="1" s="1"/>
  <c r="A111" i="1" s="1"/>
  <c r="A112" i="1" s="1"/>
  <c r="A113" i="1" s="1"/>
  <c r="G108" i="1"/>
  <c r="C66" i="1"/>
  <c r="D55" i="1"/>
  <c r="G50" i="1"/>
  <c r="G51" i="1" s="1"/>
  <c r="C50" i="1"/>
  <c r="E27" i="1"/>
  <c r="E25" i="1"/>
  <c r="E3" i="1"/>
  <c r="A171" i="1"/>
  <c r="A177" i="1"/>
  <c r="A165" i="1"/>
  <c r="D60" i="1" l="1"/>
  <c r="A172" i="1"/>
  <c r="H67" i="1"/>
  <c r="A166" i="1"/>
  <c r="A178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<sst xmlns="http://schemas.openxmlformats.org/spreadsheetml/2006/main" count="394" uniqueCount="287">
  <si>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</si>
  <si>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</si>
  <si>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</si>
  <si>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</si>
  <si>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</si>
  <si>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</si>
  <si>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</si>
  <si>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</si>
  <si>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</si>
  <si>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</si>
  <si>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</si>
  <si>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</si>
  <si>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</si>
  <si>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</si>
  <si>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</si>
  <si>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</si>
  <si>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</si>
  <si>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</si>
  <si>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</si>
  <si>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</si>
  <si>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</si>
  <si>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</si>
  <si>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</si>
  <si>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</si>
  <si>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</si>
  <si>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</si>
  <si>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</si>
  <si>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</si>
  <si>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</si>
  <si>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</si>
  <si>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</si>
  <si>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</si>
  <si>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</si>
  <si>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</si>
  <si>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</si>
  <si>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</si>
  <si>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</si>
  <si>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</si>
  <si>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</si>
  <si>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</si>
  <si>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</si>
  <si>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</si>
  <si>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</si>
  <si>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</si>
  <si>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</si>
  <si>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</si>
  <si>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</si>
  <si>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</si>
  <si>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</si>
  <si>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</si>
  <si>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</si>
  <si>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</si>
  <si>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</si>
  <si>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</si>
  <si>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</si>
  <si>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</si>
  <si>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</si>
  <si>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</si>
  <si>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</si>
  <si>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</si>
  <si>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</si>
  <si>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</si>
  <si>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</si>
  <si>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</si>
  <si>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</si>
  <si>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</si>
  <si>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</si>
  <si>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</si>
  <si>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</si>
  <si>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</si>
  <si>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</si>
  <si>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</si>
  <si>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</si>
  <si>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</si>
  <si>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</si>
  <si>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</si>
  <si>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</si>
  <si>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</si>
  <si>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</si>
  <si>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</si>
  <si>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</si>
  <si>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</si>
  <si>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</si>
  <si>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</si>
  <si>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</si>
  <si>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</si>
  <si>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</si>
  <si>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</si>
  <si>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</si>
  <si>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</si>
  <si>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</si>
  <si>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</si>
  <si>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</si>
  <si>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</si>
  <si>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</si>
  <si>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</si>
  <si>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</si>
  <si>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</si>
  <si>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</si>
  <si>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</si>
  <si>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</si>
  <si>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</si>
  <si>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</si>
  <si>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</si>
  <si>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</si>
  <si>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</si>
  <si>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</si>
  <si>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</si>
  <si>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</si>
  <si>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</si>
  <si>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</si>
  <si>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</si>
  <si>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</si>
  <si>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</si>
  <si>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</si>
  <si>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</si>
  <si>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</si>
  <si>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</si>
  <si>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</si>
  <si>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</si>
  <si>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</si>
  <si>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</si>
  <si>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</si>
  <si>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</si>
  <si>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</si>
  <si>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</si>
  <si>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</si>
  <si>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</si>
  <si>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</si>
  <si>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</si>
  <si>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</si>
  <si>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</si>
  <si>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</si>
  <si>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</si>
  <si>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</si>
  <si>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</si>
  <si>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</si>
  <si>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</si>
  <si>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</si>
  <si>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</si>
  <si>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</si>
  <si>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</si>
  <si>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</si>
  <si>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</si>
  <si>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</si>
  <si>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</si>
  <si>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</si>
  <si>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</si>
  <si>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</si>
  <si>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</si>
  <si>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</si>
  <si>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</si>
  <si>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</si>
  <si>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</si>
  <si>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</si>
  <si>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</si>
  <si>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</si>
  <si>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</si>
  <si>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</si>
  <si>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</si>
  <si>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</si>
  <si>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</si>
  <si>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</si>
  <si>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</si>
  <si>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</si>
  <si>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</si>
  <si>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</si>
  <si>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</si>
  <si>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</si>
  <si>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</si>
  <si>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</si>
  <si>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</si>
  <si>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</si>
  <si>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</si>
  <si>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</si>
  <si>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</si>
  <si>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</si>
  <si>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</si>
  <si>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</si>
  <si>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</si>
  <si>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</si>
  <si>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</si>
  <si>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</si>
  <si>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</si>
  <si>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</si>
  <si>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</si>
  <si>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</si>
  <si>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</si>
  <si>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</si>
  <si>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</si>
  <si>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</si>
  <si>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</si>
  <si>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</si>
  <si>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</si>
  <si>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</si>
  <si>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</si>
  <si>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</si>
  <si>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</si>
  <si>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</si>
  <si>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</si>
  <si>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</si>
  <si>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</si>
  <si>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</si>
  <si>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</si>
  <si>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</si>
  <si>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</si>
  <si>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</si>
  <si>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</si>
  <si>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</si>
  <si>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</si>
  <si>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</si>
  <si>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</si>
  <si>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</si>
  <si>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</si>
  <si>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</si>
  <si>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</si>
  <si>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</si>
  <si>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</si>
  <si>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</si>
  <si>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</si>
  <si>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</si>
  <si>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</si>
  <si>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</si>
  <si>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</si>
  <si>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</si>
  <si>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</si>
  <si>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</si>
  <si>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</si>
  <si>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</si>
  <si>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</si>
  <si>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</si>
  <si>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</si>
  <si>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</si>
  <si>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</si>
  <si>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</si>
  <si>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Heetraj Heights</t>
  </si>
  <si>
    <t>Yamutai Balaji Vichare</t>
  </si>
  <si>
    <t>Name of the builder As per RERA</t>
  </si>
  <si>
    <t>Y. B. Developers</t>
  </si>
  <si>
    <t>P52000050015</t>
  </si>
  <si>
    <t>Axis Badlapur</t>
  </si>
  <si>
    <t>Mr.Abhishek 8097639370</t>
  </si>
  <si>
    <t>0.210KM from Karjat Railway Station</t>
  </si>
  <si>
    <t>Karjat West</t>
  </si>
  <si>
    <t>Bhisegaon</t>
  </si>
  <si>
    <t>Internal Road</t>
  </si>
  <si>
    <t>Radhe Galaxy</t>
  </si>
  <si>
    <t>Bungalow</t>
  </si>
  <si>
    <t>Siddhivinayak Residency</t>
  </si>
  <si>
    <t>Survey No. 43C</t>
  </si>
  <si>
    <t>Internal Road/ S.No.447C</t>
  </si>
  <si>
    <t>Other Plot</t>
  </si>
  <si>
    <t>S.No.447B</t>
  </si>
  <si>
    <t>https://goo.gl/maps/GMtA8bR6ebTqE9g66</t>
  </si>
  <si>
    <t>Karjat Municipal Council</t>
  </si>
  <si>
    <t>S.R.31/21-22</t>
  </si>
  <si>
    <t>Imarat/SB.1/KT-1/S.R.31/21-22</t>
  </si>
  <si>
    <t>Gr + 1st to 7th Floor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</si>
  <si>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</si>
  <si>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Entrance Lobby, Vitrified Tiles, Kitchen Platform</t>
  </si>
  <si>
    <t>Shops</t>
  </si>
  <si>
    <t>Offices</t>
  </si>
  <si>
    <t>Flats</t>
  </si>
  <si>
    <t>Shop</t>
  </si>
  <si>
    <t>Ground Floor For Commercial &amp; Parking</t>
  </si>
  <si>
    <t>Office</t>
  </si>
  <si>
    <t xml:space="preserve">1st Floor For Part Commercial </t>
  </si>
  <si>
    <t>1st Floor For Part Residential</t>
  </si>
  <si>
    <t>2nd Floor For Residential</t>
  </si>
  <si>
    <t>3rd to 6th Floor</t>
  </si>
  <si>
    <t>7th Floor (Part Terrace Area)</t>
  </si>
  <si>
    <t>Terrace Area</t>
  </si>
  <si>
    <t>-</t>
  </si>
  <si>
    <t>We considered Gross carpet area = Net carpet + Balcony.</t>
  </si>
  <si>
    <t>Builder Saleable area</t>
  </si>
  <si>
    <t xml:space="preserve">Builder </t>
  </si>
  <si>
    <t>Visitor</t>
  </si>
  <si>
    <t>Flats - 45, Shops - 6, Offices - 4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</si>
  <si>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</si>
  <si>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Approved Plans, CC, Builder Saleble Area, Cost Sheet</t>
  </si>
  <si>
    <t>Miss. Priyansha Mishra 961913297</t>
  </si>
  <si>
    <t>18.912899,73.318968</t>
  </si>
  <si>
    <t xml:space="preserve">As per subsequent report dated 10/07/2024, The project has been temporarily suspended on RERA by the authority.
</t>
  </si>
  <si>
    <t>Naynesh Sunil Lovanshi</t>
  </si>
  <si>
    <t>As per RERA - 31/03/2027</t>
  </si>
  <si>
    <t>Construction work is in process at the time of visit (Slow Speed).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</si>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</sst>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7" fontId="6" fillId="0" borderId="15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216483</xdr:colOff>
      <xdr:row>287</xdr:row>
      <xdr:rowOff>0</xdr:rowOff>
    </xdr:from>
    <xdr:to>
      <xdr:col>7</xdr:col>
      <xdr:colOff>484778</xdr:colOff>
      <xdr:row>301</xdr:row>
      <xdr:rowOff>82472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483" y="53218773"/>
          <a:ext cx="5940000" cy="28706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216483</xdr:colOff>
      <xdr:row>302</xdr:row>
      <xdr:rowOff>98714</xdr:rowOff>
    </xdr:from>
    <xdr:to>
      <xdr:col>7</xdr:col>
      <xdr:colOff>484778</xdr:colOff>
      <xdr:row>324</xdr:row>
      <xdr:rowOff>127753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483" y="56304873"/>
          <a:ext cx="5940000" cy="44105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43296</xdr:colOff>
      <xdr:row>311</xdr:row>
      <xdr:rowOff>0</xdr:rowOff>
    </xdr:from>
    <xdr:to>
      <xdr:col>3</xdr:col>
      <xdr:colOff>762000</xdr:colOff>
      <xdr:row>314</xdr:row>
      <xdr:rowOff>112568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450523" y="57998591"/>
          <a:ext cx="718704" cy="710045"/>
        </a:xfrm>
        <a:prstGeom prst="rect">
          <a:avLst/>
        </a:prstGeom>
        <a:noFill/>
        <a:ln w="762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680383</xdr:colOff>
      <xdr:row>267</xdr:row>
      <xdr:rowOff>61911</xdr:rowOff>
    </xdr:from>
    <xdr:to>
      <xdr:col>7</xdr:col>
      <xdr:colOff>48678</xdr:colOff>
      <xdr:row>283</xdr:row>
      <xdr:rowOff>131804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383" y="48899184"/>
          <a:ext cx="5040000" cy="32564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320383</xdr:colOff>
      <xdr:row>245</xdr:row>
      <xdr:rowOff>0</xdr:rowOff>
    </xdr:from>
    <xdr:to>
      <xdr:col>7</xdr:col>
      <xdr:colOff>408678</xdr:colOff>
      <xdr:row>265</xdr:row>
      <xdr:rowOff>89004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383" y="44455773"/>
          <a:ext cx="5760000" cy="40721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0</xdr:colOff>
      <xdr:row>121</xdr:row>
      <xdr:rowOff>0</xdr:rowOff>
    </xdr:from>
    <xdr:to>
      <xdr:col>19</xdr:col>
      <xdr:colOff>570917</xdr:colOff>
      <xdr:row>138</xdr:row>
      <xdr:rowOff>4772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86159" y="24868909"/>
          <a:ext cx="4666667" cy="33904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186</xdr:row>
      <xdr:rowOff>0</xdr:rowOff>
    </xdr:from>
    <xdr:to>
      <xdr:col>10</xdr:col>
      <xdr:colOff>304800</xdr:colOff>
      <xdr:row>186</xdr:row>
      <xdr:rowOff>304800</xdr:rowOff>
    </xdr:to>
    <xdr:sp macro="" textlink="">
      <xdr:nvSpPr>
        <xdr:cNvPr id="1043" name="AutoShape 19" descr="blob:https://web.whatsapp.com/2db520df-8885-4422-bbd3-56b12655048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8305800" y="3229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188</xdr:row>
      <xdr:rowOff>0</xdr:rowOff>
    </xdr:from>
    <xdr:to>
      <xdr:col>10</xdr:col>
      <xdr:colOff>304800</xdr:colOff>
      <xdr:row>190</xdr:row>
      <xdr:rowOff>105641</xdr:rowOff>
    </xdr:to>
    <xdr:sp macro="" textlink="">
      <xdr:nvSpPr>
        <xdr:cNvPr id="1044" name="AutoShape 20" descr="blob:https://web.whatsapp.com/2db520df-8885-4422-bbd3-56b12655048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305800" y="3293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684068</xdr:colOff>
      <xdr:row>182</xdr:row>
      <xdr:rowOff>17318</xdr:rowOff>
    </xdr:from>
    <xdr:to>
      <xdr:col>13</xdr:col>
      <xdr:colOff>171000</xdr:colOff>
      <xdr:row>192</xdr:row>
      <xdr:rowOff>72422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7159" y="31406523"/>
          <a:ext cx="3600000" cy="2089991"/>
        </a:xfrm>
        <a:prstGeom prst="rect">
          <a:avLst/>
        </a:prstGeom>
      </xdr:spPr>
    </xdr:pic>
    <xdr:clientData/>
  </xdr:twoCellAnchor>
  <xdr:twoCellAnchor>
    <xdr:from>
      <xdr:col>8</xdr:col>
      <xdr:colOff>800100</xdr:colOff>
      <xdr:row>199</xdr:row>
      <xdr:rowOff>112395</xdr:rowOff>
    </xdr:from>
    <xdr:to>
      <xdr:col>15</xdr:col>
      <xdr:colOff>755330</xdr:colOff>
      <xdr:row>240</xdr:row>
      <xdr:rowOff>7620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EC50D67C-7EC0-446E-9B93-728B684E67F0}"/>
            </a:ext>
          </a:extLst>
        </xdr:cNvPr>
        <xdr:cNvGrpSpPr/>
      </xdr:nvGrpSpPr>
      <xdr:grpSpPr>
        <a:xfrm>
          <a:off x="7353300" y="34935795"/>
          <a:ext cx="5738810" cy="7812405"/>
          <a:chOff x="460772" y="323850"/>
          <a:chExt cx="5586410" cy="7886700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213E58EF-4DF4-4A8C-B2EA-4DB9D0CF6D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773" y="323850"/>
            <a:ext cx="2618182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71A5FBCA-E68A-49C9-B6DF-922FF8B138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53977" y="323850"/>
            <a:ext cx="2618182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BD7628B6-6FCD-49FC-8EEA-61993EC58E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772" y="3712608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3FC1D6DF-9C52-449B-B7DD-6AC126ABF1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7391" y="3712608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D67362D1-010B-44B9-9B48-610FC8E28E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94010" y="3712608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B1C20D12-316D-48C9-B8A2-B90969CB64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3658" y="620136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34E6D301-1F71-4908-B53E-D77E590494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7636" y="623055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C7F38378-8431-4630-9E79-3A3B248310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71614" y="620136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274320</xdr:colOff>
      <xdr:row>203</xdr:row>
      <xdr:rowOff>0</xdr:rowOff>
    </xdr:from>
    <xdr:to>
      <xdr:col>7</xdr:col>
      <xdr:colOff>251460</xdr:colOff>
      <xdr:row>242</xdr:row>
      <xdr:rowOff>83820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B926C88-6900-BFD5-170C-1EE53BC961DA}"/>
            </a:ext>
          </a:extLst>
        </xdr:cNvPr>
        <xdr:cNvGrpSpPr/>
      </xdr:nvGrpSpPr>
      <xdr:grpSpPr>
        <a:xfrm>
          <a:off x="274320" y="35417760"/>
          <a:ext cx="5806440" cy="7802880"/>
          <a:chOff x="278519" y="160326"/>
          <a:chExt cx="6009006" cy="860588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CEDC84B-6383-B250-DC1F-FD0C3A1EDC2B}"/>
              </a:ext>
            </a:extLst>
          </xdr:cNvPr>
          <xdr:cNvGrpSpPr/>
        </xdr:nvGrpSpPr>
        <xdr:grpSpPr>
          <a:xfrm>
            <a:off x="321016" y="160326"/>
            <a:ext cx="5924012" cy="3844006"/>
            <a:chOff x="384988" y="160326"/>
            <a:chExt cx="5924012" cy="3844006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DB415F67-25DB-AB86-7034-43D993479E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84988" y="16032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B0FD1B3B-4A74-47F1-52B2-79ECAB32DB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29000" y="160326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6AAD4E33-C35D-7DAF-B548-F596CE4238BA}"/>
              </a:ext>
            </a:extLst>
          </xdr:cNvPr>
          <xdr:cNvGrpSpPr/>
        </xdr:nvGrpSpPr>
        <xdr:grpSpPr>
          <a:xfrm>
            <a:off x="278519" y="4225269"/>
            <a:ext cx="6009006" cy="2520000"/>
            <a:chOff x="257045" y="4225269"/>
            <a:chExt cx="6009006" cy="252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4C2A1566-C7F2-33FD-EFD9-365DC1D765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78020" y="42252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8025AD3F-58EB-95D6-B3F0-0B19216E90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17532" y="42252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D6661FC1-3E79-A1E6-9FC9-B7868F3CB9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7045" y="42252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B1590DB6-6F68-6483-048B-69A388B0A447}"/>
              </a:ext>
            </a:extLst>
          </xdr:cNvPr>
          <xdr:cNvGrpSpPr/>
        </xdr:nvGrpSpPr>
        <xdr:grpSpPr>
          <a:xfrm>
            <a:off x="1848200" y="6966206"/>
            <a:ext cx="2869644" cy="1800000"/>
            <a:chOff x="796482" y="6966206"/>
            <a:chExt cx="2869644" cy="180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98BE6615-1A7E-BCE1-EA55-4A94ABBCC7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96482" y="696620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EE8BD68F-64DF-3AC4-B724-1C883AC241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17532" y="696620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MtA8bR6ebTqE9g6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27"/>
  <sheetViews>
    <sheetView tabSelected="1" showWhiteSpace="0" view="pageBreakPreview" topLeftCell="A221" zoomScaleNormal="100" zoomScaleSheetLayoutView="100" zoomScalePageLayoutView="85" workbookViewId="0">
      <selection activeCell="K274" sqref="K274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6" width="11.6640625" style="39" customWidth="1"/>
    <col min="7" max="7" width="11.44140625" style="39" customWidth="1"/>
    <col min="8" max="8" width="10.554687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26" ht="46.5" customHeight="1" x14ac:dyDescent="0.3">
      <c r="A1" s="151" t="s">
        <v>278</v>
      </c>
      <c r="B1" s="151"/>
      <c r="C1" s="151"/>
      <c r="D1" s="151"/>
      <c r="E1" s="151"/>
      <c r="F1" s="151"/>
      <c r="G1" s="151"/>
      <c r="H1" s="151"/>
    </row>
    <row r="2" spans="1:26" ht="16.5" customHeight="1" x14ac:dyDescent="0.3">
      <c r="A2" s="81" t="s">
        <v>0</v>
      </c>
      <c r="B2" s="81"/>
      <c r="C2" s="81"/>
      <c r="D2" s="81"/>
      <c r="E2" s="81"/>
      <c r="F2" s="81"/>
      <c r="G2" s="81"/>
      <c r="H2" s="81"/>
    </row>
    <row r="3" spans="1:26" x14ac:dyDescent="0.3">
      <c r="A3" s="91" t="s">
        <v>1</v>
      </c>
      <c r="B3" s="91"/>
      <c r="C3" s="91"/>
      <c r="D3" s="91"/>
      <c r="E3" s="91" t="str">
        <f ca="1">TEXT(TODAY(),"DD/MM/YYYY")</f>
        <v>14/08/2025</v>
      </c>
      <c r="F3" s="91"/>
      <c r="G3" s="91"/>
      <c r="H3" s="91"/>
    </row>
    <row r="4" spans="1:26" ht="15" customHeight="1" x14ac:dyDescent="0.3">
      <c r="A4" s="91" t="s">
        <v>2</v>
      </c>
      <c r="B4" s="91"/>
      <c r="C4" s="91"/>
      <c r="D4" s="91"/>
      <c r="E4" s="91" t="s">
        <v>240</v>
      </c>
      <c r="F4" s="91"/>
      <c r="G4" s="91"/>
      <c r="H4" s="91"/>
    </row>
    <row r="5" spans="1:26" x14ac:dyDescent="0.3">
      <c r="A5" s="91" t="s">
        <v>3</v>
      </c>
      <c r="B5" s="91"/>
      <c r="C5" s="91"/>
      <c r="D5" s="91"/>
      <c r="E5" s="153">
        <v>45881</v>
      </c>
      <c r="F5" s="91"/>
      <c r="G5" s="91"/>
      <c r="H5" s="91"/>
    </row>
    <row r="6" spans="1:26" ht="16.5" customHeight="1" x14ac:dyDescent="0.3">
      <c r="A6" s="91" t="s">
        <v>237</v>
      </c>
      <c r="B6" s="91"/>
      <c r="C6" s="91"/>
      <c r="D6" s="91"/>
      <c r="E6" s="91" t="s">
        <v>236</v>
      </c>
      <c r="F6" s="91"/>
      <c r="G6" s="91"/>
      <c r="H6" s="91"/>
    </row>
    <row r="7" spans="1:26" ht="15" customHeight="1" x14ac:dyDescent="0.3">
      <c r="A7" s="91" t="s">
        <v>4</v>
      </c>
      <c r="B7" s="91"/>
      <c r="C7" s="91"/>
      <c r="D7" s="91"/>
      <c r="E7" s="91" t="s">
        <v>238</v>
      </c>
      <c r="F7" s="91"/>
      <c r="G7" s="91"/>
      <c r="H7" s="91"/>
    </row>
    <row r="8" spans="1:26" x14ac:dyDescent="0.3">
      <c r="A8" s="91" t="s">
        <v>5</v>
      </c>
      <c r="B8" s="91"/>
      <c r="C8" s="91"/>
      <c r="D8" s="91"/>
      <c r="E8" s="152" t="s">
        <v>235</v>
      </c>
      <c r="F8" s="152"/>
      <c r="G8" s="152"/>
      <c r="H8" s="152"/>
    </row>
    <row r="9" spans="1:26" x14ac:dyDescent="0.3">
      <c r="A9" s="91" t="s">
        <v>171</v>
      </c>
      <c r="B9" s="91"/>
      <c r="C9" s="91"/>
      <c r="D9" s="91"/>
      <c r="E9" s="91" t="s">
        <v>241</v>
      </c>
      <c r="F9" s="91"/>
      <c r="G9" s="91"/>
      <c r="H9" s="91"/>
    </row>
    <row r="10" spans="1:26" hidden="1" x14ac:dyDescent="0.3">
      <c r="A10" s="91" t="s">
        <v>172</v>
      </c>
      <c r="B10" s="91"/>
      <c r="C10" s="91"/>
      <c r="D10" s="91"/>
      <c r="E10" s="91" t="s">
        <v>280</v>
      </c>
      <c r="F10" s="91"/>
      <c r="G10" s="91"/>
      <c r="H10" s="91"/>
    </row>
    <row r="11" spans="1:26" x14ac:dyDescent="0.3">
      <c r="A11" s="91" t="s">
        <v>6</v>
      </c>
      <c r="B11" s="91"/>
      <c r="C11" s="91"/>
      <c r="D11" s="91"/>
      <c r="E11" s="91" t="s">
        <v>122</v>
      </c>
      <c r="F11" s="91"/>
      <c r="G11" s="91"/>
      <c r="H11" s="91"/>
    </row>
    <row r="12" spans="1:26" hidden="1" x14ac:dyDescent="0.3">
      <c r="A12" s="91" t="s">
        <v>174</v>
      </c>
      <c r="B12" s="91"/>
      <c r="C12" s="91"/>
      <c r="D12" s="91"/>
      <c r="E12" s="91"/>
      <c r="F12" s="91"/>
      <c r="G12" s="91"/>
      <c r="H12" s="91"/>
      <c r="S12" s="53" t="s">
        <v>182</v>
      </c>
      <c r="T12" s="53" t="s">
        <v>192</v>
      </c>
      <c r="U12" s="53" t="s">
        <v>175</v>
      </c>
      <c r="V12" s="53" t="s">
        <v>197</v>
      </c>
      <c r="W12" s="53" t="s">
        <v>215</v>
      </c>
      <c r="X12"/>
      <c r="Y12" t="s">
        <v>197</v>
      </c>
      <c r="Z12" t="e">
        <f ca="1">OFFSET($S$12,1,MATCH($G19,$S$12:$W$12,0)-1,15,1)</f>
        <v>#VALUE!</v>
      </c>
    </row>
    <row r="13" spans="1:26" ht="30.75" customHeight="1" x14ac:dyDescent="0.3">
      <c r="A13" s="71" t="s">
        <v>7</v>
      </c>
      <c r="B13" s="71"/>
      <c r="C13" s="71"/>
      <c r="D13" s="71"/>
      <c r="E13" s="107" t="s">
        <v>279</v>
      </c>
      <c r="F13" s="107"/>
      <c r="G13" s="107"/>
      <c r="H13" s="107"/>
      <c r="S13" s="53" t="s">
        <v>183</v>
      </c>
      <c r="T13" s="53" t="s">
        <v>190</v>
      </c>
      <c r="U13" s="53" t="s">
        <v>212</v>
      </c>
      <c r="V13" s="53" t="s">
        <v>198</v>
      </c>
      <c r="W13" s="53" t="s">
        <v>216</v>
      </c>
      <c r="X13"/>
      <c r="Y13"/>
      <c r="Z13"/>
    </row>
    <row r="14" spans="1:26" x14ac:dyDescent="0.3">
      <c r="A14" s="71" t="s">
        <v>8</v>
      </c>
      <c r="B14" s="71"/>
      <c r="C14" s="71"/>
      <c r="D14" s="71"/>
      <c r="E14" s="107" t="s">
        <v>239</v>
      </c>
      <c r="F14" s="91"/>
      <c r="G14" s="91"/>
      <c r="H14" s="91"/>
      <c r="I14" s="78" t="e">
        <f ca="1">OFFSET($D$4,1,MATCH($J12,$D$4:$H$4,0)-1,15,1)</f>
        <v>#N/A</v>
      </c>
      <c r="J14" s="79"/>
      <c r="K14" s="79"/>
      <c r="L14" s="79"/>
      <c r="M14" s="79"/>
      <c r="N14" s="79"/>
      <c r="O14" s="79"/>
      <c r="P14" s="79"/>
      <c r="S14" s="53" t="s">
        <v>184</v>
      </c>
      <c r="T14" s="53" t="s">
        <v>191</v>
      </c>
      <c r="U14" s="53" t="s">
        <v>213</v>
      </c>
      <c r="V14" s="53" t="s">
        <v>199</v>
      </c>
      <c r="W14" s="53" t="s">
        <v>229</v>
      </c>
      <c r="X14"/>
      <c r="Y14"/>
      <c r="Z14"/>
    </row>
    <row r="15" spans="1:26" ht="33.75" customHeight="1" x14ac:dyDescent="0.3">
      <c r="A15" s="89" t="s">
        <v>9</v>
      </c>
      <c r="B15" s="89"/>
      <c r="C15" s="8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Heetraj Heights, CTS No.443, near Radhe Galaxy, Internal Road, Bhisegaon, Karjat, Karjat West, Karjat, Raigad - 410201.</v>
      </c>
      <c r="D15" s="89"/>
      <c r="E15" s="89"/>
      <c r="F15" s="89"/>
      <c r="G15" s="89"/>
      <c r="H15" s="89"/>
      <c r="S15" s="53" t="s">
        <v>185</v>
      </c>
      <c r="T15" s="53" t="s">
        <v>193</v>
      </c>
      <c r="U15" s="53" t="s">
        <v>214</v>
      </c>
      <c r="V15" s="53" t="s">
        <v>200</v>
      </c>
      <c r="W15" s="53" t="s">
        <v>217</v>
      </c>
      <c r="X15"/>
      <c r="Y15"/>
      <c r="Z15"/>
    </row>
    <row r="16" spans="1:26" x14ac:dyDescent="0.3">
      <c r="A16" s="107" t="s">
        <v>179</v>
      </c>
      <c r="B16" s="107"/>
      <c r="C16" s="107">
        <v>443</v>
      </c>
      <c r="D16" s="107"/>
      <c r="E16" s="107"/>
      <c r="F16" s="107"/>
      <c r="G16" s="107"/>
      <c r="H16" s="107"/>
      <c r="S16" s="53" t="s">
        <v>186</v>
      </c>
      <c r="T16" s="53" t="s">
        <v>194</v>
      </c>
      <c r="U16" s="53"/>
      <c r="V16" s="53" t="s">
        <v>201</v>
      </c>
      <c r="W16" s="53" t="s">
        <v>218</v>
      </c>
      <c r="X16"/>
      <c r="Y16"/>
      <c r="Z16"/>
    </row>
    <row r="17" spans="1:26" ht="15.75" customHeight="1" x14ac:dyDescent="0.3">
      <c r="A17" s="107" t="s">
        <v>167</v>
      </c>
      <c r="B17" s="107"/>
      <c r="C17" s="107" t="s">
        <v>244</v>
      </c>
      <c r="D17" s="107"/>
      <c r="E17" s="107"/>
      <c r="F17" s="107"/>
      <c r="G17" s="107"/>
      <c r="H17" s="107"/>
      <c r="S17" s="53" t="s">
        <v>187</v>
      </c>
      <c r="T17" s="53" t="s">
        <v>192</v>
      </c>
      <c r="U17" s="53"/>
      <c r="V17" s="53" t="s">
        <v>202</v>
      </c>
      <c r="W17" s="53" t="s">
        <v>219</v>
      </c>
      <c r="X17"/>
      <c r="Y17"/>
      <c r="Z17"/>
    </row>
    <row r="18" spans="1:26" ht="15.75" customHeight="1" x14ac:dyDescent="0.3">
      <c r="A18" s="89" t="s">
        <v>10</v>
      </c>
      <c r="B18" s="89"/>
      <c r="C18" s="91" t="s">
        <v>245</v>
      </c>
      <c r="D18" s="91"/>
      <c r="E18" s="107" t="s">
        <v>72</v>
      </c>
      <c r="F18" s="107"/>
      <c r="G18" s="107" t="s">
        <v>201</v>
      </c>
      <c r="H18" s="107"/>
      <c r="S18" s="53" t="s">
        <v>188</v>
      </c>
      <c r="T18" s="53" t="s">
        <v>195</v>
      </c>
      <c r="U18" s="53"/>
      <c r="V18" s="53" t="s">
        <v>203</v>
      </c>
      <c r="W18" s="53" t="s">
        <v>220</v>
      </c>
      <c r="X18"/>
      <c r="Y18"/>
      <c r="Z18"/>
    </row>
    <row r="19" spans="1:26" x14ac:dyDescent="0.3">
      <c r="A19" s="71" t="s">
        <v>12</v>
      </c>
      <c r="B19" s="71"/>
      <c r="C19" s="154" t="s">
        <v>243</v>
      </c>
      <c r="D19" s="155"/>
      <c r="E19" s="107" t="s">
        <v>11</v>
      </c>
      <c r="F19" s="107"/>
      <c r="G19" s="156" t="s">
        <v>197</v>
      </c>
      <c r="H19" s="156"/>
      <c r="S19" s="53" t="s">
        <v>189</v>
      </c>
      <c r="T19" s="53" t="s">
        <v>196</v>
      </c>
      <c r="U19" s="53"/>
      <c r="V19" s="53" t="s">
        <v>204</v>
      </c>
      <c r="W19" s="53" t="s">
        <v>221</v>
      </c>
      <c r="X19"/>
      <c r="Y19"/>
      <c r="Z19"/>
    </row>
    <row r="20" spans="1:26" x14ac:dyDescent="0.3">
      <c r="A20" s="71" t="s">
        <v>73</v>
      </c>
      <c r="B20" s="71"/>
      <c r="C20" s="107" t="s">
        <v>201</v>
      </c>
      <c r="D20" s="107"/>
      <c r="E20" s="107" t="s">
        <v>13</v>
      </c>
      <c r="F20" s="107"/>
      <c r="G20" s="107">
        <v>410201</v>
      </c>
      <c r="H20" s="107"/>
      <c r="S20" s="53"/>
      <c r="T20" s="53"/>
      <c r="U20" s="53"/>
      <c r="V20" s="53" t="s">
        <v>205</v>
      </c>
      <c r="W20" s="53" t="s">
        <v>222</v>
      </c>
      <c r="X20"/>
      <c r="Y20"/>
      <c r="Z20"/>
    </row>
    <row r="21" spans="1:26" ht="32.25" customHeight="1" x14ac:dyDescent="0.3">
      <c r="A21" s="71" t="s">
        <v>123</v>
      </c>
      <c r="B21" s="71"/>
      <c r="C21" s="107" t="s">
        <v>246</v>
      </c>
      <c r="D21" s="107"/>
      <c r="E21" s="107" t="s">
        <v>14</v>
      </c>
      <c r="F21" s="107"/>
      <c r="G21" s="107" t="s">
        <v>242</v>
      </c>
      <c r="H21" s="107"/>
      <c r="S21" s="53"/>
      <c r="T21" s="53"/>
      <c r="U21" s="53"/>
      <c r="V21" s="53" t="s">
        <v>206</v>
      </c>
      <c r="W21" s="53" t="s">
        <v>223</v>
      </c>
      <c r="X21"/>
      <c r="Y21"/>
      <c r="Z21"/>
    </row>
    <row r="22" spans="1:26" ht="15" customHeight="1" x14ac:dyDescent="0.3">
      <c r="A22" s="89" t="s">
        <v>75</v>
      </c>
      <c r="B22" s="89"/>
      <c r="C22" s="89"/>
      <c r="D22" s="89"/>
      <c r="E22" s="91" t="s">
        <v>15</v>
      </c>
      <c r="F22" s="91"/>
      <c r="G22" s="91"/>
      <c r="H22" s="91"/>
      <c r="S22" s="53"/>
      <c r="T22" s="53"/>
      <c r="U22" s="53"/>
      <c r="V22" s="53" t="s">
        <v>207</v>
      </c>
      <c r="W22" s="53" t="s">
        <v>224</v>
      </c>
      <c r="X22"/>
      <c r="Y22"/>
      <c r="Z22"/>
    </row>
    <row r="23" spans="1:26" ht="18.75" customHeight="1" x14ac:dyDescent="0.3">
      <c r="A23" s="89"/>
      <c r="B23" s="89"/>
      <c r="C23" s="89"/>
      <c r="D23" s="89"/>
      <c r="E23" s="91"/>
      <c r="F23" s="91"/>
      <c r="G23" s="91"/>
      <c r="H23" s="91"/>
      <c r="S23" s="53"/>
      <c r="T23" s="53"/>
      <c r="U23" s="53"/>
      <c r="V23" s="53" t="s">
        <v>208</v>
      </c>
      <c r="W23" s="53" t="s">
        <v>225</v>
      </c>
      <c r="X23"/>
      <c r="Y23"/>
      <c r="Z23"/>
    </row>
    <row r="24" spans="1:26" ht="15" customHeight="1" x14ac:dyDescent="0.3">
      <c r="A24" s="89" t="s">
        <v>16</v>
      </c>
      <c r="B24" s="89"/>
      <c r="C24" s="89"/>
      <c r="D24" s="89"/>
      <c r="E24" s="107" t="s">
        <v>17</v>
      </c>
      <c r="F24" s="107"/>
      <c r="G24" s="107"/>
      <c r="H24" s="107"/>
      <c r="S24" s="53"/>
      <c r="T24" s="53"/>
      <c r="U24" s="53"/>
      <c r="V24" s="53" t="s">
        <v>209</v>
      </c>
      <c r="W24" s="53" t="s">
        <v>226</v>
      </c>
      <c r="X24"/>
      <c r="Y24"/>
      <c r="Z24"/>
    </row>
    <row r="25" spans="1:26" ht="15" customHeight="1" x14ac:dyDescent="0.3">
      <c r="A25" s="71" t="s">
        <v>18</v>
      </c>
      <c r="B25" s="71"/>
      <c r="C25" s="71"/>
      <c r="D25" s="71"/>
      <c r="E25" s="107" t="str">
        <f>IF(AND(G19="Mumbai"),"Upper Class","Middle Class")</f>
        <v>Middle Class</v>
      </c>
      <c r="F25" s="107"/>
      <c r="G25" s="107"/>
      <c r="H25" s="107"/>
      <c r="S25" s="53"/>
      <c r="T25" s="53"/>
      <c r="U25" s="53"/>
      <c r="V25" s="53" t="s">
        <v>210</v>
      </c>
      <c r="W25" s="53" t="s">
        <v>227</v>
      </c>
      <c r="X25"/>
      <c r="Y25"/>
      <c r="Z25"/>
    </row>
    <row r="26" spans="1:26" x14ac:dyDescent="0.3">
      <c r="A26" s="71" t="s">
        <v>19</v>
      </c>
      <c r="B26" s="71"/>
      <c r="C26" s="71"/>
      <c r="D26" s="71"/>
      <c r="E26" s="107" t="s">
        <v>20</v>
      </c>
      <c r="F26" s="107"/>
      <c r="G26" s="107"/>
      <c r="H26" s="107"/>
      <c r="S26" s="53"/>
      <c r="T26" s="53"/>
      <c r="U26" s="53"/>
      <c r="V26" s="53" t="s">
        <v>211</v>
      </c>
      <c r="W26" s="53" t="s">
        <v>228</v>
      </c>
      <c r="X26"/>
      <c r="Y26"/>
      <c r="Z26"/>
    </row>
    <row r="27" spans="1:26" ht="15.75" customHeight="1" x14ac:dyDescent="0.3">
      <c r="A27" s="71" t="s">
        <v>21</v>
      </c>
      <c r="B27" s="71"/>
      <c r="C27" s="71"/>
      <c r="D27" s="71"/>
      <c r="E27" s="107" t="str">
        <f>IF(AND(G19="Mumbai"),"Developed","Developing")</f>
        <v>Developing</v>
      </c>
      <c r="F27" s="107"/>
      <c r="G27" s="107"/>
      <c r="H27" s="107"/>
    </row>
    <row r="28" spans="1:26" x14ac:dyDescent="0.3">
      <c r="A28" s="71" t="s">
        <v>22</v>
      </c>
      <c r="B28" s="71"/>
      <c r="C28" s="71"/>
      <c r="D28" s="71"/>
      <c r="E28" s="107" t="s">
        <v>23</v>
      </c>
      <c r="F28" s="107"/>
      <c r="G28" s="107"/>
      <c r="H28" s="107"/>
    </row>
    <row r="29" spans="1:26" ht="15.75" customHeight="1" x14ac:dyDescent="0.3">
      <c r="A29" s="71" t="s">
        <v>79</v>
      </c>
      <c r="B29" s="71"/>
      <c r="C29" s="71"/>
      <c r="D29" s="71"/>
      <c r="E29" s="107" t="s">
        <v>80</v>
      </c>
      <c r="F29" s="107"/>
      <c r="G29" s="107"/>
      <c r="H29" s="107"/>
    </row>
    <row r="30" spans="1:26" ht="15" customHeight="1" x14ac:dyDescent="0.3">
      <c r="A30" s="71" t="s">
        <v>31</v>
      </c>
      <c r="B30" s="71"/>
      <c r="C30" s="71"/>
      <c r="D30" s="71"/>
      <c r="E30" s="10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07"/>
      <c r="G30" s="107"/>
      <c r="H30" s="107"/>
    </row>
    <row r="31" spans="1:26" ht="15.75" customHeight="1" x14ac:dyDescent="0.3">
      <c r="A31" s="71" t="s">
        <v>91</v>
      </c>
      <c r="B31" s="71"/>
      <c r="C31" s="71"/>
      <c r="D31" s="71"/>
      <c r="E31" s="107" t="s">
        <v>32</v>
      </c>
      <c r="F31" s="107"/>
      <c r="G31" s="107"/>
      <c r="H31" s="107"/>
    </row>
    <row r="32" spans="1:26" s="21" customFormat="1" x14ac:dyDescent="0.3">
      <c r="A32" s="164" t="s">
        <v>92</v>
      </c>
      <c r="B32" s="164"/>
      <c r="C32" s="161" t="s">
        <v>176</v>
      </c>
      <c r="D32" s="162"/>
      <c r="E32" s="163"/>
      <c r="F32" s="161" t="s">
        <v>29</v>
      </c>
      <c r="G32" s="162"/>
      <c r="H32" s="163"/>
    </row>
    <row r="33" spans="1:8" s="21" customFormat="1" x14ac:dyDescent="0.3">
      <c r="A33" s="157" t="s">
        <v>24</v>
      </c>
      <c r="B33" s="157" t="s">
        <v>28</v>
      </c>
      <c r="C33" s="158" t="s">
        <v>250</v>
      </c>
      <c r="D33" s="159"/>
      <c r="E33" s="160"/>
      <c r="F33" s="158" t="s">
        <v>245</v>
      </c>
      <c r="G33" s="159"/>
      <c r="H33" s="160"/>
    </row>
    <row r="34" spans="1:8" x14ac:dyDescent="0.3">
      <c r="A34" s="157" t="s">
        <v>25</v>
      </c>
      <c r="B34" s="157" t="s">
        <v>28</v>
      </c>
      <c r="C34" s="158" t="s">
        <v>251</v>
      </c>
      <c r="D34" s="159"/>
      <c r="E34" s="160"/>
      <c r="F34" s="158" t="s">
        <v>246</v>
      </c>
      <c r="G34" s="159"/>
      <c r="H34" s="160"/>
    </row>
    <row r="35" spans="1:8" s="21" customFormat="1" x14ac:dyDescent="0.3">
      <c r="A35" s="157" t="s">
        <v>27</v>
      </c>
      <c r="B35" s="157" t="s">
        <v>28</v>
      </c>
      <c r="C35" s="158" t="s">
        <v>252</v>
      </c>
      <c r="D35" s="159"/>
      <c r="E35" s="160"/>
      <c r="F35" s="158" t="s">
        <v>247</v>
      </c>
      <c r="G35" s="159"/>
      <c r="H35" s="160"/>
    </row>
    <row r="36" spans="1:8" x14ac:dyDescent="0.3">
      <c r="A36" s="157" t="s">
        <v>26</v>
      </c>
      <c r="B36" s="157" t="s">
        <v>28</v>
      </c>
      <c r="C36" s="158" t="s">
        <v>249</v>
      </c>
      <c r="D36" s="159"/>
      <c r="E36" s="160"/>
      <c r="F36" s="158" t="s">
        <v>248</v>
      </c>
      <c r="G36" s="159"/>
      <c r="H36" s="160"/>
    </row>
    <row r="37" spans="1:8" x14ac:dyDescent="0.3">
      <c r="A37" s="71" t="s">
        <v>30</v>
      </c>
      <c r="B37" s="71"/>
      <c r="C37" s="71"/>
      <c r="D37" s="71"/>
      <c r="E37" s="71"/>
      <c r="F37" s="71"/>
      <c r="G37" s="71"/>
      <c r="H37" s="71"/>
    </row>
    <row r="38" spans="1:8" ht="15.75" customHeight="1" x14ac:dyDescent="0.3">
      <c r="A38" s="71" t="s">
        <v>169</v>
      </c>
      <c r="B38" s="71"/>
      <c r="C38" s="149" t="s">
        <v>281</v>
      </c>
      <c r="D38" s="149"/>
      <c r="E38" s="149"/>
      <c r="F38" s="149"/>
      <c r="G38" s="149"/>
      <c r="H38" s="149"/>
    </row>
    <row r="39" spans="1:8" x14ac:dyDescent="0.3">
      <c r="A39" s="71" t="s">
        <v>166</v>
      </c>
      <c r="B39" s="71"/>
      <c r="C39" s="179" t="s">
        <v>253</v>
      </c>
      <c r="D39" s="107"/>
      <c r="E39" s="107"/>
      <c r="F39" s="107"/>
      <c r="G39" s="107"/>
      <c r="H39" s="107"/>
    </row>
    <row r="40" spans="1:8" x14ac:dyDescent="0.3">
      <c r="A40" s="149" t="s">
        <v>33</v>
      </c>
      <c r="B40" s="149"/>
      <c r="C40" s="149"/>
      <c r="D40" s="149"/>
      <c r="E40" s="149"/>
      <c r="F40" s="149"/>
      <c r="G40" s="149"/>
      <c r="H40" s="149"/>
    </row>
    <row r="41" spans="1:8" x14ac:dyDescent="0.3">
      <c r="A41" s="71" t="s">
        <v>34</v>
      </c>
      <c r="B41" s="71"/>
      <c r="C41" s="71"/>
      <c r="D41" s="71"/>
      <c r="E41" s="165">
        <v>1109.2</v>
      </c>
      <c r="F41" s="165"/>
      <c r="G41" s="165"/>
      <c r="H41" s="165"/>
    </row>
    <row r="42" spans="1:8" x14ac:dyDescent="0.3">
      <c r="A42" s="71" t="s">
        <v>35</v>
      </c>
      <c r="B42" s="71"/>
      <c r="C42" s="71"/>
      <c r="D42" s="71"/>
      <c r="E42" s="98">
        <v>1.1000000000000001</v>
      </c>
      <c r="F42" s="98"/>
      <c r="G42" s="98"/>
      <c r="H42" s="98"/>
    </row>
    <row r="43" spans="1:8" x14ac:dyDescent="0.3">
      <c r="A43" s="71" t="s">
        <v>36</v>
      </c>
      <c r="B43" s="71"/>
      <c r="C43" s="71"/>
      <c r="D43" s="71"/>
      <c r="E43" s="98">
        <f>E45/E41-E42</f>
        <v>1.1705914172376484</v>
      </c>
      <c r="F43" s="98"/>
      <c r="G43" s="98"/>
      <c r="H43" s="98"/>
    </row>
    <row r="44" spans="1:8" x14ac:dyDescent="0.3">
      <c r="A44" s="71" t="s">
        <v>37</v>
      </c>
      <c r="B44" s="71"/>
      <c r="C44" s="71"/>
      <c r="D44" s="71"/>
      <c r="E44" s="98">
        <f>E42+E43</f>
        <v>2.2705914172376485</v>
      </c>
      <c r="F44" s="98"/>
      <c r="G44" s="98"/>
      <c r="H44" s="98"/>
    </row>
    <row r="45" spans="1:8" x14ac:dyDescent="0.3">
      <c r="A45" s="71" t="s">
        <v>90</v>
      </c>
      <c r="B45" s="71"/>
      <c r="C45" s="71"/>
      <c r="D45" s="71"/>
      <c r="E45" s="169">
        <v>2518.54</v>
      </c>
      <c r="F45" s="169"/>
      <c r="G45" s="169"/>
      <c r="H45" s="169"/>
    </row>
    <row r="46" spans="1:8" x14ac:dyDescent="0.3">
      <c r="A46" s="91" t="s">
        <v>38</v>
      </c>
      <c r="B46" s="91"/>
      <c r="C46" s="91"/>
      <c r="D46" s="91"/>
      <c r="E46" s="91" t="s">
        <v>122</v>
      </c>
      <c r="F46" s="91"/>
      <c r="G46" s="91"/>
      <c r="H46" s="91"/>
    </row>
    <row r="47" spans="1:8" x14ac:dyDescent="0.3">
      <c r="A47" s="149" t="s">
        <v>39</v>
      </c>
      <c r="B47" s="149"/>
      <c r="C47" s="149"/>
      <c r="D47" s="149"/>
      <c r="E47" s="149"/>
      <c r="F47" s="149"/>
      <c r="G47" s="149"/>
      <c r="H47" s="149"/>
    </row>
    <row r="48" spans="1:8" ht="33.75" customHeight="1" x14ac:dyDescent="0.3">
      <c r="A48" s="101" t="s">
        <v>154</v>
      </c>
      <c r="B48" s="102"/>
      <c r="C48" s="192" t="s">
        <v>254</v>
      </c>
      <c r="D48" s="193"/>
      <c r="E48" s="193"/>
      <c r="F48" s="193"/>
      <c r="G48" s="193"/>
      <c r="H48" s="194"/>
    </row>
    <row r="49" spans="1:14" ht="15.75" customHeight="1" x14ac:dyDescent="0.3">
      <c r="A49" s="101" t="s">
        <v>40</v>
      </c>
      <c r="B49" s="102"/>
      <c r="C49" s="101" t="s">
        <v>255</v>
      </c>
      <c r="D49" s="103"/>
      <c r="E49" s="102"/>
      <c r="F49" s="17" t="s">
        <v>41</v>
      </c>
      <c r="G49" s="104">
        <v>44546</v>
      </c>
      <c r="H49" s="102"/>
    </row>
    <row r="50" spans="1:14" x14ac:dyDescent="0.3">
      <c r="A50" s="101" t="s">
        <v>42</v>
      </c>
      <c r="B50" s="102"/>
      <c r="C50" s="101" t="str">
        <f>C49</f>
        <v>S.R.31/21-22</v>
      </c>
      <c r="D50" s="103"/>
      <c r="E50" s="102"/>
      <c r="F50" s="17" t="s">
        <v>41</v>
      </c>
      <c r="G50" s="104">
        <f>G49</f>
        <v>44546</v>
      </c>
      <c r="H50" s="105"/>
    </row>
    <row r="51" spans="1:14" s="22" customFormat="1" ht="15.75" customHeight="1" x14ac:dyDescent="0.3">
      <c r="A51" s="180" t="s">
        <v>158</v>
      </c>
      <c r="B51" s="181"/>
      <c r="C51" s="101" t="s">
        <v>256</v>
      </c>
      <c r="D51" s="103"/>
      <c r="E51" s="102"/>
      <c r="F51" s="17" t="s">
        <v>41</v>
      </c>
      <c r="G51" s="104">
        <f>G50</f>
        <v>44546</v>
      </c>
      <c r="H51" s="105"/>
    </row>
    <row r="52" spans="1:14" s="22" customFormat="1" x14ac:dyDescent="0.3">
      <c r="A52" s="182"/>
      <c r="B52" s="183"/>
      <c r="C52" s="101" t="s">
        <v>257</v>
      </c>
      <c r="D52" s="103"/>
      <c r="E52" s="103"/>
      <c r="F52" s="103"/>
      <c r="G52" s="103"/>
      <c r="H52" s="102"/>
    </row>
    <row r="53" spans="1:14" x14ac:dyDescent="0.3">
      <c r="A53" s="83" t="s">
        <v>43</v>
      </c>
      <c r="B53" s="84"/>
      <c r="C53" s="83" t="s">
        <v>104</v>
      </c>
      <c r="D53" s="85"/>
      <c r="E53" s="84"/>
      <c r="F53" s="45" t="s">
        <v>41</v>
      </c>
      <c r="G53" s="108" t="s">
        <v>28</v>
      </c>
      <c r="H53" s="109"/>
    </row>
    <row r="54" spans="1:14" x14ac:dyDescent="0.3">
      <c r="A54" s="106" t="s">
        <v>45</v>
      </c>
      <c r="B54" s="106"/>
      <c r="C54" s="106"/>
      <c r="D54" s="106"/>
      <c r="E54" s="106"/>
      <c r="F54" s="106"/>
      <c r="G54" s="106"/>
      <c r="H54" s="106"/>
    </row>
    <row r="55" spans="1:14" x14ac:dyDescent="0.3">
      <c r="A55" s="89" t="s">
        <v>89</v>
      </c>
      <c r="B55" s="89"/>
      <c r="C55" s="89"/>
      <c r="D55" s="71">
        <f>E45</f>
        <v>2518.54</v>
      </c>
      <c r="E55" s="71"/>
      <c r="F55" s="71"/>
      <c r="G55" s="71"/>
      <c r="H55" s="71"/>
    </row>
    <row r="56" spans="1:14" x14ac:dyDescent="0.3">
      <c r="A56" s="107" t="s">
        <v>46</v>
      </c>
      <c r="B56" s="91"/>
      <c r="C56" s="91"/>
      <c r="D56" s="91" t="s">
        <v>277</v>
      </c>
      <c r="E56" s="91"/>
      <c r="F56" s="91"/>
      <c r="G56" s="91"/>
      <c r="H56" s="91"/>
      <c r="I56" s="23"/>
    </row>
    <row r="57" spans="1:14" x14ac:dyDescent="0.3">
      <c r="A57" s="110" t="s">
        <v>47</v>
      </c>
      <c r="B57" s="111"/>
      <c r="C57" s="171"/>
      <c r="D57" s="126" t="s">
        <v>257</v>
      </c>
      <c r="E57" s="170"/>
      <c r="F57" s="170"/>
      <c r="G57" s="170"/>
      <c r="H57" s="170"/>
    </row>
    <row r="58" spans="1:14" ht="15.75" customHeight="1" x14ac:dyDescent="0.3">
      <c r="A58" s="110" t="s">
        <v>87</v>
      </c>
      <c r="B58" s="111"/>
      <c r="C58" s="111"/>
      <c r="D58" s="112" t="s">
        <v>257</v>
      </c>
      <c r="E58" s="113"/>
      <c r="F58" s="113"/>
      <c r="G58" s="113"/>
      <c r="H58" s="114"/>
    </row>
    <row r="59" spans="1:14" ht="15.75" customHeight="1" x14ac:dyDescent="0.3">
      <c r="A59" s="71" t="s">
        <v>44</v>
      </c>
      <c r="B59" s="71"/>
      <c r="C59" s="71"/>
      <c r="D59" s="166" t="s">
        <v>284</v>
      </c>
      <c r="E59" s="167"/>
      <c r="F59" s="167"/>
      <c r="G59" s="167"/>
      <c r="H59" s="167"/>
      <c r="J59" s="24"/>
      <c r="K59" s="23"/>
      <c r="N59" s="23"/>
    </row>
    <row r="60" spans="1:14" ht="15.75" customHeight="1" x14ac:dyDescent="0.3">
      <c r="A60" s="71" t="s">
        <v>85</v>
      </c>
      <c r="B60" s="71"/>
      <c r="C60" s="71"/>
      <c r="D60" s="168" t="str">
        <f>(IF(G53="NA","60 Years After Completion",IF(G53&lt;&gt;"NA",""&amp;60-ROUNDDOWN((E3-G53)/360,0)&amp;" Years"," ")))</f>
        <v>60 Years After Completion</v>
      </c>
      <c r="E60" s="168"/>
      <c r="F60" s="168"/>
      <c r="G60" s="168"/>
      <c r="H60" s="168"/>
      <c r="N60" s="23"/>
    </row>
    <row r="61" spans="1:14" ht="15.75" customHeight="1" x14ac:dyDescent="0.3">
      <c r="A61" s="71" t="s">
        <v>86</v>
      </c>
      <c r="B61" s="71"/>
      <c r="C61" s="71"/>
      <c r="D61" s="89" t="s">
        <v>23</v>
      </c>
      <c r="E61" s="89"/>
      <c r="F61" s="89"/>
      <c r="G61" s="89"/>
      <c r="H61" s="89"/>
      <c r="J61" s="25"/>
      <c r="K61" s="25"/>
    </row>
    <row r="62" spans="1:14" x14ac:dyDescent="0.3">
      <c r="A62" s="91" t="s">
        <v>258</v>
      </c>
      <c r="B62" s="91"/>
      <c r="C62" s="91"/>
      <c r="D62" s="107" t="s">
        <v>259</v>
      </c>
      <c r="E62" s="89"/>
      <c r="F62" s="89"/>
      <c r="G62" s="89"/>
      <c r="H62" s="89"/>
    </row>
    <row r="63" spans="1:14" x14ac:dyDescent="0.3">
      <c r="A63" s="89" t="s">
        <v>151</v>
      </c>
      <c r="B63" s="89"/>
      <c r="C63" s="89"/>
      <c r="D63" s="89" t="s">
        <v>28</v>
      </c>
      <c r="E63" s="89"/>
      <c r="F63" s="89"/>
      <c r="G63" s="89"/>
      <c r="H63" s="89"/>
      <c r="I63" s="26"/>
      <c r="J63" s="26"/>
      <c r="K63" s="26"/>
      <c r="L63" s="26"/>
      <c r="M63" s="26"/>
      <c r="N63" s="26"/>
    </row>
    <row r="64" spans="1:14" ht="15.75" customHeight="1" x14ac:dyDescent="0.3">
      <c r="A64" s="90" t="s">
        <v>84</v>
      </c>
      <c r="B64" s="90"/>
      <c r="C64" s="90"/>
      <c r="D64" s="126" t="str">
        <f ca="1">(IF(G70&gt;95%,"Nothing",IF(G70&gt;0%,"Cement, Aggregate, Steel, etc",IF(G70=0%,"Work not yet Started"))))</f>
        <v>Cement, Aggregate, Steel, etc</v>
      </c>
      <c r="E64" s="126"/>
      <c r="F64" s="126"/>
      <c r="G64" s="126"/>
      <c r="H64" s="126"/>
      <c r="J64" s="25"/>
    </row>
    <row r="65" spans="1:11" ht="33.75" customHeight="1" thickBot="1" x14ac:dyDescent="0.35">
      <c r="A65" s="142" t="s">
        <v>117</v>
      </c>
      <c r="B65" s="142"/>
      <c r="C65" s="142"/>
      <c r="D65" s="126" t="str">
        <f ca="1">(IF(D64="Nothing","Yes",IF(D64="Cement, Aggregate, Steel, etc","Under Construction",IF(D64="Work not yet Started","Work not yet Started"))))</f>
        <v>Under Construction</v>
      </c>
      <c r="E65" s="126"/>
      <c r="F65" s="126" t="str">
        <f ca="1">(IF(D64="Nothing","Yes",IF(D64="Cement, Aggregate, Steel, etc","Under Construction",IF(D64="Work not yet Started","Work not yet Started"))))</f>
        <v>Under Construction</v>
      </c>
      <c r="G65" s="126"/>
      <c r="H65" s="126"/>
    </row>
    <row r="66" spans="1:11" ht="15.75" customHeight="1" x14ac:dyDescent="0.3">
      <c r="A66" s="185" t="s">
        <v>141</v>
      </c>
      <c r="B66" s="186"/>
      <c r="C66" s="187" t="str">
        <f>D58</f>
        <v>Gr + 1st to 7th Floor</v>
      </c>
      <c r="D66" s="188"/>
      <c r="E66" s="188"/>
      <c r="F66" s="188"/>
      <c r="G66" s="188"/>
      <c r="H66" s="189"/>
      <c r="I66" s="48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3 Floor, External Plaster upto 1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3 Floor, External Plaster upto 1 Floor</v>
      </c>
    </row>
    <row r="67" spans="1:11" x14ac:dyDescent="0.3">
      <c r="A67" s="15" t="s">
        <v>143</v>
      </c>
      <c r="B67" s="47">
        <v>0</v>
      </c>
      <c r="C67" s="47" t="s">
        <v>71</v>
      </c>
      <c r="D67" s="47">
        <v>1</v>
      </c>
      <c r="E67" s="47" t="s">
        <v>70</v>
      </c>
      <c r="F67" s="47">
        <v>0</v>
      </c>
      <c r="G67" s="47" t="s">
        <v>78</v>
      </c>
      <c r="H67" s="16">
        <f ca="1">--TRIM(RIGHT(SUBSTITUTE(LEFT(C66,_xlfn.AGGREGATE(16,6,FIND({0,1,2,3,4,5,6,7,8,9},C66,ROW(INDIRECT("1:"&amp;LEN(C66)))),1))," ",REPT(" ",LEN(C66))),LEN(C66)))</f>
        <v>7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1" ht="30" customHeight="1" x14ac:dyDescent="0.3">
      <c r="A68" s="184" t="s">
        <v>88</v>
      </c>
      <c r="B68" s="152"/>
      <c r="C68" s="190" t="str">
        <f ca="1">I66</f>
        <v>Excavation, Plinth, RCC Slab, Brickwork Completed, Internal Plaster upto 3 Floor, External Plaster upto 1 Floor Completed</v>
      </c>
      <c r="D68" s="190"/>
      <c r="E68" s="190"/>
      <c r="F68" s="190"/>
      <c r="G68" s="190"/>
      <c r="H68" s="191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1" ht="15.75" customHeight="1" x14ac:dyDescent="0.3">
      <c r="A69" s="99" t="s">
        <v>48</v>
      </c>
      <c r="B69" s="100"/>
      <c r="C69" s="43" t="s">
        <v>140</v>
      </c>
      <c r="D69" s="43" t="s">
        <v>81</v>
      </c>
      <c r="E69" s="100" t="s">
        <v>83</v>
      </c>
      <c r="F69" s="100"/>
      <c r="G69" s="100" t="s">
        <v>82</v>
      </c>
      <c r="H69" s="127"/>
      <c r="I69" s="13" t="s">
        <v>142</v>
      </c>
      <c r="J69" s="27">
        <f ca="1">H67*25%</f>
        <v>1.75</v>
      </c>
    </row>
    <row r="70" spans="1:11" x14ac:dyDescent="0.3">
      <c r="A70" s="99" t="s">
        <v>129</v>
      </c>
      <c r="B70" s="100"/>
      <c r="C70" s="43">
        <f ca="1">J71</f>
        <v>7</v>
      </c>
      <c r="D70" s="18">
        <f ca="1">((100/H67)*C70)/100</f>
        <v>1</v>
      </c>
      <c r="E70" s="130">
        <f ca="1">(((C71/H67*10)+(40/(D67+F67+H67)*C72)+(7.5/(H67)*C73)+(7.5/(H67)*C74)+(10/H67*C75)+(10/H67*C76)+(5/H67*C77)+(5/H67*C78)+(5/H67*C79))/100)</f>
        <v>0.62142857142857144</v>
      </c>
      <c r="F70" s="143"/>
      <c r="G70" s="130">
        <f ca="1">((((C70/H67)*20)+((C71/H67)*25)+(30/(H67+F67+D67)*C72)+(5/H67*C73)+(5/H67*C74)+(5/H67*C75)+(5/H67*C76)+(0/H67*C77)+(0/H67*C78)+(5/H67*C79))/100)</f>
        <v>0.82857142857142851</v>
      </c>
      <c r="H70" s="131"/>
      <c r="I70" s="13" t="s">
        <v>99</v>
      </c>
      <c r="J70" s="28">
        <f ca="1">H67*50%</f>
        <v>3.5</v>
      </c>
    </row>
    <row r="71" spans="1:11" x14ac:dyDescent="0.3">
      <c r="A71" s="99" t="s">
        <v>49</v>
      </c>
      <c r="B71" s="100"/>
      <c r="C71" s="43">
        <f ca="1">J79</f>
        <v>7</v>
      </c>
      <c r="D71" s="18">
        <f ca="1">((100/H67)*C71)/100</f>
        <v>1</v>
      </c>
      <c r="E71" s="132"/>
      <c r="F71" s="144"/>
      <c r="G71" s="132"/>
      <c r="H71" s="133"/>
      <c r="I71" s="13" t="s">
        <v>100</v>
      </c>
      <c r="J71" s="28">
        <f ca="1">H67</f>
        <v>7</v>
      </c>
    </row>
    <row r="72" spans="1:11" ht="15.75" customHeight="1" x14ac:dyDescent="0.3">
      <c r="A72" s="99" t="s">
        <v>130</v>
      </c>
      <c r="B72" s="100"/>
      <c r="C72" s="43">
        <v>8</v>
      </c>
      <c r="D72" s="18">
        <f ca="1">((100/(D67+F67+H67))*C72)/100</f>
        <v>1</v>
      </c>
      <c r="E72" s="132"/>
      <c r="F72" s="144"/>
      <c r="G72" s="132"/>
      <c r="H72" s="133"/>
      <c r="I72" s="13" t="s">
        <v>101</v>
      </c>
      <c r="J72" s="29">
        <f ca="1">(IF(B67&gt;1,(H67/(B67+2)),H67/4))</f>
        <v>1.75</v>
      </c>
    </row>
    <row r="73" spans="1:11" ht="15.75" customHeight="1" x14ac:dyDescent="0.3">
      <c r="A73" s="99" t="s">
        <v>137</v>
      </c>
      <c r="B73" s="100" t="s">
        <v>131</v>
      </c>
      <c r="C73" s="43">
        <v>7</v>
      </c>
      <c r="D73" s="18">
        <f ca="1">((100/H67)*C73)/100</f>
        <v>1</v>
      </c>
      <c r="E73" s="132"/>
      <c r="F73" s="144"/>
      <c r="G73" s="132"/>
      <c r="H73" s="133"/>
      <c r="I73" s="13" t="s">
        <v>102</v>
      </c>
      <c r="J73" s="29">
        <f ca="1">(IF(B67&gt;1,(H67/(B67+2)+J72),H67/4+J72))</f>
        <v>3.5</v>
      </c>
    </row>
    <row r="74" spans="1:11" ht="15.75" customHeight="1" x14ac:dyDescent="0.3">
      <c r="A74" s="99" t="s">
        <v>138</v>
      </c>
      <c r="B74" s="100" t="s">
        <v>131</v>
      </c>
      <c r="C74" s="43">
        <v>3</v>
      </c>
      <c r="D74" s="18">
        <f ca="1">((100/H67)*C74)/100</f>
        <v>0.4285714285714286</v>
      </c>
      <c r="E74" s="132"/>
      <c r="F74" s="144"/>
      <c r="G74" s="132"/>
      <c r="H74" s="133"/>
      <c r="I74" s="13" t="s">
        <v>149</v>
      </c>
      <c r="J74" s="29">
        <f>(IF(B67&gt;1,(H67/(B67+2)+J73),0))</f>
        <v>0</v>
      </c>
    </row>
    <row r="75" spans="1:11" ht="15" customHeight="1" x14ac:dyDescent="0.3">
      <c r="A75" s="99" t="s">
        <v>136</v>
      </c>
      <c r="B75" s="100" t="s">
        <v>133</v>
      </c>
      <c r="C75" s="43">
        <v>1</v>
      </c>
      <c r="D75" s="18">
        <f ca="1">((100/(H67))*C75)/100</f>
        <v>0.14285714285714288</v>
      </c>
      <c r="E75" s="132"/>
      <c r="F75" s="144"/>
      <c r="G75" s="132"/>
      <c r="H75" s="133"/>
      <c r="I75" s="13" t="s">
        <v>144</v>
      </c>
      <c r="J75" s="29">
        <f>(IF(B67&gt;2,(H67/(B67+2)+J74),0))</f>
        <v>0</v>
      </c>
    </row>
    <row r="76" spans="1:11" ht="15.75" customHeight="1" x14ac:dyDescent="0.3">
      <c r="A76" s="99" t="s">
        <v>132</v>
      </c>
      <c r="B76" s="100" t="s">
        <v>132</v>
      </c>
      <c r="C76" s="43">
        <v>0</v>
      </c>
      <c r="D76" s="18">
        <f ca="1">((100/H67)*C76)/100</f>
        <v>0</v>
      </c>
      <c r="E76" s="132"/>
      <c r="F76" s="144"/>
      <c r="G76" s="132"/>
      <c r="H76" s="133"/>
      <c r="I76" s="13" t="s">
        <v>145</v>
      </c>
      <c r="J76" s="30">
        <f>(IF(B67&gt;3,(H67/(B67+2)+J75),0))</f>
        <v>0</v>
      </c>
    </row>
    <row r="77" spans="1:11" ht="15.75" customHeight="1" x14ac:dyDescent="0.3">
      <c r="A77" s="99" t="s">
        <v>139</v>
      </c>
      <c r="B77" s="100"/>
      <c r="C77" s="43">
        <v>0</v>
      </c>
      <c r="D77" s="18">
        <f ca="1">((100/H67)*C77)/100</f>
        <v>0</v>
      </c>
      <c r="E77" s="132"/>
      <c r="F77" s="144"/>
      <c r="G77" s="132"/>
      <c r="H77" s="133"/>
      <c r="I77" s="13" t="s">
        <v>146</v>
      </c>
      <c r="J77" s="29">
        <f>(IF(B67&gt;4,(H67/(B67+2)+J76),0))</f>
        <v>0</v>
      </c>
    </row>
    <row r="78" spans="1:11" ht="15.75" customHeight="1" x14ac:dyDescent="0.3">
      <c r="A78" s="99" t="s">
        <v>134</v>
      </c>
      <c r="B78" s="100" t="s">
        <v>134</v>
      </c>
      <c r="C78" s="43">
        <v>0</v>
      </c>
      <c r="D78" s="18">
        <f ca="1">((100/(H67))*C78)/100</f>
        <v>0</v>
      </c>
      <c r="E78" s="132"/>
      <c r="F78" s="144"/>
      <c r="G78" s="132"/>
      <c r="H78" s="133"/>
      <c r="I78" s="13" t="s">
        <v>150</v>
      </c>
      <c r="J78" s="29">
        <f ca="1">(IF(B67=1,(H67/(B67+3)+J73),IF(B67=0,(H67/4+J73),IF(B67&gt;1,0))))</f>
        <v>5.25</v>
      </c>
    </row>
    <row r="79" spans="1:11" ht="16.2" thickBot="1" x14ac:dyDescent="0.35">
      <c r="A79" s="136" t="s">
        <v>135</v>
      </c>
      <c r="B79" s="137"/>
      <c r="C79" s="44">
        <v>0</v>
      </c>
      <c r="D79" s="19">
        <f ca="1">((100/(H67))*C79)/100</f>
        <v>0</v>
      </c>
      <c r="E79" s="134"/>
      <c r="F79" s="145"/>
      <c r="G79" s="134"/>
      <c r="H79" s="135"/>
      <c r="I79" s="14" t="s">
        <v>103</v>
      </c>
      <c r="J79" s="31">
        <f ca="1">(IF(B67&gt;1.5,(H67/(B67+2)+J73+MAX(0,J74-J73)+MAX(0,J75-J74)+MAX(0,J76-J75)+MAX(0,J77-J76)+MAX(0,J78-J77)),IF(B67=1,(H67/(B67+3)+J78),IF(B67=0,H67/4+J78))))</f>
        <v>7</v>
      </c>
    </row>
    <row r="80" spans="1:11" x14ac:dyDescent="0.3">
      <c r="A80" s="176" t="s">
        <v>160</v>
      </c>
      <c r="B80" s="176"/>
      <c r="C80" s="176"/>
      <c r="D80" s="176"/>
      <c r="E80" s="176"/>
      <c r="F80" s="128" t="s">
        <v>164</v>
      </c>
      <c r="G80" s="128"/>
      <c r="H80" s="128"/>
      <c r="J80" s="20" t="s">
        <v>275</v>
      </c>
      <c r="K80" s="20" t="s">
        <v>276</v>
      </c>
    </row>
    <row r="81" spans="1:11" x14ac:dyDescent="0.3">
      <c r="A81" s="71" t="s">
        <v>162</v>
      </c>
      <c r="B81" s="71"/>
      <c r="C81" s="71"/>
      <c r="D81" s="71"/>
      <c r="E81" s="71"/>
      <c r="F81" s="80">
        <v>3500</v>
      </c>
      <c r="G81" s="80"/>
      <c r="H81" s="80"/>
      <c r="I81" s="20">
        <v>4000</v>
      </c>
      <c r="J81" s="20">
        <v>11000</v>
      </c>
      <c r="K81" s="20">
        <f>2600000/585</f>
        <v>4444.4444444444443</v>
      </c>
    </row>
    <row r="82" spans="1:11" x14ac:dyDescent="0.3">
      <c r="A82" s="71" t="s">
        <v>161</v>
      </c>
      <c r="B82" s="71"/>
      <c r="C82" s="71"/>
      <c r="D82" s="71"/>
      <c r="E82" s="71"/>
      <c r="F82" s="80">
        <v>7000</v>
      </c>
      <c r="G82" s="80"/>
      <c r="H82" s="80"/>
    </row>
    <row r="83" spans="1:11" x14ac:dyDescent="0.3">
      <c r="A83" s="71" t="s">
        <v>163</v>
      </c>
      <c r="B83" s="71"/>
      <c r="C83" s="71"/>
      <c r="D83" s="71"/>
      <c r="E83" s="71"/>
      <c r="F83" s="80">
        <v>6000</v>
      </c>
      <c r="G83" s="80"/>
      <c r="H83" s="80"/>
    </row>
    <row r="84" spans="1:11" s="32" customFormat="1" hidden="1" x14ac:dyDescent="0.25">
      <c r="A84" s="71" t="s">
        <v>178</v>
      </c>
      <c r="B84" s="71"/>
      <c r="C84" s="71"/>
      <c r="D84" s="71"/>
      <c r="E84" s="71"/>
      <c r="F84" s="80"/>
      <c r="G84" s="80"/>
      <c r="H84" s="80"/>
    </row>
    <row r="85" spans="1:11" s="32" customFormat="1" x14ac:dyDescent="0.25">
      <c r="A85" s="71" t="s">
        <v>93</v>
      </c>
      <c r="B85" s="71"/>
      <c r="C85" s="71"/>
      <c r="D85" s="71"/>
      <c r="E85" s="71"/>
      <c r="F85" s="80">
        <v>150000</v>
      </c>
      <c r="G85" s="80"/>
      <c r="H85" s="80"/>
    </row>
    <row r="86" spans="1:11" s="32" customFormat="1" hidden="1" x14ac:dyDescent="0.25">
      <c r="A86" s="71" t="s">
        <v>94</v>
      </c>
      <c r="B86" s="71"/>
      <c r="C86" s="71"/>
      <c r="D86" s="71"/>
      <c r="E86" s="71"/>
      <c r="F86" s="80"/>
      <c r="G86" s="80"/>
      <c r="H86" s="80"/>
    </row>
    <row r="87" spans="1:11" s="32" customFormat="1" hidden="1" x14ac:dyDescent="0.25">
      <c r="A87" s="71" t="s">
        <v>165</v>
      </c>
      <c r="B87" s="71"/>
      <c r="C87" s="71"/>
      <c r="D87" s="71"/>
      <c r="E87" s="71"/>
      <c r="F87" s="80"/>
      <c r="G87" s="80"/>
      <c r="H87" s="80"/>
    </row>
    <row r="88" spans="1:11" s="32" customFormat="1" hidden="1" x14ac:dyDescent="0.25">
      <c r="A88" s="71" t="s">
        <v>95</v>
      </c>
      <c r="B88" s="71"/>
      <c r="C88" s="71"/>
      <c r="D88" s="71"/>
      <c r="E88" s="71"/>
      <c r="F88" s="80"/>
      <c r="G88" s="80"/>
      <c r="H88" s="80"/>
    </row>
    <row r="89" spans="1:11" s="32" customFormat="1" hidden="1" x14ac:dyDescent="0.25">
      <c r="A89" s="71" t="s">
        <v>96</v>
      </c>
      <c r="B89" s="71"/>
      <c r="C89" s="71"/>
      <c r="D89" s="71"/>
      <c r="E89" s="71"/>
      <c r="F89" s="80"/>
      <c r="G89" s="80"/>
      <c r="H89" s="80"/>
    </row>
    <row r="90" spans="1:11" s="32" customFormat="1" x14ac:dyDescent="0.25">
      <c r="A90" s="71" t="s">
        <v>97</v>
      </c>
      <c r="B90" s="71"/>
      <c r="C90" s="71"/>
      <c r="D90" s="71"/>
      <c r="E90" s="71"/>
      <c r="F90" s="80">
        <v>50000</v>
      </c>
      <c r="G90" s="80"/>
      <c r="H90" s="80"/>
    </row>
    <row r="91" spans="1:11" s="32" customFormat="1" hidden="1" x14ac:dyDescent="0.25">
      <c r="A91" s="71" t="s">
        <v>98</v>
      </c>
      <c r="B91" s="71"/>
      <c r="C91" s="71"/>
      <c r="D91" s="71"/>
      <c r="E91" s="71"/>
      <c r="F91" s="80"/>
      <c r="G91" s="80"/>
      <c r="H91" s="80"/>
    </row>
    <row r="92" spans="1:11" x14ac:dyDescent="0.3">
      <c r="A92" s="71" t="s">
        <v>50</v>
      </c>
      <c r="B92" s="71"/>
      <c r="C92" s="71"/>
      <c r="D92" s="71"/>
      <c r="E92" s="71"/>
      <c r="F92" s="80">
        <v>100000</v>
      </c>
      <c r="G92" s="80"/>
      <c r="H92" s="80"/>
    </row>
    <row r="93" spans="1:11" s="33" customFormat="1" x14ac:dyDescent="0.3">
      <c r="A93" s="149" t="s">
        <v>51</v>
      </c>
      <c r="B93" s="149"/>
      <c r="C93" s="149"/>
      <c r="D93" s="149"/>
      <c r="E93" s="149"/>
      <c r="F93" s="80">
        <f>F81*0.8</f>
        <v>2800</v>
      </c>
      <c r="G93" s="80"/>
      <c r="H93" s="80"/>
    </row>
    <row r="94" spans="1:11" s="34" customFormat="1" ht="15.75" customHeight="1" x14ac:dyDescent="0.3">
      <c r="A94" s="148" t="s">
        <v>74</v>
      </c>
      <c r="B94" s="148"/>
      <c r="C94" s="148"/>
      <c r="D94" s="148"/>
      <c r="E94" s="148"/>
      <c r="F94" s="148"/>
      <c r="G94" s="148"/>
      <c r="H94" s="148"/>
    </row>
    <row r="95" spans="1:11" s="34" customFormat="1" ht="15.75" customHeight="1" x14ac:dyDescent="0.3">
      <c r="A95" s="82" t="s">
        <v>52</v>
      </c>
      <c r="B95" s="82"/>
      <c r="C95" s="88" t="s">
        <v>77</v>
      </c>
      <c r="D95" s="88"/>
      <c r="E95" s="86" t="s">
        <v>53</v>
      </c>
      <c r="F95" s="86"/>
      <c r="G95" s="82" t="s">
        <v>54</v>
      </c>
      <c r="H95" s="82"/>
    </row>
    <row r="96" spans="1:11" s="34" customFormat="1" x14ac:dyDescent="0.3">
      <c r="A96" s="87" t="s">
        <v>260</v>
      </c>
      <c r="B96" s="87"/>
      <c r="C96" s="173">
        <f>COUNT(D108:D113)</f>
        <v>6</v>
      </c>
      <c r="D96" s="138"/>
      <c r="E96" s="117">
        <f t="shared" ref="E96" si="0">SUM(D108:D113)</f>
        <v>1214.15229</v>
      </c>
      <c r="F96" s="118"/>
      <c r="G96" s="117">
        <f>SUM(F108:F113)</f>
        <v>2462</v>
      </c>
      <c r="H96" s="118"/>
    </row>
    <row r="97" spans="1:14" s="34" customFormat="1" x14ac:dyDescent="0.3">
      <c r="A97" s="87" t="s">
        <v>261</v>
      </c>
      <c r="B97" s="87"/>
      <c r="C97" s="173">
        <f>COUNT(D115:D118)</f>
        <v>4</v>
      </c>
      <c r="D97" s="138"/>
      <c r="E97" s="117">
        <f t="shared" ref="E97" si="1">SUM(D115:D118)</f>
        <v>1731.4496784</v>
      </c>
      <c r="F97" s="118"/>
      <c r="G97" s="117">
        <f>SUM(F115:F118)</f>
        <v>3539</v>
      </c>
      <c r="H97" s="118"/>
    </row>
    <row r="98" spans="1:14" s="34" customFormat="1" x14ac:dyDescent="0.3">
      <c r="A98" s="148" t="s">
        <v>153</v>
      </c>
      <c r="B98" s="148"/>
      <c r="C98" s="174">
        <f>SUM(C96:C97)</f>
        <v>10</v>
      </c>
      <c r="D98" s="88"/>
      <c r="E98" s="175">
        <f>SUM(E96:E97)</f>
        <v>2945.6019684000003</v>
      </c>
      <c r="F98" s="86"/>
      <c r="G98" s="82">
        <f>SUM(G96:G97)</f>
        <v>6001</v>
      </c>
      <c r="H98" s="82"/>
    </row>
    <row r="99" spans="1:14" s="34" customFormat="1" x14ac:dyDescent="0.3">
      <c r="A99" s="148" t="s">
        <v>69</v>
      </c>
      <c r="B99" s="148"/>
      <c r="C99" s="148"/>
      <c r="D99" s="148"/>
      <c r="E99" s="148"/>
      <c r="F99" s="148"/>
      <c r="G99" s="148"/>
      <c r="H99" s="148"/>
    </row>
    <row r="100" spans="1:14" s="34" customFormat="1" ht="15.75" customHeight="1" x14ac:dyDescent="0.3">
      <c r="A100" s="82" t="s">
        <v>52</v>
      </c>
      <c r="B100" s="82"/>
      <c r="C100" s="88" t="s">
        <v>77</v>
      </c>
      <c r="D100" s="88"/>
      <c r="E100" s="86" t="s">
        <v>53</v>
      </c>
      <c r="F100" s="86"/>
      <c r="G100" s="82" t="s">
        <v>54</v>
      </c>
      <c r="H100" s="82"/>
    </row>
    <row r="101" spans="1:14" s="34" customFormat="1" x14ac:dyDescent="0.3">
      <c r="A101" s="87" t="s">
        <v>262</v>
      </c>
      <c r="B101" s="87"/>
      <c r="C101" s="138">
        <f>COUNT(D122:D125)+COUNT(D127:D133)+COUNT(D135:D141)*4+COUNT(D144:D149)</f>
        <v>45</v>
      </c>
      <c r="D101" s="138"/>
      <c r="E101" s="117">
        <f t="shared" ref="E101" si="2">SUM(D122:D125)+SUM(D127:D133)+SUM(D135:D141)*4+SUM(D144:D149)</f>
        <v>17901.93132</v>
      </c>
      <c r="F101" s="117"/>
      <c r="G101" s="118">
        <f>SUM(F122:F125)+SUM(F127:F133)+SUM(F135:F141)*4+SUM(F144:F149)</f>
        <v>28461</v>
      </c>
      <c r="H101" s="118"/>
    </row>
    <row r="102" spans="1:14" s="34" customFormat="1" ht="16.2" thickBot="1" x14ac:dyDescent="0.35">
      <c r="A102" s="177" t="s">
        <v>153</v>
      </c>
      <c r="B102" s="177"/>
      <c r="C102" s="119">
        <f>SUM(C101)</f>
        <v>45</v>
      </c>
      <c r="D102" s="119"/>
      <c r="E102" s="178">
        <f>SUM(E101)</f>
        <v>17901.93132</v>
      </c>
      <c r="F102" s="178"/>
      <c r="G102" s="172">
        <f>SUM(G101)</f>
        <v>28461</v>
      </c>
      <c r="H102" s="172"/>
    </row>
    <row r="103" spans="1:14" s="34" customFormat="1" ht="16.2" thickBot="1" x14ac:dyDescent="0.35">
      <c r="A103" s="92" t="s">
        <v>170</v>
      </c>
      <c r="B103" s="93"/>
      <c r="C103" s="94">
        <f>C98+C102</f>
        <v>55</v>
      </c>
      <c r="D103" s="94"/>
      <c r="E103" s="95">
        <f>E98+E102</f>
        <v>20847.533288400002</v>
      </c>
      <c r="F103" s="95"/>
      <c r="G103" s="96">
        <f>G98+G102</f>
        <v>34462</v>
      </c>
      <c r="H103" s="97"/>
    </row>
    <row r="104" spans="1:14" s="33" customFormat="1" x14ac:dyDescent="0.3">
      <c r="A104" s="128" t="s">
        <v>55</v>
      </c>
      <c r="B104" s="128"/>
      <c r="C104" s="128"/>
      <c r="D104" s="128"/>
      <c r="E104" s="128"/>
      <c r="F104" s="128"/>
      <c r="G104" s="128"/>
      <c r="H104" s="128"/>
    </row>
    <row r="105" spans="1:14" x14ac:dyDescent="0.3">
      <c r="A105" s="81" t="s">
        <v>177</v>
      </c>
      <c r="B105" s="81"/>
      <c r="C105" s="81"/>
      <c r="D105" s="81"/>
      <c r="E105" s="81"/>
      <c r="F105" s="81"/>
      <c r="G105" s="81"/>
      <c r="H105" s="81"/>
    </row>
    <row r="106" spans="1:14" ht="47.25" customHeight="1" x14ac:dyDescent="0.3">
      <c r="A106" s="42" t="s">
        <v>120</v>
      </c>
      <c r="B106" s="42" t="s">
        <v>180</v>
      </c>
      <c r="C106" s="42" t="s">
        <v>56</v>
      </c>
      <c r="D106" s="42" t="s">
        <v>57</v>
      </c>
      <c r="E106" s="55" t="s">
        <v>159</v>
      </c>
      <c r="F106" s="42" t="s">
        <v>274</v>
      </c>
      <c r="G106" s="72" t="s">
        <v>59</v>
      </c>
      <c r="H106" s="73"/>
    </row>
    <row r="107" spans="1:14" s="36" customFormat="1" x14ac:dyDescent="0.3">
      <c r="A107" s="68" t="s">
        <v>264</v>
      </c>
      <c r="B107" s="69"/>
      <c r="C107" s="69"/>
      <c r="D107" s="69"/>
      <c r="E107" s="69"/>
      <c r="F107" s="69"/>
      <c r="G107" s="69"/>
      <c r="H107" s="70"/>
      <c r="J107" s="59">
        <f>10.764</f>
        <v>10.763999999999999</v>
      </c>
    </row>
    <row r="108" spans="1:14" s="36" customFormat="1" ht="15.75" customHeight="1" x14ac:dyDescent="0.3">
      <c r="A108" s="66">
        <v>1</v>
      </c>
      <c r="B108" s="67"/>
      <c r="C108" s="41" t="s">
        <v>263</v>
      </c>
      <c r="D108" s="59">
        <f>(4.8*4.1)*(10.764)</f>
        <v>211.83551999999995</v>
      </c>
      <c r="E108" s="41">
        <v>0</v>
      </c>
      <c r="F108" s="41">
        <v>426</v>
      </c>
      <c r="G108" s="60" t="str">
        <f>A107</f>
        <v>Ground Floor For Commercial &amp; Parking</v>
      </c>
      <c r="H108" s="61"/>
      <c r="I108" s="35"/>
      <c r="K108" s="36">
        <v>426</v>
      </c>
      <c r="L108" s="58">
        <f>K108/D108</f>
        <v>2.0109941902094612</v>
      </c>
      <c r="M108" s="58"/>
      <c r="N108" s="35"/>
    </row>
    <row r="109" spans="1:14" s="36" customFormat="1" ht="15.75" customHeight="1" x14ac:dyDescent="0.3">
      <c r="A109" s="66">
        <f t="shared" ref="A109:A113" si="3">A108+1</f>
        <v>2</v>
      </c>
      <c r="B109" s="67"/>
      <c r="C109" s="41" t="s">
        <v>263</v>
      </c>
      <c r="D109" s="59">
        <f>(2.75*7.25-(0.5*1.4*1.1))*(10.764)</f>
        <v>206.31896999999998</v>
      </c>
      <c r="E109" s="41">
        <v>0</v>
      </c>
      <c r="F109" s="41">
        <v>424</v>
      </c>
      <c r="G109" s="62"/>
      <c r="H109" s="63"/>
      <c r="I109" s="35"/>
      <c r="K109" s="36">
        <v>424</v>
      </c>
      <c r="L109" s="58">
        <f t="shared" ref="L109:L118" si="4">K109/D109</f>
        <v>2.0550703602291152</v>
      </c>
      <c r="M109" s="58"/>
      <c r="N109" s="35"/>
    </row>
    <row r="110" spans="1:14" s="36" customFormat="1" ht="15.75" customHeight="1" x14ac:dyDescent="0.3">
      <c r="A110" s="66">
        <f t="shared" si="3"/>
        <v>3</v>
      </c>
      <c r="B110" s="67"/>
      <c r="C110" s="41" t="s">
        <v>263</v>
      </c>
      <c r="D110" s="59">
        <f>(2.7*7.25)*(10.764)</f>
        <v>210.70530000000002</v>
      </c>
      <c r="E110" s="41">
        <v>0</v>
      </c>
      <c r="F110" s="41">
        <v>426</v>
      </c>
      <c r="G110" s="62"/>
      <c r="H110" s="63"/>
      <c r="I110" s="35"/>
      <c r="K110" s="36">
        <v>426</v>
      </c>
      <c r="L110" s="58">
        <f t="shared" si="4"/>
        <v>2.0217811322259096</v>
      </c>
      <c r="M110" s="58"/>
      <c r="N110" s="35"/>
    </row>
    <row r="111" spans="1:14" s="36" customFormat="1" ht="15.75" customHeight="1" x14ac:dyDescent="0.3">
      <c r="A111" s="66">
        <f t="shared" si="3"/>
        <v>4</v>
      </c>
      <c r="B111" s="67"/>
      <c r="C111" s="41" t="s">
        <v>263</v>
      </c>
      <c r="D111" s="59">
        <f>(2.7*7.25)*(10.764)</f>
        <v>210.70530000000002</v>
      </c>
      <c r="E111" s="41">
        <v>0</v>
      </c>
      <c r="F111" s="41">
        <v>426</v>
      </c>
      <c r="G111" s="62"/>
      <c r="H111" s="63"/>
      <c r="I111" s="35"/>
      <c r="K111" s="36">
        <v>426</v>
      </c>
      <c r="L111" s="58">
        <f t="shared" si="4"/>
        <v>2.0217811322259096</v>
      </c>
      <c r="M111" s="58"/>
      <c r="N111" s="35"/>
    </row>
    <row r="112" spans="1:14" s="36" customFormat="1" ht="15.75" customHeight="1" x14ac:dyDescent="0.3">
      <c r="A112" s="66">
        <f t="shared" si="3"/>
        <v>5</v>
      </c>
      <c r="B112" s="67"/>
      <c r="C112" s="41" t="s">
        <v>263</v>
      </c>
      <c r="D112" s="59">
        <f>(2.1*7.25)*(10.764)</f>
        <v>163.8819</v>
      </c>
      <c r="E112" s="41">
        <v>0</v>
      </c>
      <c r="F112" s="41">
        <v>334</v>
      </c>
      <c r="G112" s="62"/>
      <c r="H112" s="63"/>
      <c r="I112" s="35"/>
      <c r="J112" s="36">
        <f>2.1*7.25</f>
        <v>15.225000000000001</v>
      </c>
      <c r="K112" s="36">
        <v>334</v>
      </c>
      <c r="L112" s="58">
        <f t="shared" si="4"/>
        <v>2.0380530125657561</v>
      </c>
      <c r="M112" s="58"/>
      <c r="N112" s="35"/>
    </row>
    <row r="113" spans="1:14" s="36" customFormat="1" ht="15.75" customHeight="1" x14ac:dyDescent="0.3">
      <c r="A113" s="66">
        <f t="shared" si="3"/>
        <v>6</v>
      </c>
      <c r="B113" s="67"/>
      <c r="C113" s="41" t="s">
        <v>263</v>
      </c>
      <c r="D113" s="59">
        <f>(2.7*7.25)*(10.764)</f>
        <v>210.70530000000002</v>
      </c>
      <c r="E113" s="41">
        <v>0</v>
      </c>
      <c r="F113" s="41">
        <v>426</v>
      </c>
      <c r="G113" s="64"/>
      <c r="H113" s="65"/>
      <c r="I113" s="35"/>
      <c r="K113" s="36">
        <v>426</v>
      </c>
      <c r="L113" s="58">
        <f t="shared" si="4"/>
        <v>2.0217811322259096</v>
      </c>
      <c r="M113" s="58"/>
      <c r="N113" s="35"/>
    </row>
    <row r="114" spans="1:14" s="36" customFormat="1" x14ac:dyDescent="0.3">
      <c r="A114" s="68" t="s">
        <v>266</v>
      </c>
      <c r="B114" s="69"/>
      <c r="C114" s="69"/>
      <c r="D114" s="69"/>
      <c r="E114" s="69"/>
      <c r="F114" s="69"/>
      <c r="G114" s="69"/>
      <c r="H114" s="70"/>
      <c r="J114" s="35"/>
      <c r="L114" s="58" t="e">
        <f t="shared" si="4"/>
        <v>#DIV/0!</v>
      </c>
    </row>
    <row r="115" spans="1:14" s="36" customFormat="1" ht="15.75" customHeight="1" x14ac:dyDescent="0.3">
      <c r="A115" s="66">
        <v>1</v>
      </c>
      <c r="B115" s="67"/>
      <c r="C115" s="41" t="s">
        <v>265</v>
      </c>
      <c r="D115" s="59">
        <f>(3.26*8.25+4.44*6.365)*(10.764)</f>
        <v>593.69487839999999</v>
      </c>
      <c r="E115" s="41">
        <v>0</v>
      </c>
      <c r="F115" s="41">
        <v>1180</v>
      </c>
      <c r="G115" s="60" t="str">
        <f>A114</f>
        <v xml:space="preserve">1st Floor For Part Commercial </v>
      </c>
      <c r="H115" s="61"/>
      <c r="I115" s="35"/>
      <c r="K115" s="36">
        <v>1180</v>
      </c>
      <c r="L115" s="58">
        <f t="shared" si="4"/>
        <v>1.9875529382703869</v>
      </c>
      <c r="M115" s="58"/>
      <c r="N115" s="35"/>
    </row>
    <row r="116" spans="1:14" s="36" customFormat="1" ht="15.75" customHeight="1" x14ac:dyDescent="0.3">
      <c r="A116" s="66">
        <f t="shared" ref="A116:A118" si="5">A115+1</f>
        <v>2</v>
      </c>
      <c r="B116" s="67"/>
      <c r="C116" s="41" t="s">
        <v>265</v>
      </c>
      <c r="D116" s="59">
        <f>(5.55*6.75)*(10.764)</f>
        <v>403.24634999999995</v>
      </c>
      <c r="E116" s="41">
        <v>0</v>
      </c>
      <c r="F116" s="41">
        <v>809</v>
      </c>
      <c r="G116" s="62"/>
      <c r="H116" s="63"/>
      <c r="I116" s="35"/>
      <c r="K116" s="36">
        <v>809</v>
      </c>
      <c r="L116" s="58">
        <f t="shared" si="4"/>
        <v>2.0062177872161771</v>
      </c>
      <c r="M116" s="58"/>
      <c r="N116" s="35"/>
    </row>
    <row r="117" spans="1:14" s="36" customFormat="1" ht="15.75" customHeight="1" x14ac:dyDescent="0.3">
      <c r="A117" s="66">
        <f t="shared" si="5"/>
        <v>3</v>
      </c>
      <c r="B117" s="67"/>
      <c r="C117" s="41" t="s">
        <v>265</v>
      </c>
      <c r="D117" s="59">
        <f>(4.95*4.75+1.1*2)*(10.764)</f>
        <v>276.76934999999997</v>
      </c>
      <c r="E117" s="41">
        <v>0</v>
      </c>
      <c r="F117" s="41">
        <v>562</v>
      </c>
      <c r="G117" s="62"/>
      <c r="H117" s="63"/>
      <c r="I117" s="35"/>
      <c r="K117" s="36">
        <v>562</v>
      </c>
      <c r="L117" s="58">
        <f t="shared" si="4"/>
        <v>2.0305716655402777</v>
      </c>
      <c r="M117" s="58"/>
      <c r="N117" s="35"/>
    </row>
    <row r="118" spans="1:14" s="36" customFormat="1" ht="15.75" customHeight="1" x14ac:dyDescent="0.3">
      <c r="A118" s="66">
        <f t="shared" si="5"/>
        <v>4</v>
      </c>
      <c r="B118" s="67"/>
      <c r="C118" s="41" t="s">
        <v>265</v>
      </c>
      <c r="D118" s="59">
        <f>(3.3*6.75+0.5*3*6.75+0.5*3*6.75)*(10.764)</f>
        <v>457.73909999999995</v>
      </c>
      <c r="E118" s="41">
        <v>0</v>
      </c>
      <c r="F118" s="41">
        <v>988</v>
      </c>
      <c r="G118" s="64"/>
      <c r="H118" s="65"/>
      <c r="I118" s="35"/>
      <c r="K118" s="36">
        <v>988</v>
      </c>
      <c r="L118" s="58">
        <f t="shared" si="4"/>
        <v>2.1584347939688788</v>
      </c>
      <c r="M118" s="58"/>
      <c r="N118" s="35"/>
    </row>
    <row r="119" spans="1:14" s="36" customFormat="1" x14ac:dyDescent="0.3">
      <c r="A119" s="66"/>
      <c r="B119" s="129"/>
      <c r="C119" s="129"/>
      <c r="D119" s="129"/>
      <c r="E119" s="129"/>
      <c r="F119" s="129"/>
      <c r="G119" s="129"/>
      <c r="H119" s="67"/>
      <c r="I119" s="35"/>
      <c r="N119" s="35"/>
    </row>
    <row r="120" spans="1:14" ht="47.25" customHeight="1" x14ac:dyDescent="0.3">
      <c r="A120" s="56" t="s">
        <v>121</v>
      </c>
      <c r="B120" s="42" t="s">
        <v>181</v>
      </c>
      <c r="C120" s="42" t="s">
        <v>56</v>
      </c>
      <c r="D120" s="42" t="s">
        <v>57</v>
      </c>
      <c r="E120" s="55" t="s">
        <v>58</v>
      </c>
      <c r="F120" s="42" t="s">
        <v>274</v>
      </c>
      <c r="G120" s="72" t="s">
        <v>59</v>
      </c>
      <c r="H120" s="73"/>
      <c r="I120" s="35"/>
    </row>
    <row r="121" spans="1:14" s="36" customFormat="1" x14ac:dyDescent="0.3">
      <c r="A121" s="68" t="s">
        <v>267</v>
      </c>
      <c r="B121" s="69"/>
      <c r="C121" s="69"/>
      <c r="D121" s="69"/>
      <c r="E121" s="69"/>
      <c r="F121" s="69"/>
      <c r="G121" s="69"/>
      <c r="H121" s="70"/>
      <c r="J121" s="35"/>
    </row>
    <row r="122" spans="1:14" s="36" customFormat="1" ht="15.75" customHeight="1" x14ac:dyDescent="0.3">
      <c r="A122" s="66">
        <v>1</v>
      </c>
      <c r="B122" s="67"/>
      <c r="C122" s="54">
        <v>1</v>
      </c>
      <c r="D122" s="59">
        <f>(28.8+2.75*1.2+2.75)*(10.764)</f>
        <v>375.12540000000001</v>
      </c>
      <c r="E122" s="41">
        <v>0</v>
      </c>
      <c r="F122" s="41">
        <v>585</v>
      </c>
      <c r="G122" s="60" t="str">
        <f>A121</f>
        <v>1st Floor For Part Residential</v>
      </c>
      <c r="H122" s="61"/>
      <c r="I122" s="35"/>
      <c r="J122" s="36">
        <f>2.75*3.9+2.1*2.8+2.75*2.8+1.2*0.9+2.1*1.2+0.8*0.9</f>
        <v>28.624999999999996</v>
      </c>
      <c r="K122" s="36">
        <v>585</v>
      </c>
      <c r="L122" s="58"/>
      <c r="M122" s="58"/>
      <c r="N122" s="35"/>
    </row>
    <row r="123" spans="1:14" s="36" customFormat="1" ht="15.75" customHeight="1" x14ac:dyDescent="0.3">
      <c r="A123" s="66">
        <f t="shared" ref="A123:A125" si="6">A122+1</f>
        <v>2</v>
      </c>
      <c r="B123" s="67"/>
      <c r="C123" s="54">
        <v>1</v>
      </c>
      <c r="D123" s="59">
        <f>(30.76+2.75*1.2+2.75)*(10.764)</f>
        <v>396.22284000000002</v>
      </c>
      <c r="E123" s="41">
        <v>0</v>
      </c>
      <c r="F123" s="41">
        <v>600</v>
      </c>
      <c r="G123" s="62" t="str">
        <f t="shared" ref="G123:G125" si="7">G122</f>
        <v>1st Floor For Part Residential</v>
      </c>
      <c r="H123" s="63"/>
      <c r="I123" s="35"/>
      <c r="J123" s="36">
        <f>2.75*3.9+2.1*2.9+2.75*2.9+1.2*0.9+1.9*1.2+1.6*0.9+0.9*1.2</f>
        <v>30.67</v>
      </c>
      <c r="K123" s="36">
        <v>600</v>
      </c>
      <c r="L123" s="58"/>
      <c r="M123" s="58"/>
      <c r="N123" s="35"/>
    </row>
    <row r="124" spans="1:14" s="36" customFormat="1" ht="15.75" customHeight="1" x14ac:dyDescent="0.3">
      <c r="A124" s="66">
        <f t="shared" si="6"/>
        <v>3</v>
      </c>
      <c r="B124" s="67"/>
      <c r="C124" s="54">
        <v>1</v>
      </c>
      <c r="D124" s="59">
        <f>(29.7+1.8*1.2+2.75)*(10.764)</f>
        <v>372.54203999999999</v>
      </c>
      <c r="E124" s="41">
        <v>0</v>
      </c>
      <c r="F124" s="41">
        <v>586</v>
      </c>
      <c r="G124" s="62" t="str">
        <f t="shared" si="7"/>
        <v>1st Floor For Part Residential</v>
      </c>
      <c r="H124" s="63"/>
      <c r="I124" s="35"/>
      <c r="K124" s="36">
        <v>586</v>
      </c>
      <c r="L124" s="58"/>
      <c r="M124" s="58"/>
      <c r="N124" s="35"/>
    </row>
    <row r="125" spans="1:14" s="36" customFormat="1" ht="15.75" customHeight="1" x14ac:dyDescent="0.3">
      <c r="A125" s="66">
        <f t="shared" si="6"/>
        <v>4</v>
      </c>
      <c r="B125" s="67"/>
      <c r="C125" s="54">
        <v>1</v>
      </c>
      <c r="D125" s="59">
        <f>(29.7+1.8*1.2+2.75)*(10.764)</f>
        <v>372.54203999999999</v>
      </c>
      <c r="E125" s="41">
        <v>0</v>
      </c>
      <c r="F125" s="41">
        <v>586</v>
      </c>
      <c r="G125" s="62" t="str">
        <f t="shared" si="7"/>
        <v>1st Floor For Part Residential</v>
      </c>
      <c r="H125" s="63"/>
      <c r="I125" s="35"/>
      <c r="K125" s="36">
        <v>586</v>
      </c>
      <c r="L125" s="58"/>
      <c r="M125" s="58"/>
      <c r="N125" s="35"/>
    </row>
    <row r="126" spans="1:14" s="36" customFormat="1" x14ac:dyDescent="0.3">
      <c r="A126" s="68" t="s">
        <v>268</v>
      </c>
      <c r="B126" s="69"/>
      <c r="C126" s="69"/>
      <c r="D126" s="69"/>
      <c r="E126" s="69"/>
      <c r="F126" s="69"/>
      <c r="G126" s="69"/>
      <c r="H126" s="70"/>
      <c r="J126" s="35"/>
    </row>
    <row r="127" spans="1:14" s="36" customFormat="1" ht="15.75" customHeight="1" x14ac:dyDescent="0.3">
      <c r="A127" s="66">
        <v>1</v>
      </c>
      <c r="B127" s="67"/>
      <c r="C127" s="54">
        <v>1</v>
      </c>
      <c r="D127" s="59">
        <f>(28.8+2.75*1.2+2.75)*(10.764)</f>
        <v>375.12540000000001</v>
      </c>
      <c r="E127" s="41">
        <v>0</v>
      </c>
      <c r="F127" s="41">
        <v>585</v>
      </c>
      <c r="G127" s="60" t="str">
        <f>A126</f>
        <v>2nd Floor For Residential</v>
      </c>
      <c r="H127" s="61"/>
      <c r="I127" s="35"/>
      <c r="K127" s="36">
        <v>585</v>
      </c>
      <c r="L127" s="58">
        <f t="shared" ref="L127:L133" si="8">K127/D127</f>
        <v>1.5594785103861268</v>
      </c>
      <c r="M127" s="58"/>
      <c r="N127" s="35"/>
    </row>
    <row r="128" spans="1:14" s="36" customFormat="1" ht="15.75" customHeight="1" x14ac:dyDescent="0.3">
      <c r="A128" s="66">
        <f t="shared" ref="A128:A133" si="9">A127+1</f>
        <v>2</v>
      </c>
      <c r="B128" s="67"/>
      <c r="C128" s="54">
        <v>1</v>
      </c>
      <c r="D128" s="59">
        <f>(30.76+2.75*1.2+2.75)*(10.764)</f>
        <v>396.22284000000002</v>
      </c>
      <c r="E128" s="41">
        <v>0</v>
      </c>
      <c r="F128" s="41">
        <v>600</v>
      </c>
      <c r="G128" s="62" t="str">
        <f t="shared" ref="G128:G133" si="10">G127</f>
        <v>2nd Floor For Residential</v>
      </c>
      <c r="H128" s="63"/>
      <c r="I128" s="35"/>
      <c r="K128" s="36">
        <v>600</v>
      </c>
      <c r="L128" s="58">
        <f t="shared" si="8"/>
        <v>1.5142993775926696</v>
      </c>
      <c r="M128" s="58"/>
      <c r="N128" s="35"/>
    </row>
    <row r="129" spans="1:14" s="36" customFormat="1" ht="15.75" customHeight="1" x14ac:dyDescent="0.3">
      <c r="A129" s="66">
        <f t="shared" si="9"/>
        <v>3</v>
      </c>
      <c r="B129" s="67"/>
      <c r="C129" s="54">
        <v>1</v>
      </c>
      <c r="D129" s="59">
        <f>(29.7+1.8*1.2+2.75)*(10.764)</f>
        <v>372.54203999999999</v>
      </c>
      <c r="E129" s="41">
        <v>0</v>
      </c>
      <c r="F129" s="41">
        <v>585</v>
      </c>
      <c r="G129" s="62" t="str">
        <f t="shared" si="10"/>
        <v>2nd Floor For Residential</v>
      </c>
      <c r="H129" s="63"/>
      <c r="I129" s="35"/>
      <c r="K129" s="36">
        <v>585</v>
      </c>
      <c r="L129" s="58">
        <f t="shared" si="8"/>
        <v>1.5702925769129306</v>
      </c>
      <c r="M129" s="58"/>
      <c r="N129" s="35"/>
    </row>
    <row r="130" spans="1:14" s="36" customFormat="1" ht="15.75" customHeight="1" x14ac:dyDescent="0.3">
      <c r="A130" s="66">
        <f t="shared" si="9"/>
        <v>4</v>
      </c>
      <c r="B130" s="67"/>
      <c r="C130" s="54">
        <v>1</v>
      </c>
      <c r="D130" s="59">
        <f>(29.7+1.8*1.2+2.75)*(10.764)</f>
        <v>372.54203999999999</v>
      </c>
      <c r="E130" s="41">
        <v>0</v>
      </c>
      <c r="F130" s="41">
        <v>585</v>
      </c>
      <c r="G130" s="62" t="str">
        <f t="shared" si="10"/>
        <v>2nd Floor For Residential</v>
      </c>
      <c r="H130" s="63"/>
      <c r="I130" s="35"/>
      <c r="K130" s="36">
        <v>585</v>
      </c>
      <c r="L130" s="58">
        <f t="shared" si="8"/>
        <v>1.5702925769129306</v>
      </c>
      <c r="M130" s="58"/>
      <c r="N130" s="35"/>
    </row>
    <row r="131" spans="1:14" s="36" customFormat="1" ht="15.75" customHeight="1" x14ac:dyDescent="0.3">
      <c r="A131" s="66">
        <f t="shared" si="9"/>
        <v>5</v>
      </c>
      <c r="B131" s="67"/>
      <c r="C131" s="54">
        <v>1</v>
      </c>
      <c r="D131" s="59">
        <f>(29.7)*(10.764)</f>
        <v>319.69079999999997</v>
      </c>
      <c r="E131" s="59">
        <f>(1.8*2.85+2.75)*(10.764)</f>
        <v>84.820319999999995</v>
      </c>
      <c r="F131" s="41">
        <v>620</v>
      </c>
      <c r="G131" s="62" t="str">
        <f t="shared" si="10"/>
        <v>2nd Floor For Residential</v>
      </c>
      <c r="H131" s="63"/>
      <c r="I131" s="35"/>
      <c r="K131" s="36">
        <v>620</v>
      </c>
      <c r="L131" s="58">
        <f t="shared" si="8"/>
        <v>1.9393739200502487</v>
      </c>
      <c r="M131" s="58"/>
      <c r="N131" s="35"/>
    </row>
    <row r="132" spans="1:14" s="36" customFormat="1" ht="15.75" customHeight="1" x14ac:dyDescent="0.3">
      <c r="A132" s="66">
        <f t="shared" si="9"/>
        <v>6</v>
      </c>
      <c r="B132" s="67"/>
      <c r="C132" s="54">
        <v>1</v>
      </c>
      <c r="D132" s="59">
        <f>(27.81)*(10.764)</f>
        <v>299.34683999999999</v>
      </c>
      <c r="E132" s="59">
        <f>(2.75*2.85+5*1+0.5*2.5*3.2)*(10.764)</f>
        <v>181.23884999999999</v>
      </c>
      <c r="F132" s="41">
        <v>689</v>
      </c>
      <c r="G132" s="62" t="str">
        <f t="shared" si="10"/>
        <v>2nd Floor For Residential</v>
      </c>
      <c r="H132" s="63"/>
      <c r="I132" s="35"/>
      <c r="K132" s="36">
        <v>689</v>
      </c>
      <c r="L132" s="58">
        <f t="shared" si="8"/>
        <v>2.3016778797464506</v>
      </c>
      <c r="M132" s="58"/>
      <c r="N132" s="35"/>
    </row>
    <row r="133" spans="1:14" s="36" customFormat="1" ht="15.75" customHeight="1" x14ac:dyDescent="0.3">
      <c r="A133" s="66">
        <f t="shared" si="9"/>
        <v>7</v>
      </c>
      <c r="B133" s="67"/>
      <c r="C133" s="54">
        <v>2</v>
      </c>
      <c r="D133" s="59">
        <f>(42.91)*(10.764)</f>
        <v>461.88323999999994</v>
      </c>
      <c r="E133" s="59">
        <f>(2.75*2.85+2*2.75+5.25*1.9)*(10.764)</f>
        <v>250.93574999999998</v>
      </c>
      <c r="F133" s="41">
        <v>960</v>
      </c>
      <c r="G133" s="64" t="str">
        <f t="shared" si="10"/>
        <v>2nd Floor For Residential</v>
      </c>
      <c r="H133" s="65"/>
      <c r="I133" s="35"/>
      <c r="K133" s="36">
        <v>960</v>
      </c>
      <c r="L133" s="58">
        <f t="shared" si="8"/>
        <v>2.0784473582544369</v>
      </c>
      <c r="M133" s="58"/>
      <c r="N133" s="35"/>
    </row>
    <row r="134" spans="1:14" s="36" customFormat="1" x14ac:dyDescent="0.3">
      <c r="A134" s="68" t="s">
        <v>269</v>
      </c>
      <c r="B134" s="69"/>
      <c r="C134" s="69"/>
      <c r="D134" s="69"/>
      <c r="E134" s="69"/>
      <c r="F134" s="69"/>
      <c r="G134" s="69"/>
      <c r="H134" s="70"/>
      <c r="J134" s="35"/>
    </row>
    <row r="135" spans="1:14" s="36" customFormat="1" ht="15.75" customHeight="1" x14ac:dyDescent="0.3">
      <c r="A135" s="66">
        <v>1</v>
      </c>
      <c r="B135" s="67"/>
      <c r="C135" s="54">
        <v>1</v>
      </c>
      <c r="D135" s="59">
        <f>(28.8+2.75*1.2+2.75)*(10.764)</f>
        <v>375.12540000000001</v>
      </c>
      <c r="E135" s="41">
        <v>0</v>
      </c>
      <c r="F135" s="41">
        <v>585</v>
      </c>
      <c r="G135" s="60" t="str">
        <f>A134</f>
        <v>3rd to 6th Floor</v>
      </c>
      <c r="H135" s="61"/>
      <c r="I135" s="35"/>
      <c r="K135" s="36">
        <v>585</v>
      </c>
      <c r="L135" s="58">
        <f>K135/D135</f>
        <v>1.5594785103861268</v>
      </c>
      <c r="M135" s="58">
        <f>4000*F135</f>
        <v>2340000</v>
      </c>
      <c r="N135" s="35"/>
    </row>
    <row r="136" spans="1:14" s="36" customFormat="1" ht="15.75" customHeight="1" x14ac:dyDescent="0.3">
      <c r="A136" s="66">
        <f t="shared" ref="A136:A141" si="11">A135+1</f>
        <v>2</v>
      </c>
      <c r="B136" s="67"/>
      <c r="C136" s="54">
        <v>1</v>
      </c>
      <c r="D136" s="59">
        <f>(30.76+2.75*1.2+2.75)*(10.764)</f>
        <v>396.22284000000002</v>
      </c>
      <c r="E136" s="41">
        <v>0</v>
      </c>
      <c r="F136" s="41">
        <v>600</v>
      </c>
      <c r="G136" s="62" t="str">
        <f t="shared" ref="G136:G141" si="12">G135</f>
        <v>3rd to 6th Floor</v>
      </c>
      <c r="H136" s="63"/>
      <c r="I136" s="35"/>
      <c r="K136" s="36">
        <v>600</v>
      </c>
      <c r="L136" s="58">
        <f t="shared" ref="L136:L141" si="13">K136/D136</f>
        <v>1.5142993775926696</v>
      </c>
      <c r="M136" s="58">
        <f t="shared" ref="M136:M141" si="14">4000*F136</f>
        <v>2400000</v>
      </c>
      <c r="N136" s="35"/>
    </row>
    <row r="137" spans="1:14" s="36" customFormat="1" ht="15.75" customHeight="1" x14ac:dyDescent="0.3">
      <c r="A137" s="66">
        <f t="shared" si="11"/>
        <v>3</v>
      </c>
      <c r="B137" s="67"/>
      <c r="C137" s="54">
        <v>1</v>
      </c>
      <c r="D137" s="59">
        <f>(29.7+1.8*1.2+2.75)*(10.764)</f>
        <v>372.54203999999999</v>
      </c>
      <c r="E137" s="41">
        <v>0</v>
      </c>
      <c r="F137" s="41">
        <v>586</v>
      </c>
      <c r="G137" s="62" t="str">
        <f t="shared" si="12"/>
        <v>3rd to 6th Floor</v>
      </c>
      <c r="H137" s="63"/>
      <c r="I137" s="35"/>
      <c r="K137" s="36">
        <v>586</v>
      </c>
      <c r="L137" s="58">
        <f t="shared" si="13"/>
        <v>1.5729768377281663</v>
      </c>
      <c r="M137" s="58">
        <f t="shared" si="14"/>
        <v>2344000</v>
      </c>
      <c r="N137" s="35"/>
    </row>
    <row r="138" spans="1:14" s="36" customFormat="1" ht="15.75" customHeight="1" x14ac:dyDescent="0.3">
      <c r="A138" s="66">
        <f t="shared" si="11"/>
        <v>4</v>
      </c>
      <c r="B138" s="67"/>
      <c r="C138" s="54">
        <v>1</v>
      </c>
      <c r="D138" s="59">
        <f>(29.7+1.8*1.2+2.75)*(10.764)</f>
        <v>372.54203999999999</v>
      </c>
      <c r="E138" s="41">
        <v>0</v>
      </c>
      <c r="F138" s="41">
        <v>586</v>
      </c>
      <c r="G138" s="62" t="str">
        <f t="shared" si="12"/>
        <v>3rd to 6th Floor</v>
      </c>
      <c r="H138" s="63"/>
      <c r="I138" s="35"/>
      <c r="K138" s="36">
        <v>586</v>
      </c>
      <c r="L138" s="58">
        <f t="shared" si="13"/>
        <v>1.5729768377281663</v>
      </c>
      <c r="M138" s="58">
        <f t="shared" si="14"/>
        <v>2344000</v>
      </c>
      <c r="N138" s="35"/>
    </row>
    <row r="139" spans="1:14" s="36" customFormat="1" ht="15.75" customHeight="1" x14ac:dyDescent="0.3">
      <c r="A139" s="66">
        <f t="shared" si="11"/>
        <v>5</v>
      </c>
      <c r="B139" s="67"/>
      <c r="C139" s="54">
        <v>1</v>
      </c>
      <c r="D139" s="59">
        <f>(29.7+1.8*1.2+2.75)*(10.764)</f>
        <v>372.54203999999999</v>
      </c>
      <c r="E139" s="41">
        <v>0</v>
      </c>
      <c r="F139" s="41">
        <v>586</v>
      </c>
      <c r="G139" s="62" t="str">
        <f t="shared" si="12"/>
        <v>3rd to 6th Floor</v>
      </c>
      <c r="H139" s="63"/>
      <c r="I139" s="35"/>
      <c r="K139" s="36">
        <v>586</v>
      </c>
      <c r="L139" s="58">
        <f t="shared" si="13"/>
        <v>1.5729768377281663</v>
      </c>
      <c r="M139" s="58">
        <f t="shared" si="14"/>
        <v>2344000</v>
      </c>
      <c r="N139" s="35"/>
    </row>
    <row r="140" spans="1:14" s="36" customFormat="1" ht="15.75" customHeight="1" x14ac:dyDescent="0.3">
      <c r="A140" s="66">
        <f t="shared" si="11"/>
        <v>6</v>
      </c>
      <c r="B140" s="67"/>
      <c r="C140" s="54">
        <v>1</v>
      </c>
      <c r="D140" s="59">
        <f>(27.81+2.75*1.2+2.1+2.75)*(10.764)</f>
        <v>387.07344000000001</v>
      </c>
      <c r="E140" s="41">
        <v>0</v>
      </c>
      <c r="F140" s="41">
        <v>614</v>
      </c>
      <c r="G140" s="62" t="str">
        <f t="shared" si="12"/>
        <v>3rd to 6th Floor</v>
      </c>
      <c r="H140" s="63"/>
      <c r="I140" s="35"/>
      <c r="K140" s="36">
        <v>614</v>
      </c>
      <c r="L140" s="58">
        <f t="shared" si="13"/>
        <v>1.5862622865573004</v>
      </c>
      <c r="M140" s="58">
        <f t="shared" si="14"/>
        <v>2456000</v>
      </c>
      <c r="N140" s="35"/>
    </row>
    <row r="141" spans="1:14" s="36" customFormat="1" ht="15.75" customHeight="1" x14ac:dyDescent="0.3">
      <c r="A141" s="66">
        <f t="shared" si="11"/>
        <v>7</v>
      </c>
      <c r="B141" s="67"/>
      <c r="C141" s="54">
        <v>2</v>
      </c>
      <c r="D141" s="59">
        <f>(42.91+2.75*1.2+2.75+2.75)*(10.764)</f>
        <v>556.60643999999991</v>
      </c>
      <c r="E141" s="41">
        <v>0</v>
      </c>
      <c r="F141" s="41">
        <v>856</v>
      </c>
      <c r="G141" s="64" t="str">
        <f t="shared" si="12"/>
        <v>3rd to 6th Floor</v>
      </c>
      <c r="H141" s="65"/>
      <c r="I141" s="35"/>
      <c r="K141" s="36">
        <v>856</v>
      </c>
      <c r="L141" s="58">
        <f t="shared" si="13"/>
        <v>1.5378909378051755</v>
      </c>
      <c r="M141" s="58">
        <f t="shared" si="14"/>
        <v>3424000</v>
      </c>
      <c r="N141" s="35"/>
    </row>
    <row r="142" spans="1:14" s="36" customFormat="1" x14ac:dyDescent="0.3">
      <c r="A142" s="68" t="s">
        <v>270</v>
      </c>
      <c r="B142" s="69"/>
      <c r="C142" s="69"/>
      <c r="D142" s="69"/>
      <c r="E142" s="69"/>
      <c r="F142" s="69"/>
      <c r="G142" s="69"/>
      <c r="H142" s="70"/>
      <c r="J142" s="35"/>
    </row>
    <row r="143" spans="1:14" s="36" customFormat="1" ht="15.75" customHeight="1" x14ac:dyDescent="0.3">
      <c r="A143" s="66" t="s">
        <v>272</v>
      </c>
      <c r="B143" s="67"/>
      <c r="C143" s="75" t="s">
        <v>271</v>
      </c>
      <c r="D143" s="76"/>
      <c r="E143" s="76"/>
      <c r="F143" s="77"/>
      <c r="G143" s="60" t="str">
        <f>A142</f>
        <v>7th Floor (Part Terrace Area)</v>
      </c>
      <c r="H143" s="61"/>
      <c r="I143" s="35"/>
      <c r="L143" s="58"/>
      <c r="M143" s="58"/>
      <c r="N143" s="35"/>
    </row>
    <row r="144" spans="1:14" s="36" customFormat="1" ht="15.75" customHeight="1" x14ac:dyDescent="0.3">
      <c r="A144" s="66">
        <v>1</v>
      </c>
      <c r="B144" s="67"/>
      <c r="C144" s="54">
        <v>1</v>
      </c>
      <c r="D144" s="59">
        <f>(30.76+2.75*1.2+2.75)*(10.764)</f>
        <v>396.22284000000002</v>
      </c>
      <c r="E144" s="41">
        <v>0</v>
      </c>
      <c r="F144" s="41">
        <v>600</v>
      </c>
      <c r="G144" s="62"/>
      <c r="H144" s="63"/>
      <c r="I144" s="35"/>
      <c r="K144" s="36">
        <v>600</v>
      </c>
      <c r="L144" s="58"/>
      <c r="M144" s="58"/>
      <c r="N144" s="35"/>
    </row>
    <row r="145" spans="1:14" s="36" customFormat="1" ht="15.75" customHeight="1" x14ac:dyDescent="0.3">
      <c r="A145" s="66">
        <f t="shared" ref="A145:A149" si="15">A144+1</f>
        <v>2</v>
      </c>
      <c r="B145" s="67"/>
      <c r="C145" s="54">
        <v>1</v>
      </c>
      <c r="D145" s="59">
        <f>(29.7+1.8*1.2+2.75)*(10.764)</f>
        <v>372.54203999999999</v>
      </c>
      <c r="E145" s="41">
        <v>0</v>
      </c>
      <c r="F145" s="41">
        <v>586</v>
      </c>
      <c r="G145" s="62"/>
      <c r="H145" s="63"/>
      <c r="I145" s="35"/>
      <c r="K145" s="36">
        <v>586</v>
      </c>
      <c r="L145" s="58"/>
      <c r="M145" s="58"/>
      <c r="N145" s="35"/>
    </row>
    <row r="146" spans="1:14" s="36" customFormat="1" ht="15.75" customHeight="1" x14ac:dyDescent="0.3">
      <c r="A146" s="66">
        <f t="shared" si="15"/>
        <v>3</v>
      </c>
      <c r="B146" s="67"/>
      <c r="C146" s="54">
        <v>1</v>
      </c>
      <c r="D146" s="59">
        <f>(29.7+1.8*1.2+2.75)*(10.764)</f>
        <v>372.54203999999999</v>
      </c>
      <c r="E146" s="41">
        <v>0</v>
      </c>
      <c r="F146" s="41">
        <v>586</v>
      </c>
      <c r="G146" s="62"/>
      <c r="H146" s="63"/>
      <c r="I146" s="35"/>
      <c r="K146" s="36">
        <v>586</v>
      </c>
      <c r="L146" s="58"/>
      <c r="M146" s="58"/>
      <c r="N146" s="35"/>
    </row>
    <row r="147" spans="1:14" s="36" customFormat="1" ht="15.75" customHeight="1" x14ac:dyDescent="0.3">
      <c r="A147" s="66">
        <f t="shared" si="15"/>
        <v>4</v>
      </c>
      <c r="B147" s="67"/>
      <c r="C147" s="54">
        <v>1</v>
      </c>
      <c r="D147" s="59">
        <f>(29.7+1.8*1.2+2.75)*(10.764)</f>
        <v>372.54203999999999</v>
      </c>
      <c r="E147" s="41">
        <v>0</v>
      </c>
      <c r="F147" s="41">
        <v>586</v>
      </c>
      <c r="G147" s="62"/>
      <c r="H147" s="63"/>
      <c r="I147" s="35"/>
      <c r="K147" s="36">
        <v>586</v>
      </c>
      <c r="L147" s="58"/>
      <c r="M147" s="58"/>
      <c r="N147" s="35"/>
    </row>
    <row r="148" spans="1:14" s="36" customFormat="1" ht="15.75" customHeight="1" x14ac:dyDescent="0.3">
      <c r="A148" s="66">
        <f t="shared" si="15"/>
        <v>5</v>
      </c>
      <c r="B148" s="67"/>
      <c r="C148" s="54">
        <v>1</v>
      </c>
      <c r="D148" s="59">
        <f>(27.81+2.75*1.2+2.1+2.75)*(10.764)</f>
        <v>387.07344000000001</v>
      </c>
      <c r="E148" s="41">
        <v>0</v>
      </c>
      <c r="F148" s="41">
        <v>614</v>
      </c>
      <c r="G148" s="62"/>
      <c r="H148" s="63"/>
      <c r="I148" s="35"/>
      <c r="K148" s="36">
        <v>614</v>
      </c>
      <c r="L148" s="58"/>
      <c r="M148" s="58"/>
      <c r="N148" s="35"/>
    </row>
    <row r="149" spans="1:14" s="36" customFormat="1" ht="15.75" customHeight="1" x14ac:dyDescent="0.3">
      <c r="A149" s="66">
        <f t="shared" si="15"/>
        <v>6</v>
      </c>
      <c r="B149" s="67"/>
      <c r="C149" s="54">
        <v>2</v>
      </c>
      <c r="D149" s="59">
        <f>(42.91+2.75*1.2+2.75+2.75)*(10.764)</f>
        <v>556.60643999999991</v>
      </c>
      <c r="E149" s="41">
        <v>0</v>
      </c>
      <c r="F149" s="41">
        <v>856</v>
      </c>
      <c r="G149" s="64"/>
      <c r="H149" s="65"/>
      <c r="I149" s="35"/>
      <c r="K149" s="36">
        <v>856</v>
      </c>
      <c r="L149" s="58"/>
      <c r="M149" s="58"/>
      <c r="N149" s="35"/>
    </row>
    <row r="150" spans="1:14" s="36" customFormat="1" hidden="1" x14ac:dyDescent="0.3">
      <c r="A150" s="68" t="s">
        <v>118</v>
      </c>
      <c r="B150" s="69"/>
      <c r="C150" s="69"/>
      <c r="D150" s="69"/>
      <c r="E150" s="69"/>
      <c r="F150" s="69"/>
      <c r="G150" s="69"/>
      <c r="H150" s="70"/>
      <c r="J150" s="35"/>
    </row>
    <row r="151" spans="1:14" s="36" customFormat="1" hidden="1" x14ac:dyDescent="0.3">
      <c r="A151" s="66">
        <v>1</v>
      </c>
      <c r="B151" s="67"/>
      <c r="C151" s="54"/>
      <c r="D151" s="41"/>
      <c r="E151" s="41">
        <v>0</v>
      </c>
      <c r="F151" s="41" t="e">
        <f>D151*((#REF!)+1)+(IF(E151&lt;101,E151,IF(E151&lt;201,E151/2,IF(E151&lt;=301,E151/3,E151/4))))</f>
        <v>#REF!</v>
      </c>
      <c r="G151" s="66" t="str">
        <f>A150</f>
        <v>Ground Floor</v>
      </c>
      <c r="H151" s="67"/>
      <c r="I151" s="35"/>
      <c r="L151" s="74"/>
      <c r="M151" s="74"/>
      <c r="N151" s="35"/>
    </row>
    <row r="152" spans="1:14" s="36" customFormat="1" hidden="1" x14ac:dyDescent="0.3">
      <c r="A152" s="66">
        <f t="shared" ref="A152:A154" si="16">A151+1</f>
        <v>2</v>
      </c>
      <c r="B152" s="67"/>
      <c r="C152" s="54"/>
      <c r="D152" s="41"/>
      <c r="E152" s="41">
        <v>0</v>
      </c>
      <c r="F152" s="41" t="e">
        <f>D152*((#REF!)+1)+(IF(E152&lt;101,E152,IF(E152&lt;201,E152/2,IF(E152&lt;=301,E152/3,E152/4))))</f>
        <v>#REF!</v>
      </c>
      <c r="G152" s="66" t="str">
        <f t="shared" ref="G152:G154" si="17">G151</f>
        <v>Ground Floor</v>
      </c>
      <c r="H152" s="67"/>
      <c r="I152" s="35"/>
      <c r="L152" s="74"/>
      <c r="M152" s="74"/>
      <c r="N152" s="35"/>
    </row>
    <row r="153" spans="1:14" s="36" customFormat="1" hidden="1" x14ac:dyDescent="0.3">
      <c r="A153" s="66">
        <f t="shared" si="16"/>
        <v>3</v>
      </c>
      <c r="B153" s="67"/>
      <c r="C153" s="54"/>
      <c r="D153" s="41"/>
      <c r="E153" s="41">
        <v>0</v>
      </c>
      <c r="F153" s="41" t="e">
        <f>D153*((#REF!)+1)+(IF(E153&lt;101,E153,IF(E153&lt;201,E153/2,IF(E153&lt;=301,E153/3,E153/4))))</f>
        <v>#REF!</v>
      </c>
      <c r="G153" s="66" t="str">
        <f t="shared" si="17"/>
        <v>Ground Floor</v>
      </c>
      <c r="H153" s="67"/>
      <c r="I153" s="35"/>
      <c r="L153" s="74"/>
      <c r="M153" s="74"/>
      <c r="N153" s="35"/>
    </row>
    <row r="154" spans="1:14" s="36" customFormat="1" hidden="1" x14ac:dyDescent="0.3">
      <c r="A154" s="66">
        <f t="shared" si="16"/>
        <v>4</v>
      </c>
      <c r="B154" s="67"/>
      <c r="C154" s="54"/>
      <c r="D154" s="41"/>
      <c r="E154" s="41">
        <v>0</v>
      </c>
      <c r="F154" s="41" t="e">
        <f>D154*((#REF!)+1)+(IF(E154&lt;101,E154,IF(E154&lt;201,E154/2,IF(E154&lt;=301,E154/3,E154/4))))</f>
        <v>#REF!</v>
      </c>
      <c r="G154" s="66" t="str">
        <f t="shared" si="17"/>
        <v>Ground Floor</v>
      </c>
      <c r="H154" s="67"/>
      <c r="I154" s="35"/>
      <c r="L154" s="74"/>
      <c r="M154" s="74"/>
      <c r="N154" s="35"/>
    </row>
    <row r="155" spans="1:14" s="36" customFormat="1" hidden="1" x14ac:dyDescent="0.3">
      <c r="A155" s="150" t="s">
        <v>119</v>
      </c>
      <c r="B155" s="150"/>
      <c r="C155" s="150"/>
      <c r="D155" s="150"/>
      <c r="E155" s="150"/>
      <c r="F155" s="150"/>
      <c r="G155" s="150"/>
      <c r="H155" s="150"/>
      <c r="I155" s="35"/>
      <c r="L155" s="74"/>
      <c r="M155" s="74"/>
    </row>
    <row r="156" spans="1:14" s="36" customFormat="1" hidden="1" x14ac:dyDescent="0.3">
      <c r="A156" s="116">
        <f>LEFT(A155,SUM(LEN(A155)-LEN(SUBSTITUTE(A155,{"0","1","2","3","4","5","6","7","8","9"},""))))*100+1</f>
        <v>201</v>
      </c>
      <c r="B156" s="116"/>
      <c r="C156" s="54"/>
      <c r="D156" s="41"/>
      <c r="E156" s="41">
        <v>0</v>
      </c>
      <c r="F156" s="41" t="e">
        <f>D156*((#REF!)+1)+(IF(E156&lt;101,E156,IF(E156&lt;201,E156/2,IF(E156&lt;=301,E156/3,E156/4))))</f>
        <v>#REF!</v>
      </c>
      <c r="G156" s="116" t="str">
        <f>A155</f>
        <v>2nd Floor</v>
      </c>
      <c r="H156" s="116"/>
      <c r="I156" s="35"/>
      <c r="N156" s="35"/>
    </row>
    <row r="157" spans="1:14" s="36" customFormat="1" hidden="1" x14ac:dyDescent="0.3">
      <c r="A157" s="116">
        <f>A156+1</f>
        <v>202</v>
      </c>
      <c r="B157" s="116"/>
      <c r="C157" s="54"/>
      <c r="D157" s="41"/>
      <c r="E157" s="41">
        <v>0</v>
      </c>
      <c r="F157" s="41" t="e">
        <f>D157*((#REF!)+1)+(IF(E157&lt;101,E157,IF(E157&lt;201,E157/2,IF(E157&lt;=301,E157/3,E157/4))))</f>
        <v>#REF!</v>
      </c>
      <c r="G157" s="116" t="str">
        <f>G156</f>
        <v>2nd Floor</v>
      </c>
      <c r="H157" s="116"/>
      <c r="I157" s="35"/>
      <c r="N157" s="35"/>
    </row>
    <row r="158" spans="1:14" s="36" customFormat="1" hidden="1" x14ac:dyDescent="0.3">
      <c r="A158" s="116">
        <f>A157+1</f>
        <v>203</v>
      </c>
      <c r="B158" s="116"/>
      <c r="C158" s="54"/>
      <c r="D158" s="41"/>
      <c r="E158" s="41">
        <v>0</v>
      </c>
      <c r="F158" s="41" t="e">
        <f>D158*((#REF!)+1)+(IF(E158&lt;101,E158,IF(E158&lt;201,E158/2,IF(E158&lt;=301,E158/3,E158/4))))</f>
        <v>#REF!</v>
      </c>
      <c r="G158" s="116" t="str">
        <f>G157</f>
        <v>2nd Floor</v>
      </c>
      <c r="H158" s="116"/>
      <c r="I158" s="35"/>
      <c r="N158" s="35"/>
    </row>
    <row r="159" spans="1:14" s="36" customFormat="1" hidden="1" x14ac:dyDescent="0.3">
      <c r="A159" s="116">
        <f>A158+1</f>
        <v>204</v>
      </c>
      <c r="B159" s="116"/>
      <c r="C159" s="54"/>
      <c r="D159" s="41"/>
      <c r="E159" s="41">
        <v>0</v>
      </c>
      <c r="F159" s="41" t="e">
        <f>D159*((#REF!)+1)+(IF(E159&lt;101,E159,IF(E159&lt;201,E159/2,IF(E159&lt;=301,E159/3,E159/4))))</f>
        <v>#REF!</v>
      </c>
      <c r="G159" s="116" t="str">
        <f>G158</f>
        <v>2nd Floor</v>
      </c>
      <c r="H159" s="116"/>
      <c r="I159" s="35"/>
      <c r="N159" s="35"/>
    </row>
    <row r="160" spans="1:14" s="36" customFormat="1" hidden="1" x14ac:dyDescent="0.3">
      <c r="A160" s="116">
        <f>A159+1</f>
        <v>205</v>
      </c>
      <c r="B160" s="116"/>
      <c r="C160" s="54"/>
      <c r="D160" s="41"/>
      <c r="E160" s="41">
        <v>0</v>
      </c>
      <c r="F160" s="41" t="e">
        <f>D160*((#REF!)+1)+(IF(E160&lt;101,E160,IF(E160&lt;201,E160/2,IF(E160&lt;=301,E160/3,E160/4))))</f>
        <v>#REF!</v>
      </c>
      <c r="G160" s="116" t="str">
        <f>G159</f>
        <v>2nd Floor</v>
      </c>
      <c r="H160" s="116"/>
      <c r="I160" s="35"/>
      <c r="N160" s="35"/>
    </row>
    <row r="161" spans="1:9" s="36" customFormat="1" ht="15.75" hidden="1" customHeight="1" x14ac:dyDescent="0.3">
      <c r="A161" s="68" t="s">
        <v>152</v>
      </c>
      <c r="B161" s="69"/>
      <c r="C161" s="69"/>
      <c r="D161" s="69"/>
      <c r="E161" s="69"/>
      <c r="F161" s="69"/>
      <c r="G161" s="69"/>
      <c r="H161" s="70"/>
      <c r="I161" s="35"/>
    </row>
    <row r="162" spans="1:9" s="36" customFormat="1" hidden="1" x14ac:dyDescent="0.3">
      <c r="A162" s="66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10^ROW(INDIRECT("1:"&amp;LEN((LEFT(A161,SUM(LEN(A161)-LEN(SUBSTITUTE(A161,{"0","1","2"},""))))))))/10))*100+1&amp;""&amp;" ,..,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301 ,.., 1501</v>
      </c>
      <c r="B162" s="67"/>
      <c r="C162" s="54"/>
      <c r="D162" s="41"/>
      <c r="E162" s="41">
        <v>0</v>
      </c>
      <c r="F162" s="41" t="e">
        <f>D162*((#REF!)+1)+(IF(E162&lt;101,E162,IF(E162&lt;201,E162/2,IF(E162&lt;=301,E162/3,E162/4))))</f>
        <v>#REF!</v>
      </c>
      <c r="G162" s="66" t="str">
        <f>A161</f>
        <v>3rd, 5th, 7th, 9th, 11th, 13th, 15th Floor</v>
      </c>
      <c r="H162" s="67"/>
      <c r="I162" s="35"/>
    </row>
    <row r="163" spans="1:9" s="36" customFormat="1" hidden="1" x14ac:dyDescent="0.3">
      <c r="A163" s="66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,..,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302 ,.., 1502</v>
      </c>
      <c r="B163" s="67"/>
      <c r="C163" s="54"/>
      <c r="D163" s="41"/>
      <c r="E163" s="41">
        <v>0</v>
      </c>
      <c r="F163" s="41" t="e">
        <f>D163*((#REF!)+1)+(IF(E163&lt;101,E163,IF(E163&lt;201,E163/2,IF(E163&lt;=301,E163/3,E163/4))))</f>
        <v>#REF!</v>
      </c>
      <c r="G163" s="66" t="str">
        <f>G162</f>
        <v>3rd, 5th, 7th, 9th, 11th, 13th, 15th Floor</v>
      </c>
      <c r="H163" s="67"/>
      <c r="I163" s="35"/>
    </row>
    <row r="164" spans="1:9" s="36" customFormat="1" ht="15.75" hidden="1" customHeight="1" x14ac:dyDescent="0.3">
      <c r="A164" s="66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,..,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303 ,.., 1503</v>
      </c>
      <c r="B164" s="67"/>
      <c r="C164" s="54"/>
      <c r="D164" s="41"/>
      <c r="E164" s="41">
        <v>0</v>
      </c>
      <c r="F164" s="41" t="e">
        <f>D164*((#REF!)+1)+(IF(E164&lt;101,E164,IF(E164&lt;201,E164/2,IF(E164&lt;=301,E164/3,E164/4))))</f>
        <v>#REF!</v>
      </c>
      <c r="G164" s="66" t="str">
        <f>G163</f>
        <v>3rd, 5th, 7th, 9th, 11th, 13th, 15th Floor</v>
      </c>
      <c r="H164" s="67"/>
      <c r="I164" s="35"/>
    </row>
    <row r="165" spans="1:9" s="36" customFormat="1" ht="15.75" hidden="1" customHeight="1" x14ac:dyDescent="0.3">
      <c r="A165" s="66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304 ,.., 1504</v>
      </c>
      <c r="B165" s="67"/>
      <c r="C165" s="54"/>
      <c r="D165" s="41"/>
      <c r="E165" s="41">
        <v>0</v>
      </c>
      <c r="F165" s="41" t="e">
        <f>D165*((#REF!)+1)+(IF(E165&lt;101,E165,IF(E165&lt;201,E165/2,IF(E165&lt;=301,E165/3,E165/4))))</f>
        <v>#REF!</v>
      </c>
      <c r="G165" s="66" t="str">
        <f>G164</f>
        <v>3rd, 5th, 7th, 9th, 11th, 13th, 15th Floor</v>
      </c>
      <c r="H165" s="67"/>
      <c r="I165" s="35"/>
    </row>
    <row r="166" spans="1:9" s="36" customFormat="1" ht="15.75" hidden="1" customHeight="1" x14ac:dyDescent="0.3">
      <c r="A166" s="66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,..,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305 ,.., 1505</v>
      </c>
      <c r="B166" s="67"/>
      <c r="C166" s="54"/>
      <c r="D166" s="41"/>
      <c r="E166" s="41">
        <v>0</v>
      </c>
      <c r="F166" s="41" t="e">
        <f>D166*((#REF!)+1)+(IF(E166&lt;101,E166,IF(E166&lt;201,E166/2,IF(E166&lt;=301,E166/3,E166/4))))</f>
        <v>#REF!</v>
      </c>
      <c r="G166" s="66" t="str">
        <f>G165</f>
        <v>3rd, 5th, 7th, 9th, 11th, 13th, 15th Floor</v>
      </c>
      <c r="H166" s="67"/>
      <c r="I166" s="35"/>
    </row>
    <row r="167" spans="1:9" s="36" customFormat="1" hidden="1" x14ac:dyDescent="0.3">
      <c r="A167" s="68" t="s">
        <v>147</v>
      </c>
      <c r="B167" s="69"/>
      <c r="C167" s="69"/>
      <c r="D167" s="69"/>
      <c r="E167" s="69"/>
      <c r="F167" s="69"/>
      <c r="G167" s="69"/>
      <c r="H167" s="70"/>
      <c r="I167" s="35"/>
    </row>
    <row r="168" spans="1:9" s="36" customFormat="1" hidden="1" x14ac:dyDescent="0.3">
      <c r="A168" s="66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10^ROW(INDIRECT("1:"&amp;LEN((LEFT(A167,SUM(LEN(A167)-LEN(SUBSTITUTE(A167,{"0","1","2"},""))))))))/10))*100+1&amp;""&amp;" to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",LEN(A167))),LEN(A167)))))))/10))*100+1</f>
        <v>201 to 501</v>
      </c>
      <c r="B168" s="67"/>
      <c r="C168" s="54"/>
      <c r="D168" s="41"/>
      <c r="E168" s="41">
        <v>0</v>
      </c>
      <c r="F168" s="41" t="e">
        <f>D168*((#REF!)+1)+(IF(E168&lt;101,E168,IF(E168&lt;201,E168/2,IF(E168&lt;=301,E168/3,E168/4))))</f>
        <v>#REF!</v>
      </c>
      <c r="G168" s="66" t="str">
        <f>A167</f>
        <v>2nd to 5th Floor</v>
      </c>
      <c r="H168" s="67"/>
      <c r="I168" s="35"/>
    </row>
    <row r="169" spans="1:9" s="36" customFormat="1" hidden="1" x14ac:dyDescent="0.3">
      <c r="A169" s="66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202 to 502</v>
      </c>
      <c r="B169" s="67"/>
      <c r="C169" s="54"/>
      <c r="D169" s="41"/>
      <c r="E169" s="41">
        <v>0</v>
      </c>
      <c r="F169" s="41" t="e">
        <f>D169*((#REF!)+1)+(IF(E169&lt;101,E169,IF(E169&lt;201,E169/2,IF(E169&lt;=301,E169/3,E169/4))))</f>
        <v>#REF!</v>
      </c>
      <c r="G169" s="66" t="str">
        <f>G168</f>
        <v>2nd to 5th Floor</v>
      </c>
      <c r="H169" s="67"/>
      <c r="I169" s="35"/>
    </row>
    <row r="170" spans="1:9" s="36" customFormat="1" hidden="1" x14ac:dyDescent="0.3">
      <c r="A170" s="66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203 to 503</v>
      </c>
      <c r="B170" s="67"/>
      <c r="C170" s="54"/>
      <c r="D170" s="41"/>
      <c r="E170" s="41">
        <v>0</v>
      </c>
      <c r="F170" s="41" t="e">
        <f>D170*((#REF!)+1)+(IF(E170&lt;101,E170,IF(E170&lt;201,E170/2,IF(E170&lt;=301,E170/3,E170/4))))</f>
        <v>#REF!</v>
      </c>
      <c r="G170" s="66" t="str">
        <f>G169</f>
        <v>2nd to 5th Floor</v>
      </c>
      <c r="H170" s="67"/>
      <c r="I170" s="35"/>
    </row>
    <row r="171" spans="1:9" s="36" customFormat="1" hidden="1" x14ac:dyDescent="0.3">
      <c r="A171" s="66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to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204 to 504</v>
      </c>
      <c r="B171" s="67"/>
      <c r="C171" s="54"/>
      <c r="D171" s="41"/>
      <c r="E171" s="41">
        <v>0</v>
      </c>
      <c r="F171" s="41" t="e">
        <f>D171*((#REF!)+1)+(IF(E171&lt;101,E171,IF(E171&lt;201,E171/2,IF(E171&lt;=301,E171/3,E171/4))))</f>
        <v>#REF!</v>
      </c>
      <c r="G171" s="66" t="str">
        <f>G170</f>
        <v>2nd to 5th Floor</v>
      </c>
      <c r="H171" s="67"/>
      <c r="I171" s="35"/>
    </row>
    <row r="172" spans="1:9" s="36" customFormat="1" hidden="1" x14ac:dyDescent="0.3">
      <c r="A172" s="66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to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205 to 505</v>
      </c>
      <c r="B172" s="67"/>
      <c r="C172" s="54"/>
      <c r="D172" s="41"/>
      <c r="E172" s="41">
        <v>0</v>
      </c>
      <c r="F172" s="41" t="e">
        <f>D172*((#REF!)+1)+(IF(E172&lt;101,E172,IF(E172&lt;201,E172/2,IF(E172&lt;=301,E172/3,E172/4))))</f>
        <v>#REF!</v>
      </c>
      <c r="G172" s="66" t="str">
        <f>G171</f>
        <v>2nd to 5th Floor</v>
      </c>
      <c r="H172" s="67"/>
      <c r="I172" s="35"/>
    </row>
    <row r="173" spans="1:9" s="36" customFormat="1" hidden="1" x14ac:dyDescent="0.3">
      <c r="A173" s="68" t="s">
        <v>148</v>
      </c>
      <c r="B173" s="69"/>
      <c r="C173" s="69"/>
      <c r="D173" s="69"/>
      <c r="E173" s="69"/>
      <c r="F173" s="69"/>
      <c r="G173" s="69"/>
      <c r="H173" s="70"/>
      <c r="I173" s="35"/>
    </row>
    <row r="174" spans="1:9" s="36" customFormat="1" hidden="1" x14ac:dyDescent="0.3">
      <c r="A174" s="66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10^ROW(INDIRECT("1:"&amp;LEN((LEFT(A173,SUM(LEN(A173)-LEN(SUBSTITUTE(A173,{"0","1","2"},""))))))))/10))*100+1&amp;""&amp;" &amp;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",LEN(A173))),LEN(A173)))))))/10))*100+1</f>
        <v>201 &amp; 501</v>
      </c>
      <c r="B174" s="67"/>
      <c r="C174" s="54"/>
      <c r="D174" s="41"/>
      <c r="E174" s="41">
        <v>0</v>
      </c>
      <c r="F174" s="41" t="e">
        <f>D174*((#REF!)+1)+(IF(E174&lt;101,E174,IF(E174&lt;201,E174/2,IF(E174&lt;=301,E174/3,E174/4))))</f>
        <v>#REF!</v>
      </c>
      <c r="G174" s="66" t="str">
        <f>A173</f>
        <v>2nd &amp; 5th Floor</v>
      </c>
      <c r="H174" s="67"/>
      <c r="I174" s="35"/>
    </row>
    <row r="175" spans="1:9" s="36" customFormat="1" hidden="1" x14ac:dyDescent="0.3">
      <c r="A175" s="66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&amp;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202 &amp; 502</v>
      </c>
      <c r="B175" s="67"/>
      <c r="C175" s="54"/>
      <c r="D175" s="41"/>
      <c r="E175" s="41">
        <v>0</v>
      </c>
      <c r="F175" s="41" t="e">
        <f>D175*((#REF!)+1)+(IF(E175&lt;101,E175,IF(E175&lt;201,E175/2,IF(E175&lt;=301,E175/3,E175/4))))</f>
        <v>#REF!</v>
      </c>
      <c r="G175" s="66" t="str">
        <f t="shared" ref="G175:G178" si="18">G174</f>
        <v>2nd &amp; 5th Floor</v>
      </c>
      <c r="H175" s="67"/>
      <c r="I175" s="35"/>
    </row>
    <row r="176" spans="1:9" s="36" customFormat="1" hidden="1" x14ac:dyDescent="0.3">
      <c r="A176" s="66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&amp;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203 &amp; 503</v>
      </c>
      <c r="B176" s="67"/>
      <c r="C176" s="54"/>
      <c r="D176" s="41"/>
      <c r="E176" s="41">
        <v>0</v>
      </c>
      <c r="F176" s="41" t="e">
        <f>D176*((#REF!)+1)+(IF(E176&lt;101,E176,IF(E176&lt;201,E176/2,IF(E176&lt;=301,E176/3,E176/4))))</f>
        <v>#REF!</v>
      </c>
      <c r="G176" s="66" t="str">
        <f t="shared" si="18"/>
        <v>2nd &amp; 5th Floor</v>
      </c>
      <c r="H176" s="67"/>
      <c r="I176" s="35"/>
    </row>
    <row r="177" spans="1:11" s="36" customFormat="1" hidden="1" x14ac:dyDescent="0.3">
      <c r="A177" s="66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&amp;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204 &amp; 504</v>
      </c>
      <c r="B177" s="67"/>
      <c r="C177" s="54"/>
      <c r="D177" s="41"/>
      <c r="E177" s="41">
        <v>0</v>
      </c>
      <c r="F177" s="41" t="e">
        <f>D177*((#REF!)+1)+(IF(E177&lt;101,E177,IF(E177&lt;201,E177/2,IF(E177&lt;=301,E177/3,E177/4))))</f>
        <v>#REF!</v>
      </c>
      <c r="G177" s="66" t="str">
        <f t="shared" si="18"/>
        <v>2nd &amp; 5th Floor</v>
      </c>
      <c r="H177" s="67"/>
      <c r="I177" s="35"/>
    </row>
    <row r="178" spans="1:11" s="36" customFormat="1" hidden="1" x14ac:dyDescent="0.3">
      <c r="A178" s="66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&amp;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205 &amp; 505</v>
      </c>
      <c r="B178" s="67"/>
      <c r="C178" s="54"/>
      <c r="D178" s="41"/>
      <c r="E178" s="41">
        <v>0</v>
      </c>
      <c r="F178" s="41" t="e">
        <f>D178*((#REF!)+1)+(IF(E178&lt;101,E178,IF(E178&lt;201,E178/2,IF(E178&lt;=301,E178/3,E178/4))))</f>
        <v>#REF!</v>
      </c>
      <c r="G178" s="66" t="str">
        <f t="shared" si="18"/>
        <v>2nd &amp; 5th Floor</v>
      </c>
      <c r="H178" s="67"/>
      <c r="I178" s="35"/>
    </row>
    <row r="179" spans="1:11" s="34" customFormat="1" x14ac:dyDescent="0.3">
      <c r="A179" s="195" t="s">
        <v>67</v>
      </c>
      <c r="B179" s="195"/>
      <c r="C179" s="195"/>
      <c r="D179" s="195"/>
      <c r="E179" s="195"/>
      <c r="F179" s="195"/>
      <c r="G179" s="195"/>
      <c r="H179" s="195"/>
    </row>
    <row r="180" spans="1:11" s="34" customFormat="1" x14ac:dyDescent="0.3">
      <c r="A180" s="57" t="s">
        <v>156</v>
      </c>
      <c r="B180" s="123" t="s">
        <v>285</v>
      </c>
      <c r="C180" s="124"/>
      <c r="D180" s="124"/>
      <c r="E180" s="124"/>
      <c r="F180" s="124"/>
      <c r="G180" s="124"/>
      <c r="H180" s="125"/>
    </row>
    <row r="181" spans="1:11" s="34" customFormat="1" x14ac:dyDescent="0.3">
      <c r="A181" s="46" t="s">
        <v>156</v>
      </c>
      <c r="B181" s="123" t="str">
        <f>(IF(F120="Saleable area Loading :","We have considered Saleable area of Flats as per our Calculation.","We considered Saleable area of Flat as per Builder area Sheet."))</f>
        <v>We considered Saleable area of Flat as per Builder area Sheet.</v>
      </c>
      <c r="C181" s="124"/>
      <c r="D181" s="124"/>
      <c r="E181" s="124"/>
      <c r="F181" s="124"/>
      <c r="G181" s="124"/>
      <c r="H181" s="125"/>
    </row>
    <row r="182" spans="1:11" s="34" customFormat="1" x14ac:dyDescent="0.3">
      <c r="A182" s="46" t="s">
        <v>156</v>
      </c>
      <c r="B182" s="123" t="str">
        <f>(IF(F106="Saleable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82" s="124"/>
      <c r="D182" s="124"/>
      <c r="E182" s="124"/>
      <c r="F182" s="124"/>
      <c r="G182" s="124"/>
      <c r="H182" s="125"/>
    </row>
    <row r="183" spans="1:11" s="34" customFormat="1" x14ac:dyDescent="0.3">
      <c r="A183" s="46" t="s">
        <v>156</v>
      </c>
      <c r="B183" s="120" t="s">
        <v>124</v>
      </c>
      <c r="C183" s="121"/>
      <c r="D183" s="121"/>
      <c r="E183" s="121"/>
      <c r="F183" s="121"/>
      <c r="G183" s="121"/>
      <c r="H183" s="122"/>
    </row>
    <row r="184" spans="1:11" s="34" customFormat="1" x14ac:dyDescent="0.3">
      <c r="A184" s="46" t="s">
        <v>156</v>
      </c>
      <c r="B184" s="120" t="s">
        <v>273</v>
      </c>
      <c r="C184" s="121"/>
      <c r="D184" s="121"/>
      <c r="E184" s="121"/>
      <c r="F184" s="121"/>
      <c r="G184" s="121"/>
      <c r="H184" s="122"/>
    </row>
    <row r="185" spans="1:11" s="34" customFormat="1" x14ac:dyDescent="0.3">
      <c r="A185" s="46" t="s">
        <v>156</v>
      </c>
      <c r="B185" s="120" t="s">
        <v>155</v>
      </c>
      <c r="C185" s="121"/>
      <c r="D185" s="121"/>
      <c r="E185" s="121"/>
      <c r="F185" s="121"/>
      <c r="G185" s="121"/>
      <c r="H185" s="122"/>
    </row>
    <row r="186" spans="1:11" s="34" customFormat="1" x14ac:dyDescent="0.3">
      <c r="A186" s="46" t="s">
        <v>156</v>
      </c>
      <c r="B186" s="120" t="s">
        <v>125</v>
      </c>
      <c r="C186" s="121"/>
      <c r="D186" s="121"/>
      <c r="E186" s="121"/>
      <c r="F186" s="121"/>
      <c r="G186" s="121"/>
      <c r="H186" s="122"/>
    </row>
    <row r="187" spans="1:11" s="34" customFormat="1" ht="34.5" customHeight="1" x14ac:dyDescent="0.3">
      <c r="A187" s="46" t="s">
        <v>156</v>
      </c>
      <c r="B187" s="120" t="s">
        <v>157</v>
      </c>
      <c r="C187" s="121"/>
      <c r="D187" s="121"/>
      <c r="E187" s="121"/>
      <c r="F187" s="121"/>
      <c r="G187" s="121"/>
      <c r="H187" s="122"/>
      <c r="K187"/>
    </row>
    <row r="188" spans="1:11" s="34" customFormat="1" x14ac:dyDescent="0.3">
      <c r="A188" s="46" t="s">
        <v>156</v>
      </c>
      <c r="B188" s="120" t="s">
        <v>126</v>
      </c>
      <c r="C188" s="121"/>
      <c r="D188" s="121"/>
      <c r="E188" s="121"/>
      <c r="F188" s="121"/>
      <c r="G188" s="121"/>
      <c r="H188" s="122"/>
    </row>
    <row r="189" spans="1:11" s="34" customFormat="1" ht="36" hidden="1" customHeight="1" x14ac:dyDescent="0.3">
      <c r="A189" s="46" t="s">
        <v>156</v>
      </c>
      <c r="B189" s="139" t="s">
        <v>282</v>
      </c>
      <c r="C189" s="140"/>
      <c r="D189" s="140"/>
      <c r="E189" s="140"/>
      <c r="F189" s="140"/>
      <c r="G189" s="140"/>
      <c r="H189" s="141"/>
      <c r="K189"/>
    </row>
    <row r="190" spans="1:11" x14ac:dyDescent="0.3">
      <c r="A190" s="106" t="s">
        <v>60</v>
      </c>
      <c r="B190" s="106"/>
      <c r="C190" s="106"/>
      <c r="D190" s="106"/>
      <c r="E190" s="106"/>
      <c r="F190" s="106"/>
      <c r="G190" s="106"/>
      <c r="H190" s="106"/>
    </row>
    <row r="191" spans="1:11" x14ac:dyDescent="0.3">
      <c r="A191" s="71" t="s">
        <v>61</v>
      </c>
      <c r="B191" s="71"/>
      <c r="C191" s="71"/>
      <c r="D191" s="71"/>
      <c r="E191" s="71"/>
      <c r="F191" s="71"/>
      <c r="G191" s="71"/>
      <c r="H191" s="71"/>
    </row>
    <row r="192" spans="1:11" ht="15.75" customHeight="1" x14ac:dyDescent="0.3">
      <c r="A192" s="115" t="s">
        <v>62</v>
      </c>
      <c r="B192" s="115"/>
      <c r="C192" s="115"/>
      <c r="D192" s="115"/>
      <c r="E192" s="115"/>
      <c r="F192" s="115"/>
      <c r="G192" s="115"/>
      <c r="H192" s="115"/>
    </row>
    <row r="193" spans="1:8" x14ac:dyDescent="0.3">
      <c r="A193" s="71" t="s">
        <v>63</v>
      </c>
      <c r="B193" s="71"/>
      <c r="C193" s="71"/>
      <c r="D193" s="71"/>
      <c r="E193" s="71"/>
      <c r="F193" s="71"/>
      <c r="G193" s="71"/>
      <c r="H193" s="71"/>
    </row>
    <row r="194" spans="1:8" x14ac:dyDescent="0.3">
      <c r="A194" s="71" t="s">
        <v>64</v>
      </c>
      <c r="B194" s="71"/>
      <c r="C194" s="71"/>
      <c r="D194" s="71"/>
      <c r="E194" s="71"/>
      <c r="F194" s="71"/>
      <c r="G194" s="71"/>
      <c r="H194" s="71"/>
    </row>
    <row r="195" spans="1:8" x14ac:dyDescent="0.3">
      <c r="A195" s="71" t="s">
        <v>127</v>
      </c>
      <c r="B195" s="71"/>
      <c r="C195" s="71"/>
      <c r="D195" s="71"/>
      <c r="E195" s="71"/>
      <c r="F195" s="71"/>
      <c r="G195" s="71"/>
      <c r="H195" s="71"/>
    </row>
    <row r="196" spans="1:8" ht="33" customHeight="1" x14ac:dyDescent="0.3">
      <c r="A196" s="89" t="s">
        <v>128</v>
      </c>
      <c r="B196" s="89"/>
      <c r="C196" s="89"/>
      <c r="D196" s="89"/>
      <c r="E196" s="89"/>
      <c r="F196" s="89"/>
      <c r="G196" s="89"/>
      <c r="H196" s="89"/>
    </row>
    <row r="197" spans="1:8" x14ac:dyDescent="0.3">
      <c r="A197" s="147" t="s">
        <v>76</v>
      </c>
      <c r="B197" s="147"/>
      <c r="C197" s="147" t="s">
        <v>283</v>
      </c>
      <c r="D197" s="147"/>
      <c r="E197" s="147" t="s">
        <v>105</v>
      </c>
      <c r="F197" s="147"/>
      <c r="G197" s="147" t="s">
        <v>286</v>
      </c>
      <c r="H197" s="147"/>
    </row>
    <row r="198" spans="1:8" x14ac:dyDescent="0.3">
      <c r="A198" s="146"/>
      <c r="B198" s="146"/>
      <c r="C198" s="146"/>
      <c r="D198" s="146"/>
      <c r="E198" s="146"/>
      <c r="F198" s="146"/>
      <c r="G198" s="146"/>
      <c r="H198" s="146"/>
    </row>
    <row r="199" spans="1:8" x14ac:dyDescent="0.3">
      <c r="A199" s="146"/>
      <c r="B199" s="146"/>
      <c r="C199" s="146"/>
      <c r="D199" s="146"/>
      <c r="E199" s="146"/>
      <c r="F199" s="146"/>
      <c r="G199" s="146"/>
      <c r="H199" s="146"/>
    </row>
    <row r="200" spans="1:8" x14ac:dyDescent="0.3">
      <c r="A200" s="146"/>
      <c r="B200" s="146"/>
      <c r="C200" s="146"/>
      <c r="D200" s="146"/>
      <c r="E200" s="146"/>
      <c r="F200" s="146"/>
      <c r="G200" s="146"/>
      <c r="H200" s="146"/>
    </row>
    <row r="201" spans="1:8" hidden="1" x14ac:dyDescent="0.3">
      <c r="A201" s="146"/>
      <c r="B201" s="146"/>
      <c r="C201" s="146"/>
      <c r="D201" s="146"/>
      <c r="E201" s="146"/>
      <c r="F201" s="146"/>
      <c r="G201" s="146"/>
      <c r="H201" s="146"/>
    </row>
    <row r="202" spans="1:8" x14ac:dyDescent="0.3">
      <c r="A202" s="37" t="s">
        <v>65</v>
      </c>
      <c r="B202" s="38"/>
      <c r="C202" s="38"/>
      <c r="D202" s="37" t="str">
        <f>E8</f>
        <v>Heetraj Heights</v>
      </c>
      <c r="F202" s="38"/>
      <c r="G202" s="38"/>
      <c r="H202" s="38"/>
    </row>
    <row r="203" spans="1:8" x14ac:dyDescent="0.3">
      <c r="A203" s="38"/>
      <c r="B203" s="38"/>
      <c r="C203" s="38"/>
      <c r="D203" s="38"/>
      <c r="E203" s="38"/>
      <c r="F203" s="38"/>
      <c r="G203" s="38"/>
      <c r="H203" s="38"/>
    </row>
    <row r="204" spans="1:8" x14ac:dyDescent="0.3">
      <c r="A204" s="38"/>
      <c r="B204" s="38"/>
      <c r="C204" s="38"/>
      <c r="D204" s="38"/>
      <c r="E204" s="38"/>
      <c r="F204" s="38"/>
      <c r="G204" s="38"/>
      <c r="H204" s="38"/>
    </row>
    <row r="205" spans="1:8" ht="15" customHeight="1" x14ac:dyDescent="0.3"/>
    <row r="244" spans="1:1" x14ac:dyDescent="0.3">
      <c r="A244" s="40" t="s">
        <v>168</v>
      </c>
    </row>
    <row r="286" spans="1:1" x14ac:dyDescent="0.3">
      <c r="A286" s="40" t="s">
        <v>66</v>
      </c>
    </row>
    <row r="327" hidden="1" x14ac:dyDescent="0.3"/>
  </sheetData>
  <mergeCells count="354">
    <mergeCell ref="B187:H187"/>
    <mergeCell ref="A48:B48"/>
    <mergeCell ref="C48:H48"/>
    <mergeCell ref="B185:H185"/>
    <mergeCell ref="F82:H82"/>
    <mergeCell ref="A82:E82"/>
    <mergeCell ref="G163:H163"/>
    <mergeCell ref="G159:H159"/>
    <mergeCell ref="G156:H156"/>
    <mergeCell ref="A84:E84"/>
    <mergeCell ref="A161:H161"/>
    <mergeCell ref="G164:H164"/>
    <mergeCell ref="G162:H162"/>
    <mergeCell ref="A169:B169"/>
    <mergeCell ref="A170:B170"/>
    <mergeCell ref="A159:B159"/>
    <mergeCell ref="G160:H160"/>
    <mergeCell ref="G166:H166"/>
    <mergeCell ref="G165:H165"/>
    <mergeCell ref="B183:H183"/>
    <mergeCell ref="B184:H184"/>
    <mergeCell ref="G174:H174"/>
    <mergeCell ref="G172:H172"/>
    <mergeCell ref="A179:H179"/>
    <mergeCell ref="L155:M155"/>
    <mergeCell ref="A83:E83"/>
    <mergeCell ref="A80:E80"/>
    <mergeCell ref="F84:H84"/>
    <mergeCell ref="A85:E85"/>
    <mergeCell ref="A102:B102"/>
    <mergeCell ref="E102:F102"/>
    <mergeCell ref="A39:B39"/>
    <mergeCell ref="C39:H39"/>
    <mergeCell ref="A130:B130"/>
    <mergeCell ref="A51:B52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171:B171"/>
    <mergeCell ref="A172:B172"/>
    <mergeCell ref="G170:H170"/>
    <mergeCell ref="A167:H167"/>
    <mergeCell ref="A160:B160"/>
    <mergeCell ref="A157:B157"/>
    <mergeCell ref="A158:B158"/>
    <mergeCell ref="A91:E91"/>
    <mergeCell ref="G102:H102"/>
    <mergeCell ref="C97:D97"/>
    <mergeCell ref="E97:F97"/>
    <mergeCell ref="G97:H97"/>
    <mergeCell ref="A98:B98"/>
    <mergeCell ref="C98:D98"/>
    <mergeCell ref="E98:F98"/>
    <mergeCell ref="G98:H98"/>
    <mergeCell ref="C96:D96"/>
    <mergeCell ref="E96:F96"/>
    <mergeCell ref="G157:H157"/>
    <mergeCell ref="A116:B116"/>
    <mergeCell ref="A129:B129"/>
    <mergeCell ref="A140:B140"/>
    <mergeCell ref="A141:B141"/>
    <mergeCell ref="A149:B149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F36:H36"/>
    <mergeCell ref="A47:H47"/>
    <mergeCell ref="D57:H57"/>
    <mergeCell ref="A57:C57"/>
    <mergeCell ref="G50:H50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62:C62"/>
    <mergeCell ref="D62:H62"/>
    <mergeCell ref="A65:C65"/>
    <mergeCell ref="D65:H65"/>
    <mergeCell ref="A63:C63"/>
    <mergeCell ref="E70:F79"/>
    <mergeCell ref="A198:H201"/>
    <mergeCell ref="A197:B197"/>
    <mergeCell ref="E197:F197"/>
    <mergeCell ref="C197:D197"/>
    <mergeCell ref="G197:H197"/>
    <mergeCell ref="A94:H94"/>
    <mergeCell ref="A92:E92"/>
    <mergeCell ref="F92:H92"/>
    <mergeCell ref="A93:E93"/>
    <mergeCell ref="F93:H93"/>
    <mergeCell ref="A155:H155"/>
    <mergeCell ref="A101:B101"/>
    <mergeCell ref="A164:B164"/>
    <mergeCell ref="A96:B96"/>
    <mergeCell ref="A193:H193"/>
    <mergeCell ref="A99:H99"/>
    <mergeCell ref="A196:H196"/>
    <mergeCell ref="A194:H194"/>
    <mergeCell ref="A190:H190"/>
    <mergeCell ref="G100:H100"/>
    <mergeCell ref="G168:H168"/>
    <mergeCell ref="A166:B166"/>
    <mergeCell ref="A128:B128"/>
    <mergeCell ref="C101:D101"/>
    <mergeCell ref="A177:B177"/>
    <mergeCell ref="A104:H104"/>
    <mergeCell ref="G177:H177"/>
    <mergeCell ref="B180:H180"/>
    <mergeCell ref="B181:H181"/>
    <mergeCell ref="A168:B168"/>
    <mergeCell ref="B189:H189"/>
    <mergeCell ref="A173:H173"/>
    <mergeCell ref="A174:B174"/>
    <mergeCell ref="A175:B175"/>
    <mergeCell ref="A178:B178"/>
    <mergeCell ref="G178:H178"/>
    <mergeCell ref="A114:H114"/>
    <mergeCell ref="A115:B115"/>
    <mergeCell ref="E101:F101"/>
    <mergeCell ref="G101:H101"/>
    <mergeCell ref="A138:B138"/>
    <mergeCell ref="A139:B139"/>
    <mergeCell ref="D64:H64"/>
    <mergeCell ref="A70:B70"/>
    <mergeCell ref="G69:H69"/>
    <mergeCell ref="F80:H80"/>
    <mergeCell ref="F85:H85"/>
    <mergeCell ref="A127:B127"/>
    <mergeCell ref="A111:B111"/>
    <mergeCell ref="A110:B110"/>
    <mergeCell ref="A86:E86"/>
    <mergeCell ref="F86:H86"/>
    <mergeCell ref="A87:E87"/>
    <mergeCell ref="A89:E89"/>
    <mergeCell ref="F83:H83"/>
    <mergeCell ref="A88:E88"/>
    <mergeCell ref="A119:H119"/>
    <mergeCell ref="G70:H79"/>
    <mergeCell ref="A78:B78"/>
    <mergeCell ref="A79:B79"/>
    <mergeCell ref="A117:B117"/>
    <mergeCell ref="A118:B118"/>
    <mergeCell ref="G108:H113"/>
    <mergeCell ref="G115:H118"/>
    <mergeCell ref="A112:B112"/>
    <mergeCell ref="A113:B113"/>
    <mergeCell ref="A195:H195"/>
    <mergeCell ref="A192:H192"/>
    <mergeCell ref="G171:H171"/>
    <mergeCell ref="A156:B156"/>
    <mergeCell ref="A100:B100"/>
    <mergeCell ref="G120:H120"/>
    <mergeCell ref="F81:H81"/>
    <mergeCell ref="G96:H96"/>
    <mergeCell ref="F88:H88"/>
    <mergeCell ref="C95:D95"/>
    <mergeCell ref="C102:D102"/>
    <mergeCell ref="A126:H126"/>
    <mergeCell ref="A165:B165"/>
    <mergeCell ref="A162:B162"/>
    <mergeCell ref="G158:H158"/>
    <mergeCell ref="A108:B108"/>
    <mergeCell ref="A191:H191"/>
    <mergeCell ref="E100:F100"/>
    <mergeCell ref="B188:H188"/>
    <mergeCell ref="B186:H186"/>
    <mergeCell ref="B182:H182"/>
    <mergeCell ref="A176:B176"/>
    <mergeCell ref="G176:H176"/>
    <mergeCell ref="G175:H175"/>
    <mergeCell ref="A103:B103"/>
    <mergeCell ref="C103:D103"/>
    <mergeCell ref="E103:F103"/>
    <mergeCell ref="G103:H103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51:E51"/>
    <mergeCell ref="A58:C58"/>
    <mergeCell ref="D58:H58"/>
    <mergeCell ref="C50:E50"/>
    <mergeCell ref="C52:H52"/>
    <mergeCell ref="A77:B77"/>
    <mergeCell ref="F87:H87"/>
    <mergeCell ref="I14:P14"/>
    <mergeCell ref="G169:H169"/>
    <mergeCell ref="F91:H91"/>
    <mergeCell ref="F89:H89"/>
    <mergeCell ref="A163:B163"/>
    <mergeCell ref="A105:H105"/>
    <mergeCell ref="G95:H95"/>
    <mergeCell ref="A90:E90"/>
    <mergeCell ref="A109:B109"/>
    <mergeCell ref="A53:B53"/>
    <mergeCell ref="C53:E53"/>
    <mergeCell ref="D55:H55"/>
    <mergeCell ref="F90:H90"/>
    <mergeCell ref="E95:F95"/>
    <mergeCell ref="A95:B95"/>
    <mergeCell ref="A97:B97"/>
    <mergeCell ref="C100:D100"/>
    <mergeCell ref="D63:H63"/>
    <mergeCell ref="A64:C64"/>
    <mergeCell ref="A46:D46"/>
    <mergeCell ref="A121:H121"/>
    <mergeCell ref="A122:B122"/>
    <mergeCell ref="A123:B123"/>
    <mergeCell ref="A124:B124"/>
    <mergeCell ref="A81:E81"/>
    <mergeCell ref="A107:H107"/>
    <mergeCell ref="G106:H106"/>
    <mergeCell ref="A153:B153"/>
    <mergeCell ref="G153:H153"/>
    <mergeCell ref="L153:M153"/>
    <mergeCell ref="A154:B154"/>
    <mergeCell ref="G154:H154"/>
    <mergeCell ref="L154:M154"/>
    <mergeCell ref="A131:B131"/>
    <mergeCell ref="A132:B132"/>
    <mergeCell ref="A133:B133"/>
    <mergeCell ref="A134:H134"/>
    <mergeCell ref="A135:B135"/>
    <mergeCell ref="A136:B136"/>
    <mergeCell ref="A137:B137"/>
    <mergeCell ref="A150:H150"/>
    <mergeCell ref="A151:B151"/>
    <mergeCell ref="G151:H151"/>
    <mergeCell ref="L151:M151"/>
    <mergeCell ref="A152:B152"/>
    <mergeCell ref="G152:H152"/>
    <mergeCell ref="L152:M152"/>
    <mergeCell ref="C143:F143"/>
    <mergeCell ref="G143:H149"/>
    <mergeCell ref="G135:H141"/>
    <mergeCell ref="G127:H133"/>
    <mergeCell ref="G122:H125"/>
    <mergeCell ref="A146:B146"/>
    <mergeCell ref="A147:B147"/>
    <mergeCell ref="A148:B148"/>
    <mergeCell ref="A143:B143"/>
    <mergeCell ref="A144:B144"/>
    <mergeCell ref="A145:B145"/>
    <mergeCell ref="A125:B125"/>
    <mergeCell ref="A142:H142"/>
  </mergeCells>
  <dataValidations count="11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6" xr:uid="{00000000-0002-0000-0000-000003000000}">
      <formula1>"Attached Loft area,Attached Terrace area,Attached Mezzanine area"</formula1>
    </dataValidation>
    <dataValidation type="list" allowBlank="1" showInputMessage="1" showErrorMessage="1" sqref="F80:H80" xr:uid="{00000000-0002-0000-0000-000005000000}">
      <formula1>"On Saleable Area,On Builtup Area,On Carpet Area,On Plot Area"</formula1>
    </dataValidation>
    <dataValidation type="list" allowBlank="1" showInputMessage="1" showErrorMessage="1" sqref="F92:H92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F106 F120" xr:uid="{00000000-0002-0000-0000-000007000000}">
      <formula1>"Saleable area Loading :,Builder Saleable area"</formula1>
    </dataValidation>
    <dataValidation type="list" allowBlank="1" showInputMessage="1" showErrorMessage="1" sqref="B106" xr:uid="{00000000-0002-0000-0000-000008000000}">
      <formula1>"Shop No. (Sale Plan),Sale / Rehab,Sale / Mhada"</formula1>
    </dataValidation>
    <dataValidation type="list" allowBlank="1" showInputMessage="1" showErrorMessage="1" sqref="B120" xr:uid="{00000000-0002-0000-0000-000009000000}">
      <formula1>"Flat No. (Sale Plan),Sale / Rehab,Sale / Mhada"</formula1>
    </dataValidation>
    <dataValidation type="list" allowBlank="1" showInputMessage="1" showErrorMessage="1" sqref="C20:D20" xr:uid="{00000000-0002-0000-0000-00000A000000}">
      <formula1>OFFSET($S$12,1,MATCH($G19,$S$12:$W$12,0)-1,15,1)</formula1>
    </dataValidation>
    <dataValidation type="list" allowBlank="1" showInputMessage="1" showErrorMessage="1" sqref="Y12" xr:uid="{00000000-0002-0000-0000-00000B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01" max="16383" man="1"/>
    <brk id="243" max="16383" man="1"/>
    <brk id="28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6" t="s">
        <v>106</v>
      </c>
      <c r="C3" s="196"/>
      <c r="D3" s="196"/>
      <c r="E3" s="196"/>
      <c r="F3" s="196"/>
      <c r="G3" s="196"/>
      <c r="H3" s="196"/>
    </row>
    <row r="4" spans="1:9" x14ac:dyDescent="0.3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2"/>
      <c r="C4" s="52" t="s">
        <v>11</v>
      </c>
      <c r="D4" s="53" t="s">
        <v>182</v>
      </c>
      <c r="E4" s="53" t="s">
        <v>192</v>
      </c>
      <c r="F4" s="53" t="s">
        <v>175</v>
      </c>
      <c r="G4" s="53" t="s">
        <v>197</v>
      </c>
      <c r="H4" s="53" t="s">
        <v>215</v>
      </c>
      <c r="J4" t="s">
        <v>197</v>
      </c>
      <c r="K4" t="s">
        <v>213</v>
      </c>
    </row>
    <row r="5" spans="2:11" x14ac:dyDescent="0.3">
      <c r="B5" s="52"/>
      <c r="C5" s="52"/>
      <c r="D5" s="53" t="s">
        <v>183</v>
      </c>
      <c r="E5" s="53" t="s">
        <v>190</v>
      </c>
      <c r="F5" s="53" t="s">
        <v>212</v>
      </c>
      <c r="G5" s="53" t="s">
        <v>198</v>
      </c>
      <c r="H5" s="53" t="s">
        <v>216</v>
      </c>
    </row>
    <row r="6" spans="2:11" x14ac:dyDescent="0.3">
      <c r="B6" s="52"/>
      <c r="C6" s="52"/>
      <c r="D6" s="53" t="s">
        <v>184</v>
      </c>
      <c r="E6" s="53" t="s">
        <v>191</v>
      </c>
      <c r="F6" s="53" t="s">
        <v>213</v>
      </c>
      <c r="G6" s="53" t="s">
        <v>199</v>
      </c>
      <c r="H6" s="53" t="s">
        <v>229</v>
      </c>
    </row>
    <row r="7" spans="2:11" x14ac:dyDescent="0.3">
      <c r="B7" s="52"/>
      <c r="C7" s="52"/>
      <c r="D7" s="53" t="s">
        <v>185</v>
      </c>
      <c r="E7" s="53" t="s">
        <v>193</v>
      </c>
      <c r="F7" s="53" t="s">
        <v>214</v>
      </c>
      <c r="G7" s="53" t="s">
        <v>200</v>
      </c>
      <c r="H7" s="53" t="s">
        <v>217</v>
      </c>
    </row>
    <row r="8" spans="2:11" x14ac:dyDescent="0.3">
      <c r="B8" s="52"/>
      <c r="C8" s="52"/>
      <c r="D8" s="53" t="s">
        <v>186</v>
      </c>
      <c r="E8" s="53" t="s">
        <v>194</v>
      </c>
      <c r="F8" s="53"/>
      <c r="G8" s="53" t="s">
        <v>201</v>
      </c>
      <c r="H8" s="53" t="s">
        <v>218</v>
      </c>
    </row>
    <row r="9" spans="2:11" x14ac:dyDescent="0.3">
      <c r="B9" s="52"/>
      <c r="C9" s="52"/>
      <c r="D9" s="53" t="s">
        <v>187</v>
      </c>
      <c r="E9" s="53" t="s">
        <v>192</v>
      </c>
      <c r="F9" s="53"/>
      <c r="G9" s="53" t="s">
        <v>202</v>
      </c>
      <c r="H9" s="53" t="s">
        <v>219</v>
      </c>
    </row>
    <row r="10" spans="2:11" x14ac:dyDescent="0.3">
      <c r="B10" s="52"/>
      <c r="C10" s="52"/>
      <c r="D10" s="53" t="s">
        <v>188</v>
      </c>
      <c r="E10" s="53" t="s">
        <v>195</v>
      </c>
      <c r="F10" s="53"/>
      <c r="G10" s="53" t="s">
        <v>203</v>
      </c>
      <c r="H10" s="53" t="s">
        <v>220</v>
      </c>
    </row>
    <row r="11" spans="2:11" x14ac:dyDescent="0.3">
      <c r="B11" s="52"/>
      <c r="C11" s="52"/>
      <c r="D11" s="53" t="s">
        <v>189</v>
      </c>
      <c r="E11" s="53" t="s">
        <v>196</v>
      </c>
      <c r="F11" s="53"/>
      <c r="G11" s="53" t="s">
        <v>204</v>
      </c>
      <c r="H11" s="53" t="s">
        <v>221</v>
      </c>
    </row>
    <row r="12" spans="2:11" x14ac:dyDescent="0.3">
      <c r="B12" s="52"/>
      <c r="C12" s="52"/>
      <c r="D12" s="53"/>
      <c r="E12" s="53"/>
      <c r="F12" s="53"/>
      <c r="G12" s="53" t="s">
        <v>205</v>
      </c>
      <c r="H12" s="53" t="s">
        <v>222</v>
      </c>
    </row>
    <row r="13" spans="2:11" x14ac:dyDescent="0.3">
      <c r="B13" s="52"/>
      <c r="C13" s="52"/>
      <c r="D13" s="53"/>
      <c r="E13" s="53"/>
      <c r="F13" s="53"/>
      <c r="G13" s="53" t="s">
        <v>206</v>
      </c>
      <c r="H13" s="53" t="s">
        <v>223</v>
      </c>
    </row>
    <row r="14" spans="2:11" x14ac:dyDescent="0.3">
      <c r="B14" s="52"/>
      <c r="C14" s="52"/>
      <c r="D14" s="53"/>
      <c r="E14" s="53"/>
      <c r="F14" s="53"/>
      <c r="G14" s="53" t="s">
        <v>207</v>
      </c>
      <c r="H14" s="53" t="s">
        <v>224</v>
      </c>
    </row>
    <row r="15" spans="2:11" x14ac:dyDescent="0.3">
      <c r="B15" s="52"/>
      <c r="C15" s="52"/>
      <c r="D15" s="53"/>
      <c r="E15" s="53"/>
      <c r="F15" s="53"/>
      <c r="G15" s="53" t="s">
        <v>208</v>
      </c>
      <c r="H15" s="53" t="s">
        <v>225</v>
      </c>
    </row>
    <row r="16" spans="2:11" x14ac:dyDescent="0.3">
      <c r="B16" s="52"/>
      <c r="C16" s="52"/>
      <c r="D16" s="53"/>
      <c r="E16" s="53"/>
      <c r="F16" s="53"/>
      <c r="G16" s="53" t="s">
        <v>209</v>
      </c>
      <c r="H16" s="53" t="s">
        <v>226</v>
      </c>
    </row>
    <row r="17" spans="2:8" x14ac:dyDescent="0.3">
      <c r="B17" s="52"/>
      <c r="C17" s="52"/>
      <c r="D17" s="53"/>
      <c r="E17" s="53"/>
      <c r="F17" s="53"/>
      <c r="G17" s="53" t="s">
        <v>210</v>
      </c>
      <c r="H17" s="53" t="s">
        <v>227</v>
      </c>
    </row>
    <row r="18" spans="2:8" x14ac:dyDescent="0.3">
      <c r="B18" s="52"/>
      <c r="C18" s="52"/>
      <c r="D18" s="53"/>
      <c r="E18" s="53"/>
      <c r="F18" s="53"/>
      <c r="G18" s="53" t="s">
        <v>211</v>
      </c>
      <c r="H18" s="53" t="s">
        <v>228</v>
      </c>
    </row>
    <row r="24" spans="2:8" x14ac:dyDescent="0.3">
      <c r="C24" t="s">
        <v>173</v>
      </c>
    </row>
    <row r="25" spans="2:8" x14ac:dyDescent="0.3">
      <c r="C25" t="s">
        <v>230</v>
      </c>
    </row>
    <row r="26" spans="2:8" x14ac:dyDescent="0.3">
      <c r="C26" t="s">
        <v>231</v>
      </c>
    </row>
    <row r="27" spans="2:8" x14ac:dyDescent="0.3">
      <c r="C27" t="s">
        <v>232</v>
      </c>
    </row>
    <row r="28" spans="2:8" x14ac:dyDescent="0.3">
      <c r="C28" t="s">
        <v>233</v>
      </c>
    </row>
    <row r="29" spans="2:8" x14ac:dyDescent="0.3">
      <c r="C29" t="s">
        <v>234</v>
      </c>
    </row>
    <row r="30" spans="2:8" x14ac:dyDescent="0.3">
      <c r="C30" t="s">
        <v>173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2025-08-14T12:49:50Z</cp:lastPrinted>
  <dcterms:created xsi:type="dcterms:W3CDTF">2019-07-16T09:29:46Z</dcterms:created>
  <dcterms:modified xsi:type="dcterms:W3CDTF">2025-08-14T12:50:43Z</dcterms:modified>
</cp:coreProperties>
</file>