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"/>
    </mc:Choice>
  </mc:AlternateContent>
  <xr:revisionPtr revIDLastSave="0" documentId="13_ncr:1_{0AA40013-BB36-488A-9C1D-EE18824DA1B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" i="1" l="1"/>
  <c r="D206" i="1"/>
  <c r="D205" i="1"/>
  <c r="D204" i="1"/>
  <c r="D203" i="1"/>
  <c r="D202" i="1"/>
  <c r="A202" i="1"/>
  <c r="A203" i="1" s="1"/>
  <c r="A204" i="1" s="1"/>
  <c r="A205" i="1" s="1"/>
  <c r="A206" i="1" s="1"/>
  <c r="A207" i="1" s="1"/>
  <c r="L201" i="1"/>
  <c r="J201" i="1"/>
  <c r="G201" i="1"/>
  <c r="D201" i="1"/>
  <c r="K166" i="1" l="1"/>
  <c r="K175" i="1"/>
  <c r="K183" i="1"/>
  <c r="K184" i="1"/>
  <c r="C81" i="1" l="1"/>
  <c r="C67" i="1"/>
  <c r="B68" i="1" s="1"/>
  <c r="H82" i="1"/>
  <c r="J86" i="1" l="1"/>
  <c r="C85" i="1" s="1"/>
  <c r="D85" i="1" s="1"/>
  <c r="J85" i="1"/>
  <c r="D94" i="1"/>
  <c r="D92" i="1"/>
  <c r="D90" i="1"/>
  <c r="D88" i="1"/>
  <c r="D93" i="1"/>
  <c r="D91" i="1"/>
  <c r="D89" i="1"/>
  <c r="D87" i="1"/>
  <c r="J84" i="1"/>
  <c r="J81" i="1"/>
  <c r="J83" i="1" s="1"/>
  <c r="B82" i="1"/>
  <c r="J78" i="1"/>
  <c r="J76" i="1"/>
  <c r="J77" i="1"/>
  <c r="J75" i="1"/>
  <c r="H68" i="1"/>
  <c r="J92" i="1" l="1"/>
  <c r="J90" i="1"/>
  <c r="J91" i="1"/>
  <c r="J89" i="1"/>
  <c r="J87" i="1"/>
  <c r="J88" i="1" s="1"/>
  <c r="J72" i="1"/>
  <c r="C71" i="1" s="1"/>
  <c r="D71" i="1" s="1"/>
  <c r="J70" i="1"/>
  <c r="J67" i="1"/>
  <c r="J69" i="1" s="1"/>
  <c r="D80" i="1"/>
  <c r="D78" i="1"/>
  <c r="D76" i="1"/>
  <c r="D74" i="1"/>
  <c r="D79" i="1"/>
  <c r="D77" i="1"/>
  <c r="D75" i="1"/>
  <c r="D73" i="1"/>
  <c r="J71" i="1"/>
  <c r="J73" i="1"/>
  <c r="J74" i="1" s="1"/>
  <c r="J79" i="1" s="1"/>
  <c r="J93" i="1" l="1"/>
  <c r="J94" i="1" s="1"/>
  <c r="C86" i="1" s="1"/>
  <c r="J80" i="1"/>
  <c r="C72" i="1" l="1"/>
  <c r="J68" i="1" s="1"/>
  <c r="E85" i="1"/>
  <c r="D86" i="1"/>
  <c r="I82" i="1" s="1"/>
  <c r="I83" i="1" s="1"/>
  <c r="G85" i="1"/>
  <c r="J82" i="1"/>
  <c r="D72" i="1" l="1"/>
  <c r="I68" i="1" s="1"/>
  <c r="I69" i="1" s="1"/>
  <c r="I67" i="1" s="1"/>
  <c r="C69" i="1" s="1"/>
  <c r="E71" i="1"/>
  <c r="G71" i="1"/>
  <c r="D65" i="1" s="1"/>
  <c r="I81" i="1"/>
  <c r="C83" i="1" s="1"/>
  <c r="G209" i="1" l="1"/>
  <c r="G176" i="1"/>
  <c r="G120" i="1"/>
  <c r="G119" i="1"/>
  <c r="E191" i="1"/>
  <c r="E190" i="1"/>
  <c r="E189" i="1"/>
  <c r="E188" i="1"/>
  <c r="D191" i="1"/>
  <c r="D190" i="1"/>
  <c r="D189" i="1"/>
  <c r="K189" i="1" s="1"/>
  <c r="D188" i="1"/>
  <c r="K188" i="1" s="1"/>
  <c r="D187" i="1"/>
  <c r="K187" i="1" s="1"/>
  <c r="D186" i="1"/>
  <c r="K186" i="1" s="1"/>
  <c r="A186" i="1"/>
  <c r="A187" i="1" s="1"/>
  <c r="A188" i="1" s="1"/>
  <c r="A189" i="1" s="1"/>
  <c r="A190" i="1" s="1"/>
  <c r="A191" i="1" s="1"/>
  <c r="L185" i="1"/>
  <c r="J185" i="1"/>
  <c r="G185" i="1"/>
  <c r="D185" i="1"/>
  <c r="K185" i="1" s="1"/>
  <c r="E164" i="1"/>
  <c r="E161" i="1"/>
  <c r="E163" i="1"/>
  <c r="E162" i="1"/>
  <c r="D161" i="1"/>
  <c r="K161" i="1" s="1"/>
  <c r="E160" i="1"/>
  <c r="D160" i="1"/>
  <c r="K160" i="1" s="1"/>
  <c r="D165" i="1"/>
  <c r="K165" i="1" s="1"/>
  <c r="D164" i="1"/>
  <c r="K164" i="1" s="1"/>
  <c r="D163" i="1"/>
  <c r="K163" i="1" s="1"/>
  <c r="D162" i="1"/>
  <c r="K162" i="1" s="1"/>
  <c r="D159" i="1"/>
  <c r="K159" i="1" s="1"/>
  <c r="A159" i="1"/>
  <c r="A160" i="1" s="1"/>
  <c r="A161" i="1" s="1"/>
  <c r="A162" i="1" s="1"/>
  <c r="A163" i="1" s="1"/>
  <c r="A164" i="1" s="1"/>
  <c r="A165" i="1" s="1"/>
  <c r="L158" i="1"/>
  <c r="J158" i="1"/>
  <c r="G158" i="1"/>
  <c r="D158" i="1"/>
  <c r="D214" i="1"/>
  <c r="D213" i="1"/>
  <c r="D212" i="1"/>
  <c r="D211" i="1"/>
  <c r="D210" i="1"/>
  <c r="D209" i="1"/>
  <c r="A210" i="1"/>
  <c r="A211" i="1" s="1"/>
  <c r="A212" i="1" s="1"/>
  <c r="A213" i="1" s="1"/>
  <c r="A214" i="1" s="1"/>
  <c r="D182" i="1"/>
  <c r="K182" i="1" s="1"/>
  <c r="D181" i="1"/>
  <c r="K181" i="1" s="1"/>
  <c r="D180" i="1"/>
  <c r="K180" i="1" s="1"/>
  <c r="D179" i="1"/>
  <c r="K179" i="1" s="1"/>
  <c r="D178" i="1"/>
  <c r="K178" i="1" s="1"/>
  <c r="D177" i="1"/>
  <c r="K177" i="1" s="1"/>
  <c r="A177" i="1"/>
  <c r="A178" i="1" s="1"/>
  <c r="A179" i="1" s="1"/>
  <c r="A180" i="1" s="1"/>
  <c r="A181" i="1" s="1"/>
  <c r="A182" i="1" s="1"/>
  <c r="D176" i="1"/>
  <c r="K176" i="1" s="1"/>
  <c r="D199" i="1"/>
  <c r="D197" i="1"/>
  <c r="D196" i="1"/>
  <c r="D195" i="1"/>
  <c r="D194" i="1"/>
  <c r="D198" i="1"/>
  <c r="A194" i="1"/>
  <c r="A195" i="1" s="1"/>
  <c r="A196" i="1" s="1"/>
  <c r="A197" i="1" s="1"/>
  <c r="A198" i="1" s="1"/>
  <c r="A199" i="1" s="1"/>
  <c r="L193" i="1"/>
  <c r="J193" i="1"/>
  <c r="G193" i="1"/>
  <c r="D193" i="1"/>
  <c r="D174" i="1"/>
  <c r="K174" i="1" s="1"/>
  <c r="D173" i="1"/>
  <c r="K173" i="1" s="1"/>
  <c r="D172" i="1"/>
  <c r="K172" i="1" s="1"/>
  <c r="D171" i="1"/>
  <c r="K171" i="1" s="1"/>
  <c r="D170" i="1"/>
  <c r="K170" i="1" s="1"/>
  <c r="D169" i="1"/>
  <c r="K169" i="1" s="1"/>
  <c r="D168" i="1"/>
  <c r="K168" i="1" s="1"/>
  <c r="D167" i="1"/>
  <c r="K167" i="1" s="1"/>
  <c r="G121" i="1" l="1"/>
  <c r="C120" i="1"/>
  <c r="E119" i="1"/>
  <c r="E120" i="1"/>
  <c r="K158" i="1"/>
  <c r="C119" i="1"/>
  <c r="C121" i="1" s="1"/>
  <c r="L167" i="1"/>
  <c r="J167" i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4" i="1"/>
  <c r="F134" i="1" s="1"/>
  <c r="D135" i="1"/>
  <c r="F135" i="1" s="1"/>
  <c r="D136" i="1"/>
  <c r="F136" i="1" s="1"/>
  <c r="D133" i="1"/>
  <c r="F133" i="1" s="1"/>
  <c r="D132" i="1"/>
  <c r="D131" i="1"/>
  <c r="D130" i="1"/>
  <c r="D129" i="1"/>
  <c r="K151" i="1"/>
  <c r="J151" i="1"/>
  <c r="K148" i="1"/>
  <c r="J148" i="1"/>
  <c r="K142" i="1"/>
  <c r="J142" i="1"/>
  <c r="K138" i="1"/>
  <c r="J138" i="1"/>
  <c r="K134" i="1"/>
  <c r="J134" i="1"/>
  <c r="K130" i="1"/>
  <c r="J130" i="1"/>
  <c r="E121" i="1" l="1"/>
  <c r="C116" i="1"/>
  <c r="E116" i="1"/>
  <c r="E30" i="1"/>
  <c r="E122" i="1" l="1"/>
  <c r="C122" i="1"/>
  <c r="E43" i="1" l="1"/>
  <c r="E44" i="1" s="1"/>
  <c r="C15" i="1" l="1"/>
  <c r="F113" i="1" l="1"/>
  <c r="F130" i="1" l="1"/>
  <c r="F131" i="1"/>
  <c r="F132" i="1"/>
  <c r="F129" i="1"/>
  <c r="G116" i="1" l="1"/>
  <c r="G122" i="1" s="1"/>
  <c r="B217" i="1"/>
  <c r="B21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7" i="1"/>
  <c r="G167" i="1"/>
  <c r="A168" i="1"/>
  <c r="A169" i="1" s="1"/>
  <c r="A170" i="1" s="1"/>
  <c r="A171" i="1" s="1"/>
  <c r="A172" i="1" s="1"/>
  <c r="A173" i="1" s="1"/>
  <c r="A174" i="1" s="1"/>
  <c r="A130" i="1"/>
  <c r="A131" i="1" s="1"/>
  <c r="A132" i="1" s="1"/>
  <c r="G129" i="1"/>
  <c r="D55" i="1"/>
  <c r="G50" i="1"/>
  <c r="C50" i="1"/>
  <c r="E27" i="1"/>
  <c r="E25" i="1"/>
  <c r="E7" i="1"/>
  <c r="E3" i="1"/>
  <c r="G130" i="1" l="1"/>
  <c r="G131" i="1" s="1"/>
  <c r="G132" i="1" s="1"/>
  <c r="G133" i="1"/>
  <c r="G134" i="1" s="1"/>
  <c r="G135" i="1" s="1"/>
  <c r="G136" i="1" s="1"/>
  <c r="G137" i="1" s="1"/>
  <c r="A133" i="1"/>
  <c r="A134" i="1" s="1"/>
  <c r="A135" i="1" s="1"/>
  <c r="A136" i="1" s="1"/>
  <c r="D61" i="1"/>
  <c r="G138" i="1" l="1"/>
  <c r="G139" i="1" s="1"/>
  <c r="G140" i="1" s="1"/>
  <c r="G141" i="1" s="1"/>
  <c r="A137" i="1"/>
  <c r="A138" i="1" s="1"/>
  <c r="A139" i="1" s="1"/>
  <c r="A140" i="1" s="1"/>
  <c r="A141" i="1" l="1"/>
  <c r="A142" i="1" s="1"/>
  <c r="A143" i="1" s="1"/>
  <c r="A144" i="1" s="1"/>
  <c r="A145" i="1" s="1"/>
  <c r="A146" i="1" s="1"/>
  <c r="G142" i="1"/>
  <c r="G143" i="1" s="1"/>
  <c r="G144" i="1" s="1"/>
  <c r="G145" i="1" s="1"/>
  <c r="G146" i="1" s="1"/>
  <c r="G147" i="1" s="1"/>
  <c r="G148" i="1" l="1"/>
  <c r="G149" i="1" s="1"/>
  <c r="G150" i="1" s="1"/>
  <c r="G151" i="1" s="1"/>
  <c r="G152" i="1" s="1"/>
  <c r="G153" i="1" s="1"/>
  <c r="A147" i="1"/>
  <c r="A148" i="1" s="1"/>
  <c r="A149" i="1" s="1"/>
  <c r="A150" i="1" s="1"/>
  <c r="A151" i="1" s="1"/>
  <c r="A152" i="1" s="1"/>
  <c r="A153" i="1" s="1"/>
  <c r="D66" i="1" l="1"/>
  <c r="F66" i="1" l="1"/>
</calcChain>
</file>

<file path=xl/sharedStrings.xml><?xml version="1.0" encoding="utf-8"?>
<sst xmlns="http://schemas.openxmlformats.org/spreadsheetml/2006/main" count="414" uniqueCount="244">
  <si>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</si>
  <si>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</si>
  <si>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</si>
  <si>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</si>
  <si>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</si>
  <si>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</si>
  <si>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</si>
  <si>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</si>
  <si>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</si>
  <si>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</si>
  <si>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</si>
  <si>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</si>
  <si>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</si>
  <si>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</si>
  <si>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</si>
  <si>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</si>
  <si>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</si>
  <si>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</si>
  <si>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</si>
  <si>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</si>
  <si>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</si>
  <si>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</si>
  <si>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</si>
  <si>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</si>
  <si>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</si>
  <si>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</si>
  <si>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</si>
  <si>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</si>
  <si>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</si>
  <si>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</si>
  <si>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</si>
  <si>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</si>
  <si>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</si>
  <si>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</si>
  <si>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</si>
  <si>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</si>
  <si>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</si>
  <si>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</si>
  <si>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</si>
  <si>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</si>
  <si>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</si>
  <si>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</si>
  <si>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</si>
  <si>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</si>
  <si>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</si>
  <si>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</si>
  <si>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</si>
  <si>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</si>
  <si>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</si>
  <si>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</si>
  <si>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</si>
  <si>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</si>
  <si>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</si>
  <si>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</si>
  <si>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</si>
  <si>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</si>
  <si>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</si>
  <si>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</si>
  <si>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</si>
  <si>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</si>
  <si>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</si>
  <si>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</si>
  <si>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</si>
  <si>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</si>
  <si>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</si>
  <si>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</si>
  <si>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</si>
  <si>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</si>
  <si>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</si>
  <si>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</si>
  <si>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</si>
  <si>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</si>
  <si>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</si>
  <si>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</si>
  <si>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</si>
  <si>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</si>
  <si>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</si>
  <si>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</si>
  <si>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</si>
  <si>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</si>
  <si>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</si>
  <si>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</si>
  <si>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</si>
  <si>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</si>
  <si>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</si>
  <si>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</si>
  <si>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</si>
  <si>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</si>
  <si>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</si>
  <si>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</si>
  <si>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</si>
  <si>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</si>
  <si>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</si>
  <si>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</si>
  <si>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</si>
  <si>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</si>
  <si>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</si>
  <si>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</si>
  <si>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</si>
  <si>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</si>
  <si>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</si>
  <si>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</si>
  <si>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</si>
  <si>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</si>
  <si>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</si>
  <si>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</si>
  <si>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</si>
  <si>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</si>
  <si>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</si>
  <si>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</si>
  <si>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</si>
  <si>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</si>
  <si>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</si>
  <si>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</si>
  <si>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</si>
  <si>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</si>
  <si>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</si>
  <si>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</si>
  <si>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</si>
  <si>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</si>
  <si>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</si>
  <si>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</si>
  <si>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</si>
  <si>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</si>
  <si>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</si>
  <si>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</si>
  <si>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</si>
  <si>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</si>
  <si>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</si>
  <si>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</si>
  <si>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</si>
  <si>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</si>
  <si>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</si>
  <si>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</si>
  <si>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</si>
  <si>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</si>
  <si>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</si>
  <si>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</si>
  <si>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</si>
  <si>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</si>
  <si>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</si>
  <si>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</si>
  <si>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</si>
  <si>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</si>
  <si>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</si>
  <si>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</si>
  <si>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</si>
  <si>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</si>
  <si>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</si>
  <si>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</si>
  <si>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</si>
  <si>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</si>
  <si>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</si>
  <si>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</si>
  <si>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</si>
  <si>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</si>
  <si>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</si>
  <si>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</si>
  <si>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</si>
  <si>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</si>
  <si>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</si>
  <si>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</si>
  <si>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</si>
  <si>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</si>
  <si>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</si>
  <si>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</si>
  <si>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</si>
  <si>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</si>
  <si>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</si>
  <si>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 xml:space="preserve">Axis Badlapur </t>
  </si>
  <si>
    <t>A K Hitech Realty</t>
  </si>
  <si>
    <t>P52000047499</t>
  </si>
  <si>
    <t>Building No.1 &amp; 2</t>
  </si>
  <si>
    <t>Approved Plans, CC, Cost Sheet</t>
  </si>
  <si>
    <t>19.075770, 73.111095</t>
  </si>
  <si>
    <t>https://goo.gl/maps/Tu7RApPtW79sDzaf8</t>
  </si>
  <si>
    <t>Survey No</t>
  </si>
  <si>
    <t>Koyanavele</t>
  </si>
  <si>
    <t>Ghotcamp</t>
  </si>
  <si>
    <t>Internal Road</t>
  </si>
  <si>
    <t>Taloja East</t>
  </si>
  <si>
    <t>Raigad</t>
  </si>
  <si>
    <t>Panvel</t>
  </si>
  <si>
    <t>3.9 KM from Taloja
Panchanand Railway
Station</t>
  </si>
  <si>
    <t>Bajaj International School</t>
  </si>
  <si>
    <t>Open Plot</t>
  </si>
  <si>
    <t>Siddhivinayak Homes</t>
  </si>
  <si>
    <t>2 Wings</t>
  </si>
  <si>
    <t>Panvel Municipal Corporation</t>
  </si>
  <si>
    <t>PMP/NRV/16439/J.K.1913/2022</t>
  </si>
  <si>
    <t>Name / No of the Building as per Approved plans</t>
  </si>
  <si>
    <t>Name / No of the Building as per RERA</t>
  </si>
  <si>
    <t>Wing A &amp; B</t>
  </si>
  <si>
    <t>As per RERA - 31/03/2027</t>
  </si>
  <si>
    <t>A Wing = Gr + 1st to 12th Floor
B Wing = Gr + 1st to 12th Floor</t>
  </si>
  <si>
    <t>Mr.Kayyum Patel 9930357927</t>
  </si>
  <si>
    <t>2/1/1</t>
  </si>
  <si>
    <t>Imperial Tower I</t>
  </si>
  <si>
    <t>Shop</t>
  </si>
  <si>
    <t>2nd to 7th &amp; 9th to 12th Floor</t>
  </si>
  <si>
    <t>Building Names Clarification</t>
  </si>
  <si>
    <t>Building Name as per Approved Plan</t>
  </si>
  <si>
    <t>Building Name as per RERA</t>
  </si>
  <si>
    <t>Building No. 1</t>
  </si>
  <si>
    <t>Building No.1</t>
  </si>
  <si>
    <t>Building No. 2</t>
  </si>
  <si>
    <t>1BHK</t>
  </si>
  <si>
    <t>2BHK</t>
  </si>
  <si>
    <t>Building No.2</t>
  </si>
  <si>
    <t>8th Floor (Part Refuge Area)</t>
  </si>
  <si>
    <t>Wing A</t>
  </si>
  <si>
    <t>Wing B</t>
  </si>
  <si>
    <t>1st Floor</t>
  </si>
  <si>
    <t>Shops</t>
  </si>
  <si>
    <t xml:space="preserve">Builder Saleable area </t>
  </si>
  <si>
    <t>Flats - 178 &amp; Shop - 25</t>
  </si>
  <si>
    <t>Society Formation Charges &amp; Conveyance Deed</t>
  </si>
  <si>
    <t>We considered Gross carpet area = Net carpet + Enclose balcony + C.B Area.</t>
  </si>
  <si>
    <t xml:space="preserve">The provided C.C does not consist the C.C number and CC date.
</t>
  </si>
  <si>
    <t>We have considered above CC due to positive RCU report provided by bank and is attached below.</t>
  </si>
  <si>
    <t>Remark No.11</t>
  </si>
  <si>
    <t>RCU report:</t>
  </si>
  <si>
    <t>17/05/2023 Rushikesh</t>
  </si>
  <si>
    <t>Charges for 1BHK</t>
  </si>
  <si>
    <t>Charges for  2BHK</t>
  </si>
  <si>
    <t xml:space="preserve"> 4500 to 4700 &amp; Charges</t>
  </si>
  <si>
    <t>Construction work is in process at the time of Visit.</t>
  </si>
  <si>
    <t>Recommended rate of Parking  (for 1BHK &amp; 2BHK)</t>
  </si>
  <si>
    <t>2nd to 5th, 7th &amp; 9th to 12th Floor</t>
  </si>
  <si>
    <t>6th Floor</t>
  </si>
  <si>
    <t>4700 to 5000 &amp; removal of charges by sanjay on 31/05/2024</t>
  </si>
  <si>
    <t>Staff case by sanjay B602 Ashfaq shaikh area changes to 696</t>
  </si>
  <si>
    <t xml:space="preserve">Recommended Rates / Other charges of the Property have been revised on 17/05/2023 &amp; 31/05/2024.
</t>
  </si>
  <si>
    <t>A Wing = Gr + 1st to 14th Floor</t>
  </si>
  <si>
    <t>B Wing = Gr + 1st to 14th Floor</t>
  </si>
  <si>
    <t>Sunil Peravi</t>
  </si>
  <si>
    <t>Mr. Irfan Patel : 9930357927</t>
  </si>
  <si>
    <t>PMC/TP/Koynavele/2/1/1/21-23/16439/1070/2023</t>
  </si>
  <si>
    <t>Wing A &amp; B = Ground + 1st to 14th Floor (Total Built up Area = 12107.38 Sq.m)
Residential Units = 206 Nos, Commercial Units = 25 Nos</t>
  </si>
  <si>
    <t xml:space="preserve">Construction work goes beyond approved no of floors, Please provide revised approved Plans.
</t>
  </si>
  <si>
    <t xml:space="preserve">We have updated revised approved CC from RERA (on 13/08/2025).
</t>
  </si>
  <si>
    <t>Kunal Kadam</t>
  </si>
  <si>
    <t xml:space="preserve">We have updated revised approved floor plan (on 06/04/2023).
</t>
  </si>
  <si>
    <t xml:space="preserve">Commencement-CC No
Valid Up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</si>
</sst>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3" borderId="0" xfId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9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0" applyNumberFormat="1" applyFont="1" applyBorder="1" applyAlignment="1" applyProtection="1">
      <alignment vertical="top" wrapText="1"/>
      <protection locked="0"/>
    </xf>
    <xf numFmtId="1" fontId="6" fillId="0" borderId="21" xfId="0" applyNumberFormat="1" applyFont="1" applyBorder="1" applyAlignment="1" applyProtection="1">
      <alignment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top" wrapText="1"/>
      <protection locked="0"/>
    </xf>
    <xf numFmtId="1" fontId="6" fillId="0" borderId="21" xfId="0" applyNumberFormat="1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4" borderId="8" xfId="1" applyFont="1" applyFill="1" applyBorder="1" applyAlignment="1" applyProtection="1">
      <alignment horizontal="left" vertical="top"/>
      <protection locked="0"/>
    </xf>
    <xf numFmtId="0" fontId="8" fillId="4" borderId="21" xfId="1" applyFont="1" applyFill="1" applyBorder="1" applyAlignment="1" applyProtection="1">
      <alignment horizontal="left" vertical="top"/>
      <protection locked="0"/>
    </xf>
    <xf numFmtId="0" fontId="8" fillId="4" borderId="9" xfId="1" applyFont="1" applyFill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4" borderId="8" xfId="0" applyNumberFormat="1" applyFont="1" applyFill="1" applyBorder="1" applyAlignment="1" applyProtection="1">
      <alignment vertical="top" wrapText="1"/>
      <protection locked="0"/>
    </xf>
    <xf numFmtId="1" fontId="8" fillId="4" borderId="21" xfId="0" applyNumberFormat="1" applyFont="1" applyFill="1" applyBorder="1" applyAlignment="1" applyProtection="1">
      <alignment vertical="top" wrapText="1"/>
      <protection locked="0"/>
    </xf>
    <xf numFmtId="1" fontId="8" fillId="4" borderId="9" xfId="0" applyNumberFormat="1" applyFont="1" applyFill="1" applyBorder="1" applyAlignment="1" applyProtection="1">
      <alignment vertical="top" wrapText="1"/>
      <protection locked="0"/>
    </xf>
    <xf numFmtId="1" fontId="7" fillId="2" borderId="25" xfId="1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9" fillId="0" borderId="1" xfId="5" applyFont="1" applyBorder="1" applyAlignment="1">
      <alignment horizontal="left"/>
    </xf>
    <xf numFmtId="1" fontId="8" fillId="0" borderId="8" xfId="0" applyNumberFormat="1" applyFont="1" applyBorder="1" applyAlignment="1" applyProtection="1">
      <alignment vertical="top"/>
      <protection locked="0"/>
    </xf>
    <xf numFmtId="1" fontId="8" fillId="0" borderId="21" xfId="0" applyNumberFormat="1" applyFont="1" applyBorder="1" applyAlignment="1" applyProtection="1">
      <alignment vertical="top"/>
      <protection locked="0"/>
    </xf>
    <xf numFmtId="1" fontId="8" fillId="0" borderId="9" xfId="0" applyNumberFormat="1" applyFont="1" applyBorder="1" applyAlignment="1" applyProtection="1">
      <alignment vertical="top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460</xdr:row>
      <xdr:rowOff>85725</xdr:rowOff>
    </xdr:from>
    <xdr:to>
      <xdr:col>7</xdr:col>
      <xdr:colOff>273600</xdr:colOff>
      <xdr:row>475</xdr:row>
      <xdr:rowOff>19690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8650" y="42186225"/>
          <a:ext cx="5760000" cy="29343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628650</xdr:colOff>
      <xdr:row>475</xdr:row>
      <xdr:rowOff>190500</xdr:rowOff>
    </xdr:from>
    <xdr:to>
      <xdr:col>7</xdr:col>
      <xdr:colOff>273600</xdr:colOff>
      <xdr:row>498</xdr:row>
      <xdr:rowOff>48129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8650" y="65989200"/>
          <a:ext cx="5489490" cy="44143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242452</xdr:colOff>
      <xdr:row>415</xdr:row>
      <xdr:rowOff>190500</xdr:rowOff>
    </xdr:from>
    <xdr:to>
      <xdr:col>5</xdr:col>
      <xdr:colOff>550702</xdr:colOff>
      <xdr:row>432</xdr:row>
      <xdr:rowOff>51341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1088" y="33181636"/>
          <a:ext cx="2880000" cy="32465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596019</xdr:colOff>
      <xdr:row>486</xdr:row>
      <xdr:rowOff>147073</xdr:rowOff>
    </xdr:from>
    <xdr:to>
      <xdr:col>3</xdr:col>
      <xdr:colOff>574053</xdr:colOff>
      <xdr:row>489</xdr:row>
      <xdr:rowOff>52118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19825314">
          <a:off x="2203839" y="68125093"/>
          <a:ext cx="846714" cy="499405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799061</xdr:colOff>
      <xdr:row>486</xdr:row>
      <xdr:rowOff>153093</xdr:rowOff>
    </xdr:from>
    <xdr:ext cx="1274516" cy="28020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275561" y="68131113"/>
          <a:ext cx="1274516" cy="28020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Imperial</a:t>
          </a:r>
          <a:r>
            <a:rPr lang="en-IN" sz="1200" b="1" baseline="0"/>
            <a:t> Tower I</a:t>
          </a:r>
          <a:endParaRPr lang="en-IN" sz="1200" b="1"/>
        </a:p>
      </xdr:txBody>
    </xdr:sp>
    <xdr:clientData/>
  </xdr:oneCellAnchor>
  <xdr:twoCellAnchor>
    <xdr:from>
      <xdr:col>8</xdr:col>
      <xdr:colOff>1086545</xdr:colOff>
      <xdr:row>286</xdr:row>
      <xdr:rowOff>62691</xdr:rowOff>
    </xdr:from>
    <xdr:to>
      <xdr:col>16</xdr:col>
      <xdr:colOff>49532</xdr:colOff>
      <xdr:row>323</xdr:row>
      <xdr:rowOff>112914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49B7AFF-7934-9D94-B568-1E932750E178}"/>
            </a:ext>
          </a:extLst>
        </xdr:cNvPr>
        <xdr:cNvGrpSpPr/>
      </xdr:nvGrpSpPr>
      <xdr:grpSpPr>
        <a:xfrm>
          <a:off x="7784525" y="57738471"/>
          <a:ext cx="5546667" cy="333549"/>
          <a:chOff x="545525" y="58546191"/>
          <a:chExt cx="5546667" cy="7373043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64575" y="62394637"/>
            <a:ext cx="5527617" cy="352459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5525" y="58546191"/>
            <a:ext cx="5546667" cy="354468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914747" y="59417643"/>
            <a:ext cx="5051021" cy="207541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38549" y="63204436"/>
            <a:ext cx="5051021" cy="674717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416973" y="64473512"/>
            <a:ext cx="1492482" cy="224098"/>
          </a:xfrm>
          <a:prstGeom prst="rect">
            <a:avLst/>
          </a:prstGeom>
          <a:noFill/>
          <a:ln w="57150" cmpd="sng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</xdr:grpSp>
    <xdr:clientData/>
  </xdr:twoCellAnchor>
  <xdr:twoCellAnchor editAs="oneCell">
    <xdr:from>
      <xdr:col>10</xdr:col>
      <xdr:colOff>25284</xdr:colOff>
      <xdr:row>420</xdr:row>
      <xdr:rowOff>121920</xdr:rowOff>
    </xdr:from>
    <xdr:to>
      <xdr:col>18</xdr:col>
      <xdr:colOff>367133</xdr:colOff>
      <xdr:row>478</xdr:row>
      <xdr:rowOff>153232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04464" y="59382660"/>
          <a:ext cx="6194009" cy="71636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157596</xdr:colOff>
      <xdr:row>419</xdr:row>
      <xdr:rowOff>91440</xdr:rowOff>
    </xdr:from>
    <xdr:to>
      <xdr:col>18</xdr:col>
      <xdr:colOff>568455</xdr:colOff>
      <xdr:row>477</xdr:row>
      <xdr:rowOff>122751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9367" t="17728" r="33862" b="5169"/>
        <a:stretch/>
      </xdr:blipFill>
      <xdr:spPr>
        <a:xfrm>
          <a:off x="8836776" y="59154060"/>
          <a:ext cx="6263019" cy="71636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11</xdr:col>
      <xdr:colOff>233511</xdr:colOff>
      <xdr:row>260</xdr:row>
      <xdr:rowOff>32366</xdr:rowOff>
    </xdr:from>
    <xdr:ext cx="739048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377511" y="51900321"/>
          <a:ext cx="739048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1B</a:t>
          </a:r>
        </a:p>
      </xdr:txBody>
    </xdr:sp>
    <xdr:clientData/>
  </xdr:oneCellAnchor>
  <xdr:twoCellAnchor>
    <xdr:from>
      <xdr:col>9</xdr:col>
      <xdr:colOff>347383</xdr:colOff>
      <xdr:row>245</xdr:row>
      <xdr:rowOff>125506</xdr:rowOff>
    </xdr:from>
    <xdr:to>
      <xdr:col>16</xdr:col>
      <xdr:colOff>608320</xdr:colOff>
      <xdr:row>287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241703" y="49685986"/>
          <a:ext cx="5648277" cy="8187914"/>
          <a:chOff x="537883" y="50863500"/>
          <a:chExt cx="5507531" cy="8479650"/>
        </a:xfrm>
      </xdr:grpSpPr>
      <xdr:pic>
        <xdr:nvPicPr>
          <xdr:cNvPr id="40" name="Picture 39" descr="insp-233804-1525.jpg (959×128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8227" y="5718315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3804-843.jpg (959×128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7883" y="508635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insp-233804-845.jpg (959×1280)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47039" y="54572850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insp-233804-844.jpg (959×1280)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8227" y="54572850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insp-233804-847.jpg (959×1280)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8227" y="50863500"/>
            <a:ext cx="2697187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insp-233804-931.jpg (959×1280)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6758" y="5718315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754380</xdr:colOff>
      <xdr:row>47</xdr:row>
      <xdr:rowOff>312420</xdr:rowOff>
    </xdr:from>
    <xdr:to>
      <xdr:col>13</xdr:col>
      <xdr:colOff>110040</xdr:colOff>
      <xdr:row>53</xdr:row>
      <xdr:rowOff>29238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438D8F-CAAD-0C37-FE1F-73F5BA876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52360" y="10668000"/>
          <a:ext cx="3600000" cy="1591338"/>
        </a:xfrm>
        <a:prstGeom prst="rect">
          <a:avLst/>
        </a:prstGeom>
      </xdr:spPr>
    </xdr:pic>
    <xdr:clientData/>
  </xdr:twoCellAnchor>
  <xdr:twoCellAnchor>
    <xdr:from>
      <xdr:col>0</xdr:col>
      <xdr:colOff>556260</xdr:colOff>
      <xdr:row>248</xdr:row>
      <xdr:rowOff>7621</xdr:rowOff>
    </xdr:from>
    <xdr:to>
      <xdr:col>7</xdr:col>
      <xdr:colOff>426720</xdr:colOff>
      <xdr:row>286</xdr:row>
      <xdr:rowOff>175261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9904DFFA-7737-05D0-06DB-1B9A4A593966}"/>
            </a:ext>
          </a:extLst>
        </xdr:cNvPr>
        <xdr:cNvGrpSpPr/>
      </xdr:nvGrpSpPr>
      <xdr:grpSpPr>
        <a:xfrm>
          <a:off x="556260" y="50162461"/>
          <a:ext cx="5715000" cy="7688580"/>
          <a:chOff x="155972" y="228599"/>
          <a:chExt cx="5915202" cy="8429401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129A600-5BA4-9195-A72B-36A44004AA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7941" y="416940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E7773E6-9D44-4D0F-E2F5-DD624316BA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1174" y="4169401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7104598-6819-CCD2-BCF9-4DBFA708C1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972" y="22860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184343F-B3E9-261B-71ED-51D9EAB6BD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1174" y="228599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556D051-1AF6-2C53-C541-995D3A8D72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87378" y="6857999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1AFD639F-8BB3-FB5D-490A-B51885CEC3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64143" y="6858000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EB947FC4-00E7-EBDB-A3A8-03A02675AA8F}"/>
              </a:ext>
            </a:extLst>
          </xdr:cNvPr>
          <xdr:cNvSpPr txBox="1"/>
        </xdr:nvSpPr>
        <xdr:spPr>
          <a:xfrm>
            <a:off x="4249002" y="4169401"/>
            <a:ext cx="782324" cy="3072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26911627-EB52-348E-3A52-D29B8E7E6C6E}"/>
              </a:ext>
            </a:extLst>
          </xdr:cNvPr>
          <xdr:cNvSpPr txBox="1"/>
        </xdr:nvSpPr>
        <xdr:spPr>
          <a:xfrm>
            <a:off x="4766044" y="304798"/>
            <a:ext cx="1057164" cy="4101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B</a:t>
            </a:r>
            <a:endParaRPr lang="en-IN" b="1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F465E015-8052-47ED-5B58-88139E096547}"/>
              </a:ext>
            </a:extLst>
          </xdr:cNvPr>
          <xdr:cNvSpPr txBox="1"/>
        </xdr:nvSpPr>
        <xdr:spPr>
          <a:xfrm>
            <a:off x="1247395" y="4259100"/>
            <a:ext cx="782324" cy="3072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D4C83D51-C05E-5536-006D-BB7589358167}"/>
              </a:ext>
            </a:extLst>
          </xdr:cNvPr>
          <xdr:cNvSpPr txBox="1"/>
        </xdr:nvSpPr>
        <xdr:spPr>
          <a:xfrm>
            <a:off x="1654175" y="325396"/>
            <a:ext cx="1057164" cy="41019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A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u7RApPtW79sDzaf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59"/>
  <sheetViews>
    <sheetView tabSelected="1" view="pageBreakPreview" zoomScaleNormal="100" zoomScaleSheetLayoutView="100" workbookViewId="0">
      <selection activeCell="K4" sqref="K4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86" t="s">
        <v>166</v>
      </c>
      <c r="B1" s="186"/>
      <c r="C1" s="186"/>
      <c r="D1" s="186"/>
      <c r="E1" s="186"/>
      <c r="F1" s="186"/>
      <c r="G1" s="186"/>
      <c r="H1" s="186"/>
    </row>
    <row r="2" spans="1:8" ht="16.5" customHeight="1" x14ac:dyDescent="0.3">
      <c r="A2" s="187" t="s">
        <v>0</v>
      </c>
      <c r="B2" s="187"/>
      <c r="C2" s="187"/>
      <c r="D2" s="187"/>
      <c r="E2" s="187"/>
      <c r="F2" s="187"/>
      <c r="G2" s="187"/>
      <c r="H2" s="187"/>
    </row>
    <row r="3" spans="1:8" x14ac:dyDescent="0.3">
      <c r="A3" s="162" t="s">
        <v>1</v>
      </c>
      <c r="B3" s="162"/>
      <c r="C3" s="162"/>
      <c r="D3" s="162"/>
      <c r="E3" s="162" t="str">
        <f ca="1">TEXT(TODAY(),"DD/MM/YYYY")</f>
        <v>13/08/2025</v>
      </c>
      <c r="F3" s="162"/>
      <c r="G3" s="162"/>
      <c r="H3" s="162"/>
    </row>
    <row r="4" spans="1:8" ht="15" customHeight="1" x14ac:dyDescent="0.3">
      <c r="A4" s="162" t="s">
        <v>2</v>
      </c>
      <c r="B4" s="162"/>
      <c r="C4" s="162"/>
      <c r="D4" s="162"/>
      <c r="E4" s="162" t="s">
        <v>169</v>
      </c>
      <c r="F4" s="162"/>
      <c r="G4" s="162"/>
      <c r="H4" s="162"/>
    </row>
    <row r="5" spans="1:8" x14ac:dyDescent="0.3">
      <c r="A5" s="162" t="s">
        <v>3</v>
      </c>
      <c r="B5" s="162"/>
      <c r="C5" s="162"/>
      <c r="D5" s="162"/>
      <c r="E5" s="182">
        <v>45881</v>
      </c>
      <c r="F5" s="162"/>
      <c r="G5" s="162"/>
      <c r="H5" s="162"/>
    </row>
    <row r="6" spans="1:8" ht="16.5" customHeight="1" x14ac:dyDescent="0.3">
      <c r="A6" s="162" t="s">
        <v>4</v>
      </c>
      <c r="B6" s="162"/>
      <c r="C6" s="162"/>
      <c r="D6" s="162"/>
      <c r="E6" s="162" t="s">
        <v>170</v>
      </c>
      <c r="F6" s="162"/>
      <c r="G6" s="162"/>
      <c r="H6" s="162"/>
    </row>
    <row r="7" spans="1:8" ht="15" customHeight="1" x14ac:dyDescent="0.3">
      <c r="A7" s="162" t="s">
        <v>5</v>
      </c>
      <c r="B7" s="162"/>
      <c r="C7" s="162"/>
      <c r="D7" s="162"/>
      <c r="E7" s="162" t="str">
        <f>E6</f>
        <v>A K Hitech Realty</v>
      </c>
      <c r="F7" s="162"/>
      <c r="G7" s="162"/>
      <c r="H7" s="162"/>
    </row>
    <row r="8" spans="1:8" x14ac:dyDescent="0.3">
      <c r="A8" s="162" t="s">
        <v>6</v>
      </c>
      <c r="B8" s="162"/>
      <c r="C8" s="162"/>
      <c r="D8" s="162"/>
      <c r="E8" s="66" t="s">
        <v>197</v>
      </c>
      <c r="F8" s="66"/>
      <c r="G8" s="66"/>
      <c r="H8" s="66"/>
    </row>
    <row r="9" spans="1:8" x14ac:dyDescent="0.3">
      <c r="A9" s="162" t="s">
        <v>163</v>
      </c>
      <c r="B9" s="162"/>
      <c r="C9" s="162"/>
      <c r="D9" s="162"/>
      <c r="E9" s="162" t="s">
        <v>195</v>
      </c>
      <c r="F9" s="162"/>
      <c r="G9" s="162"/>
      <c r="H9" s="162"/>
    </row>
    <row r="10" spans="1:8" x14ac:dyDescent="0.3">
      <c r="A10" s="162" t="s">
        <v>164</v>
      </c>
      <c r="B10" s="162"/>
      <c r="C10" s="162"/>
      <c r="D10" s="162"/>
      <c r="E10" s="162" t="s">
        <v>236</v>
      </c>
      <c r="F10" s="162"/>
      <c r="G10" s="162"/>
      <c r="H10" s="162"/>
    </row>
    <row r="11" spans="1:8" x14ac:dyDescent="0.3">
      <c r="A11" s="162" t="s">
        <v>190</v>
      </c>
      <c r="B11" s="162"/>
      <c r="C11" s="162"/>
      <c r="D11" s="162"/>
      <c r="E11" s="162" t="s">
        <v>172</v>
      </c>
      <c r="F11" s="162"/>
      <c r="G11" s="162"/>
      <c r="H11" s="162"/>
    </row>
    <row r="12" spans="1:8" x14ac:dyDescent="0.3">
      <c r="A12" s="162" t="s">
        <v>191</v>
      </c>
      <c r="B12" s="162"/>
      <c r="C12" s="162"/>
      <c r="D12" s="162"/>
      <c r="E12" s="162" t="s">
        <v>192</v>
      </c>
      <c r="F12" s="162"/>
      <c r="G12" s="162"/>
      <c r="H12" s="162"/>
    </row>
    <row r="13" spans="1:8" x14ac:dyDescent="0.3">
      <c r="A13" s="105" t="s">
        <v>7</v>
      </c>
      <c r="B13" s="105"/>
      <c r="C13" s="105"/>
      <c r="D13" s="105"/>
      <c r="E13" s="112" t="s">
        <v>173</v>
      </c>
      <c r="F13" s="112"/>
      <c r="G13" s="112"/>
      <c r="H13" s="112"/>
    </row>
    <row r="14" spans="1:8" x14ac:dyDescent="0.3">
      <c r="A14" s="105" t="s">
        <v>8</v>
      </c>
      <c r="B14" s="105"/>
      <c r="C14" s="105"/>
      <c r="D14" s="105"/>
      <c r="E14" s="112" t="s">
        <v>171</v>
      </c>
      <c r="F14" s="162"/>
      <c r="G14" s="162"/>
      <c r="H14" s="162"/>
    </row>
    <row r="15" spans="1:8" ht="33.75" customHeight="1" x14ac:dyDescent="0.3">
      <c r="A15" s="89" t="s">
        <v>9</v>
      </c>
      <c r="B15" s="89"/>
      <c r="C15" s="8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Imperial Tower I, Survey No.2/1/1, near Bajaj International School, Internal Road, Ghotcamp, Koyanavele, Taloja East, Panvel, Raigad - 410208.</v>
      </c>
      <c r="D15" s="89"/>
      <c r="E15" s="89"/>
      <c r="F15" s="89"/>
      <c r="G15" s="89"/>
      <c r="H15" s="89"/>
    </row>
    <row r="16" spans="1:8" x14ac:dyDescent="0.3">
      <c r="A16" s="112" t="s">
        <v>176</v>
      </c>
      <c r="B16" s="112"/>
      <c r="C16" s="180" t="s">
        <v>196</v>
      </c>
      <c r="D16" s="180"/>
      <c r="E16" s="180"/>
      <c r="F16" s="180"/>
      <c r="G16" s="180"/>
      <c r="H16" s="180"/>
    </row>
    <row r="17" spans="1:8" ht="15.75" customHeight="1" x14ac:dyDescent="0.3">
      <c r="A17" s="112" t="s">
        <v>162</v>
      </c>
      <c r="B17" s="112"/>
      <c r="C17" s="112" t="s">
        <v>178</v>
      </c>
      <c r="D17" s="112"/>
      <c r="E17" s="112"/>
      <c r="F17" s="112"/>
      <c r="G17" s="112"/>
      <c r="H17" s="112"/>
    </row>
    <row r="18" spans="1:8" ht="15.75" customHeight="1" x14ac:dyDescent="0.3">
      <c r="A18" s="89" t="s">
        <v>10</v>
      </c>
      <c r="B18" s="89"/>
      <c r="C18" s="162" t="s">
        <v>179</v>
      </c>
      <c r="D18" s="162"/>
      <c r="E18" s="89" t="s">
        <v>73</v>
      </c>
      <c r="F18" s="89"/>
      <c r="G18" s="112" t="s">
        <v>177</v>
      </c>
      <c r="H18" s="112"/>
    </row>
    <row r="19" spans="1:8" x14ac:dyDescent="0.3">
      <c r="A19" s="105" t="s">
        <v>12</v>
      </c>
      <c r="B19" s="105"/>
      <c r="C19" s="112" t="s">
        <v>180</v>
      </c>
      <c r="D19" s="112"/>
      <c r="E19" s="89" t="s">
        <v>11</v>
      </c>
      <c r="F19" s="89"/>
      <c r="G19" s="181" t="s">
        <v>181</v>
      </c>
      <c r="H19" s="181"/>
    </row>
    <row r="20" spans="1:8" x14ac:dyDescent="0.3">
      <c r="A20" s="105" t="s">
        <v>74</v>
      </c>
      <c r="B20" s="105"/>
      <c r="C20" s="112" t="s">
        <v>182</v>
      </c>
      <c r="D20" s="112"/>
      <c r="E20" s="89" t="s">
        <v>13</v>
      </c>
      <c r="F20" s="89"/>
      <c r="G20" s="112">
        <v>410208</v>
      </c>
      <c r="H20" s="112"/>
    </row>
    <row r="21" spans="1:8" ht="48.75" customHeight="1" x14ac:dyDescent="0.3">
      <c r="A21" s="105" t="s">
        <v>122</v>
      </c>
      <c r="B21" s="105"/>
      <c r="C21" s="112" t="s">
        <v>184</v>
      </c>
      <c r="D21" s="112"/>
      <c r="E21" s="89" t="s">
        <v>14</v>
      </c>
      <c r="F21" s="89"/>
      <c r="G21" s="112" t="s">
        <v>183</v>
      </c>
      <c r="H21" s="112"/>
    </row>
    <row r="22" spans="1:8" ht="15" customHeight="1" x14ac:dyDescent="0.3">
      <c r="A22" s="89" t="s">
        <v>77</v>
      </c>
      <c r="B22" s="89"/>
      <c r="C22" s="89"/>
      <c r="D22" s="89"/>
      <c r="E22" s="162" t="s">
        <v>15</v>
      </c>
      <c r="F22" s="162"/>
      <c r="G22" s="162"/>
      <c r="H22" s="162"/>
    </row>
    <row r="23" spans="1:8" ht="18.75" customHeight="1" x14ac:dyDescent="0.3">
      <c r="A23" s="89"/>
      <c r="B23" s="89"/>
      <c r="C23" s="89"/>
      <c r="D23" s="89"/>
      <c r="E23" s="162"/>
      <c r="F23" s="162"/>
      <c r="G23" s="162"/>
      <c r="H23" s="162"/>
    </row>
    <row r="24" spans="1:8" ht="15" customHeight="1" x14ac:dyDescent="0.3">
      <c r="A24" s="89" t="s">
        <v>16</v>
      </c>
      <c r="B24" s="89"/>
      <c r="C24" s="89"/>
      <c r="D24" s="89"/>
      <c r="E24" s="112" t="s">
        <v>17</v>
      </c>
      <c r="F24" s="112"/>
      <c r="G24" s="112"/>
      <c r="H24" s="112"/>
    </row>
    <row r="25" spans="1:8" ht="15" customHeight="1" x14ac:dyDescent="0.3">
      <c r="A25" s="105" t="s">
        <v>18</v>
      </c>
      <c r="B25" s="105"/>
      <c r="C25" s="105"/>
      <c r="D25" s="105"/>
      <c r="E25" s="112" t="str">
        <f>IF(AND(G19="Mumbai"),"Upper Class","Middle Class")</f>
        <v>Middle Class</v>
      </c>
      <c r="F25" s="112"/>
      <c r="G25" s="112"/>
      <c r="H25" s="112"/>
    </row>
    <row r="26" spans="1:8" x14ac:dyDescent="0.3">
      <c r="A26" s="105" t="s">
        <v>19</v>
      </c>
      <c r="B26" s="105"/>
      <c r="C26" s="105"/>
      <c r="D26" s="105"/>
      <c r="E26" s="112" t="s">
        <v>20</v>
      </c>
      <c r="F26" s="112"/>
      <c r="G26" s="112"/>
      <c r="H26" s="112"/>
    </row>
    <row r="27" spans="1:8" ht="15.75" customHeight="1" x14ac:dyDescent="0.3">
      <c r="A27" s="105" t="s">
        <v>21</v>
      </c>
      <c r="B27" s="105"/>
      <c r="C27" s="105"/>
      <c r="D27" s="105"/>
      <c r="E27" s="112" t="str">
        <f>IF(AND(G19="Mumbai"),"Developed","Developing")</f>
        <v>Developing</v>
      </c>
      <c r="F27" s="112"/>
      <c r="G27" s="112"/>
      <c r="H27" s="112"/>
    </row>
    <row r="28" spans="1:8" x14ac:dyDescent="0.3">
      <c r="A28" s="105" t="s">
        <v>22</v>
      </c>
      <c r="B28" s="105"/>
      <c r="C28" s="105"/>
      <c r="D28" s="105"/>
      <c r="E28" s="112" t="s">
        <v>23</v>
      </c>
      <c r="F28" s="112"/>
      <c r="G28" s="112"/>
      <c r="H28" s="112"/>
    </row>
    <row r="29" spans="1:8" ht="15.75" customHeight="1" x14ac:dyDescent="0.3">
      <c r="A29" s="105" t="s">
        <v>82</v>
      </c>
      <c r="B29" s="105"/>
      <c r="C29" s="105"/>
      <c r="D29" s="105"/>
      <c r="E29" s="112" t="s">
        <v>83</v>
      </c>
      <c r="F29" s="112"/>
      <c r="G29" s="112"/>
      <c r="H29" s="112"/>
    </row>
    <row r="30" spans="1:8" ht="15" customHeight="1" x14ac:dyDescent="0.3">
      <c r="A30" s="105" t="s">
        <v>32</v>
      </c>
      <c r="B30" s="105"/>
      <c r="C30" s="105"/>
      <c r="D30" s="105"/>
      <c r="E30" s="11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2"/>
      <c r="G30" s="112"/>
      <c r="H30" s="112"/>
    </row>
    <row r="31" spans="1:8" ht="15.75" customHeight="1" x14ac:dyDescent="0.3">
      <c r="A31" s="105" t="s">
        <v>94</v>
      </c>
      <c r="B31" s="105"/>
      <c r="C31" s="105"/>
      <c r="D31" s="105"/>
      <c r="E31" s="112" t="s">
        <v>33</v>
      </c>
      <c r="F31" s="112"/>
      <c r="G31" s="112"/>
      <c r="H31" s="112"/>
    </row>
    <row r="32" spans="1:8" s="22" customFormat="1" x14ac:dyDescent="0.3">
      <c r="A32" s="179" t="s">
        <v>95</v>
      </c>
      <c r="B32" s="179"/>
      <c r="C32" s="172" t="s">
        <v>28</v>
      </c>
      <c r="D32" s="172"/>
      <c r="E32" s="172"/>
      <c r="F32" s="172" t="s">
        <v>30</v>
      </c>
      <c r="G32" s="172"/>
      <c r="H32" s="172"/>
    </row>
    <row r="33" spans="1:8" s="22" customFormat="1" x14ac:dyDescent="0.3">
      <c r="A33" s="169" t="s">
        <v>24</v>
      </c>
      <c r="B33" s="169" t="s">
        <v>29</v>
      </c>
      <c r="C33" s="170" t="s">
        <v>29</v>
      </c>
      <c r="D33" s="170"/>
      <c r="E33" s="170"/>
      <c r="F33" s="170" t="s">
        <v>185</v>
      </c>
      <c r="G33" s="170"/>
      <c r="H33" s="170"/>
    </row>
    <row r="34" spans="1:8" x14ac:dyDescent="0.3">
      <c r="A34" s="169" t="s">
        <v>25</v>
      </c>
      <c r="B34" s="169" t="s">
        <v>29</v>
      </c>
      <c r="C34" s="170" t="s">
        <v>29</v>
      </c>
      <c r="D34" s="170"/>
      <c r="E34" s="170"/>
      <c r="F34" s="68" t="s">
        <v>179</v>
      </c>
      <c r="G34" s="170"/>
      <c r="H34" s="170"/>
    </row>
    <row r="35" spans="1:8" s="22" customFormat="1" x14ac:dyDescent="0.3">
      <c r="A35" s="169" t="s">
        <v>27</v>
      </c>
      <c r="B35" s="169" t="s">
        <v>29</v>
      </c>
      <c r="C35" s="170" t="s">
        <v>29</v>
      </c>
      <c r="D35" s="170"/>
      <c r="E35" s="170"/>
      <c r="F35" s="68" t="s">
        <v>186</v>
      </c>
      <c r="G35" s="170"/>
      <c r="H35" s="170"/>
    </row>
    <row r="36" spans="1:8" x14ac:dyDescent="0.3">
      <c r="A36" s="169" t="s">
        <v>26</v>
      </c>
      <c r="B36" s="169" t="s">
        <v>29</v>
      </c>
      <c r="C36" s="170" t="s">
        <v>29</v>
      </c>
      <c r="D36" s="170"/>
      <c r="E36" s="170"/>
      <c r="F36" s="170" t="s">
        <v>185</v>
      </c>
      <c r="G36" s="170"/>
      <c r="H36" s="170"/>
    </row>
    <row r="37" spans="1:8" x14ac:dyDescent="0.3">
      <c r="A37" s="105" t="s">
        <v>31</v>
      </c>
      <c r="B37" s="105"/>
      <c r="C37" s="105"/>
      <c r="D37" s="105"/>
      <c r="E37" s="105"/>
      <c r="F37" s="105"/>
      <c r="G37" s="105"/>
      <c r="H37" s="105"/>
    </row>
    <row r="38" spans="1:8" ht="15.75" customHeight="1" x14ac:dyDescent="0.3">
      <c r="A38" s="105" t="s">
        <v>167</v>
      </c>
      <c r="B38" s="105"/>
      <c r="C38" s="148" t="s">
        <v>174</v>
      </c>
      <c r="D38" s="148"/>
      <c r="E38" s="148"/>
      <c r="F38" s="148"/>
      <c r="G38" s="148"/>
      <c r="H38" s="148"/>
    </row>
    <row r="39" spans="1:8" x14ac:dyDescent="0.3">
      <c r="A39" s="105" t="s">
        <v>161</v>
      </c>
      <c r="B39" s="105"/>
      <c r="C39" s="111" t="s">
        <v>175</v>
      </c>
      <c r="D39" s="112"/>
      <c r="E39" s="112"/>
      <c r="F39" s="112"/>
      <c r="G39" s="112"/>
      <c r="H39" s="112"/>
    </row>
    <row r="40" spans="1:8" x14ac:dyDescent="0.3">
      <c r="A40" s="148" t="s">
        <v>34</v>
      </c>
      <c r="B40" s="148"/>
      <c r="C40" s="148"/>
      <c r="D40" s="148"/>
      <c r="E40" s="148"/>
      <c r="F40" s="148"/>
      <c r="G40" s="148"/>
      <c r="H40" s="148"/>
    </row>
    <row r="41" spans="1:8" x14ac:dyDescent="0.3">
      <c r="A41" s="105" t="s">
        <v>35</v>
      </c>
      <c r="B41" s="105"/>
      <c r="C41" s="105"/>
      <c r="D41" s="105"/>
      <c r="E41" s="171">
        <v>3860</v>
      </c>
      <c r="F41" s="171"/>
      <c r="G41" s="171"/>
      <c r="H41" s="171"/>
    </row>
    <row r="42" spans="1:8" x14ac:dyDescent="0.3">
      <c r="A42" s="105" t="s">
        <v>36</v>
      </c>
      <c r="B42" s="105"/>
      <c r="C42" s="105"/>
      <c r="D42" s="105"/>
      <c r="E42" s="185">
        <v>1.1000000000000001</v>
      </c>
      <c r="F42" s="185"/>
      <c r="G42" s="185"/>
      <c r="H42" s="185"/>
    </row>
    <row r="43" spans="1:8" x14ac:dyDescent="0.3">
      <c r="A43" s="105" t="s">
        <v>37</v>
      </c>
      <c r="B43" s="105"/>
      <c r="C43" s="105"/>
      <c r="D43" s="105"/>
      <c r="E43" s="185">
        <f>E45/E41-E42</f>
        <v>1.6068808290155436</v>
      </c>
      <c r="F43" s="185"/>
      <c r="G43" s="185"/>
      <c r="H43" s="185"/>
    </row>
    <row r="44" spans="1:8" x14ac:dyDescent="0.3">
      <c r="A44" s="105" t="s">
        <v>38</v>
      </c>
      <c r="B44" s="105"/>
      <c r="C44" s="105"/>
      <c r="D44" s="105"/>
      <c r="E44" s="185">
        <f>E42+E43</f>
        <v>2.7068808290155437</v>
      </c>
      <c r="F44" s="185"/>
      <c r="G44" s="185"/>
      <c r="H44" s="185"/>
    </row>
    <row r="45" spans="1:8" x14ac:dyDescent="0.3">
      <c r="A45" s="105" t="s">
        <v>93</v>
      </c>
      <c r="B45" s="105"/>
      <c r="C45" s="105"/>
      <c r="D45" s="105"/>
      <c r="E45" s="202">
        <v>10448.56</v>
      </c>
      <c r="F45" s="202"/>
      <c r="G45" s="202"/>
      <c r="H45" s="202"/>
    </row>
    <row r="46" spans="1:8" x14ac:dyDescent="0.3">
      <c r="A46" s="162" t="s">
        <v>39</v>
      </c>
      <c r="B46" s="162"/>
      <c r="C46" s="162"/>
      <c r="D46" s="162"/>
      <c r="E46" s="162" t="s">
        <v>187</v>
      </c>
      <c r="F46" s="162"/>
      <c r="G46" s="162"/>
      <c r="H46" s="162"/>
    </row>
    <row r="47" spans="1:8" x14ac:dyDescent="0.3">
      <c r="A47" s="66" t="s">
        <v>40</v>
      </c>
      <c r="B47" s="66"/>
      <c r="C47" s="66"/>
      <c r="D47" s="66"/>
      <c r="E47" s="66"/>
      <c r="F47" s="66"/>
      <c r="G47" s="66"/>
      <c r="H47" s="66"/>
    </row>
    <row r="48" spans="1:8" ht="33.75" customHeight="1" x14ac:dyDescent="0.3">
      <c r="A48" s="113" t="s">
        <v>151</v>
      </c>
      <c r="B48" s="114"/>
      <c r="C48" s="115" t="s">
        <v>188</v>
      </c>
      <c r="D48" s="116"/>
      <c r="E48" s="116"/>
      <c r="F48" s="116"/>
      <c r="G48" s="116"/>
      <c r="H48" s="117"/>
    </row>
    <row r="49" spans="1:14" ht="15.75" customHeight="1" x14ac:dyDescent="0.3">
      <c r="A49" s="113" t="s">
        <v>41</v>
      </c>
      <c r="B49" s="114"/>
      <c r="C49" s="113" t="s">
        <v>189</v>
      </c>
      <c r="D49" s="174"/>
      <c r="E49" s="114"/>
      <c r="F49" s="50" t="s">
        <v>42</v>
      </c>
      <c r="G49" s="175">
        <v>44742</v>
      </c>
      <c r="H49" s="114"/>
    </row>
    <row r="50" spans="1:14" x14ac:dyDescent="0.3">
      <c r="A50" s="128" t="s">
        <v>43</v>
      </c>
      <c r="B50" s="130"/>
      <c r="C50" s="128" t="str">
        <f>C49</f>
        <v>PMP/NRV/16439/J.K.1913/2022</v>
      </c>
      <c r="D50" s="129"/>
      <c r="E50" s="130"/>
      <c r="F50" s="18" t="s">
        <v>42</v>
      </c>
      <c r="G50" s="167">
        <f>G49</f>
        <v>44742</v>
      </c>
      <c r="H50" s="168"/>
    </row>
    <row r="51" spans="1:14" s="23" customFormat="1" ht="34.5" customHeight="1" x14ac:dyDescent="0.3">
      <c r="A51" s="85" t="s">
        <v>243</v>
      </c>
      <c r="B51" s="86"/>
      <c r="C51" s="128" t="s">
        <v>237</v>
      </c>
      <c r="D51" s="129"/>
      <c r="E51" s="130"/>
      <c r="F51" s="18" t="s">
        <v>42</v>
      </c>
      <c r="G51" s="167">
        <v>45037</v>
      </c>
      <c r="H51" s="168"/>
    </row>
    <row r="52" spans="1:14" s="23" customFormat="1" ht="33" customHeight="1" x14ac:dyDescent="0.3">
      <c r="A52" s="87"/>
      <c r="B52" s="88"/>
      <c r="C52" s="128" t="s">
        <v>238</v>
      </c>
      <c r="D52" s="129"/>
      <c r="E52" s="129"/>
      <c r="F52" s="129"/>
      <c r="G52" s="129"/>
      <c r="H52" s="130"/>
    </row>
    <row r="53" spans="1:14" x14ac:dyDescent="0.3">
      <c r="A53" s="203" t="s">
        <v>44</v>
      </c>
      <c r="B53" s="204"/>
      <c r="C53" s="203" t="s">
        <v>103</v>
      </c>
      <c r="D53" s="205"/>
      <c r="E53" s="204"/>
      <c r="F53" s="44" t="s">
        <v>42</v>
      </c>
      <c r="G53" s="183" t="s">
        <v>29</v>
      </c>
      <c r="H53" s="184"/>
    </row>
    <row r="54" spans="1:14" x14ac:dyDescent="0.3">
      <c r="A54" s="201" t="s">
        <v>46</v>
      </c>
      <c r="B54" s="201"/>
      <c r="C54" s="201"/>
      <c r="D54" s="201"/>
      <c r="E54" s="201"/>
      <c r="F54" s="201"/>
      <c r="G54" s="201"/>
      <c r="H54" s="201"/>
    </row>
    <row r="55" spans="1:14" x14ac:dyDescent="0.3">
      <c r="A55" s="89" t="s">
        <v>92</v>
      </c>
      <c r="B55" s="89"/>
      <c r="C55" s="89"/>
      <c r="D55" s="105">
        <f>E45</f>
        <v>10448.56</v>
      </c>
      <c r="E55" s="105"/>
      <c r="F55" s="105"/>
      <c r="G55" s="105"/>
      <c r="H55" s="105"/>
    </row>
    <row r="56" spans="1:14" x14ac:dyDescent="0.3">
      <c r="A56" s="112" t="s">
        <v>47</v>
      </c>
      <c r="B56" s="162"/>
      <c r="C56" s="162"/>
      <c r="D56" s="162" t="s">
        <v>215</v>
      </c>
      <c r="E56" s="162"/>
      <c r="F56" s="162"/>
      <c r="G56" s="162"/>
      <c r="H56" s="162"/>
      <c r="I56" s="24"/>
    </row>
    <row r="57" spans="1:14" ht="31.5" customHeight="1" x14ac:dyDescent="0.3">
      <c r="A57" s="164" t="s">
        <v>48</v>
      </c>
      <c r="B57" s="165"/>
      <c r="C57" s="166"/>
      <c r="D57" s="127" t="s">
        <v>194</v>
      </c>
      <c r="E57" s="163"/>
      <c r="F57" s="163"/>
      <c r="G57" s="163"/>
      <c r="H57" s="163"/>
    </row>
    <row r="58" spans="1:14" ht="15.75" customHeight="1" x14ac:dyDescent="0.3">
      <c r="A58" s="164" t="s">
        <v>90</v>
      </c>
      <c r="B58" s="165"/>
      <c r="C58" s="165"/>
      <c r="D58" s="90" t="s">
        <v>233</v>
      </c>
      <c r="E58" s="91"/>
      <c r="F58" s="91"/>
      <c r="G58" s="91"/>
      <c r="H58" s="92"/>
    </row>
    <row r="59" spans="1:14" ht="15.75" customHeight="1" x14ac:dyDescent="0.3">
      <c r="A59" s="176"/>
      <c r="B59" s="177"/>
      <c r="C59" s="177"/>
      <c r="D59" s="93" t="s">
        <v>234</v>
      </c>
      <c r="E59" s="94"/>
      <c r="F59" s="94"/>
      <c r="G59" s="94"/>
      <c r="H59" s="95"/>
    </row>
    <row r="60" spans="1:14" ht="15.75" customHeight="1" x14ac:dyDescent="0.3">
      <c r="A60" s="105" t="s">
        <v>45</v>
      </c>
      <c r="B60" s="105"/>
      <c r="C60" s="105"/>
      <c r="D60" s="173" t="s">
        <v>193</v>
      </c>
      <c r="E60" s="173"/>
      <c r="F60" s="173"/>
      <c r="G60" s="173"/>
      <c r="H60" s="173"/>
      <c r="J60" s="25"/>
      <c r="K60" s="24"/>
      <c r="N60" s="24"/>
    </row>
    <row r="61" spans="1:14" ht="15.75" customHeight="1" x14ac:dyDescent="0.3">
      <c r="A61" s="105" t="s">
        <v>88</v>
      </c>
      <c r="B61" s="105"/>
      <c r="C61" s="105"/>
      <c r="D61" s="178" t="str">
        <f>(IF(G53="NA","60 Years After Completion",IF(G53&lt;&gt;"NA",""&amp;60-ROUNDDOWN((E3-G53)/360,0)&amp;" Years"," ")))</f>
        <v>60 Years After Completion</v>
      </c>
      <c r="E61" s="178"/>
      <c r="F61" s="178"/>
      <c r="G61" s="178"/>
      <c r="H61" s="178"/>
      <c r="N61" s="24"/>
    </row>
    <row r="62" spans="1:14" ht="15.75" customHeight="1" x14ac:dyDescent="0.3">
      <c r="A62" s="105" t="s">
        <v>89</v>
      </c>
      <c r="B62" s="105"/>
      <c r="C62" s="105"/>
      <c r="D62" s="89" t="s">
        <v>23</v>
      </c>
      <c r="E62" s="89"/>
      <c r="F62" s="89"/>
      <c r="G62" s="89"/>
      <c r="H62" s="89"/>
      <c r="J62" s="26"/>
      <c r="K62" s="26"/>
    </row>
    <row r="63" spans="1:14" ht="30" hidden="1" customHeight="1" x14ac:dyDescent="0.3">
      <c r="A63" s="105" t="s">
        <v>75</v>
      </c>
      <c r="B63" s="105"/>
      <c r="C63" s="105"/>
      <c r="D63" s="112"/>
      <c r="E63" s="89"/>
      <c r="F63" s="89"/>
      <c r="G63" s="89"/>
      <c r="H63" s="89"/>
    </row>
    <row r="64" spans="1:14" x14ac:dyDescent="0.3">
      <c r="A64" s="89" t="s">
        <v>148</v>
      </c>
      <c r="B64" s="89"/>
      <c r="C64" s="89"/>
      <c r="D64" s="89" t="s">
        <v>29</v>
      </c>
      <c r="E64" s="89"/>
      <c r="F64" s="89"/>
      <c r="G64" s="89"/>
      <c r="H64" s="89"/>
      <c r="I64" s="27"/>
      <c r="J64" s="27"/>
      <c r="K64" s="27"/>
      <c r="L64" s="27"/>
      <c r="M64" s="27"/>
      <c r="N64" s="27"/>
    </row>
    <row r="65" spans="1:10" ht="15.75" customHeight="1" x14ac:dyDescent="0.3">
      <c r="A65" s="126" t="s">
        <v>87</v>
      </c>
      <c r="B65" s="126"/>
      <c r="C65" s="126"/>
      <c r="D65" s="127" t="str">
        <f ca="1">(IF(G71&gt;95%,"Nothing",IF(G71&gt;0%,"Cement, Aggregate, Steel, etc",IF(G71=0%,"Work not yet Started"))))</f>
        <v>Cement, Aggregate, Steel, etc</v>
      </c>
      <c r="E65" s="127"/>
      <c r="F65" s="127"/>
      <c r="G65" s="127"/>
      <c r="H65" s="127"/>
      <c r="J65" s="26"/>
    </row>
    <row r="66" spans="1:10" ht="33.75" customHeight="1" thickBot="1" x14ac:dyDescent="0.35">
      <c r="A66" s="206" t="s">
        <v>116</v>
      </c>
      <c r="B66" s="206"/>
      <c r="C66" s="206"/>
      <c r="D66" s="127" t="str">
        <f ca="1">(IF(D65="Nothing","Yes",IF(D65="Cement, Aggregate, Steel, etc","Under Construction",IF(D65="Work not yet Started","Work not yet Started"))))</f>
        <v>Under Construction</v>
      </c>
      <c r="E66" s="127"/>
      <c r="F66" s="127" t="str">
        <f ca="1">(IF(D65="Nothing","Yes",IF(D65="Cement, Aggregate, Steel, etc","Under Construction",IF(D65="Work not yet Started","Work not yet Started"))))</f>
        <v>Under Construction</v>
      </c>
      <c r="G66" s="127"/>
      <c r="H66" s="127"/>
    </row>
    <row r="67" spans="1:10" ht="15.75" customHeight="1" x14ac:dyDescent="0.3">
      <c r="A67" s="124" t="s">
        <v>140</v>
      </c>
      <c r="B67" s="125"/>
      <c r="C67" s="121" t="str">
        <f>D58</f>
        <v>A Wing = Gr + 1st to 14th Floor</v>
      </c>
      <c r="D67" s="122"/>
      <c r="E67" s="122"/>
      <c r="F67" s="122"/>
      <c r="G67" s="122"/>
      <c r="H67" s="123"/>
      <c r="I67" s="46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13 Floor, Flooring upto 12 Floor, Painting upto 10 Floor Completed</v>
      </c>
      <c r="J67" s="47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13 Floor, Flooring upto 12 Floor, Painting upto 10 Floor</v>
      </c>
    </row>
    <row r="68" spans="1:10" x14ac:dyDescent="0.3">
      <c r="A68" s="16" t="s">
        <v>142</v>
      </c>
      <c r="B68" s="55">
        <f>IF(AND(ISNUMBER(SEARCH("1B",C67))),1,IF(AND(ISNUMBER(SEARCH("2B",C67))),2,IF(AND(ISNUMBER(SEARCH("3B",C67))),3,IF(AND(ISNUMBER(SEARCH("4B",C67))),4,IF(ISNUMBER(SEARCH("5B",C67)),5,0)))))</f>
        <v>0</v>
      </c>
      <c r="C68" s="55" t="s">
        <v>72</v>
      </c>
      <c r="D68" s="55">
        <v>1</v>
      </c>
      <c r="E68" s="55" t="s">
        <v>71</v>
      </c>
      <c r="F68" s="55">
        <v>0</v>
      </c>
      <c r="G68" s="55" t="s">
        <v>81</v>
      </c>
      <c r="H68" s="17">
        <f ca="1">--TRIM(RIGHT(SUBSTITUTE(LEFT(C67,_xlfn.AGGREGATE(16,6,FIND({0,1,2,3,4,5,6,7,8,9},C67,ROW(INDIRECT("1:"&amp;LEN(C67)))),1))," ",REPT(" ",LEN(C67))),LEN(C67)))</f>
        <v>14</v>
      </c>
      <c r="I68" s="48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9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8.6" customHeight="1" x14ac:dyDescent="0.3">
      <c r="A69" s="65" t="s">
        <v>91</v>
      </c>
      <c r="B69" s="66"/>
      <c r="C69" s="97" t="str">
        <f ca="1">I67</f>
        <v>Excavation, Plinth, RCC Slab, Brickwork, Internal Plaster Completed, External Plaster upto 13 Floor, Flooring upto 12 Floor, Painting upto 10 Floor Completed</v>
      </c>
      <c r="D69" s="97"/>
      <c r="E69" s="97"/>
      <c r="F69" s="97"/>
      <c r="G69" s="97"/>
      <c r="H69" s="98"/>
      <c r="I69" s="48" t="str">
        <f ca="1">IF(I68&lt;&gt;""," Completed","")</f>
        <v xml:space="preserve"> Completed</v>
      </c>
      <c r="J69" s="49" t="str">
        <f ca="1">IF(J67&lt;&gt;"","Completed","")</f>
        <v>Completed</v>
      </c>
    </row>
    <row r="70" spans="1:10" ht="15.75" customHeight="1" x14ac:dyDescent="0.3">
      <c r="A70" s="69" t="s">
        <v>49</v>
      </c>
      <c r="B70" s="70"/>
      <c r="C70" s="56" t="s">
        <v>139</v>
      </c>
      <c r="D70" s="56" t="s">
        <v>84</v>
      </c>
      <c r="E70" s="68" t="s">
        <v>86</v>
      </c>
      <c r="F70" s="68"/>
      <c r="G70" s="68" t="s">
        <v>85</v>
      </c>
      <c r="H70" s="96"/>
      <c r="I70" s="14" t="s">
        <v>141</v>
      </c>
      <c r="J70" s="28">
        <f ca="1">H68*25%</f>
        <v>3.5</v>
      </c>
    </row>
    <row r="71" spans="1:10" x14ac:dyDescent="0.3">
      <c r="A71" s="69" t="s">
        <v>128</v>
      </c>
      <c r="B71" s="70"/>
      <c r="C71" s="56">
        <f ca="1">J72</f>
        <v>14</v>
      </c>
      <c r="D71" s="59">
        <f ca="1">((100/H68)*C71)/100</f>
        <v>1</v>
      </c>
      <c r="E71" s="73">
        <f ca="1">(((C72/H68*10)+(40/(D68+F68+H68)*C73)+(7.5/(H68)*C74)+(7.5/(H68)*C75)+(10/H68*C76)+(10/H68*C77)+(5/H68*C78)+(5/H68*C79)+(5/H68*C80))/100)</f>
        <v>0.86428571428571432</v>
      </c>
      <c r="F71" s="74"/>
      <c r="G71" s="73">
        <f ca="1">((((C71/H68)*20)+((C72/H68)*25)+(30/(H68+F68+D68)*C73)+(5/H68*C74)+(5/H68*C75)+(5/H68*C76)+(5/H68*C77)+(0/H68*C78)+(0/H68*C79)+(5/H68*C80))/100)</f>
        <v>0.93928571428571428</v>
      </c>
      <c r="H71" s="102"/>
      <c r="I71" s="14" t="s">
        <v>98</v>
      </c>
      <c r="J71" s="29">
        <f ca="1">H68*50%</f>
        <v>7</v>
      </c>
    </row>
    <row r="72" spans="1:10" x14ac:dyDescent="0.3">
      <c r="A72" s="69" t="s">
        <v>50</v>
      </c>
      <c r="B72" s="70"/>
      <c r="C72" s="60">
        <f ca="1">J80</f>
        <v>14</v>
      </c>
      <c r="D72" s="59">
        <f ca="1">((100/H68)*C72)/100</f>
        <v>1</v>
      </c>
      <c r="E72" s="75"/>
      <c r="F72" s="76"/>
      <c r="G72" s="75"/>
      <c r="H72" s="103"/>
      <c r="I72" s="14" t="s">
        <v>99</v>
      </c>
      <c r="J72" s="29">
        <f ca="1">H68</f>
        <v>14</v>
      </c>
    </row>
    <row r="73" spans="1:10" ht="15.75" customHeight="1" x14ac:dyDescent="0.3">
      <c r="A73" s="69" t="s">
        <v>129</v>
      </c>
      <c r="B73" s="70"/>
      <c r="C73" s="56">
        <v>15</v>
      </c>
      <c r="D73" s="59">
        <f ca="1">((100/(D68+F68+H68))*C73)/100</f>
        <v>1</v>
      </c>
      <c r="E73" s="75"/>
      <c r="F73" s="76"/>
      <c r="G73" s="75"/>
      <c r="H73" s="103"/>
      <c r="I73" s="14" t="s">
        <v>100</v>
      </c>
      <c r="J73" s="30">
        <f ca="1">(IF(B68&gt;1,(H68/(B68+2)),H68/4))</f>
        <v>3.5</v>
      </c>
    </row>
    <row r="74" spans="1:10" ht="15.75" customHeight="1" x14ac:dyDescent="0.3">
      <c r="A74" s="69" t="s">
        <v>136</v>
      </c>
      <c r="B74" s="70" t="s">
        <v>130</v>
      </c>
      <c r="C74" s="56">
        <v>14</v>
      </c>
      <c r="D74" s="59">
        <f ca="1">((100/H68)*C74)/100</f>
        <v>1</v>
      </c>
      <c r="E74" s="75"/>
      <c r="F74" s="76"/>
      <c r="G74" s="75"/>
      <c r="H74" s="103"/>
      <c r="I74" s="14" t="s">
        <v>101</v>
      </c>
      <c r="J74" s="30">
        <f ca="1">(IF(B68&gt;1,(H68/(B68+2)+J73),H68/4+J73))</f>
        <v>7</v>
      </c>
    </row>
    <row r="75" spans="1:10" ht="15.75" customHeight="1" x14ac:dyDescent="0.3">
      <c r="A75" s="69" t="s">
        <v>137</v>
      </c>
      <c r="B75" s="70" t="s">
        <v>130</v>
      </c>
      <c r="C75" s="56">
        <v>14</v>
      </c>
      <c r="D75" s="59">
        <f ca="1">((100/H68)*C75)/100</f>
        <v>1</v>
      </c>
      <c r="E75" s="75"/>
      <c r="F75" s="76"/>
      <c r="G75" s="75"/>
      <c r="H75" s="103"/>
      <c r="I75" s="14" t="s">
        <v>146</v>
      </c>
      <c r="J75" s="30">
        <f>(IF(B68&gt;1,(H68/(B68+2)+J74),0))</f>
        <v>0</v>
      </c>
    </row>
    <row r="76" spans="1:10" ht="15" customHeight="1" x14ac:dyDescent="0.3">
      <c r="A76" s="69" t="s">
        <v>135</v>
      </c>
      <c r="B76" s="70" t="s">
        <v>132</v>
      </c>
      <c r="C76" s="56">
        <v>13</v>
      </c>
      <c r="D76" s="59">
        <f ca="1">((100/(H68))*C76)/100</f>
        <v>0.9285714285714286</v>
      </c>
      <c r="E76" s="75"/>
      <c r="F76" s="76"/>
      <c r="G76" s="75"/>
      <c r="H76" s="103"/>
      <c r="I76" s="14" t="s">
        <v>143</v>
      </c>
      <c r="J76" s="30">
        <f>(IF(B68&gt;2,(H68/(B68+2)+J75),0))</f>
        <v>0</v>
      </c>
    </row>
    <row r="77" spans="1:10" ht="15.75" customHeight="1" x14ac:dyDescent="0.3">
      <c r="A77" s="69" t="s">
        <v>131</v>
      </c>
      <c r="B77" s="70" t="s">
        <v>131</v>
      </c>
      <c r="C77" s="56">
        <v>12</v>
      </c>
      <c r="D77" s="59">
        <f ca="1">((100/H68)*C77)/100</f>
        <v>0.85714285714285721</v>
      </c>
      <c r="E77" s="75"/>
      <c r="F77" s="76"/>
      <c r="G77" s="75"/>
      <c r="H77" s="103"/>
      <c r="I77" s="14" t="s">
        <v>144</v>
      </c>
      <c r="J77" s="31">
        <f>(IF(B68&gt;3,(H68/(B68+2)+J76),0))</f>
        <v>0</v>
      </c>
    </row>
    <row r="78" spans="1:10" ht="15.75" customHeight="1" x14ac:dyDescent="0.3">
      <c r="A78" s="69" t="s">
        <v>138</v>
      </c>
      <c r="B78" s="70"/>
      <c r="C78" s="56">
        <v>10</v>
      </c>
      <c r="D78" s="59">
        <f ca="1">((100/H68)*C78)/100</f>
        <v>0.7142857142857143</v>
      </c>
      <c r="E78" s="75"/>
      <c r="F78" s="76"/>
      <c r="G78" s="75"/>
      <c r="H78" s="103"/>
      <c r="I78" s="14" t="s">
        <v>145</v>
      </c>
      <c r="J78" s="30">
        <f>(IF(B68&gt;4,(H68/(B68+2)+J77),0))</f>
        <v>0</v>
      </c>
    </row>
    <row r="79" spans="1:10" ht="15.75" customHeight="1" x14ac:dyDescent="0.3">
      <c r="A79" s="69" t="s">
        <v>133</v>
      </c>
      <c r="B79" s="70" t="s">
        <v>133</v>
      </c>
      <c r="C79" s="56">
        <v>0</v>
      </c>
      <c r="D79" s="59">
        <f ca="1">((100/(H68))*C79)/100</f>
        <v>0</v>
      </c>
      <c r="E79" s="75"/>
      <c r="F79" s="76"/>
      <c r="G79" s="75"/>
      <c r="H79" s="103"/>
      <c r="I79" s="14" t="s">
        <v>147</v>
      </c>
      <c r="J79" s="30">
        <f ca="1">(IF(B68=1,(H68/(B68+3)+J74),IF(B68=0,(H68/4+J74),IF(B68&gt;1,0))))</f>
        <v>10.5</v>
      </c>
    </row>
    <row r="80" spans="1:10" ht="16.2" thickBot="1" x14ac:dyDescent="0.35">
      <c r="A80" s="71" t="s">
        <v>134</v>
      </c>
      <c r="B80" s="72"/>
      <c r="C80" s="61">
        <v>0</v>
      </c>
      <c r="D80" s="62">
        <f ca="1">((100/(H68))*C80)/100</f>
        <v>0</v>
      </c>
      <c r="E80" s="77"/>
      <c r="F80" s="78"/>
      <c r="G80" s="77"/>
      <c r="H80" s="104"/>
      <c r="I80" s="15" t="s">
        <v>102</v>
      </c>
      <c r="J80" s="32">
        <f ca="1">(IF(B68&gt;1.5,(H68/(B68+2)+J74+MAX(0,J75-J74)+MAX(0,J76-J75)+MAX(0,J77-J76)+MAX(0,J78-J77)+MAX(0,J79-J78)),IF(B68=1,(H68/(B68+3)+J79),IF(B68=0,H68/4+J79))))</f>
        <v>14</v>
      </c>
    </row>
    <row r="81" spans="1:11" ht="15.75" customHeight="1" x14ac:dyDescent="0.3">
      <c r="A81" s="119" t="s">
        <v>140</v>
      </c>
      <c r="B81" s="120"/>
      <c r="C81" s="121" t="str">
        <f>D59</f>
        <v>B Wing = Gr + 1st to 14th Floor</v>
      </c>
      <c r="D81" s="122"/>
      <c r="E81" s="122"/>
      <c r="F81" s="122"/>
      <c r="G81" s="122"/>
      <c r="H81" s="123"/>
      <c r="I81" s="46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13 Floor, Flooring upto 12 Floor, Painting upto 10 Floor Completed</v>
      </c>
      <c r="J81" s="47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13 Floor, Flooring upto 12 Floor, Painting upto 10 Floor</v>
      </c>
    </row>
    <row r="82" spans="1:11" x14ac:dyDescent="0.3">
      <c r="A82" s="16" t="s">
        <v>142</v>
      </c>
      <c r="B82" s="55">
        <f>IF(AND(ISNUMBER(SEARCH("1B",C81))),1,IF(AND(ISNUMBER(SEARCH("2B",C81))),2,IF(AND(ISNUMBER(SEARCH("3B",C81))),3,IF(AND(ISNUMBER(SEARCH("4B",C81))),4,IF(ISNUMBER(SEARCH("5B",C81)),5,0)))))</f>
        <v>0</v>
      </c>
      <c r="C82" s="55" t="s">
        <v>72</v>
      </c>
      <c r="D82" s="55">
        <v>1</v>
      </c>
      <c r="E82" s="55" t="s">
        <v>71</v>
      </c>
      <c r="F82" s="55">
        <v>0</v>
      </c>
      <c r="G82" s="55" t="s">
        <v>81</v>
      </c>
      <c r="H82" s="17">
        <f ca="1">--TRIM(RIGHT(SUBSTITUTE(LEFT(C81,_xlfn.AGGREGATE(16,6,FIND({0,1,2,3,4,5,6,7,8,9},C81,ROW(INDIRECT("1:"&amp;LEN(C81)))),1))," ",REPT(" ",LEN(C81))),LEN(C81)))</f>
        <v>14</v>
      </c>
      <c r="I82" s="48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49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1" ht="47.4" customHeight="1" x14ac:dyDescent="0.3">
      <c r="A83" s="65" t="s">
        <v>91</v>
      </c>
      <c r="B83" s="66"/>
      <c r="C83" s="97" t="str">
        <f ca="1">I81</f>
        <v>Excavation, Plinth, RCC Slab, Brickwork, Internal Plaster Completed, External Plaster upto 13 Floor, Flooring upto 12 Floor, Painting upto 10 Floor Completed</v>
      </c>
      <c r="D83" s="97"/>
      <c r="E83" s="97"/>
      <c r="F83" s="97"/>
      <c r="G83" s="97"/>
      <c r="H83" s="98"/>
      <c r="I83" s="48" t="str">
        <f ca="1">IF(I82&lt;&gt;""," Completed","")</f>
        <v xml:space="preserve"> Completed</v>
      </c>
      <c r="J83" s="49" t="str">
        <f ca="1">IF(J81&lt;&gt;"","Completed","")</f>
        <v>Completed</v>
      </c>
    </row>
    <row r="84" spans="1:11" ht="15.75" customHeight="1" x14ac:dyDescent="0.3">
      <c r="A84" s="67" t="s">
        <v>49</v>
      </c>
      <c r="B84" s="68"/>
      <c r="C84" s="56" t="s">
        <v>139</v>
      </c>
      <c r="D84" s="56" t="s">
        <v>84</v>
      </c>
      <c r="E84" s="68" t="s">
        <v>86</v>
      </c>
      <c r="F84" s="68"/>
      <c r="G84" s="68" t="s">
        <v>85</v>
      </c>
      <c r="H84" s="96"/>
      <c r="I84" s="14" t="s">
        <v>141</v>
      </c>
      <c r="J84" s="28">
        <f ca="1">H82*25%</f>
        <v>3.5</v>
      </c>
    </row>
    <row r="85" spans="1:11" x14ac:dyDescent="0.3">
      <c r="A85" s="69" t="s">
        <v>128</v>
      </c>
      <c r="B85" s="70"/>
      <c r="C85" s="53">
        <f ca="1">J86</f>
        <v>14</v>
      </c>
      <c r="D85" s="19">
        <f ca="1">((100/H82)*C85)/100</f>
        <v>1</v>
      </c>
      <c r="E85" s="79">
        <f ca="1">(((C86/H82*10)+(40/(D82+F82+H82)*C87)+(7.5/(H82)*C88)+(7.5/(H82)*C89)+(10/H82*C90)+(10/H82*C91)+(5/H82*C92)+(5/H82*C93)+(5/H82*C94))/100)</f>
        <v>0.86428571428571432</v>
      </c>
      <c r="F85" s="80"/>
      <c r="G85" s="79">
        <f ca="1">((((C85/H82)*20)+((C86/H82)*25)+(30/(H82+F82+D82)*C87)+(5/H82*C88)+(5/H82*C89)+(5/H82*C90)+(5/H82*C91)+(0/H82*C92)+(0/H82*C93)+(5/H82*C94))/100)</f>
        <v>0.93928571428571428</v>
      </c>
      <c r="H85" s="99"/>
      <c r="I85" s="14" t="s">
        <v>98</v>
      </c>
      <c r="J85" s="29">
        <f ca="1">H82*50%</f>
        <v>7</v>
      </c>
    </row>
    <row r="86" spans="1:11" x14ac:dyDescent="0.3">
      <c r="A86" s="69" t="s">
        <v>50</v>
      </c>
      <c r="B86" s="70"/>
      <c r="C86" s="58">
        <f ca="1">J94</f>
        <v>14</v>
      </c>
      <c r="D86" s="19">
        <f ca="1">((100/H82)*C86)/100</f>
        <v>1</v>
      </c>
      <c r="E86" s="81"/>
      <c r="F86" s="82"/>
      <c r="G86" s="81"/>
      <c r="H86" s="100"/>
      <c r="I86" s="14" t="s">
        <v>99</v>
      </c>
      <c r="J86" s="29">
        <f ca="1">H82</f>
        <v>14</v>
      </c>
    </row>
    <row r="87" spans="1:11" ht="15.75" customHeight="1" x14ac:dyDescent="0.3">
      <c r="A87" s="69" t="s">
        <v>129</v>
      </c>
      <c r="B87" s="70"/>
      <c r="C87" s="56">
        <v>15</v>
      </c>
      <c r="D87" s="19">
        <f ca="1">((100/(D82+F82+H82))*C87)/100</f>
        <v>1</v>
      </c>
      <c r="E87" s="81"/>
      <c r="F87" s="82"/>
      <c r="G87" s="81"/>
      <c r="H87" s="100"/>
      <c r="I87" s="14" t="s">
        <v>100</v>
      </c>
      <c r="J87" s="30">
        <f ca="1">(IF(B82&gt;1,(H82/(B82+2)),H82/4))</f>
        <v>3.5</v>
      </c>
    </row>
    <row r="88" spans="1:11" ht="15.75" customHeight="1" x14ac:dyDescent="0.3">
      <c r="A88" s="69" t="s">
        <v>136</v>
      </c>
      <c r="B88" s="70" t="s">
        <v>130</v>
      </c>
      <c r="C88" s="56">
        <v>14</v>
      </c>
      <c r="D88" s="19">
        <f ca="1">((100/H82)*C88)/100</f>
        <v>1</v>
      </c>
      <c r="E88" s="81"/>
      <c r="F88" s="82"/>
      <c r="G88" s="81"/>
      <c r="H88" s="100"/>
      <c r="I88" s="14" t="s">
        <v>101</v>
      </c>
      <c r="J88" s="30">
        <f ca="1">(IF(B82&gt;1,(H82/(B82+2)+J87),H82/4+J87))</f>
        <v>7</v>
      </c>
    </row>
    <row r="89" spans="1:11" ht="15.75" customHeight="1" x14ac:dyDescent="0.3">
      <c r="A89" s="69" t="s">
        <v>137</v>
      </c>
      <c r="B89" s="70" t="s">
        <v>130</v>
      </c>
      <c r="C89" s="56">
        <v>14</v>
      </c>
      <c r="D89" s="19">
        <f ca="1">((100/H82)*C89)/100</f>
        <v>1</v>
      </c>
      <c r="E89" s="81"/>
      <c r="F89" s="82"/>
      <c r="G89" s="81"/>
      <c r="H89" s="100"/>
      <c r="I89" s="14" t="s">
        <v>146</v>
      </c>
      <c r="J89" s="30">
        <f>(IF(B82&gt;1,(H82/(B82+2)+J88),0))</f>
        <v>0</v>
      </c>
    </row>
    <row r="90" spans="1:11" ht="15" customHeight="1" x14ac:dyDescent="0.3">
      <c r="A90" s="69" t="s">
        <v>135</v>
      </c>
      <c r="B90" s="70" t="s">
        <v>132</v>
      </c>
      <c r="C90" s="56">
        <v>13</v>
      </c>
      <c r="D90" s="19">
        <f ca="1">((100/(H82))*C90)/100</f>
        <v>0.9285714285714286</v>
      </c>
      <c r="E90" s="81"/>
      <c r="F90" s="82"/>
      <c r="G90" s="81"/>
      <c r="H90" s="100"/>
      <c r="I90" s="14" t="s">
        <v>143</v>
      </c>
      <c r="J90" s="30">
        <f>(IF(B82&gt;2,(H82/(B82+2)+J89),0))</f>
        <v>0</v>
      </c>
    </row>
    <row r="91" spans="1:11" ht="15.75" customHeight="1" x14ac:dyDescent="0.3">
      <c r="A91" s="69" t="s">
        <v>131</v>
      </c>
      <c r="B91" s="70" t="s">
        <v>131</v>
      </c>
      <c r="C91" s="56">
        <v>12</v>
      </c>
      <c r="D91" s="19">
        <f ca="1">((100/H82)*C91)/100</f>
        <v>0.85714285714285721</v>
      </c>
      <c r="E91" s="81"/>
      <c r="F91" s="82"/>
      <c r="G91" s="81"/>
      <c r="H91" s="100"/>
      <c r="I91" s="14" t="s">
        <v>144</v>
      </c>
      <c r="J91" s="31">
        <f>(IF(B82&gt;3,(H82/(B82+2)+J90),0))</f>
        <v>0</v>
      </c>
    </row>
    <row r="92" spans="1:11" ht="15.75" customHeight="1" x14ac:dyDescent="0.3">
      <c r="A92" s="69" t="s">
        <v>138</v>
      </c>
      <c r="B92" s="70"/>
      <c r="C92" s="56">
        <v>10</v>
      </c>
      <c r="D92" s="19">
        <f ca="1">((100/H82)*C92)/100</f>
        <v>0.7142857142857143</v>
      </c>
      <c r="E92" s="81"/>
      <c r="F92" s="82"/>
      <c r="G92" s="81"/>
      <c r="H92" s="100"/>
      <c r="I92" s="14" t="s">
        <v>145</v>
      </c>
      <c r="J92" s="30">
        <f>(IF(B82&gt;4,(H82/(B82+2)+J91),0))</f>
        <v>0</v>
      </c>
    </row>
    <row r="93" spans="1:11" ht="15.75" customHeight="1" x14ac:dyDescent="0.3">
      <c r="A93" s="69" t="s">
        <v>133</v>
      </c>
      <c r="B93" s="70" t="s">
        <v>133</v>
      </c>
      <c r="C93" s="53">
        <v>0</v>
      </c>
      <c r="D93" s="19">
        <f ca="1">((100/(H82))*C93)/100</f>
        <v>0</v>
      </c>
      <c r="E93" s="81"/>
      <c r="F93" s="82"/>
      <c r="G93" s="81"/>
      <c r="H93" s="100"/>
      <c r="I93" s="14" t="s">
        <v>147</v>
      </c>
      <c r="J93" s="30">
        <f ca="1">(IF(B82=1,(H82/(B82+3)+J88),IF(B82=0,(H82/4+J88),IF(B82&gt;1,0))))</f>
        <v>10.5</v>
      </c>
    </row>
    <row r="94" spans="1:11" ht="16.2" thickBot="1" x14ac:dyDescent="0.35">
      <c r="A94" s="71" t="s">
        <v>134</v>
      </c>
      <c r="B94" s="72"/>
      <c r="C94" s="54">
        <v>0</v>
      </c>
      <c r="D94" s="20">
        <f ca="1">((100/(H82))*C94)/100</f>
        <v>0</v>
      </c>
      <c r="E94" s="83"/>
      <c r="F94" s="84"/>
      <c r="G94" s="83"/>
      <c r="H94" s="101"/>
      <c r="I94" s="15" t="s">
        <v>102</v>
      </c>
      <c r="J94" s="32">
        <f ca="1">(IF(B82&gt;1.5,(H82/(B82+2)+J88+MAX(0,J89-J88)+MAX(0,J90-J89)+MAX(0,J91-J90)+MAX(0,J92-J91)+MAX(0,J93-J92)),IF(B82=1,(H82/(B82+3)+J93),IF(B82=0,H82/4+J93))))</f>
        <v>14</v>
      </c>
    </row>
    <row r="95" spans="1:11" x14ac:dyDescent="0.3">
      <c r="A95" s="161" t="s">
        <v>156</v>
      </c>
      <c r="B95" s="161"/>
      <c r="C95" s="161"/>
      <c r="D95" s="161"/>
      <c r="E95" s="161"/>
      <c r="F95" s="106" t="s">
        <v>159</v>
      </c>
      <c r="G95" s="106"/>
      <c r="H95" s="106"/>
    </row>
    <row r="96" spans="1:11" x14ac:dyDescent="0.3">
      <c r="A96" s="105" t="s">
        <v>158</v>
      </c>
      <c r="B96" s="105"/>
      <c r="C96" s="105"/>
      <c r="D96" s="105"/>
      <c r="E96" s="105"/>
      <c r="F96" s="118">
        <v>5000</v>
      </c>
      <c r="G96" s="118"/>
      <c r="H96" s="118"/>
      <c r="I96" s="57" t="s">
        <v>225</v>
      </c>
      <c r="J96" s="57" t="s">
        <v>222</v>
      </c>
      <c r="K96" s="57"/>
    </row>
    <row r="97" spans="1:12" x14ac:dyDescent="0.3">
      <c r="A97" s="105" t="s">
        <v>157</v>
      </c>
      <c r="B97" s="105"/>
      <c r="C97" s="105"/>
      <c r="D97" s="105"/>
      <c r="E97" s="105"/>
      <c r="F97" s="118">
        <v>8500</v>
      </c>
      <c r="G97" s="118"/>
      <c r="H97" s="118"/>
      <c r="I97" s="63" t="s">
        <v>230</v>
      </c>
      <c r="J97" s="63"/>
      <c r="K97" s="63"/>
      <c r="L97" s="63"/>
    </row>
    <row r="98" spans="1:12" s="33" customFormat="1" x14ac:dyDescent="0.25">
      <c r="A98" s="105" t="s">
        <v>96</v>
      </c>
      <c r="B98" s="105"/>
      <c r="C98" s="105"/>
      <c r="D98" s="105"/>
      <c r="E98" s="105"/>
      <c r="F98" s="107">
        <v>100000</v>
      </c>
      <c r="G98" s="107"/>
      <c r="H98" s="107"/>
    </row>
    <row r="99" spans="1:12" s="33" customFormat="1" x14ac:dyDescent="0.25">
      <c r="A99" s="105" t="s">
        <v>97</v>
      </c>
      <c r="B99" s="105"/>
      <c r="C99" s="105"/>
      <c r="D99" s="105"/>
      <c r="E99" s="105"/>
      <c r="F99" s="107">
        <v>100000</v>
      </c>
      <c r="G99" s="107"/>
      <c r="H99" s="107"/>
    </row>
    <row r="100" spans="1:12" s="33" customFormat="1" hidden="1" x14ac:dyDescent="0.25">
      <c r="A100" s="105" t="s">
        <v>160</v>
      </c>
      <c r="B100" s="105"/>
      <c r="C100" s="105"/>
      <c r="D100" s="105"/>
      <c r="E100" s="105"/>
      <c r="F100" s="107">
        <v>10000</v>
      </c>
      <c r="G100" s="107"/>
      <c r="H100" s="107"/>
    </row>
    <row r="101" spans="1:12" s="33" customFormat="1" x14ac:dyDescent="0.25">
      <c r="A101" s="105" t="s">
        <v>216</v>
      </c>
      <c r="B101" s="105"/>
      <c r="C101" s="105"/>
      <c r="D101" s="105"/>
      <c r="E101" s="105"/>
      <c r="F101" s="107">
        <v>50000</v>
      </c>
      <c r="G101" s="107"/>
      <c r="H101" s="107"/>
    </row>
    <row r="102" spans="1:12" s="33" customFormat="1" hidden="1" x14ac:dyDescent="0.25">
      <c r="A102" s="207" t="s">
        <v>223</v>
      </c>
      <c r="B102" s="208"/>
      <c r="C102" s="208"/>
      <c r="D102" s="208"/>
      <c r="E102" s="208"/>
      <c r="F102" s="208"/>
      <c r="G102" s="208"/>
      <c r="H102" s="209"/>
    </row>
    <row r="103" spans="1:12" s="33" customFormat="1" hidden="1" x14ac:dyDescent="0.25">
      <c r="A103" s="105" t="s">
        <v>96</v>
      </c>
      <c r="B103" s="105"/>
      <c r="C103" s="105"/>
      <c r="D103" s="105"/>
      <c r="E103" s="105"/>
      <c r="F103" s="107">
        <v>100000</v>
      </c>
      <c r="G103" s="107"/>
      <c r="H103" s="107"/>
    </row>
    <row r="104" spans="1:12" s="33" customFormat="1" hidden="1" x14ac:dyDescent="0.25">
      <c r="A104" s="105" t="s">
        <v>97</v>
      </c>
      <c r="B104" s="105"/>
      <c r="C104" s="105"/>
      <c r="D104" s="105"/>
      <c r="E104" s="105"/>
      <c r="F104" s="107">
        <v>100000</v>
      </c>
      <c r="G104" s="107"/>
      <c r="H104" s="107"/>
    </row>
    <row r="105" spans="1:12" s="33" customFormat="1" hidden="1" x14ac:dyDescent="0.25">
      <c r="A105" s="105" t="s">
        <v>160</v>
      </c>
      <c r="B105" s="105"/>
      <c r="C105" s="105"/>
      <c r="D105" s="105"/>
      <c r="E105" s="105"/>
      <c r="F105" s="107">
        <v>10000</v>
      </c>
      <c r="G105" s="107"/>
      <c r="H105" s="107"/>
    </row>
    <row r="106" spans="1:12" s="33" customFormat="1" hidden="1" x14ac:dyDescent="0.25">
      <c r="A106" s="105" t="s">
        <v>216</v>
      </c>
      <c r="B106" s="105"/>
      <c r="C106" s="105"/>
      <c r="D106" s="105"/>
      <c r="E106" s="105"/>
      <c r="F106" s="107">
        <v>140000</v>
      </c>
      <c r="G106" s="107"/>
      <c r="H106" s="107"/>
    </row>
    <row r="107" spans="1:12" s="33" customFormat="1" hidden="1" x14ac:dyDescent="0.25">
      <c r="A107" s="207" t="s">
        <v>224</v>
      </c>
      <c r="B107" s="208"/>
      <c r="C107" s="208"/>
      <c r="D107" s="208"/>
      <c r="E107" s="208"/>
      <c r="F107" s="208"/>
      <c r="G107" s="208"/>
      <c r="H107" s="209"/>
    </row>
    <row r="108" spans="1:12" s="33" customFormat="1" hidden="1" x14ac:dyDescent="0.25">
      <c r="A108" s="105" t="s">
        <v>96</v>
      </c>
      <c r="B108" s="105"/>
      <c r="C108" s="105"/>
      <c r="D108" s="105"/>
      <c r="E108" s="105"/>
      <c r="F108" s="107">
        <v>300000</v>
      </c>
      <c r="G108" s="107"/>
      <c r="H108" s="107"/>
    </row>
    <row r="109" spans="1:12" s="33" customFormat="1" hidden="1" x14ac:dyDescent="0.25">
      <c r="A109" s="105" t="s">
        <v>97</v>
      </c>
      <c r="B109" s="105"/>
      <c r="C109" s="105"/>
      <c r="D109" s="105"/>
      <c r="E109" s="105"/>
      <c r="F109" s="107">
        <v>100000</v>
      </c>
      <c r="G109" s="107"/>
      <c r="H109" s="107"/>
    </row>
    <row r="110" spans="1:12" s="33" customFormat="1" hidden="1" x14ac:dyDescent="0.25">
      <c r="A110" s="105" t="s">
        <v>160</v>
      </c>
      <c r="B110" s="105"/>
      <c r="C110" s="105"/>
      <c r="D110" s="105"/>
      <c r="E110" s="105"/>
      <c r="F110" s="107">
        <v>10000</v>
      </c>
      <c r="G110" s="107"/>
      <c r="H110" s="107"/>
    </row>
    <row r="111" spans="1:12" s="33" customFormat="1" hidden="1" x14ac:dyDescent="0.25">
      <c r="A111" s="105" t="s">
        <v>216</v>
      </c>
      <c r="B111" s="105"/>
      <c r="C111" s="105"/>
      <c r="D111" s="105"/>
      <c r="E111" s="105"/>
      <c r="F111" s="107">
        <v>200000</v>
      </c>
      <c r="G111" s="107"/>
      <c r="H111" s="107"/>
    </row>
    <row r="112" spans="1:12" x14ac:dyDescent="0.3">
      <c r="A112" s="148" t="s">
        <v>227</v>
      </c>
      <c r="B112" s="148"/>
      <c r="C112" s="148"/>
      <c r="D112" s="148"/>
      <c r="E112" s="148"/>
      <c r="F112" s="118">
        <v>300000</v>
      </c>
      <c r="G112" s="118"/>
      <c r="H112" s="118"/>
    </row>
    <row r="113" spans="1:10" s="34" customFormat="1" x14ac:dyDescent="0.3">
      <c r="A113" s="148" t="s">
        <v>51</v>
      </c>
      <c r="B113" s="148"/>
      <c r="C113" s="148"/>
      <c r="D113" s="148"/>
      <c r="E113" s="148"/>
      <c r="F113" s="107">
        <f>F96*0.8</f>
        <v>4000</v>
      </c>
      <c r="G113" s="107"/>
      <c r="H113" s="107"/>
    </row>
    <row r="114" spans="1:10" s="35" customFormat="1" ht="15.75" customHeight="1" x14ac:dyDescent="0.3">
      <c r="A114" s="160" t="s">
        <v>76</v>
      </c>
      <c r="B114" s="160"/>
      <c r="C114" s="160"/>
      <c r="D114" s="160"/>
      <c r="E114" s="160"/>
      <c r="F114" s="160"/>
      <c r="G114" s="160"/>
      <c r="H114" s="160"/>
    </row>
    <row r="115" spans="1:10" s="35" customFormat="1" ht="15.75" customHeight="1" x14ac:dyDescent="0.3">
      <c r="A115" s="189" t="s">
        <v>52</v>
      </c>
      <c r="B115" s="189"/>
      <c r="C115" s="188" t="s">
        <v>79</v>
      </c>
      <c r="D115" s="188"/>
      <c r="E115" s="211" t="s">
        <v>53</v>
      </c>
      <c r="F115" s="211"/>
      <c r="G115" s="189" t="s">
        <v>54</v>
      </c>
      <c r="H115" s="189"/>
    </row>
    <row r="116" spans="1:10" s="35" customFormat="1" x14ac:dyDescent="0.3">
      <c r="A116" s="154" t="s">
        <v>213</v>
      </c>
      <c r="B116" s="155"/>
      <c r="C116" s="156">
        <f>COUNT(D129:D153)</f>
        <v>25</v>
      </c>
      <c r="D116" s="157"/>
      <c r="E116" s="158">
        <f>SUM(D129:D153)</f>
        <v>6477.0109560000019</v>
      </c>
      <c r="F116" s="159"/>
      <c r="G116" s="158">
        <f>SUM(F129:F153)</f>
        <v>10363.217529600002</v>
      </c>
      <c r="H116" s="159"/>
    </row>
    <row r="117" spans="1:10" s="35" customFormat="1" x14ac:dyDescent="0.3">
      <c r="A117" s="160" t="s">
        <v>70</v>
      </c>
      <c r="B117" s="160"/>
      <c r="C117" s="160"/>
      <c r="D117" s="160"/>
      <c r="E117" s="160"/>
      <c r="F117" s="160"/>
      <c r="G117" s="160"/>
      <c r="H117" s="160"/>
    </row>
    <row r="118" spans="1:10" s="35" customFormat="1" ht="15.75" customHeight="1" x14ac:dyDescent="0.3">
      <c r="A118" s="189" t="s">
        <v>52</v>
      </c>
      <c r="B118" s="189"/>
      <c r="C118" s="188" t="s">
        <v>79</v>
      </c>
      <c r="D118" s="188"/>
      <c r="E118" s="211" t="s">
        <v>53</v>
      </c>
      <c r="F118" s="211"/>
      <c r="G118" s="189" t="s">
        <v>54</v>
      </c>
      <c r="H118" s="189"/>
    </row>
    <row r="119" spans="1:10" s="35" customFormat="1" x14ac:dyDescent="0.3">
      <c r="A119" s="147" t="s">
        <v>203</v>
      </c>
      <c r="B119" s="147"/>
      <c r="C119" s="144">
        <f>COUNT(D158:D165)+COUNT(D167:D174)*10+COUNT(D176:D182)</f>
        <v>95</v>
      </c>
      <c r="D119" s="144"/>
      <c r="E119" s="145">
        <f>SUM(D158:D165)+SUM(D167:D174)*10+SUM(D176:D182)</f>
        <v>44902.413503999996</v>
      </c>
      <c r="F119" s="145"/>
      <c r="G119" s="145">
        <f>SUM(F158:F165)+SUM(F167:F174)*10+SUM(F176:F182)</f>
        <v>72890</v>
      </c>
      <c r="H119" s="145"/>
    </row>
    <row r="120" spans="1:10" s="35" customFormat="1" x14ac:dyDescent="0.3">
      <c r="A120" s="147" t="s">
        <v>205</v>
      </c>
      <c r="B120" s="147"/>
      <c r="C120" s="144">
        <f>COUNT(D185:D191)+COUNT(D193:D199)*10+COUNT(D209:D214)</f>
        <v>83</v>
      </c>
      <c r="D120" s="144"/>
      <c r="E120" s="145">
        <f>SUM(D185:D191)+SUM(D193:D199)*10+SUM(D209:D214)</f>
        <v>36968.204519999999</v>
      </c>
      <c r="F120" s="145"/>
      <c r="G120" s="145">
        <f>SUM(F185:F191)+SUM(F193:F199)*10+SUM(F209:F214)</f>
        <v>60011</v>
      </c>
      <c r="H120" s="145"/>
    </row>
    <row r="121" spans="1:10" s="35" customFormat="1" ht="16.2" thickBot="1" x14ac:dyDescent="0.35">
      <c r="A121" s="108" t="s">
        <v>150</v>
      </c>
      <c r="B121" s="108"/>
      <c r="C121" s="210">
        <f>SUM(C119:D120)</f>
        <v>178</v>
      </c>
      <c r="D121" s="210"/>
      <c r="E121" s="109">
        <f>SUM(E119:F120)</f>
        <v>81870.618023999996</v>
      </c>
      <c r="F121" s="110"/>
      <c r="G121" s="153">
        <f>SUM(G119:H120)</f>
        <v>132901</v>
      </c>
      <c r="H121" s="153"/>
    </row>
    <row r="122" spans="1:10" s="35" customFormat="1" ht="16.2" thickBot="1" x14ac:dyDescent="0.35">
      <c r="A122" s="212" t="s">
        <v>168</v>
      </c>
      <c r="B122" s="213"/>
      <c r="C122" s="214">
        <f>C116+C121</f>
        <v>203</v>
      </c>
      <c r="D122" s="214"/>
      <c r="E122" s="223">
        <f>E116+E121</f>
        <v>88347.628979999994</v>
      </c>
      <c r="F122" s="223"/>
      <c r="G122" s="224">
        <f>G116+G121</f>
        <v>143264.21752959999</v>
      </c>
      <c r="H122" s="225"/>
    </row>
    <row r="123" spans="1:10" s="34" customFormat="1" x14ac:dyDescent="0.3">
      <c r="A123" s="106" t="s">
        <v>55</v>
      </c>
      <c r="B123" s="106"/>
      <c r="C123" s="106"/>
      <c r="D123" s="106"/>
      <c r="E123" s="106"/>
      <c r="F123" s="106"/>
      <c r="G123" s="106"/>
      <c r="H123" s="106"/>
    </row>
    <row r="124" spans="1:10" x14ac:dyDescent="0.3">
      <c r="A124" s="187" t="s">
        <v>56</v>
      </c>
      <c r="B124" s="187"/>
      <c r="C124" s="187"/>
      <c r="D124" s="187"/>
      <c r="E124" s="187"/>
      <c r="F124" s="187"/>
      <c r="G124" s="187"/>
      <c r="H124" s="187"/>
    </row>
    <row r="125" spans="1:10" ht="47.25" customHeight="1" x14ac:dyDescent="0.3">
      <c r="A125" s="139" t="s">
        <v>119</v>
      </c>
      <c r="B125" s="139" t="s">
        <v>118</v>
      </c>
      <c r="C125" s="139" t="s">
        <v>57</v>
      </c>
      <c r="D125" s="139" t="s">
        <v>58</v>
      </c>
      <c r="E125" s="226" t="s">
        <v>155</v>
      </c>
      <c r="F125" s="43" t="s">
        <v>149</v>
      </c>
      <c r="G125" s="149" t="s">
        <v>60</v>
      </c>
      <c r="H125" s="150"/>
    </row>
    <row r="126" spans="1:10" s="37" customFormat="1" x14ac:dyDescent="0.3">
      <c r="A126" s="140"/>
      <c r="B126" s="140"/>
      <c r="C126" s="140"/>
      <c r="D126" s="140"/>
      <c r="E126" s="227"/>
      <c r="F126" s="13">
        <v>0.6</v>
      </c>
      <c r="G126" s="151"/>
      <c r="H126" s="152"/>
    </row>
    <row r="127" spans="1:10" s="37" customFormat="1" x14ac:dyDescent="0.3">
      <c r="A127" s="132" t="s">
        <v>172</v>
      </c>
      <c r="B127" s="133"/>
      <c r="C127" s="133"/>
      <c r="D127" s="133"/>
      <c r="E127" s="133"/>
      <c r="F127" s="133"/>
      <c r="G127" s="133"/>
      <c r="H127" s="134"/>
      <c r="J127" s="36"/>
    </row>
    <row r="128" spans="1:10" s="37" customFormat="1" x14ac:dyDescent="0.3">
      <c r="A128" s="132" t="s">
        <v>117</v>
      </c>
      <c r="B128" s="133"/>
      <c r="C128" s="133"/>
      <c r="D128" s="133"/>
      <c r="E128" s="133"/>
      <c r="F128" s="133"/>
      <c r="G128" s="133"/>
      <c r="H128" s="134"/>
      <c r="J128" s="36"/>
    </row>
    <row r="129" spans="1:14" s="37" customFormat="1" x14ac:dyDescent="0.3">
      <c r="A129" s="141">
        <v>1</v>
      </c>
      <c r="B129" s="142"/>
      <c r="C129" s="42" t="s">
        <v>198</v>
      </c>
      <c r="D129" s="42">
        <f>(31.21+7.041)*10.764</f>
        <v>411.73376400000001</v>
      </c>
      <c r="E129" s="42">
        <v>0</v>
      </c>
      <c r="F129" s="42">
        <f>(D129+E129)*(($F$126)+1)</f>
        <v>658.77402240000004</v>
      </c>
      <c r="G129" s="141" t="str">
        <f>A128</f>
        <v>Ground Floor</v>
      </c>
      <c r="H129" s="142"/>
      <c r="I129" s="36"/>
      <c r="L129" s="131"/>
      <c r="M129" s="131"/>
      <c r="N129" s="36"/>
    </row>
    <row r="130" spans="1:14" s="37" customFormat="1" x14ac:dyDescent="0.3">
      <c r="A130" s="141">
        <f t="shared" ref="A130:A153" si="0">A129+1</f>
        <v>2</v>
      </c>
      <c r="B130" s="142"/>
      <c r="C130" s="42" t="s">
        <v>198</v>
      </c>
      <c r="D130" s="42">
        <f>(20.643+3.05)*10.764</f>
        <v>255.031452</v>
      </c>
      <c r="E130" s="42">
        <v>0</v>
      </c>
      <c r="F130" s="42">
        <f t="shared" ref="F130:F132" si="1">(D130+E130)*(($F$126)+1)</f>
        <v>408.05032320000004</v>
      </c>
      <c r="G130" s="141" t="str">
        <f t="shared" ref="G130:G153" si="2">G129</f>
        <v>Ground Floor</v>
      </c>
      <c r="H130" s="142"/>
      <c r="I130" s="36"/>
      <c r="J130" s="37">
        <f>3.05*7.77</f>
        <v>23.698499999999996</v>
      </c>
      <c r="K130" s="37">
        <f>20.643+3.05</f>
        <v>23.693000000000001</v>
      </c>
      <c r="L130" s="131"/>
      <c r="M130" s="131"/>
      <c r="N130" s="36"/>
    </row>
    <row r="131" spans="1:14" s="37" customFormat="1" x14ac:dyDescent="0.3">
      <c r="A131" s="141">
        <f t="shared" si="0"/>
        <v>3</v>
      </c>
      <c r="B131" s="142"/>
      <c r="C131" s="42" t="s">
        <v>198</v>
      </c>
      <c r="D131" s="42">
        <f>(18.613+2.75)*10.764</f>
        <v>229.95133199999998</v>
      </c>
      <c r="E131" s="42">
        <v>0</v>
      </c>
      <c r="F131" s="42">
        <f t="shared" si="1"/>
        <v>367.92213119999997</v>
      </c>
      <c r="G131" s="141" t="str">
        <f t="shared" si="2"/>
        <v>Ground Floor</v>
      </c>
      <c r="H131" s="142"/>
      <c r="I131" s="36"/>
      <c r="L131" s="131"/>
      <c r="M131" s="131"/>
      <c r="N131" s="36"/>
    </row>
    <row r="132" spans="1:14" s="37" customFormat="1" x14ac:dyDescent="0.3">
      <c r="A132" s="141">
        <f t="shared" si="0"/>
        <v>4</v>
      </c>
      <c r="B132" s="142"/>
      <c r="C132" s="42" t="s">
        <v>198</v>
      </c>
      <c r="D132" s="42">
        <f>(18.613+2.75)*10.764</f>
        <v>229.95133199999998</v>
      </c>
      <c r="E132" s="42">
        <v>0</v>
      </c>
      <c r="F132" s="42">
        <f t="shared" si="1"/>
        <v>367.92213119999997</v>
      </c>
      <c r="G132" s="141" t="str">
        <f t="shared" si="2"/>
        <v>Ground Floor</v>
      </c>
      <c r="H132" s="142"/>
      <c r="I132" s="36"/>
      <c r="L132" s="131"/>
      <c r="M132" s="131"/>
      <c r="N132" s="36"/>
    </row>
    <row r="133" spans="1:14" s="37" customFormat="1" x14ac:dyDescent="0.3">
      <c r="A133" s="141">
        <f t="shared" si="0"/>
        <v>5</v>
      </c>
      <c r="B133" s="142"/>
      <c r="C133" s="42" t="s">
        <v>198</v>
      </c>
      <c r="D133" s="42">
        <f>(34.18+2.05)*10.764</f>
        <v>389.97971999999993</v>
      </c>
      <c r="E133" s="42">
        <v>0</v>
      </c>
      <c r="F133" s="42">
        <f>(D133+E133)*(($F$126)+1)</f>
        <v>623.96755199999996</v>
      </c>
      <c r="G133" s="141" t="str">
        <f>G129</f>
        <v>Ground Floor</v>
      </c>
      <c r="H133" s="142"/>
      <c r="I133" s="36"/>
      <c r="L133" s="131"/>
      <c r="M133" s="131"/>
      <c r="N133" s="36"/>
    </row>
    <row r="134" spans="1:14" s="37" customFormat="1" x14ac:dyDescent="0.3">
      <c r="A134" s="141">
        <f t="shared" si="0"/>
        <v>6</v>
      </c>
      <c r="B134" s="142"/>
      <c r="C134" s="42" t="s">
        <v>198</v>
      </c>
      <c r="D134" s="42">
        <f>(34.18+2.05)*10.764</f>
        <v>389.97971999999993</v>
      </c>
      <c r="E134" s="42">
        <v>0</v>
      </c>
      <c r="F134" s="42">
        <f t="shared" ref="F134:F136" si="3">(D134+E134)*(($F$126)+1)</f>
        <v>623.96755199999996</v>
      </c>
      <c r="G134" s="141" t="str">
        <f t="shared" si="2"/>
        <v>Ground Floor</v>
      </c>
      <c r="H134" s="142"/>
      <c r="I134" s="36"/>
      <c r="J134" s="37">
        <f>3.05*7.77</f>
        <v>23.698499999999996</v>
      </c>
      <c r="K134" s="37">
        <f>20.643+3.05</f>
        <v>23.693000000000001</v>
      </c>
      <c r="L134" s="131"/>
      <c r="M134" s="131"/>
      <c r="N134" s="36"/>
    </row>
    <row r="135" spans="1:14" s="37" customFormat="1" x14ac:dyDescent="0.3">
      <c r="A135" s="141">
        <f t="shared" si="0"/>
        <v>7</v>
      </c>
      <c r="B135" s="142"/>
      <c r="C135" s="42" t="s">
        <v>198</v>
      </c>
      <c r="D135" s="42">
        <f t="shared" ref="D135:D136" si="4">(18.613+2.75)*10.764</f>
        <v>229.95133199999998</v>
      </c>
      <c r="E135" s="42">
        <v>0</v>
      </c>
      <c r="F135" s="42">
        <f t="shared" si="3"/>
        <v>367.92213119999997</v>
      </c>
      <c r="G135" s="141" t="str">
        <f t="shared" si="2"/>
        <v>Ground Floor</v>
      </c>
      <c r="H135" s="142"/>
      <c r="I135" s="36"/>
      <c r="L135" s="131"/>
      <c r="M135" s="131"/>
      <c r="N135" s="36"/>
    </row>
    <row r="136" spans="1:14" s="37" customFormat="1" x14ac:dyDescent="0.3">
      <c r="A136" s="141">
        <f t="shared" si="0"/>
        <v>8</v>
      </c>
      <c r="B136" s="142"/>
      <c r="C136" s="42" t="s">
        <v>198</v>
      </c>
      <c r="D136" s="42">
        <f t="shared" si="4"/>
        <v>229.95133199999998</v>
      </c>
      <c r="E136" s="42">
        <v>0</v>
      </c>
      <c r="F136" s="42">
        <f t="shared" si="3"/>
        <v>367.92213119999997</v>
      </c>
      <c r="G136" s="141" t="str">
        <f t="shared" si="2"/>
        <v>Ground Floor</v>
      </c>
      <c r="H136" s="142"/>
      <c r="I136" s="36"/>
      <c r="L136" s="131"/>
      <c r="M136" s="131"/>
      <c r="N136" s="36"/>
    </row>
    <row r="137" spans="1:14" s="37" customFormat="1" x14ac:dyDescent="0.3">
      <c r="A137" s="141">
        <f t="shared" si="0"/>
        <v>9</v>
      </c>
      <c r="B137" s="142"/>
      <c r="C137" s="42" t="s">
        <v>198</v>
      </c>
      <c r="D137" s="42">
        <f>(36.21+5.35)*10.764</f>
        <v>447.35183999999998</v>
      </c>
      <c r="E137" s="42">
        <v>0</v>
      </c>
      <c r="F137" s="42">
        <f>(D137+E137)*(($F$126)+1)</f>
        <v>715.76294400000006</v>
      </c>
      <c r="G137" s="141" t="str">
        <f>G136</f>
        <v>Ground Floor</v>
      </c>
      <c r="H137" s="142"/>
      <c r="I137" s="36"/>
      <c r="L137" s="131"/>
      <c r="M137" s="131"/>
      <c r="N137" s="36"/>
    </row>
    <row r="138" spans="1:14" s="37" customFormat="1" x14ac:dyDescent="0.3">
      <c r="A138" s="141">
        <f t="shared" si="0"/>
        <v>10</v>
      </c>
      <c r="B138" s="142"/>
      <c r="C138" s="42" t="s">
        <v>198</v>
      </c>
      <c r="D138" s="42">
        <f>(27.099+7.909)*10.764</f>
        <v>376.82611200000002</v>
      </c>
      <c r="E138" s="42">
        <v>0</v>
      </c>
      <c r="F138" s="42">
        <f t="shared" ref="F138:F140" si="5">(D138+E138)*(($F$126)+1)</f>
        <v>602.92177920000006</v>
      </c>
      <c r="G138" s="141" t="str">
        <f t="shared" si="2"/>
        <v>Ground Floor</v>
      </c>
      <c r="H138" s="142"/>
      <c r="I138" s="36"/>
      <c r="J138" s="37">
        <f>3.05*7.77</f>
        <v>23.698499999999996</v>
      </c>
      <c r="K138" s="37">
        <f>20.643+3.05</f>
        <v>23.693000000000001</v>
      </c>
      <c r="L138" s="131"/>
      <c r="M138" s="131"/>
      <c r="N138" s="36"/>
    </row>
    <row r="139" spans="1:14" s="37" customFormat="1" x14ac:dyDescent="0.3">
      <c r="A139" s="141">
        <f t="shared" si="0"/>
        <v>11</v>
      </c>
      <c r="B139" s="142"/>
      <c r="C139" s="42" t="s">
        <v>198</v>
      </c>
      <c r="D139" s="42">
        <f>(18.425+2.75)*10.764</f>
        <v>227.92769999999999</v>
      </c>
      <c r="E139" s="42">
        <v>0</v>
      </c>
      <c r="F139" s="42">
        <f t="shared" si="5"/>
        <v>364.68432000000001</v>
      </c>
      <c r="G139" s="141" t="str">
        <f t="shared" si="2"/>
        <v>Ground Floor</v>
      </c>
      <c r="H139" s="142"/>
      <c r="I139" s="36"/>
      <c r="L139" s="131"/>
      <c r="M139" s="131"/>
      <c r="N139" s="36"/>
    </row>
    <row r="140" spans="1:14" s="37" customFormat="1" x14ac:dyDescent="0.3">
      <c r="A140" s="141">
        <f t="shared" si="0"/>
        <v>12</v>
      </c>
      <c r="B140" s="142"/>
      <c r="C140" s="42" t="s">
        <v>198</v>
      </c>
      <c r="D140" s="42">
        <f>(14.74+2.2)*10.764</f>
        <v>182.34216000000001</v>
      </c>
      <c r="E140" s="42">
        <v>0</v>
      </c>
      <c r="F140" s="42">
        <f t="shared" si="5"/>
        <v>291.747456</v>
      </c>
      <c r="G140" s="141" t="str">
        <f t="shared" si="2"/>
        <v>Ground Floor</v>
      </c>
      <c r="H140" s="142"/>
      <c r="I140" s="36"/>
      <c r="L140" s="131"/>
      <c r="M140" s="131"/>
      <c r="N140" s="36"/>
    </row>
    <row r="141" spans="1:14" s="37" customFormat="1" x14ac:dyDescent="0.3">
      <c r="A141" s="141">
        <f t="shared" si="0"/>
        <v>13</v>
      </c>
      <c r="B141" s="142"/>
      <c r="C141" s="42" t="s">
        <v>198</v>
      </c>
      <c r="D141" s="42">
        <f>(18.425+2.75)*10.764</f>
        <v>227.92769999999999</v>
      </c>
      <c r="E141" s="42">
        <v>0</v>
      </c>
      <c r="F141" s="42">
        <f>(D141+E141)*(($F$126)+1)</f>
        <v>364.68432000000001</v>
      </c>
      <c r="G141" s="141" t="str">
        <f>G140</f>
        <v>Ground Floor</v>
      </c>
      <c r="H141" s="142"/>
      <c r="I141" s="36"/>
      <c r="L141" s="131"/>
      <c r="M141" s="131"/>
      <c r="N141" s="36"/>
    </row>
    <row r="142" spans="1:14" s="37" customFormat="1" x14ac:dyDescent="0.3">
      <c r="A142" s="141">
        <f t="shared" si="0"/>
        <v>14</v>
      </c>
      <c r="B142" s="142"/>
      <c r="C142" s="42" t="s">
        <v>198</v>
      </c>
      <c r="D142" s="42">
        <f>(18.425+2.75)*10.764</f>
        <v>227.92769999999999</v>
      </c>
      <c r="E142" s="42">
        <v>0</v>
      </c>
      <c r="F142" s="42">
        <f t="shared" ref="F142:F146" si="6">(D142+E142)*(($F$126)+1)</f>
        <v>364.68432000000001</v>
      </c>
      <c r="G142" s="141" t="str">
        <f t="shared" si="2"/>
        <v>Ground Floor</v>
      </c>
      <c r="H142" s="142"/>
      <c r="I142" s="36"/>
      <c r="J142" s="37">
        <f>3.05*7.77</f>
        <v>23.698499999999996</v>
      </c>
      <c r="K142" s="37">
        <f>20.643+3.05</f>
        <v>23.693000000000001</v>
      </c>
      <c r="L142" s="131"/>
      <c r="M142" s="131"/>
      <c r="N142" s="36"/>
    </row>
    <row r="143" spans="1:14" s="37" customFormat="1" x14ac:dyDescent="0.3">
      <c r="A143" s="141">
        <f t="shared" si="0"/>
        <v>15</v>
      </c>
      <c r="B143" s="142"/>
      <c r="C143" s="42" t="s">
        <v>198</v>
      </c>
      <c r="D143" s="42">
        <f>(14.74+2.2)*10.764</f>
        <v>182.34216000000001</v>
      </c>
      <c r="E143" s="42">
        <v>0</v>
      </c>
      <c r="F143" s="42">
        <f t="shared" si="6"/>
        <v>291.747456</v>
      </c>
      <c r="G143" s="141" t="str">
        <f t="shared" si="2"/>
        <v>Ground Floor</v>
      </c>
      <c r="H143" s="142"/>
      <c r="I143" s="36"/>
      <c r="L143" s="131"/>
      <c r="M143" s="131"/>
      <c r="N143" s="36"/>
    </row>
    <row r="144" spans="1:14" s="37" customFormat="1" x14ac:dyDescent="0.3">
      <c r="A144" s="141">
        <f t="shared" si="0"/>
        <v>16</v>
      </c>
      <c r="B144" s="142"/>
      <c r="C144" s="42" t="s">
        <v>198</v>
      </c>
      <c r="D144" s="42">
        <f>(18.425+2.75)*10.764</f>
        <v>227.92769999999999</v>
      </c>
      <c r="E144" s="42">
        <v>0</v>
      </c>
      <c r="F144" s="42">
        <f t="shared" si="6"/>
        <v>364.68432000000001</v>
      </c>
      <c r="G144" s="141" t="str">
        <f t="shared" si="2"/>
        <v>Ground Floor</v>
      </c>
      <c r="H144" s="142"/>
      <c r="I144" s="36"/>
      <c r="L144" s="131"/>
      <c r="M144" s="131"/>
      <c r="N144" s="36"/>
    </row>
    <row r="145" spans="1:14" s="37" customFormat="1" x14ac:dyDescent="0.3">
      <c r="A145" s="141">
        <f t="shared" si="0"/>
        <v>17</v>
      </c>
      <c r="B145" s="142"/>
      <c r="C145" s="42" t="s">
        <v>198</v>
      </c>
      <c r="D145" s="42">
        <f>(18.425+2.75)*10.764</f>
        <v>227.92769999999999</v>
      </c>
      <c r="E145" s="42">
        <v>0</v>
      </c>
      <c r="F145" s="42">
        <f t="shared" si="6"/>
        <v>364.68432000000001</v>
      </c>
      <c r="G145" s="141" t="str">
        <f t="shared" si="2"/>
        <v>Ground Floor</v>
      </c>
      <c r="H145" s="142"/>
      <c r="I145" s="36"/>
      <c r="L145" s="131"/>
      <c r="M145" s="131"/>
      <c r="N145" s="36"/>
    </row>
    <row r="146" spans="1:14" s="37" customFormat="1" x14ac:dyDescent="0.3">
      <c r="A146" s="141">
        <f t="shared" si="0"/>
        <v>18</v>
      </c>
      <c r="B146" s="142"/>
      <c r="C146" s="42" t="s">
        <v>198</v>
      </c>
      <c r="D146" s="42">
        <f>(14.74+2.2)*10.764</f>
        <v>182.34216000000001</v>
      </c>
      <c r="E146" s="42">
        <v>0</v>
      </c>
      <c r="F146" s="42">
        <f t="shared" si="6"/>
        <v>291.747456</v>
      </c>
      <c r="G146" s="141" t="str">
        <f t="shared" si="2"/>
        <v>Ground Floor</v>
      </c>
      <c r="H146" s="142"/>
      <c r="I146" s="36"/>
      <c r="L146" s="131"/>
      <c r="M146" s="131"/>
      <c r="N146" s="36"/>
    </row>
    <row r="147" spans="1:14" s="37" customFormat="1" x14ac:dyDescent="0.3">
      <c r="A147" s="141">
        <f t="shared" si="0"/>
        <v>19</v>
      </c>
      <c r="B147" s="142"/>
      <c r="C147" s="42" t="s">
        <v>198</v>
      </c>
      <c r="D147" s="42">
        <f>(18.425+2.75)*10.764</f>
        <v>227.92769999999999</v>
      </c>
      <c r="E147" s="42">
        <v>0</v>
      </c>
      <c r="F147" s="42">
        <f>(D147+E147)*(($F$126)+1)</f>
        <v>364.68432000000001</v>
      </c>
      <c r="G147" s="141" t="str">
        <f>G146</f>
        <v>Ground Floor</v>
      </c>
      <c r="H147" s="142"/>
      <c r="I147" s="36"/>
      <c r="L147" s="131"/>
      <c r="M147" s="131"/>
      <c r="N147" s="36"/>
    </row>
    <row r="148" spans="1:14" s="37" customFormat="1" x14ac:dyDescent="0.3">
      <c r="A148" s="141">
        <f t="shared" si="0"/>
        <v>20</v>
      </c>
      <c r="B148" s="142"/>
      <c r="C148" s="42" t="s">
        <v>198</v>
      </c>
      <c r="D148" s="42">
        <f>(18.425+2.75)*10.764</f>
        <v>227.92769999999999</v>
      </c>
      <c r="E148" s="42">
        <v>0</v>
      </c>
      <c r="F148" s="42">
        <f t="shared" ref="F148:F150" si="7">(D148+E148)*(($F$126)+1)</f>
        <v>364.68432000000001</v>
      </c>
      <c r="G148" s="141" t="str">
        <f t="shared" si="2"/>
        <v>Ground Floor</v>
      </c>
      <c r="H148" s="142"/>
      <c r="I148" s="36"/>
      <c r="J148" s="37">
        <f>3.05*7.77</f>
        <v>23.698499999999996</v>
      </c>
      <c r="K148" s="37">
        <f>20.643+3.05</f>
        <v>23.693000000000001</v>
      </c>
      <c r="L148" s="131"/>
      <c r="M148" s="131"/>
      <c r="N148" s="36"/>
    </row>
    <row r="149" spans="1:14" s="37" customFormat="1" x14ac:dyDescent="0.3">
      <c r="A149" s="141">
        <f t="shared" si="0"/>
        <v>21</v>
      </c>
      <c r="B149" s="142"/>
      <c r="C149" s="42" t="s">
        <v>198</v>
      </c>
      <c r="D149" s="42">
        <f>(14.74+2.2)*10.764</f>
        <v>182.34216000000001</v>
      </c>
      <c r="E149" s="42">
        <v>0</v>
      </c>
      <c r="F149" s="42">
        <f t="shared" si="7"/>
        <v>291.747456</v>
      </c>
      <c r="G149" s="141" t="str">
        <f t="shared" si="2"/>
        <v>Ground Floor</v>
      </c>
      <c r="H149" s="142"/>
      <c r="I149" s="36"/>
      <c r="L149" s="131"/>
      <c r="M149" s="131"/>
      <c r="N149" s="36"/>
    </row>
    <row r="150" spans="1:14" s="37" customFormat="1" x14ac:dyDescent="0.3">
      <c r="A150" s="141">
        <f t="shared" si="0"/>
        <v>22</v>
      </c>
      <c r="B150" s="142"/>
      <c r="C150" s="42" t="s">
        <v>198</v>
      </c>
      <c r="D150" s="42">
        <f>(18.425+2.75)*10.764</f>
        <v>227.92769999999999</v>
      </c>
      <c r="E150" s="42">
        <v>0</v>
      </c>
      <c r="F150" s="42">
        <f t="shared" si="7"/>
        <v>364.68432000000001</v>
      </c>
      <c r="G150" s="141" t="str">
        <f t="shared" si="2"/>
        <v>Ground Floor</v>
      </c>
      <c r="H150" s="142"/>
      <c r="I150" s="36"/>
      <c r="L150" s="131"/>
      <c r="M150" s="131"/>
      <c r="N150" s="36"/>
    </row>
    <row r="151" spans="1:14" s="37" customFormat="1" x14ac:dyDescent="0.3">
      <c r="A151" s="141">
        <f t="shared" si="0"/>
        <v>23</v>
      </c>
      <c r="B151" s="142"/>
      <c r="C151" s="42" t="s">
        <v>198</v>
      </c>
      <c r="D151" s="42">
        <f>(18.425+2.75)*10.764</f>
        <v>227.92769999999999</v>
      </c>
      <c r="E151" s="42">
        <v>0</v>
      </c>
      <c r="F151" s="42">
        <f t="shared" ref="F151:F153" si="8">(D151+E151)*(($F$126)+1)</f>
        <v>364.68432000000001</v>
      </c>
      <c r="G151" s="141" t="str">
        <f t="shared" si="2"/>
        <v>Ground Floor</v>
      </c>
      <c r="H151" s="142"/>
      <c r="I151" s="36"/>
      <c r="J151" s="37">
        <f>3.05*7.77</f>
        <v>23.698499999999996</v>
      </c>
      <c r="K151" s="37">
        <f>20.643+3.05</f>
        <v>23.693000000000001</v>
      </c>
      <c r="L151" s="131"/>
      <c r="M151" s="131"/>
      <c r="N151" s="36"/>
    </row>
    <row r="152" spans="1:14" s="37" customFormat="1" x14ac:dyDescent="0.3">
      <c r="A152" s="141">
        <f t="shared" si="0"/>
        <v>24</v>
      </c>
      <c r="B152" s="142"/>
      <c r="C152" s="42" t="s">
        <v>198</v>
      </c>
      <c r="D152" s="42">
        <f t="shared" ref="D152" si="9">(18.425+2.75)*10.764</f>
        <v>227.92769999999999</v>
      </c>
      <c r="E152" s="42">
        <v>0</v>
      </c>
      <c r="F152" s="42">
        <f t="shared" si="8"/>
        <v>364.68432000000001</v>
      </c>
      <c r="G152" s="141" t="str">
        <f t="shared" si="2"/>
        <v>Ground Floor</v>
      </c>
      <c r="H152" s="142"/>
      <c r="I152" s="36"/>
      <c r="L152" s="131"/>
      <c r="M152" s="131"/>
      <c r="N152" s="36"/>
    </row>
    <row r="153" spans="1:14" s="37" customFormat="1" x14ac:dyDescent="0.3">
      <c r="A153" s="141">
        <f t="shared" si="0"/>
        <v>25</v>
      </c>
      <c r="B153" s="142"/>
      <c r="C153" s="42" t="s">
        <v>198</v>
      </c>
      <c r="D153" s="42">
        <f>(22.445+3.35)*10.764</f>
        <v>277.65737999999999</v>
      </c>
      <c r="E153" s="42">
        <v>0</v>
      </c>
      <c r="F153" s="42">
        <f t="shared" si="8"/>
        <v>444.25180799999998</v>
      </c>
      <c r="G153" s="141" t="str">
        <f t="shared" si="2"/>
        <v>Ground Floor</v>
      </c>
      <c r="H153" s="142"/>
      <c r="I153" s="36"/>
      <c r="L153" s="131"/>
      <c r="M153" s="131"/>
      <c r="N153" s="36"/>
    </row>
    <row r="154" spans="1:14" s="37" customFormat="1" x14ac:dyDescent="0.3">
      <c r="A154" s="141"/>
      <c r="B154" s="228"/>
      <c r="C154" s="228"/>
      <c r="D154" s="228"/>
      <c r="E154" s="228"/>
      <c r="F154" s="228"/>
      <c r="G154" s="228"/>
      <c r="H154" s="142"/>
      <c r="I154" s="36"/>
      <c r="N154" s="36"/>
    </row>
    <row r="155" spans="1:14" ht="47.25" customHeight="1" x14ac:dyDescent="0.3">
      <c r="A155" s="52" t="s">
        <v>120</v>
      </c>
      <c r="B155" s="52" t="s">
        <v>121</v>
      </c>
      <c r="C155" s="43" t="s">
        <v>57</v>
      </c>
      <c r="D155" s="43" t="s">
        <v>58</v>
      </c>
      <c r="E155" s="51" t="s">
        <v>59</v>
      </c>
      <c r="F155" s="43" t="s">
        <v>214</v>
      </c>
      <c r="G155" s="149" t="s">
        <v>60</v>
      </c>
      <c r="H155" s="150"/>
      <c r="I155" s="36"/>
    </row>
    <row r="156" spans="1:14" s="37" customFormat="1" x14ac:dyDescent="0.3">
      <c r="A156" s="132" t="s">
        <v>204</v>
      </c>
      <c r="B156" s="133"/>
      <c r="C156" s="133"/>
      <c r="D156" s="133"/>
      <c r="E156" s="133"/>
      <c r="F156" s="133"/>
      <c r="G156" s="133"/>
      <c r="H156" s="134"/>
      <c r="J156" s="36"/>
    </row>
    <row r="157" spans="1:14" s="37" customFormat="1" x14ac:dyDescent="0.3">
      <c r="A157" s="146" t="s">
        <v>212</v>
      </c>
      <c r="B157" s="146"/>
      <c r="C157" s="146"/>
      <c r="D157" s="146"/>
      <c r="E157" s="146"/>
      <c r="F157" s="146"/>
      <c r="G157" s="146"/>
      <c r="H157" s="146"/>
      <c r="I157" s="36"/>
      <c r="L157" s="131"/>
      <c r="M157" s="131"/>
    </row>
    <row r="158" spans="1:14" s="37" customFormat="1" ht="15.75" customHeight="1" x14ac:dyDescent="0.3">
      <c r="A158" s="143">
        <v>1</v>
      </c>
      <c r="B158" s="143"/>
      <c r="C158" s="42" t="s">
        <v>206</v>
      </c>
      <c r="D158" s="42">
        <f>(29.99+3.85+0.81+0.6*(2.15+2.75))*10.764</f>
        <v>404.61875999999995</v>
      </c>
      <c r="E158" s="42">
        <v>0</v>
      </c>
      <c r="F158" s="42">
        <v>650</v>
      </c>
      <c r="G158" s="219" t="str">
        <f>A157</f>
        <v>1st Floor</v>
      </c>
      <c r="H158" s="220"/>
      <c r="I158" s="36"/>
      <c r="J158" s="37">
        <f>2.75*4.28+1.05*1.05+2.15*2.2+2.75*2.75+2.75*0.8+2.2/1.2+1.8*1.2+1*2.15</f>
        <v>33.508333333333333</v>
      </c>
      <c r="K158" s="37">
        <f>F158/D158</f>
        <v>1.6064504769872758</v>
      </c>
      <c r="L158" s="37">
        <f>29.99+3.85+0.81</f>
        <v>34.65</v>
      </c>
      <c r="N158" s="36"/>
    </row>
    <row r="159" spans="1:14" s="37" customFormat="1" ht="15.75" customHeight="1" x14ac:dyDescent="0.3">
      <c r="A159" s="143">
        <f t="shared" ref="A159:A165" si="10">A158+1</f>
        <v>2</v>
      </c>
      <c r="B159" s="143"/>
      <c r="C159" s="42" t="s">
        <v>207</v>
      </c>
      <c r="D159" s="42">
        <f>(47.805+0.6*(1.44+2.75+2.75+2.27))*10.764</f>
        <v>574.0548839999999</v>
      </c>
      <c r="E159" s="42">
        <v>0</v>
      </c>
      <c r="F159" s="42">
        <v>900</v>
      </c>
      <c r="G159" s="221"/>
      <c r="H159" s="222"/>
      <c r="I159" s="36"/>
      <c r="K159" s="37">
        <f t="shared" ref="K159:K189" si="11">F159/D159</f>
        <v>1.5677943435108901</v>
      </c>
      <c r="N159" s="36"/>
    </row>
    <row r="160" spans="1:14" s="37" customFormat="1" ht="15.75" customHeight="1" x14ac:dyDescent="0.3">
      <c r="A160" s="143">
        <f t="shared" si="10"/>
        <v>3</v>
      </c>
      <c r="B160" s="143"/>
      <c r="C160" s="42" t="s">
        <v>206</v>
      </c>
      <c r="D160" s="42">
        <f>(29.99+4.125+0.81)*10.764</f>
        <v>375.93269999999995</v>
      </c>
      <c r="E160" s="42">
        <f>(1.8*8.5+0.6*2.2+2.75*0.75)*10.764</f>
        <v>201.09843000000001</v>
      </c>
      <c r="F160" s="42">
        <v>885</v>
      </c>
      <c r="G160" s="221"/>
      <c r="H160" s="222"/>
      <c r="I160" s="36"/>
      <c r="K160" s="37">
        <f t="shared" si="11"/>
        <v>2.3541447711252577</v>
      </c>
      <c r="N160" s="36"/>
    </row>
    <row r="161" spans="1:14" s="37" customFormat="1" ht="15.75" customHeight="1" x14ac:dyDescent="0.3">
      <c r="A161" s="143">
        <f t="shared" si="10"/>
        <v>4</v>
      </c>
      <c r="B161" s="143"/>
      <c r="C161" s="42" t="s">
        <v>207</v>
      </c>
      <c r="D161" s="42">
        <f>(51.014+1.75)*10.764</f>
        <v>567.95169599999997</v>
      </c>
      <c r="E161" s="42">
        <f>(2.7*2.75+2.2*0.7+3.05*1.4+2.75*1.4)*10.764</f>
        <v>183.90294</v>
      </c>
      <c r="F161" s="42">
        <v>1395</v>
      </c>
      <c r="G161" s="221"/>
      <c r="H161" s="222"/>
      <c r="I161" s="36"/>
      <c r="K161" s="37">
        <f t="shared" si="11"/>
        <v>2.4561947958334822</v>
      </c>
      <c r="N161" s="36"/>
    </row>
    <row r="162" spans="1:14" s="37" customFormat="1" ht="15.75" customHeight="1" x14ac:dyDescent="0.3">
      <c r="A162" s="143">
        <f t="shared" si="10"/>
        <v>5</v>
      </c>
      <c r="B162" s="143"/>
      <c r="C162" s="42" t="s">
        <v>206</v>
      </c>
      <c r="D162" s="42">
        <f>(29.99+4.125+0.81+0.6*(2.2+2.75))*10.764</f>
        <v>407.90177999999992</v>
      </c>
      <c r="E162" s="42">
        <f>(2.7*2.75+2.2*0.7+2.75*1.4)*10.764</f>
        <v>137.94065999999998</v>
      </c>
      <c r="F162" s="42">
        <v>890</v>
      </c>
      <c r="G162" s="221"/>
      <c r="H162" s="222"/>
      <c r="I162" s="36"/>
      <c r="K162" s="37">
        <f t="shared" si="11"/>
        <v>2.1818978088303518</v>
      </c>
      <c r="N162" s="36"/>
    </row>
    <row r="163" spans="1:14" s="37" customFormat="1" ht="15.75" customHeight="1" x14ac:dyDescent="0.3">
      <c r="A163" s="143">
        <f t="shared" si="10"/>
        <v>6</v>
      </c>
      <c r="B163" s="143"/>
      <c r="C163" s="42" t="s">
        <v>206</v>
      </c>
      <c r="D163" s="42">
        <f>(29.99+4.125+0.81+0.6*(2.2+2.75))*10.764</f>
        <v>407.90177999999992</v>
      </c>
      <c r="E163" s="42">
        <f>(2.7*2.75+2.2*0.7+2.75*1.4)*10.764</f>
        <v>137.94065999999998</v>
      </c>
      <c r="F163" s="42">
        <v>890</v>
      </c>
      <c r="G163" s="221"/>
      <c r="H163" s="222"/>
      <c r="I163" s="36"/>
      <c r="K163" s="37">
        <f t="shared" si="11"/>
        <v>2.1818978088303518</v>
      </c>
      <c r="N163" s="36"/>
    </row>
    <row r="164" spans="1:14" s="37" customFormat="1" ht="15.75" customHeight="1" x14ac:dyDescent="0.3">
      <c r="A164" s="143">
        <f t="shared" si="10"/>
        <v>7</v>
      </c>
      <c r="B164" s="143"/>
      <c r="C164" s="42" t="s">
        <v>207</v>
      </c>
      <c r="D164" s="42">
        <f>(45.285+0.6*(2.75+3.35+2.75))*10.764</f>
        <v>544.60457999999994</v>
      </c>
      <c r="E164" s="42">
        <f>(2.7*2.75+2.2*0.7+3.05*1.4+2.75*1.4+0.5*6.2*4)*10.764</f>
        <v>317.37653999999998</v>
      </c>
      <c r="F164" s="42">
        <v>1190</v>
      </c>
      <c r="G164" s="221"/>
      <c r="H164" s="222"/>
      <c r="I164" s="36"/>
      <c r="K164" s="37">
        <f t="shared" si="11"/>
        <v>2.1850715981859721</v>
      </c>
      <c r="N164" s="36"/>
    </row>
    <row r="165" spans="1:14" s="37" customFormat="1" ht="15.75" customHeight="1" x14ac:dyDescent="0.3">
      <c r="A165" s="143">
        <f t="shared" si="10"/>
        <v>8</v>
      </c>
      <c r="B165" s="143"/>
      <c r="C165" s="42" t="s">
        <v>206</v>
      </c>
      <c r="D165" s="42">
        <f>(29.198+3.85+0.81+0.6*(2.2+2.75))*10.764</f>
        <v>396.41659199999998</v>
      </c>
      <c r="E165" s="42">
        <v>0</v>
      </c>
      <c r="F165" s="42">
        <v>630</v>
      </c>
      <c r="G165" s="221"/>
      <c r="H165" s="222"/>
      <c r="I165" s="36"/>
      <c r="K165" s="37">
        <f t="shared" si="11"/>
        <v>1.5892372133606356</v>
      </c>
      <c r="N165" s="36"/>
    </row>
    <row r="166" spans="1:14" s="37" customFormat="1" x14ac:dyDescent="0.3">
      <c r="A166" s="146" t="s">
        <v>199</v>
      </c>
      <c r="B166" s="146"/>
      <c r="C166" s="146"/>
      <c r="D166" s="146"/>
      <c r="E166" s="146"/>
      <c r="F166" s="146"/>
      <c r="G166" s="146"/>
      <c r="H166" s="146"/>
      <c r="I166" s="36"/>
      <c r="K166" s="37" t="e">
        <f t="shared" si="11"/>
        <v>#DIV/0!</v>
      </c>
      <c r="L166" s="131"/>
      <c r="M166" s="131"/>
    </row>
    <row r="167" spans="1:14" s="37" customFormat="1" ht="15.75" customHeight="1" x14ac:dyDescent="0.3">
      <c r="A167" s="143">
        <v>1</v>
      </c>
      <c r="B167" s="143"/>
      <c r="C167" s="42" t="s">
        <v>206</v>
      </c>
      <c r="D167" s="42">
        <f>(29.99+3.85+0.81+0.6*(2.15+2.75))*10.764</f>
        <v>404.61875999999995</v>
      </c>
      <c r="E167" s="42">
        <v>0</v>
      </c>
      <c r="F167" s="42">
        <v>650</v>
      </c>
      <c r="G167" s="219" t="str">
        <f>A166</f>
        <v>2nd to 7th &amp; 9th to 12th Floor</v>
      </c>
      <c r="H167" s="220"/>
      <c r="I167" s="36"/>
      <c r="J167" s="37">
        <f>2.75*4.28+1.05*1.05+2.15*2.2+2.75*2.75+2.75*0.8+2.2/1.2+1.8*1.2+1*2.15</f>
        <v>33.508333333333333</v>
      </c>
      <c r="K167" s="37">
        <f t="shared" si="11"/>
        <v>1.6064504769872758</v>
      </c>
      <c r="L167" s="37">
        <f>29.99+3.85+0.81</f>
        <v>34.65</v>
      </c>
      <c r="N167" s="36"/>
    </row>
    <row r="168" spans="1:14" s="37" customFormat="1" ht="15.75" customHeight="1" x14ac:dyDescent="0.3">
      <c r="A168" s="143">
        <f t="shared" ref="A168:A174" si="12">A167+1</f>
        <v>2</v>
      </c>
      <c r="B168" s="143"/>
      <c r="C168" s="42" t="s">
        <v>207</v>
      </c>
      <c r="D168" s="42">
        <f>(47.805+0.6*(1.44+2.75+2.75+2.27))*10.764</f>
        <v>574.0548839999999</v>
      </c>
      <c r="E168" s="42">
        <v>0</v>
      </c>
      <c r="F168" s="42">
        <v>900</v>
      </c>
      <c r="G168" s="221"/>
      <c r="H168" s="222"/>
      <c r="I168" s="36"/>
      <c r="K168" s="37">
        <f t="shared" si="11"/>
        <v>1.5677943435108901</v>
      </c>
      <c r="N168" s="36"/>
    </row>
    <row r="169" spans="1:14" s="37" customFormat="1" ht="15.75" customHeight="1" x14ac:dyDescent="0.3">
      <c r="A169" s="143">
        <f t="shared" si="12"/>
        <v>3</v>
      </c>
      <c r="B169" s="143"/>
      <c r="C169" s="42" t="s">
        <v>206</v>
      </c>
      <c r="D169" s="42">
        <f>(29.99+4.125+0.81+0.6*(2.75+2.2+2.75))*10.764</f>
        <v>425.66237999999993</v>
      </c>
      <c r="E169" s="42">
        <v>0</v>
      </c>
      <c r="F169" s="42">
        <v>675</v>
      </c>
      <c r="G169" s="221"/>
      <c r="H169" s="222"/>
      <c r="I169" s="36"/>
      <c r="K169" s="37">
        <f t="shared" si="11"/>
        <v>1.5857638159143876</v>
      </c>
      <c r="N169" s="36"/>
    </row>
    <row r="170" spans="1:14" s="37" customFormat="1" ht="15.75" customHeight="1" x14ac:dyDescent="0.3">
      <c r="A170" s="143">
        <f t="shared" si="12"/>
        <v>4</v>
      </c>
      <c r="B170" s="143"/>
      <c r="C170" s="42" t="s">
        <v>207</v>
      </c>
      <c r="D170" s="42">
        <f>(51.014+1.75+0.6*(2.75+3.05+2.75))*10.764</f>
        <v>623.17101600000001</v>
      </c>
      <c r="E170" s="42">
        <v>0</v>
      </c>
      <c r="F170" s="42">
        <v>975</v>
      </c>
      <c r="G170" s="221"/>
      <c r="H170" s="222"/>
      <c r="I170" s="36"/>
      <c r="K170" s="37">
        <f t="shared" si="11"/>
        <v>1.5645785425938359</v>
      </c>
      <c r="N170" s="36"/>
    </row>
    <row r="171" spans="1:14" s="37" customFormat="1" ht="15.75" customHeight="1" x14ac:dyDescent="0.3">
      <c r="A171" s="143">
        <f t="shared" si="12"/>
        <v>5</v>
      </c>
      <c r="B171" s="143"/>
      <c r="C171" s="42" t="s">
        <v>206</v>
      </c>
      <c r="D171" s="42">
        <f>(29.99+4.125+0.81+0.6*(2.2+2.75))*10.764</f>
        <v>407.90177999999992</v>
      </c>
      <c r="E171" s="42">
        <v>0</v>
      </c>
      <c r="F171" s="42">
        <v>675</v>
      </c>
      <c r="G171" s="221"/>
      <c r="H171" s="222"/>
      <c r="I171" s="36"/>
      <c r="K171" s="37">
        <f t="shared" si="11"/>
        <v>1.65481013591066</v>
      </c>
      <c r="N171" s="36"/>
    </row>
    <row r="172" spans="1:14" s="37" customFormat="1" ht="15.75" customHeight="1" x14ac:dyDescent="0.3">
      <c r="A172" s="143">
        <f t="shared" si="12"/>
        <v>6</v>
      </c>
      <c r="B172" s="143"/>
      <c r="C172" s="42" t="s">
        <v>206</v>
      </c>
      <c r="D172" s="42">
        <f>(29.99+4.125+0.81+0.6*(2.2+2.75))*10.764</f>
        <v>407.90177999999992</v>
      </c>
      <c r="E172" s="42">
        <v>0</v>
      </c>
      <c r="F172" s="42">
        <v>675</v>
      </c>
      <c r="G172" s="221"/>
      <c r="H172" s="222"/>
      <c r="I172" s="36"/>
      <c r="K172" s="37">
        <f t="shared" si="11"/>
        <v>1.65481013591066</v>
      </c>
      <c r="N172" s="36"/>
    </row>
    <row r="173" spans="1:14" s="37" customFormat="1" ht="15.75" customHeight="1" x14ac:dyDescent="0.3">
      <c r="A173" s="143">
        <f t="shared" si="12"/>
        <v>7</v>
      </c>
      <c r="B173" s="143"/>
      <c r="C173" s="42" t="s">
        <v>207</v>
      </c>
      <c r="D173" s="42">
        <f>(45.285+0.6*(2.75+3.35+2.75))*10.764</f>
        <v>544.60457999999994</v>
      </c>
      <c r="E173" s="42">
        <v>0</v>
      </c>
      <c r="F173" s="42">
        <v>830</v>
      </c>
      <c r="G173" s="221"/>
      <c r="H173" s="222"/>
      <c r="I173" s="36"/>
      <c r="K173" s="37">
        <f t="shared" si="11"/>
        <v>1.5240415348692076</v>
      </c>
      <c r="N173" s="36"/>
    </row>
    <row r="174" spans="1:14" s="37" customFormat="1" ht="15.75" customHeight="1" x14ac:dyDescent="0.3">
      <c r="A174" s="143">
        <f t="shared" si="12"/>
        <v>8</v>
      </c>
      <c r="B174" s="143"/>
      <c r="C174" s="42" t="s">
        <v>206</v>
      </c>
      <c r="D174" s="42">
        <f>(29.198+3.85+0.81+0.6*(2.2+2.75))*10.764</f>
        <v>396.41659199999998</v>
      </c>
      <c r="E174" s="42">
        <v>0</v>
      </c>
      <c r="F174" s="42">
        <v>630</v>
      </c>
      <c r="G174" s="221"/>
      <c r="H174" s="222"/>
      <c r="I174" s="36"/>
      <c r="K174" s="37">
        <f t="shared" si="11"/>
        <v>1.5892372133606356</v>
      </c>
      <c r="N174" s="36"/>
    </row>
    <row r="175" spans="1:14" s="37" customFormat="1" x14ac:dyDescent="0.3">
      <c r="A175" s="146" t="s">
        <v>209</v>
      </c>
      <c r="B175" s="146"/>
      <c r="C175" s="146"/>
      <c r="D175" s="146"/>
      <c r="E175" s="146"/>
      <c r="F175" s="146"/>
      <c r="G175" s="146"/>
      <c r="H175" s="146"/>
      <c r="I175" s="36"/>
      <c r="K175" s="37" t="e">
        <f t="shared" si="11"/>
        <v>#DIV/0!</v>
      </c>
      <c r="L175" s="131"/>
      <c r="M175" s="131"/>
    </row>
    <row r="176" spans="1:14" s="37" customFormat="1" ht="15.75" customHeight="1" x14ac:dyDescent="0.3">
      <c r="A176" s="143">
        <v>1</v>
      </c>
      <c r="B176" s="143"/>
      <c r="C176" s="42" t="s">
        <v>207</v>
      </c>
      <c r="D176" s="42">
        <f>(47.805+0.6*(1.44+2.75+2.75+2.27))*10.764</f>
        <v>574.0548839999999</v>
      </c>
      <c r="E176" s="42">
        <v>0</v>
      </c>
      <c r="F176" s="42">
        <v>900</v>
      </c>
      <c r="G176" s="221" t="str">
        <f>A175</f>
        <v>8th Floor (Part Refuge Area)</v>
      </c>
      <c r="H176" s="222"/>
      <c r="I176" s="36"/>
      <c r="K176" s="37">
        <f t="shared" si="11"/>
        <v>1.5677943435108901</v>
      </c>
      <c r="N176" s="36"/>
    </row>
    <row r="177" spans="1:14" s="37" customFormat="1" ht="15.75" customHeight="1" x14ac:dyDescent="0.3">
      <c r="A177" s="143">
        <f t="shared" ref="A177:A182" si="13">A176+1</f>
        <v>2</v>
      </c>
      <c r="B177" s="143"/>
      <c r="C177" s="42" t="s">
        <v>206</v>
      </c>
      <c r="D177" s="42">
        <f>(29.99+4.125+0.81+0.6*(2.75+2.2+2.75))*10.764</f>
        <v>425.66237999999993</v>
      </c>
      <c r="E177" s="42">
        <v>0</v>
      </c>
      <c r="F177" s="42">
        <v>675</v>
      </c>
      <c r="G177" s="221"/>
      <c r="H177" s="222"/>
      <c r="I177" s="36"/>
      <c r="K177" s="37">
        <f t="shared" si="11"/>
        <v>1.5857638159143876</v>
      </c>
      <c r="N177" s="36"/>
    </row>
    <row r="178" spans="1:14" s="37" customFormat="1" ht="15.75" customHeight="1" x14ac:dyDescent="0.3">
      <c r="A178" s="143">
        <f t="shared" si="13"/>
        <v>3</v>
      </c>
      <c r="B178" s="143"/>
      <c r="C178" s="42" t="s">
        <v>207</v>
      </c>
      <c r="D178" s="42">
        <f>(51.014+1.75+0.6*(2.75+3.05+2.75))*10.764</f>
        <v>623.17101600000001</v>
      </c>
      <c r="E178" s="42">
        <v>0</v>
      </c>
      <c r="F178" s="42">
        <v>975</v>
      </c>
      <c r="G178" s="221"/>
      <c r="H178" s="222"/>
      <c r="I178" s="36"/>
      <c r="K178" s="37">
        <f t="shared" si="11"/>
        <v>1.5645785425938359</v>
      </c>
      <c r="N178" s="36"/>
    </row>
    <row r="179" spans="1:14" s="37" customFormat="1" ht="15.75" customHeight="1" x14ac:dyDescent="0.3">
      <c r="A179" s="143">
        <f t="shared" si="13"/>
        <v>4</v>
      </c>
      <c r="B179" s="143"/>
      <c r="C179" s="42" t="s">
        <v>206</v>
      </c>
      <c r="D179" s="42">
        <f>(29.99+4.125+0.81+0.6*(2.2+2.75))*10.764</f>
        <v>407.90177999999992</v>
      </c>
      <c r="E179" s="42">
        <v>0</v>
      </c>
      <c r="F179" s="42">
        <v>675</v>
      </c>
      <c r="G179" s="221"/>
      <c r="H179" s="222"/>
      <c r="I179" s="36"/>
      <c r="K179" s="37">
        <f t="shared" si="11"/>
        <v>1.65481013591066</v>
      </c>
      <c r="N179" s="36"/>
    </row>
    <row r="180" spans="1:14" s="37" customFormat="1" ht="15.75" customHeight="1" x14ac:dyDescent="0.3">
      <c r="A180" s="143">
        <f t="shared" si="13"/>
        <v>5</v>
      </c>
      <c r="B180" s="143"/>
      <c r="C180" s="42" t="s">
        <v>206</v>
      </c>
      <c r="D180" s="42">
        <f>(29.99+4.125+0.81+0.6*(2.2+2.75))*10.764</f>
        <v>407.90177999999992</v>
      </c>
      <c r="E180" s="42">
        <v>0</v>
      </c>
      <c r="F180" s="42">
        <v>675</v>
      </c>
      <c r="G180" s="221"/>
      <c r="H180" s="222"/>
      <c r="I180" s="36"/>
      <c r="K180" s="37">
        <f t="shared" si="11"/>
        <v>1.65481013591066</v>
      </c>
      <c r="N180" s="36"/>
    </row>
    <row r="181" spans="1:14" s="37" customFormat="1" ht="15.75" customHeight="1" x14ac:dyDescent="0.3">
      <c r="A181" s="143">
        <f t="shared" si="13"/>
        <v>6</v>
      </c>
      <c r="B181" s="143"/>
      <c r="C181" s="42" t="s">
        <v>207</v>
      </c>
      <c r="D181" s="42">
        <f>(45.285+0.6*(2.75+3.35+2.75))*10.764</f>
        <v>544.60457999999994</v>
      </c>
      <c r="E181" s="42">
        <v>0</v>
      </c>
      <c r="F181" s="42">
        <v>830</v>
      </c>
      <c r="G181" s="221"/>
      <c r="H181" s="222"/>
      <c r="I181" s="36"/>
      <c r="K181" s="37">
        <f t="shared" si="11"/>
        <v>1.5240415348692076</v>
      </c>
      <c r="N181" s="36"/>
    </row>
    <row r="182" spans="1:14" s="37" customFormat="1" ht="15.75" customHeight="1" x14ac:dyDescent="0.3">
      <c r="A182" s="143">
        <f t="shared" si="13"/>
        <v>7</v>
      </c>
      <c r="B182" s="143"/>
      <c r="C182" s="42" t="s">
        <v>206</v>
      </c>
      <c r="D182" s="42">
        <f>(29.198+3.85+0.81+0.6*(2.2+2.75))*10.764</f>
        <v>396.41659199999998</v>
      </c>
      <c r="E182" s="42">
        <v>0</v>
      </c>
      <c r="F182" s="42">
        <v>630</v>
      </c>
      <c r="G182" s="221"/>
      <c r="H182" s="222"/>
      <c r="I182" s="36"/>
      <c r="K182" s="37">
        <f t="shared" si="11"/>
        <v>1.5892372133606356</v>
      </c>
      <c r="N182" s="36"/>
    </row>
    <row r="183" spans="1:14" s="37" customFormat="1" x14ac:dyDescent="0.3">
      <c r="A183" s="132" t="s">
        <v>208</v>
      </c>
      <c r="B183" s="133"/>
      <c r="C183" s="133"/>
      <c r="D183" s="133"/>
      <c r="E183" s="133"/>
      <c r="F183" s="133"/>
      <c r="G183" s="133"/>
      <c r="H183" s="134"/>
      <c r="J183" s="36"/>
      <c r="K183" s="37" t="e">
        <f t="shared" si="11"/>
        <v>#DIV/0!</v>
      </c>
    </row>
    <row r="184" spans="1:14" s="37" customFormat="1" x14ac:dyDescent="0.3">
      <c r="A184" s="146" t="s">
        <v>212</v>
      </c>
      <c r="B184" s="146"/>
      <c r="C184" s="146"/>
      <c r="D184" s="146"/>
      <c r="E184" s="146"/>
      <c r="F184" s="146"/>
      <c r="G184" s="146"/>
      <c r="H184" s="146"/>
      <c r="I184" s="36"/>
      <c r="K184" s="37" t="e">
        <f t="shared" si="11"/>
        <v>#DIV/0!</v>
      </c>
      <c r="L184" s="131"/>
      <c r="M184" s="131"/>
    </row>
    <row r="185" spans="1:14" s="37" customFormat="1" ht="15.75" customHeight="1" x14ac:dyDescent="0.3">
      <c r="A185" s="143">
        <v>1</v>
      </c>
      <c r="B185" s="143"/>
      <c r="C185" s="42" t="s">
        <v>206</v>
      </c>
      <c r="D185" s="42">
        <f>(29.99+3.85+0.81+0.6*(2.15+2.75))*10.764</f>
        <v>404.61875999999995</v>
      </c>
      <c r="E185" s="42">
        <v>0</v>
      </c>
      <c r="F185" s="42">
        <v>650</v>
      </c>
      <c r="G185" s="219" t="str">
        <f>A184</f>
        <v>1st Floor</v>
      </c>
      <c r="H185" s="220"/>
      <c r="I185" s="36"/>
      <c r="J185" s="37">
        <f>2.75*4.28+1.05*1.05+2.15*2.2+2.75*2.75+2.75*0.8+2.2/1.2+1.8*1.2+1*2.15</f>
        <v>33.508333333333333</v>
      </c>
      <c r="K185" s="37">
        <f t="shared" si="11"/>
        <v>1.6064504769872758</v>
      </c>
      <c r="L185" s="37">
        <f>29.99+3.85+0.81</f>
        <v>34.65</v>
      </c>
      <c r="N185" s="36"/>
    </row>
    <row r="186" spans="1:14" s="37" customFormat="1" ht="15.75" customHeight="1" x14ac:dyDescent="0.3">
      <c r="A186" s="143">
        <f t="shared" ref="A186:A191" si="14">A185+1</f>
        <v>2</v>
      </c>
      <c r="B186" s="143"/>
      <c r="C186" s="42" t="s">
        <v>206</v>
      </c>
      <c r="D186" s="42">
        <f>(29.99+3.85+0.81+0.6*(2.15+2.75))*10.764</f>
        <v>404.61875999999995</v>
      </c>
      <c r="E186" s="42">
        <v>0</v>
      </c>
      <c r="F186" s="42">
        <v>650</v>
      </c>
      <c r="G186" s="221"/>
      <c r="H186" s="222"/>
      <c r="I186" s="36"/>
      <c r="K186" s="37">
        <f t="shared" si="11"/>
        <v>1.6064504769872758</v>
      </c>
      <c r="N186" s="36"/>
    </row>
    <row r="187" spans="1:14" s="37" customFormat="1" ht="15.75" customHeight="1" x14ac:dyDescent="0.3">
      <c r="A187" s="143">
        <f t="shared" si="14"/>
        <v>3</v>
      </c>
      <c r="B187" s="143"/>
      <c r="C187" s="42" t="s">
        <v>207</v>
      </c>
      <c r="D187" s="42">
        <f>(45.285+0.6*(2.75+2.75+2.75))*10.764</f>
        <v>540.72953999999993</v>
      </c>
      <c r="E187" s="42">
        <v>0</v>
      </c>
      <c r="F187" s="42">
        <v>830</v>
      </c>
      <c r="G187" s="221"/>
      <c r="H187" s="222"/>
      <c r="I187" s="36"/>
      <c r="K187" s="37">
        <f t="shared" si="11"/>
        <v>1.5349633016165534</v>
      </c>
      <c r="N187" s="36"/>
    </row>
    <row r="188" spans="1:14" s="37" customFormat="1" ht="15.75" customHeight="1" x14ac:dyDescent="0.3">
      <c r="A188" s="143">
        <f t="shared" si="14"/>
        <v>4</v>
      </c>
      <c r="B188" s="143"/>
      <c r="C188" s="42" t="s">
        <v>207</v>
      </c>
      <c r="D188" s="42">
        <f>(45.285+0.6*(2.75+2.75+2.75))*10.764</f>
        <v>540.72953999999993</v>
      </c>
      <c r="E188" s="42">
        <f>(2.7*2.75+1.3*6.2)*10.764</f>
        <v>166.68054000000001</v>
      </c>
      <c r="F188" s="42">
        <v>1041</v>
      </c>
      <c r="G188" s="221"/>
      <c r="H188" s="222"/>
      <c r="I188" s="36"/>
      <c r="K188" s="37">
        <f t="shared" si="11"/>
        <v>1.9251768638347373</v>
      </c>
      <c r="N188" s="36"/>
    </row>
    <row r="189" spans="1:14" s="37" customFormat="1" ht="15.75" customHeight="1" x14ac:dyDescent="0.3">
      <c r="A189" s="143">
        <f t="shared" si="14"/>
        <v>5</v>
      </c>
      <c r="B189" s="143"/>
      <c r="C189" s="42" t="s">
        <v>206</v>
      </c>
      <c r="D189" s="42">
        <f>(29.99+4.125+0.81+0.6*(2.2+2.75))*10.764</f>
        <v>407.90177999999992</v>
      </c>
      <c r="E189" s="42">
        <f>(2.7*2.75+1.8*2.2+2.75*1.8)*10.764</f>
        <v>175.82993999999999</v>
      </c>
      <c r="F189" s="42">
        <v>885</v>
      </c>
      <c r="G189" s="221"/>
      <c r="H189" s="222"/>
      <c r="I189" s="36"/>
      <c r="K189" s="37">
        <f t="shared" si="11"/>
        <v>2.1696399559717543</v>
      </c>
      <c r="N189" s="36"/>
    </row>
    <row r="190" spans="1:14" s="37" customFormat="1" ht="15.75" customHeight="1" x14ac:dyDescent="0.3">
      <c r="A190" s="143">
        <f t="shared" si="14"/>
        <v>6</v>
      </c>
      <c r="B190" s="143"/>
      <c r="C190" s="42" t="s">
        <v>206</v>
      </c>
      <c r="D190" s="42">
        <f>(29.99+4.125+0.81+0.6*(2.2+2.75))*10.764</f>
        <v>407.90177999999992</v>
      </c>
      <c r="E190" s="42">
        <f>(2.7*2.75+1.8*2.2+2.75*1.8)*10.764</f>
        <v>175.82993999999999</v>
      </c>
      <c r="F190" s="42">
        <v>885</v>
      </c>
      <c r="G190" s="221"/>
      <c r="H190" s="222"/>
      <c r="I190" s="36"/>
      <c r="N190" s="36"/>
    </row>
    <row r="191" spans="1:14" s="37" customFormat="1" ht="15.75" customHeight="1" x14ac:dyDescent="0.3">
      <c r="A191" s="143">
        <f t="shared" si="14"/>
        <v>7</v>
      </c>
      <c r="B191" s="143"/>
      <c r="C191" s="42" t="s">
        <v>206</v>
      </c>
      <c r="D191" s="42">
        <f>(29.99+4.125+0.81+0.6*(2.2+2.75))*10.764</f>
        <v>407.90177999999992</v>
      </c>
      <c r="E191" s="42">
        <f>(2.7*2.75+1.8*2.2+2.75*1.8)*10.764</f>
        <v>175.82993999999999</v>
      </c>
      <c r="F191" s="42">
        <v>885</v>
      </c>
      <c r="G191" s="221"/>
      <c r="H191" s="222"/>
      <c r="I191" s="36"/>
      <c r="N191" s="36"/>
    </row>
    <row r="192" spans="1:14" s="37" customFormat="1" x14ac:dyDescent="0.3">
      <c r="A192" s="146" t="s">
        <v>228</v>
      </c>
      <c r="B192" s="146"/>
      <c r="C192" s="146"/>
      <c r="D192" s="146"/>
      <c r="E192" s="146"/>
      <c r="F192" s="146"/>
      <c r="G192" s="146"/>
      <c r="H192" s="146"/>
      <c r="I192" s="36"/>
      <c r="L192" s="131"/>
      <c r="M192" s="131"/>
    </row>
    <row r="193" spans="1:14" s="37" customFormat="1" ht="15.75" customHeight="1" x14ac:dyDescent="0.3">
      <c r="A193" s="143">
        <v>1</v>
      </c>
      <c r="B193" s="143"/>
      <c r="C193" s="42" t="s">
        <v>206</v>
      </c>
      <c r="D193" s="42">
        <f>(29.99+3.85+0.81+0.6*(2.15+2.75))*10.764</f>
        <v>404.61875999999995</v>
      </c>
      <c r="E193" s="42">
        <v>0</v>
      </c>
      <c r="F193" s="42">
        <v>650</v>
      </c>
      <c r="G193" s="219" t="str">
        <f>A192</f>
        <v>2nd to 5th, 7th &amp; 9th to 12th Floor</v>
      </c>
      <c r="H193" s="220"/>
      <c r="I193" s="36"/>
      <c r="J193" s="37">
        <f>2.75*4.28+1.05*1.05+2.15*2.2+2.75*2.75+2.75*0.8+2.2/1.2+1.8*1.2+1*2.15</f>
        <v>33.508333333333333</v>
      </c>
      <c r="L193" s="37">
        <f>29.99+3.85+0.81</f>
        <v>34.65</v>
      </c>
      <c r="N193" s="36"/>
    </row>
    <row r="194" spans="1:14" s="37" customFormat="1" ht="15.75" customHeight="1" x14ac:dyDescent="0.3">
      <c r="A194" s="143">
        <f t="shared" ref="A194:A199" si="15">A193+1</f>
        <v>2</v>
      </c>
      <c r="B194" s="143"/>
      <c r="C194" s="42" t="s">
        <v>206</v>
      </c>
      <c r="D194" s="42">
        <f>(29.99+3.85+0.81+0.6*(2.15+2.75))*10.764</f>
        <v>404.61875999999995</v>
      </c>
      <c r="E194" s="42">
        <v>0</v>
      </c>
      <c r="F194" s="42">
        <v>650</v>
      </c>
      <c r="G194" s="221"/>
      <c r="H194" s="222"/>
      <c r="I194" s="36"/>
      <c r="N194" s="36"/>
    </row>
    <row r="195" spans="1:14" s="37" customFormat="1" ht="15.75" customHeight="1" x14ac:dyDescent="0.3">
      <c r="A195" s="143">
        <f t="shared" si="15"/>
        <v>3</v>
      </c>
      <c r="B195" s="143"/>
      <c r="C195" s="42" t="s">
        <v>207</v>
      </c>
      <c r="D195" s="42">
        <f>(45.285+0.6*(2.75+2.75+2.75))*10.764</f>
        <v>540.72953999999993</v>
      </c>
      <c r="E195" s="42">
        <v>0</v>
      </c>
      <c r="F195" s="42">
        <v>830</v>
      </c>
      <c r="G195" s="221"/>
      <c r="H195" s="222"/>
      <c r="I195" s="36"/>
      <c r="N195" s="36"/>
    </row>
    <row r="196" spans="1:14" s="37" customFormat="1" ht="15.75" customHeight="1" x14ac:dyDescent="0.3">
      <c r="A196" s="143">
        <f t="shared" si="15"/>
        <v>4</v>
      </c>
      <c r="B196" s="143"/>
      <c r="C196" s="42" t="s">
        <v>207</v>
      </c>
      <c r="D196" s="42">
        <f>(45.285+0.6*(2.75+2.75+2.75))*10.764</f>
        <v>540.72953999999993</v>
      </c>
      <c r="E196" s="42">
        <v>0</v>
      </c>
      <c r="F196" s="42">
        <v>830</v>
      </c>
      <c r="G196" s="221"/>
      <c r="H196" s="222"/>
      <c r="I196" s="36"/>
      <c r="N196" s="36"/>
    </row>
    <row r="197" spans="1:14" s="37" customFormat="1" ht="15.75" customHeight="1" x14ac:dyDescent="0.3">
      <c r="A197" s="143">
        <f t="shared" si="15"/>
        <v>5</v>
      </c>
      <c r="B197" s="143"/>
      <c r="C197" s="42" t="s">
        <v>206</v>
      </c>
      <c r="D197" s="42">
        <f>(29.99+4.125+0.81+0.6*(2.2+2.75))*10.764</f>
        <v>407.90177999999992</v>
      </c>
      <c r="E197" s="42">
        <v>0</v>
      </c>
      <c r="F197" s="42">
        <v>675</v>
      </c>
      <c r="G197" s="221"/>
      <c r="H197" s="222"/>
      <c r="I197" s="36"/>
      <c r="N197" s="36"/>
    </row>
    <row r="198" spans="1:14" s="37" customFormat="1" ht="15.75" customHeight="1" x14ac:dyDescent="0.3">
      <c r="A198" s="143">
        <f t="shared" si="15"/>
        <v>6</v>
      </c>
      <c r="B198" s="143"/>
      <c r="C198" s="42" t="s">
        <v>206</v>
      </c>
      <c r="D198" s="42">
        <f>(29.99+4.125+0.81+0.6*(2.2+2.75))*10.764</f>
        <v>407.90177999999992</v>
      </c>
      <c r="E198" s="42">
        <v>0</v>
      </c>
      <c r="F198" s="42">
        <v>675</v>
      </c>
      <c r="G198" s="221"/>
      <c r="H198" s="222"/>
      <c r="I198" s="36"/>
      <c r="N198" s="36"/>
    </row>
    <row r="199" spans="1:14" s="37" customFormat="1" ht="15.75" customHeight="1" x14ac:dyDescent="0.3">
      <c r="A199" s="143">
        <f t="shared" si="15"/>
        <v>7</v>
      </c>
      <c r="B199" s="143"/>
      <c r="C199" s="42" t="s">
        <v>206</v>
      </c>
      <c r="D199" s="42">
        <f>(29.99+4.125+0.81+0.6*(2.2+2.75))*10.764</f>
        <v>407.90177999999992</v>
      </c>
      <c r="E199" s="42">
        <v>0</v>
      </c>
      <c r="F199" s="42">
        <v>675</v>
      </c>
      <c r="G199" s="221"/>
      <c r="H199" s="222"/>
      <c r="I199" s="36"/>
      <c r="N199" s="36"/>
    </row>
    <row r="200" spans="1:14" s="37" customFormat="1" x14ac:dyDescent="0.3">
      <c r="A200" s="146" t="s">
        <v>229</v>
      </c>
      <c r="B200" s="146"/>
      <c r="C200" s="146"/>
      <c r="D200" s="146"/>
      <c r="E200" s="146"/>
      <c r="F200" s="146"/>
      <c r="G200" s="146"/>
      <c r="H200" s="146"/>
      <c r="I200" s="36"/>
      <c r="L200" s="131"/>
      <c r="M200" s="131"/>
    </row>
    <row r="201" spans="1:14" s="37" customFormat="1" ht="15.75" customHeight="1" x14ac:dyDescent="0.3">
      <c r="A201" s="143">
        <v>1</v>
      </c>
      <c r="B201" s="143"/>
      <c r="C201" s="42" t="s">
        <v>206</v>
      </c>
      <c r="D201" s="42">
        <f>(29.99+3.85+0.81+0.6*(2.15+2.75))*10.764</f>
        <v>404.61875999999995</v>
      </c>
      <c r="E201" s="42">
        <v>0</v>
      </c>
      <c r="F201" s="42">
        <v>650</v>
      </c>
      <c r="G201" s="219" t="str">
        <f>A200</f>
        <v>6th Floor</v>
      </c>
      <c r="H201" s="220"/>
      <c r="I201" s="36"/>
      <c r="J201" s="37">
        <f>2.75*4.28+1.05*1.05+2.15*2.2+2.75*2.75+2.75*0.8+2.2/1.2+1.8*1.2+1*2.15</f>
        <v>33.508333333333333</v>
      </c>
      <c r="L201" s="37">
        <f>29.99+3.85+0.81</f>
        <v>34.65</v>
      </c>
      <c r="N201" s="36"/>
    </row>
    <row r="202" spans="1:14" s="37" customFormat="1" ht="15.75" customHeight="1" x14ac:dyDescent="0.3">
      <c r="A202" s="143">
        <f t="shared" ref="A202:A207" si="16">A201+1</f>
        <v>2</v>
      </c>
      <c r="B202" s="143"/>
      <c r="C202" s="42" t="s">
        <v>206</v>
      </c>
      <c r="D202" s="42">
        <f>(29.99+3.85+0.81+0.6*(2.15+2.75))*10.764</f>
        <v>404.61875999999995</v>
      </c>
      <c r="E202" s="42">
        <v>0</v>
      </c>
      <c r="F202" s="42">
        <v>696</v>
      </c>
      <c r="G202" s="221"/>
      <c r="H202" s="222"/>
      <c r="I202" s="232" t="s">
        <v>231</v>
      </c>
      <c r="J202" s="233"/>
      <c r="K202" s="233"/>
      <c r="L202" s="233"/>
      <c r="N202" s="36"/>
    </row>
    <row r="203" spans="1:14" s="37" customFormat="1" ht="15.75" customHeight="1" x14ac:dyDescent="0.3">
      <c r="A203" s="143">
        <f t="shared" si="16"/>
        <v>3</v>
      </c>
      <c r="B203" s="143"/>
      <c r="C203" s="42" t="s">
        <v>207</v>
      </c>
      <c r="D203" s="42">
        <f>(45.285+0.6*(2.75+2.75+2.75))*10.764</f>
        <v>540.72953999999993</v>
      </c>
      <c r="E203" s="42">
        <v>0</v>
      </c>
      <c r="F203" s="42">
        <v>830</v>
      </c>
      <c r="G203" s="221"/>
      <c r="H203" s="222"/>
      <c r="I203" s="36"/>
      <c r="N203" s="36"/>
    </row>
    <row r="204" spans="1:14" s="37" customFormat="1" ht="15.75" customHeight="1" x14ac:dyDescent="0.3">
      <c r="A204" s="143">
        <f t="shared" si="16"/>
        <v>4</v>
      </c>
      <c r="B204" s="143"/>
      <c r="C204" s="42" t="s">
        <v>207</v>
      </c>
      <c r="D204" s="42">
        <f>(45.285+0.6*(2.75+2.75+2.75))*10.764</f>
        <v>540.72953999999993</v>
      </c>
      <c r="E204" s="42">
        <v>0</v>
      </c>
      <c r="F204" s="42">
        <v>830</v>
      </c>
      <c r="G204" s="221"/>
      <c r="H204" s="222"/>
      <c r="I204" s="36"/>
      <c r="N204" s="36"/>
    </row>
    <row r="205" spans="1:14" s="37" customFormat="1" ht="15.75" customHeight="1" x14ac:dyDescent="0.3">
      <c r="A205" s="143">
        <f t="shared" si="16"/>
        <v>5</v>
      </c>
      <c r="B205" s="143"/>
      <c r="C205" s="42" t="s">
        <v>206</v>
      </c>
      <c r="D205" s="42">
        <f>(29.99+4.125+0.81+0.6*(2.2+2.75))*10.764</f>
        <v>407.90177999999992</v>
      </c>
      <c r="E205" s="42">
        <v>0</v>
      </c>
      <c r="F205" s="42">
        <v>675</v>
      </c>
      <c r="G205" s="221"/>
      <c r="H205" s="222"/>
      <c r="I205" s="36"/>
      <c r="N205" s="36"/>
    </row>
    <row r="206" spans="1:14" s="37" customFormat="1" ht="15.75" customHeight="1" x14ac:dyDescent="0.3">
      <c r="A206" s="143">
        <f t="shared" si="16"/>
        <v>6</v>
      </c>
      <c r="B206" s="143"/>
      <c r="C206" s="42" t="s">
        <v>206</v>
      </c>
      <c r="D206" s="42">
        <f>(29.99+4.125+0.81+0.6*(2.2+2.75))*10.764</f>
        <v>407.90177999999992</v>
      </c>
      <c r="E206" s="42">
        <v>0</v>
      </c>
      <c r="F206" s="42">
        <v>675</v>
      </c>
      <c r="G206" s="221"/>
      <c r="H206" s="222"/>
      <c r="I206" s="36"/>
      <c r="N206" s="36"/>
    </row>
    <row r="207" spans="1:14" s="37" customFormat="1" ht="15.75" customHeight="1" x14ac:dyDescent="0.3">
      <c r="A207" s="143">
        <f t="shared" si="16"/>
        <v>7</v>
      </c>
      <c r="B207" s="143"/>
      <c r="C207" s="42" t="s">
        <v>206</v>
      </c>
      <c r="D207" s="42">
        <f>(29.99+4.125+0.81+0.6*(2.2+2.75))*10.764</f>
        <v>407.90177999999992</v>
      </c>
      <c r="E207" s="42">
        <v>0</v>
      </c>
      <c r="F207" s="42">
        <v>675</v>
      </c>
      <c r="G207" s="221"/>
      <c r="H207" s="222"/>
      <c r="I207" s="36"/>
      <c r="N207" s="36"/>
    </row>
    <row r="208" spans="1:14" s="37" customFormat="1" x14ac:dyDescent="0.3">
      <c r="A208" s="146" t="s">
        <v>209</v>
      </c>
      <c r="B208" s="146"/>
      <c r="C208" s="146"/>
      <c r="D208" s="146"/>
      <c r="E208" s="146"/>
      <c r="F208" s="146"/>
      <c r="G208" s="146"/>
      <c r="H208" s="146"/>
      <c r="I208" s="36"/>
      <c r="L208" s="131"/>
      <c r="M208" s="131"/>
    </row>
    <row r="209" spans="1:14" s="37" customFormat="1" ht="15.75" customHeight="1" x14ac:dyDescent="0.3">
      <c r="A209" s="143">
        <v>1</v>
      </c>
      <c r="B209" s="143"/>
      <c r="C209" s="42" t="s">
        <v>206</v>
      </c>
      <c r="D209" s="42">
        <f>(29.99+3.85+0.81+0.6*(2.15+2.75))*10.764</f>
        <v>404.61875999999995</v>
      </c>
      <c r="E209" s="42">
        <v>0</v>
      </c>
      <c r="F209" s="42">
        <v>650</v>
      </c>
      <c r="G209" s="221" t="str">
        <f>A208</f>
        <v>8th Floor (Part Refuge Area)</v>
      </c>
      <c r="H209" s="222"/>
      <c r="I209" s="36"/>
      <c r="N209" s="36"/>
    </row>
    <row r="210" spans="1:14" s="37" customFormat="1" ht="15.75" customHeight="1" x14ac:dyDescent="0.3">
      <c r="A210" s="143">
        <f>A209+1</f>
        <v>2</v>
      </c>
      <c r="B210" s="143"/>
      <c r="C210" s="42" t="s">
        <v>207</v>
      </c>
      <c r="D210" s="42">
        <f>(45.285+0.6*(2.75+2.75+2.75))*10.764</f>
        <v>540.72953999999993</v>
      </c>
      <c r="E210" s="42">
        <v>0</v>
      </c>
      <c r="F210" s="42">
        <v>830</v>
      </c>
      <c r="G210" s="221"/>
      <c r="H210" s="222"/>
      <c r="I210" s="36"/>
      <c r="N210" s="36"/>
    </row>
    <row r="211" spans="1:14" s="37" customFormat="1" ht="15.75" customHeight="1" x14ac:dyDescent="0.3">
      <c r="A211" s="143">
        <f>A210+1</f>
        <v>3</v>
      </c>
      <c r="B211" s="143"/>
      <c r="C211" s="42" t="s">
        <v>207</v>
      </c>
      <c r="D211" s="42">
        <f>(45.285+0.6*(2.75+2.75+2.75))*10.764</f>
        <v>540.72953999999993</v>
      </c>
      <c r="E211" s="42">
        <v>0</v>
      </c>
      <c r="F211" s="42">
        <v>830</v>
      </c>
      <c r="G211" s="221"/>
      <c r="H211" s="222"/>
      <c r="I211" s="36"/>
      <c r="N211" s="36"/>
    </row>
    <row r="212" spans="1:14" s="37" customFormat="1" ht="15.75" customHeight="1" x14ac:dyDescent="0.3">
      <c r="A212" s="143">
        <f>A211+1</f>
        <v>4</v>
      </c>
      <c r="B212" s="143"/>
      <c r="C212" s="42" t="s">
        <v>206</v>
      </c>
      <c r="D212" s="42">
        <f>(29.99+4.125+0.81+0.6*(2.2+2.75))*10.764</f>
        <v>407.90177999999992</v>
      </c>
      <c r="E212" s="42">
        <v>0</v>
      </c>
      <c r="F212" s="42">
        <v>675</v>
      </c>
      <c r="G212" s="221"/>
      <c r="H212" s="222"/>
      <c r="I212" s="36"/>
      <c r="N212" s="36"/>
    </row>
    <row r="213" spans="1:14" s="37" customFormat="1" ht="15.75" customHeight="1" x14ac:dyDescent="0.3">
      <c r="A213" s="143">
        <f>A212+1</f>
        <v>5</v>
      </c>
      <c r="B213" s="143"/>
      <c r="C213" s="42" t="s">
        <v>206</v>
      </c>
      <c r="D213" s="42">
        <f>(29.99+4.125+0.81+0.6*(2.2+2.75))*10.764</f>
        <v>407.90177999999992</v>
      </c>
      <c r="E213" s="42">
        <v>0</v>
      </c>
      <c r="F213" s="42">
        <v>675</v>
      </c>
      <c r="G213" s="221"/>
      <c r="H213" s="222"/>
      <c r="I213" s="36"/>
      <c r="N213" s="36"/>
    </row>
    <row r="214" spans="1:14" s="37" customFormat="1" ht="15.75" customHeight="1" x14ac:dyDescent="0.3">
      <c r="A214" s="143">
        <f>A213+1</f>
        <v>6</v>
      </c>
      <c r="B214" s="143"/>
      <c r="C214" s="42" t="s">
        <v>206</v>
      </c>
      <c r="D214" s="42">
        <f>(29.99+4.125+0.81+0.6*(2.2+2.75))*10.764</f>
        <v>407.90177999999992</v>
      </c>
      <c r="E214" s="42">
        <v>0</v>
      </c>
      <c r="F214" s="42">
        <v>675</v>
      </c>
      <c r="G214" s="221"/>
      <c r="H214" s="222"/>
      <c r="I214" s="36"/>
      <c r="N214" s="36"/>
    </row>
    <row r="215" spans="1:14" s="35" customFormat="1" x14ac:dyDescent="0.3">
      <c r="A215" s="138" t="s">
        <v>68</v>
      </c>
      <c r="B215" s="138"/>
      <c r="C215" s="138"/>
      <c r="D215" s="138"/>
      <c r="E215" s="138"/>
      <c r="F215" s="138"/>
      <c r="G215" s="138"/>
      <c r="H215" s="138"/>
    </row>
    <row r="216" spans="1:14" s="35" customFormat="1" x14ac:dyDescent="0.3">
      <c r="A216" s="45" t="s">
        <v>153</v>
      </c>
      <c r="B216" s="216" t="s">
        <v>226</v>
      </c>
      <c r="C216" s="217"/>
      <c r="D216" s="217"/>
      <c r="E216" s="217"/>
      <c r="F216" s="217"/>
      <c r="G216" s="217"/>
      <c r="H216" s="218"/>
    </row>
    <row r="217" spans="1:14" s="35" customFormat="1" x14ac:dyDescent="0.3">
      <c r="A217" s="45" t="s">
        <v>153</v>
      </c>
      <c r="B217" s="216" t="str">
        <f>(IF(F155="Saleable area Loading :","We have considered Saleable area of Flats as per our Calculation.","We considered Saleable area of Flat as per Builder area Sheet."))</f>
        <v>We considered Saleable area of Flat as per Builder area Sheet.</v>
      </c>
      <c r="C217" s="217"/>
      <c r="D217" s="217"/>
      <c r="E217" s="217"/>
      <c r="F217" s="217"/>
      <c r="G217" s="217"/>
      <c r="H217" s="218"/>
    </row>
    <row r="218" spans="1:14" s="35" customFormat="1" x14ac:dyDescent="0.3">
      <c r="A218" s="45" t="s">
        <v>153</v>
      </c>
      <c r="B218" s="216" t="str">
        <f>(IF(F125="Saleable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8" s="217"/>
      <c r="D218" s="217"/>
      <c r="E218" s="217"/>
      <c r="F218" s="217"/>
      <c r="G218" s="217"/>
      <c r="H218" s="218"/>
    </row>
    <row r="219" spans="1:14" s="35" customFormat="1" x14ac:dyDescent="0.3">
      <c r="A219" s="45" t="s">
        <v>153</v>
      </c>
      <c r="B219" s="135" t="s">
        <v>123</v>
      </c>
      <c r="C219" s="136"/>
      <c r="D219" s="136"/>
      <c r="E219" s="136"/>
      <c r="F219" s="136"/>
      <c r="G219" s="136"/>
      <c r="H219" s="137"/>
    </row>
    <row r="220" spans="1:14" s="35" customFormat="1" x14ac:dyDescent="0.3">
      <c r="A220" s="45" t="s">
        <v>153</v>
      </c>
      <c r="B220" s="135" t="s">
        <v>217</v>
      </c>
      <c r="C220" s="136"/>
      <c r="D220" s="136"/>
      <c r="E220" s="136"/>
      <c r="F220" s="136"/>
      <c r="G220" s="136"/>
      <c r="H220" s="137"/>
    </row>
    <row r="221" spans="1:14" s="35" customFormat="1" x14ac:dyDescent="0.3">
      <c r="A221" s="45" t="s">
        <v>153</v>
      </c>
      <c r="B221" s="135" t="s">
        <v>152</v>
      </c>
      <c r="C221" s="136"/>
      <c r="D221" s="136"/>
      <c r="E221" s="136"/>
      <c r="F221" s="136"/>
      <c r="G221" s="136"/>
      <c r="H221" s="137"/>
    </row>
    <row r="222" spans="1:14" s="35" customFormat="1" x14ac:dyDescent="0.3">
      <c r="A222" s="45" t="s">
        <v>153</v>
      </c>
      <c r="B222" s="135" t="s">
        <v>124</v>
      </c>
      <c r="C222" s="136"/>
      <c r="D222" s="136"/>
      <c r="E222" s="136"/>
      <c r="F222" s="136"/>
      <c r="G222" s="136"/>
      <c r="H222" s="137"/>
    </row>
    <row r="223" spans="1:14" s="35" customFormat="1" ht="30" customHeight="1" x14ac:dyDescent="0.3">
      <c r="A223" s="45" t="s">
        <v>153</v>
      </c>
      <c r="B223" s="135" t="s">
        <v>154</v>
      </c>
      <c r="C223" s="136"/>
      <c r="D223" s="136"/>
      <c r="E223" s="136"/>
      <c r="F223" s="136"/>
      <c r="G223" s="136"/>
      <c r="H223" s="137"/>
    </row>
    <row r="224" spans="1:14" s="35" customFormat="1" x14ac:dyDescent="0.3">
      <c r="A224" s="45" t="s">
        <v>153</v>
      </c>
      <c r="B224" s="135" t="s">
        <v>125</v>
      </c>
      <c r="C224" s="136"/>
      <c r="D224" s="136"/>
      <c r="E224" s="136"/>
      <c r="F224" s="136"/>
      <c r="G224" s="136"/>
      <c r="H224" s="137"/>
    </row>
    <row r="225" spans="1:15" s="35" customFormat="1" x14ac:dyDescent="0.3">
      <c r="A225" s="45" t="s">
        <v>153</v>
      </c>
      <c r="B225" s="193" t="s">
        <v>200</v>
      </c>
      <c r="C225" s="194"/>
      <c r="D225" s="194"/>
      <c r="E225" s="194"/>
      <c r="F225" s="194"/>
      <c r="G225" s="194"/>
      <c r="H225" s="194"/>
    </row>
    <row r="226" spans="1:15" s="35" customFormat="1" ht="15.75" customHeight="1" x14ac:dyDescent="0.3">
      <c r="A226" s="195"/>
      <c r="B226" s="198" t="s">
        <v>201</v>
      </c>
      <c r="C226" s="199"/>
      <c r="D226" s="199"/>
      <c r="E226" s="200"/>
      <c r="F226" s="198" t="s">
        <v>202</v>
      </c>
      <c r="G226" s="199"/>
      <c r="H226" s="199"/>
      <c r="I226" s="215"/>
      <c r="J226" s="215"/>
      <c r="K226" s="215"/>
      <c r="L226" s="215"/>
      <c r="M226" s="215"/>
      <c r="N226" s="215"/>
      <c r="O226" s="215"/>
    </row>
    <row r="227" spans="1:15" s="35" customFormat="1" x14ac:dyDescent="0.3">
      <c r="A227" s="196"/>
      <c r="B227" s="198" t="s">
        <v>203</v>
      </c>
      <c r="C227" s="199"/>
      <c r="D227" s="199"/>
      <c r="E227" s="200" t="s">
        <v>204</v>
      </c>
      <c r="F227" s="198" t="s">
        <v>210</v>
      </c>
      <c r="G227" s="199"/>
      <c r="H227" s="199"/>
      <c r="I227" s="215"/>
      <c r="J227" s="215"/>
      <c r="K227" s="215"/>
    </row>
    <row r="228" spans="1:15" s="35" customFormat="1" ht="15.75" customHeight="1" x14ac:dyDescent="0.3">
      <c r="A228" s="197"/>
      <c r="B228" s="198" t="s">
        <v>205</v>
      </c>
      <c r="C228" s="199"/>
      <c r="D228" s="199"/>
      <c r="E228" s="200" t="s">
        <v>204</v>
      </c>
      <c r="F228" s="198" t="s">
        <v>211</v>
      </c>
      <c r="G228" s="199"/>
      <c r="H228" s="199"/>
      <c r="I228" s="215"/>
      <c r="J228" s="215"/>
      <c r="K228" s="215"/>
    </row>
    <row r="229" spans="1:15" s="35" customFormat="1" ht="15.75" hidden="1" customHeight="1" x14ac:dyDescent="0.3">
      <c r="A229" s="45" t="s">
        <v>153</v>
      </c>
      <c r="B229" s="135" t="s">
        <v>218</v>
      </c>
      <c r="C229" s="136"/>
      <c r="D229" s="136"/>
      <c r="E229" s="136"/>
      <c r="F229" s="136"/>
      <c r="G229" s="136"/>
      <c r="H229" s="137"/>
    </row>
    <row r="230" spans="1:15" s="35" customFormat="1" ht="31.5" hidden="1" customHeight="1" x14ac:dyDescent="0.3">
      <c r="A230" s="45" t="s">
        <v>153</v>
      </c>
      <c r="B230" s="135" t="s">
        <v>219</v>
      </c>
      <c r="C230" s="136"/>
      <c r="D230" s="136"/>
      <c r="E230" s="136"/>
      <c r="F230" s="136"/>
      <c r="G230" s="136"/>
      <c r="H230" s="137"/>
    </row>
    <row r="231" spans="1:15" s="35" customFormat="1" x14ac:dyDescent="0.3">
      <c r="A231" s="45" t="s">
        <v>153</v>
      </c>
      <c r="B231" s="135" t="s">
        <v>242</v>
      </c>
      <c r="C231" s="136"/>
      <c r="D231" s="136"/>
      <c r="E231" s="136"/>
      <c r="F231" s="136"/>
      <c r="G231" s="136"/>
      <c r="H231" s="137"/>
    </row>
    <row r="232" spans="1:15" s="35" customFormat="1" ht="33" customHeight="1" x14ac:dyDescent="0.3">
      <c r="A232" s="64" t="s">
        <v>153</v>
      </c>
      <c r="B232" s="229" t="s">
        <v>232</v>
      </c>
      <c r="C232" s="230"/>
      <c r="D232" s="230"/>
      <c r="E232" s="230"/>
      <c r="F232" s="230"/>
      <c r="G232" s="230"/>
      <c r="H232" s="231"/>
    </row>
    <row r="233" spans="1:15" s="35" customFormat="1" x14ac:dyDescent="0.3">
      <c r="A233" s="45" t="s">
        <v>153</v>
      </c>
      <c r="B233" s="235" t="s">
        <v>239</v>
      </c>
      <c r="C233" s="236"/>
      <c r="D233" s="236"/>
      <c r="E233" s="236"/>
      <c r="F233" s="236"/>
      <c r="G233" s="236"/>
      <c r="H233" s="237"/>
    </row>
    <row r="234" spans="1:15" s="35" customFormat="1" x14ac:dyDescent="0.3">
      <c r="A234" s="45" t="s">
        <v>153</v>
      </c>
      <c r="B234" s="135" t="s">
        <v>240</v>
      </c>
      <c r="C234" s="136"/>
      <c r="D234" s="136"/>
      <c r="E234" s="136"/>
      <c r="F234" s="136"/>
      <c r="G234" s="136"/>
      <c r="H234" s="137"/>
    </row>
    <row r="235" spans="1:15" x14ac:dyDescent="0.3">
      <c r="A235" s="201" t="s">
        <v>61</v>
      </c>
      <c r="B235" s="201"/>
      <c r="C235" s="201"/>
      <c r="D235" s="201"/>
      <c r="E235" s="201"/>
      <c r="F235" s="201"/>
      <c r="G235" s="201"/>
      <c r="H235" s="201"/>
    </row>
    <row r="236" spans="1:15" x14ac:dyDescent="0.3">
      <c r="A236" s="105" t="s">
        <v>62</v>
      </c>
      <c r="B236" s="105"/>
      <c r="C236" s="105"/>
      <c r="D236" s="105"/>
      <c r="E236" s="105"/>
      <c r="F236" s="105"/>
      <c r="G236" s="105"/>
      <c r="H236" s="105"/>
    </row>
    <row r="237" spans="1:15" ht="15.75" customHeight="1" x14ac:dyDescent="0.3">
      <c r="A237" s="192" t="s">
        <v>63</v>
      </c>
      <c r="B237" s="192"/>
      <c r="C237" s="192"/>
      <c r="D237" s="192"/>
      <c r="E237" s="192"/>
      <c r="F237" s="192"/>
      <c r="G237" s="192"/>
      <c r="H237" s="192"/>
    </row>
    <row r="238" spans="1:15" x14ac:dyDescent="0.3">
      <c r="A238" s="105" t="s">
        <v>64</v>
      </c>
      <c r="B238" s="105"/>
      <c r="C238" s="105"/>
      <c r="D238" s="105"/>
      <c r="E238" s="105"/>
      <c r="F238" s="105"/>
      <c r="G238" s="105"/>
      <c r="H238" s="105"/>
    </row>
    <row r="239" spans="1:15" x14ac:dyDescent="0.3">
      <c r="A239" s="105" t="s">
        <v>65</v>
      </c>
      <c r="B239" s="105"/>
      <c r="C239" s="105"/>
      <c r="D239" s="105"/>
      <c r="E239" s="105"/>
      <c r="F239" s="105"/>
      <c r="G239" s="105"/>
      <c r="H239" s="105"/>
    </row>
    <row r="240" spans="1:15" hidden="1" x14ac:dyDescent="0.3">
      <c r="A240" s="105" t="s">
        <v>126</v>
      </c>
      <c r="B240" s="105"/>
      <c r="C240" s="105"/>
      <c r="D240" s="105"/>
      <c r="E240" s="105"/>
      <c r="F240" s="105"/>
      <c r="G240" s="105"/>
      <c r="H240" s="105"/>
    </row>
    <row r="241" spans="1:8" ht="36.75" hidden="1" customHeight="1" x14ac:dyDescent="0.3">
      <c r="A241" s="89" t="s">
        <v>127</v>
      </c>
      <c r="B241" s="89"/>
      <c r="C241" s="89"/>
      <c r="D241" s="89"/>
      <c r="E241" s="89"/>
      <c r="F241" s="89"/>
      <c r="G241" s="89"/>
      <c r="H241" s="89"/>
    </row>
    <row r="242" spans="1:8" x14ac:dyDescent="0.3">
      <c r="A242" s="191" t="s">
        <v>78</v>
      </c>
      <c r="B242" s="191"/>
      <c r="C242" s="191" t="s">
        <v>235</v>
      </c>
      <c r="D242" s="191"/>
      <c r="E242" s="191" t="s">
        <v>104</v>
      </c>
      <c r="F242" s="191"/>
      <c r="G242" s="191" t="s">
        <v>241</v>
      </c>
      <c r="H242" s="191"/>
    </row>
    <row r="243" spans="1:8" x14ac:dyDescent="0.3">
      <c r="A243" s="190" t="s">
        <v>80</v>
      </c>
      <c r="B243" s="190"/>
      <c r="C243" s="190"/>
      <c r="D243" s="190"/>
      <c r="E243" s="190"/>
      <c r="F243" s="190"/>
      <c r="G243" s="190"/>
      <c r="H243" s="190"/>
    </row>
    <row r="244" spans="1:8" x14ac:dyDescent="0.3">
      <c r="A244" s="190"/>
      <c r="B244" s="190"/>
      <c r="C244" s="190"/>
      <c r="D244" s="190"/>
      <c r="E244" s="190"/>
      <c r="F244" s="190"/>
      <c r="G244" s="190"/>
      <c r="H244" s="190"/>
    </row>
    <row r="245" spans="1:8" x14ac:dyDescent="0.3">
      <c r="A245" s="190"/>
      <c r="B245" s="190"/>
      <c r="C245" s="190"/>
      <c r="D245" s="190"/>
      <c r="E245" s="190"/>
      <c r="F245" s="190"/>
      <c r="G245" s="190"/>
      <c r="H245" s="190"/>
    </row>
    <row r="246" spans="1:8" x14ac:dyDescent="0.3">
      <c r="A246" s="190"/>
      <c r="B246" s="190"/>
      <c r="C246" s="190"/>
      <c r="D246" s="190"/>
      <c r="E246" s="190"/>
      <c r="F246" s="190"/>
      <c r="G246" s="190"/>
      <c r="H246" s="190"/>
    </row>
    <row r="247" spans="1:8" x14ac:dyDescent="0.3">
      <c r="A247" s="38" t="s">
        <v>66</v>
      </c>
      <c r="B247" s="39"/>
      <c r="C247" s="39"/>
      <c r="D247" s="38" t="str">
        <f>E8</f>
        <v>Imperial Tower I</v>
      </c>
      <c r="F247" s="39"/>
      <c r="G247" s="39"/>
      <c r="H247" s="39"/>
    </row>
    <row r="248" spans="1:8" x14ac:dyDescent="0.3">
      <c r="A248" s="39"/>
      <c r="B248" s="39"/>
      <c r="C248" s="39"/>
      <c r="D248" s="39"/>
      <c r="E248" s="39"/>
      <c r="F248" s="39"/>
      <c r="G248" s="39"/>
      <c r="H248" s="39"/>
    </row>
    <row r="249" spans="1:8" x14ac:dyDescent="0.3">
      <c r="A249" s="39"/>
      <c r="B249" s="39"/>
      <c r="C249" s="39"/>
      <c r="D249" s="39"/>
      <c r="E249" s="39"/>
      <c r="F249" s="39"/>
      <c r="G249" s="39"/>
      <c r="H249" s="39"/>
    </row>
    <row r="250" spans="1:8" ht="15" customHeight="1" x14ac:dyDescent="0.3"/>
    <row r="289" spans="1:8" hidden="1" x14ac:dyDescent="0.3">
      <c r="A289" s="38" t="s">
        <v>220</v>
      </c>
      <c r="B289" s="39"/>
      <c r="C289" s="39"/>
      <c r="D289" s="38"/>
      <c r="F289" s="39"/>
      <c r="G289" s="39"/>
      <c r="H289" s="39"/>
    </row>
    <row r="290" spans="1:8" hidden="1" x14ac:dyDescent="0.3">
      <c r="A290" s="39"/>
      <c r="B290" s="39"/>
      <c r="C290" s="39"/>
      <c r="D290" s="39"/>
      <c r="E290" s="39"/>
      <c r="F290" s="39"/>
      <c r="G290" s="39"/>
      <c r="H290" s="39"/>
    </row>
    <row r="291" spans="1:8" hidden="1" x14ac:dyDescent="0.3">
      <c r="A291" s="39"/>
      <c r="B291" s="39"/>
      <c r="C291" s="39"/>
      <c r="D291" s="39"/>
      <c r="E291" s="39"/>
      <c r="F291" s="39"/>
      <c r="G291" s="39"/>
      <c r="H291" s="39"/>
    </row>
    <row r="292" spans="1:8" ht="15" hidden="1" customHeight="1" x14ac:dyDescent="0.3"/>
    <row r="293" spans="1:8" hidden="1" x14ac:dyDescent="0.3"/>
    <row r="294" spans="1:8" hidden="1" x14ac:dyDescent="0.3"/>
    <row r="295" spans="1:8" hidden="1" x14ac:dyDescent="0.3"/>
    <row r="296" spans="1:8" hidden="1" x14ac:dyDescent="0.3"/>
    <row r="297" spans="1:8" hidden="1" x14ac:dyDescent="0.3"/>
    <row r="298" spans="1:8" hidden="1" x14ac:dyDescent="0.3"/>
    <row r="299" spans="1:8" hidden="1" x14ac:dyDescent="0.3"/>
    <row r="300" spans="1:8" hidden="1" x14ac:dyDescent="0.3"/>
    <row r="301" spans="1:8" hidden="1" x14ac:dyDescent="0.3"/>
    <row r="302" spans="1:8" hidden="1" x14ac:dyDescent="0.3"/>
    <row r="303" spans="1:8" hidden="1" x14ac:dyDescent="0.3"/>
    <row r="304" spans="1:8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spans="1:8" hidden="1" x14ac:dyDescent="0.3"/>
    <row r="322" spans="1:8" hidden="1" x14ac:dyDescent="0.3"/>
    <row r="323" spans="1:8" hidden="1" x14ac:dyDescent="0.3"/>
    <row r="324" spans="1:8" hidden="1" x14ac:dyDescent="0.3"/>
    <row r="325" spans="1:8" hidden="1" x14ac:dyDescent="0.3"/>
    <row r="326" spans="1:8" hidden="1" x14ac:dyDescent="0.3"/>
    <row r="327" spans="1:8" hidden="1" x14ac:dyDescent="0.3"/>
    <row r="328" spans="1:8" hidden="1" x14ac:dyDescent="0.3"/>
    <row r="329" spans="1:8" hidden="1" x14ac:dyDescent="0.3"/>
    <row r="330" spans="1:8" hidden="1" x14ac:dyDescent="0.3"/>
    <row r="331" spans="1:8" hidden="1" x14ac:dyDescent="0.3">
      <c r="A331" s="38" t="s">
        <v>221</v>
      </c>
      <c r="B331" s="39"/>
      <c r="C331" s="39"/>
      <c r="D331" s="38"/>
      <c r="F331" s="39"/>
      <c r="G331" s="39"/>
      <c r="H331" s="39"/>
    </row>
    <row r="332" spans="1:8" hidden="1" x14ac:dyDescent="0.3">
      <c r="A332" s="39"/>
      <c r="B332" s="39"/>
      <c r="C332" s="39"/>
      <c r="D332" s="39"/>
      <c r="E332" s="39"/>
      <c r="F332" s="39"/>
      <c r="G332" s="39"/>
      <c r="H332" s="39"/>
    </row>
    <row r="333" spans="1:8" hidden="1" x14ac:dyDescent="0.3">
      <c r="A333" s="39"/>
      <c r="B333" s="39"/>
      <c r="C333" s="39"/>
      <c r="D333" s="39"/>
      <c r="E333" s="39"/>
      <c r="F333" s="39"/>
      <c r="G333" s="39"/>
      <c r="H333" s="39"/>
    </row>
    <row r="334" spans="1:8" ht="15" hidden="1" customHeight="1" x14ac:dyDescent="0.3"/>
    <row r="335" spans="1:8" hidden="1" x14ac:dyDescent="0.3"/>
    <row r="336" spans="1:8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spans="1:8" hidden="1" x14ac:dyDescent="0.3"/>
    <row r="370" spans="1:8" hidden="1" x14ac:dyDescent="0.3"/>
    <row r="371" spans="1:8" hidden="1" x14ac:dyDescent="0.3"/>
    <row r="372" spans="1:8" hidden="1" x14ac:dyDescent="0.3"/>
    <row r="373" spans="1:8" hidden="1" x14ac:dyDescent="0.3">
      <c r="A373" s="38" t="s">
        <v>221</v>
      </c>
      <c r="B373" s="39"/>
      <c r="C373" s="39"/>
      <c r="D373" s="38"/>
      <c r="F373" s="39"/>
      <c r="G373" s="39"/>
      <c r="H373" s="39"/>
    </row>
    <row r="374" spans="1:8" hidden="1" x14ac:dyDescent="0.3">
      <c r="A374" s="39"/>
      <c r="B374" s="39"/>
      <c r="C374" s="39"/>
      <c r="D374" s="39"/>
      <c r="E374" s="39"/>
      <c r="F374" s="39"/>
      <c r="G374" s="39"/>
      <c r="H374" s="39"/>
    </row>
    <row r="375" spans="1:8" hidden="1" x14ac:dyDescent="0.3">
      <c r="A375" s="39"/>
      <c r="B375" s="39"/>
      <c r="C375" s="39"/>
      <c r="D375" s="39"/>
      <c r="E375" s="39"/>
      <c r="F375" s="39"/>
      <c r="G375" s="39"/>
      <c r="H375" s="39"/>
    </row>
    <row r="376" spans="1:8" ht="15" hidden="1" customHeight="1" x14ac:dyDescent="0.3"/>
    <row r="377" spans="1:8" hidden="1" x14ac:dyDescent="0.3"/>
    <row r="378" spans="1:8" hidden="1" x14ac:dyDescent="0.3"/>
    <row r="379" spans="1:8" hidden="1" x14ac:dyDescent="0.3"/>
    <row r="380" spans="1:8" hidden="1" x14ac:dyDescent="0.3"/>
    <row r="381" spans="1:8" hidden="1" x14ac:dyDescent="0.3"/>
    <row r="382" spans="1:8" hidden="1" x14ac:dyDescent="0.3"/>
    <row r="383" spans="1:8" hidden="1" x14ac:dyDescent="0.3"/>
    <row r="384" spans="1:8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spans="1:1" hidden="1" x14ac:dyDescent="0.3"/>
    <row r="402" spans="1:1" hidden="1" x14ac:dyDescent="0.3"/>
    <row r="403" spans="1:1" hidden="1" x14ac:dyDescent="0.3"/>
    <row r="404" spans="1:1" hidden="1" x14ac:dyDescent="0.3"/>
    <row r="405" spans="1:1" hidden="1" x14ac:dyDescent="0.3"/>
    <row r="406" spans="1:1" hidden="1" x14ac:dyDescent="0.3"/>
    <row r="407" spans="1:1" hidden="1" x14ac:dyDescent="0.3"/>
    <row r="408" spans="1:1" hidden="1" x14ac:dyDescent="0.3"/>
    <row r="409" spans="1:1" hidden="1" x14ac:dyDescent="0.3"/>
    <row r="410" spans="1:1" hidden="1" x14ac:dyDescent="0.3"/>
    <row r="411" spans="1:1" hidden="1" x14ac:dyDescent="0.3"/>
    <row r="412" spans="1:1" hidden="1" x14ac:dyDescent="0.3"/>
    <row r="413" spans="1:1" hidden="1" x14ac:dyDescent="0.3"/>
    <row r="414" spans="1:1" hidden="1" x14ac:dyDescent="0.3"/>
    <row r="415" spans="1:1" x14ac:dyDescent="0.3">
      <c r="A415" s="41" t="s">
        <v>165</v>
      </c>
    </row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spans="1:1" hidden="1" x14ac:dyDescent="0.3"/>
    <row r="450" spans="1:1" hidden="1" x14ac:dyDescent="0.3"/>
    <row r="451" spans="1:1" hidden="1" x14ac:dyDescent="0.3"/>
    <row r="452" spans="1:1" hidden="1" x14ac:dyDescent="0.3"/>
    <row r="453" spans="1:1" hidden="1" x14ac:dyDescent="0.3"/>
    <row r="454" spans="1:1" hidden="1" x14ac:dyDescent="0.3"/>
    <row r="455" spans="1:1" hidden="1" x14ac:dyDescent="0.3"/>
    <row r="456" spans="1:1" hidden="1" x14ac:dyDescent="0.3"/>
    <row r="457" spans="1:1" hidden="1" x14ac:dyDescent="0.3"/>
    <row r="458" spans="1:1" hidden="1" x14ac:dyDescent="0.3"/>
    <row r="459" spans="1:1" x14ac:dyDescent="0.3">
      <c r="A459" s="41" t="s">
        <v>67</v>
      </c>
    </row>
  </sheetData>
  <mergeCells count="444">
    <mergeCell ref="B234:H234"/>
    <mergeCell ref="B232:H232"/>
    <mergeCell ref="A200:H200"/>
    <mergeCell ref="L200:M200"/>
    <mergeCell ref="A201:B201"/>
    <mergeCell ref="G201:H207"/>
    <mergeCell ref="A202:B202"/>
    <mergeCell ref="A203:B203"/>
    <mergeCell ref="A204:B204"/>
    <mergeCell ref="A205:B205"/>
    <mergeCell ref="A206:B206"/>
    <mergeCell ref="A207:B207"/>
    <mergeCell ref="I202:L202"/>
    <mergeCell ref="L208:M208"/>
    <mergeCell ref="G209:H214"/>
    <mergeCell ref="A209:B209"/>
    <mergeCell ref="A210:B210"/>
    <mergeCell ref="A211:B211"/>
    <mergeCell ref="A212:B212"/>
    <mergeCell ref="A213:B213"/>
    <mergeCell ref="I226:K226"/>
    <mergeCell ref="L226:O226"/>
    <mergeCell ref="B227:E227"/>
    <mergeCell ref="F227:H227"/>
    <mergeCell ref="I227:K227"/>
    <mergeCell ref="A98:E98"/>
    <mergeCell ref="F98:H98"/>
    <mergeCell ref="A99:E99"/>
    <mergeCell ref="F99:H99"/>
    <mergeCell ref="A100:E100"/>
    <mergeCell ref="F100:H100"/>
    <mergeCell ref="A101:E101"/>
    <mergeCell ref="F101:H101"/>
    <mergeCell ref="A208:H208"/>
    <mergeCell ref="A192:H192"/>
    <mergeCell ref="A127:H127"/>
    <mergeCell ref="G153:H153"/>
    <mergeCell ref="E122:F122"/>
    <mergeCell ref="G122:H122"/>
    <mergeCell ref="E125:E126"/>
    <mergeCell ref="A117:H117"/>
    <mergeCell ref="E118:F118"/>
    <mergeCell ref="G131:H131"/>
    <mergeCell ref="G129:H129"/>
    <mergeCell ref="A154:H154"/>
    <mergeCell ref="A168:B168"/>
    <mergeCell ref="A169:B169"/>
    <mergeCell ref="A120:B120"/>
    <mergeCell ref="C120:D120"/>
    <mergeCell ref="L157:M157"/>
    <mergeCell ref="G158:H165"/>
    <mergeCell ref="A165:B165"/>
    <mergeCell ref="A184:H184"/>
    <mergeCell ref="L184:M184"/>
    <mergeCell ref="A185:B185"/>
    <mergeCell ref="G185:H191"/>
    <mergeCell ref="A186:B186"/>
    <mergeCell ref="A187:B187"/>
    <mergeCell ref="A188:B188"/>
    <mergeCell ref="A189:B189"/>
    <mergeCell ref="A190:B190"/>
    <mergeCell ref="A191:B191"/>
    <mergeCell ref="A175:H175"/>
    <mergeCell ref="L175:M175"/>
    <mergeCell ref="G176:H182"/>
    <mergeCell ref="A176:B176"/>
    <mergeCell ref="A177:B177"/>
    <mergeCell ref="A178:B178"/>
    <mergeCell ref="A179:B179"/>
    <mergeCell ref="A180:B180"/>
    <mergeCell ref="A181:B181"/>
    <mergeCell ref="A182:B182"/>
    <mergeCell ref="A171:B171"/>
    <mergeCell ref="L192:M192"/>
    <mergeCell ref="A193:B193"/>
    <mergeCell ref="G193:H199"/>
    <mergeCell ref="A194:B194"/>
    <mergeCell ref="A195:B195"/>
    <mergeCell ref="A196:B196"/>
    <mergeCell ref="A197:B197"/>
    <mergeCell ref="A198:B198"/>
    <mergeCell ref="A199:B199"/>
    <mergeCell ref="B228:E228"/>
    <mergeCell ref="F228:H228"/>
    <mergeCell ref="I228:K228"/>
    <mergeCell ref="A214:B214"/>
    <mergeCell ref="B222:H222"/>
    <mergeCell ref="B218:H218"/>
    <mergeCell ref="B216:H216"/>
    <mergeCell ref="B217:H217"/>
    <mergeCell ref="L153:M153"/>
    <mergeCell ref="A172:B172"/>
    <mergeCell ref="A173:B173"/>
    <mergeCell ref="A174:B174"/>
    <mergeCell ref="G167:H174"/>
    <mergeCell ref="A156:H156"/>
    <mergeCell ref="A158:B158"/>
    <mergeCell ref="A159:B159"/>
    <mergeCell ref="A160:B160"/>
    <mergeCell ref="A161:B161"/>
    <mergeCell ref="A162:B162"/>
    <mergeCell ref="A163:B163"/>
    <mergeCell ref="A164:B164"/>
    <mergeCell ref="A157:H157"/>
    <mergeCell ref="G155:H155"/>
    <mergeCell ref="A153:B153"/>
    <mergeCell ref="L149:M149"/>
    <mergeCell ref="A150:B150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A149:B149"/>
    <mergeCell ref="G149:H149"/>
    <mergeCell ref="L145:M145"/>
    <mergeCell ref="A146:B146"/>
    <mergeCell ref="G146:H146"/>
    <mergeCell ref="L146:M146"/>
    <mergeCell ref="A147:B147"/>
    <mergeCell ref="G147:H147"/>
    <mergeCell ref="L147:M147"/>
    <mergeCell ref="A148:B148"/>
    <mergeCell ref="G148:H148"/>
    <mergeCell ref="L148:M148"/>
    <mergeCell ref="A145:B145"/>
    <mergeCell ref="G145:H145"/>
    <mergeCell ref="L141:M141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A141:B141"/>
    <mergeCell ref="G141:H141"/>
    <mergeCell ref="L137:M137"/>
    <mergeCell ref="A138:B138"/>
    <mergeCell ref="G138:H138"/>
    <mergeCell ref="L138:M138"/>
    <mergeCell ref="A139:B139"/>
    <mergeCell ref="G139:H139"/>
    <mergeCell ref="L139:M139"/>
    <mergeCell ref="A140:B140"/>
    <mergeCell ref="G140:H140"/>
    <mergeCell ref="L140:M140"/>
    <mergeCell ref="L133:M133"/>
    <mergeCell ref="A134:B134"/>
    <mergeCell ref="G134:H134"/>
    <mergeCell ref="L134:M134"/>
    <mergeCell ref="A135:B135"/>
    <mergeCell ref="G135:H135"/>
    <mergeCell ref="L135:M135"/>
    <mergeCell ref="A136:B136"/>
    <mergeCell ref="G136:H136"/>
    <mergeCell ref="L136:M136"/>
    <mergeCell ref="F96:H96"/>
    <mergeCell ref="G116:H116"/>
    <mergeCell ref="A133:B133"/>
    <mergeCell ref="G133:H133"/>
    <mergeCell ref="A137:B137"/>
    <mergeCell ref="G137:H137"/>
    <mergeCell ref="A102:H102"/>
    <mergeCell ref="A107:H107"/>
    <mergeCell ref="A108:E108"/>
    <mergeCell ref="F108:H108"/>
    <mergeCell ref="A109:E109"/>
    <mergeCell ref="F109:H109"/>
    <mergeCell ref="A110:E110"/>
    <mergeCell ref="C115:D115"/>
    <mergeCell ref="A124:H124"/>
    <mergeCell ref="G115:H115"/>
    <mergeCell ref="B125:B126"/>
    <mergeCell ref="A125:A126"/>
    <mergeCell ref="C121:D121"/>
    <mergeCell ref="E115:F115"/>
    <mergeCell ref="A115:B115"/>
    <mergeCell ref="A123:H123"/>
    <mergeCell ref="A122:B122"/>
    <mergeCell ref="C122:D122"/>
    <mergeCell ref="A43:D43"/>
    <mergeCell ref="E43:H43"/>
    <mergeCell ref="E44:H44"/>
    <mergeCell ref="E45:H45"/>
    <mergeCell ref="E46:H46"/>
    <mergeCell ref="A53:B53"/>
    <mergeCell ref="C53:E53"/>
    <mergeCell ref="C67:H67"/>
    <mergeCell ref="A69:B69"/>
    <mergeCell ref="C69:H69"/>
    <mergeCell ref="A44:D44"/>
    <mergeCell ref="A63:C63"/>
    <mergeCell ref="D63:H63"/>
    <mergeCell ref="A66:C66"/>
    <mergeCell ref="D66:H66"/>
    <mergeCell ref="A54:H54"/>
    <mergeCell ref="A243:H246"/>
    <mergeCell ref="A242:B242"/>
    <mergeCell ref="E242:F242"/>
    <mergeCell ref="C242:D242"/>
    <mergeCell ref="G242:H242"/>
    <mergeCell ref="B219:H219"/>
    <mergeCell ref="B223:H223"/>
    <mergeCell ref="B221:H221"/>
    <mergeCell ref="A240:H240"/>
    <mergeCell ref="A237:H237"/>
    <mergeCell ref="B225:H225"/>
    <mergeCell ref="A226:A228"/>
    <mergeCell ref="B226:E226"/>
    <mergeCell ref="F226:H226"/>
    <mergeCell ref="B229:H229"/>
    <mergeCell ref="B230:H230"/>
    <mergeCell ref="B231:H231"/>
    <mergeCell ref="A238:H238"/>
    <mergeCell ref="A241:H241"/>
    <mergeCell ref="A239:H239"/>
    <mergeCell ref="A235:H235"/>
    <mergeCell ref="A236:H236"/>
    <mergeCell ref="B224:H224"/>
    <mergeCell ref="B233:H233"/>
    <mergeCell ref="E120:F120"/>
    <mergeCell ref="G120:H120"/>
    <mergeCell ref="C118:D118"/>
    <mergeCell ref="G118:H118"/>
    <mergeCell ref="G130:H130"/>
    <mergeCell ref="G132:H132"/>
    <mergeCell ref="A167:B167"/>
    <mergeCell ref="A118:B118"/>
    <mergeCell ref="A128:H12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D56:H56"/>
    <mergeCell ref="G53:H53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A17:B17"/>
    <mergeCell ref="C17:H17"/>
    <mergeCell ref="A12:D12"/>
    <mergeCell ref="E12:H12"/>
    <mergeCell ref="E42:H42"/>
    <mergeCell ref="A42:D42"/>
    <mergeCell ref="C52:H52"/>
    <mergeCell ref="A50:B50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A61:C61"/>
    <mergeCell ref="C32:E32"/>
    <mergeCell ref="F35:H35"/>
    <mergeCell ref="F32:H32"/>
    <mergeCell ref="A33:B33"/>
    <mergeCell ref="F33:H33"/>
    <mergeCell ref="F34:H34"/>
    <mergeCell ref="A40:H40"/>
    <mergeCell ref="A60:C60"/>
    <mergeCell ref="D60:H60"/>
    <mergeCell ref="A49:B49"/>
    <mergeCell ref="C49:E49"/>
    <mergeCell ref="G49:H49"/>
    <mergeCell ref="G51:H51"/>
    <mergeCell ref="D55:H55"/>
    <mergeCell ref="C51:E51"/>
    <mergeCell ref="A58:C59"/>
    <mergeCell ref="F36:H36"/>
    <mergeCell ref="D61:H61"/>
    <mergeCell ref="A38:B38"/>
    <mergeCell ref="C38:H38"/>
    <mergeCell ref="A45:D45"/>
    <mergeCell ref="G125:H126"/>
    <mergeCell ref="G121:H121"/>
    <mergeCell ref="A116:B116"/>
    <mergeCell ref="C116:D116"/>
    <mergeCell ref="E116:F116"/>
    <mergeCell ref="A114:H114"/>
    <mergeCell ref="A112:E112"/>
    <mergeCell ref="F112:H112"/>
    <mergeCell ref="A113:E113"/>
    <mergeCell ref="F113:H113"/>
    <mergeCell ref="F110:H110"/>
    <mergeCell ref="A111:E111"/>
    <mergeCell ref="F111:H111"/>
    <mergeCell ref="A95:E95"/>
    <mergeCell ref="A46:D46"/>
    <mergeCell ref="A47:H47"/>
    <mergeCell ref="D57:H57"/>
    <mergeCell ref="A57:C57"/>
    <mergeCell ref="G50:H50"/>
    <mergeCell ref="A55:C55"/>
    <mergeCell ref="A56:C56"/>
    <mergeCell ref="L166:M166"/>
    <mergeCell ref="A183:H183"/>
    <mergeCell ref="B220:H220"/>
    <mergeCell ref="A215:H215"/>
    <mergeCell ref="C125:C126"/>
    <mergeCell ref="A132:B132"/>
    <mergeCell ref="A170:B170"/>
    <mergeCell ref="A131:B131"/>
    <mergeCell ref="F104:H104"/>
    <mergeCell ref="A105:E105"/>
    <mergeCell ref="A106:E106"/>
    <mergeCell ref="D125:D126"/>
    <mergeCell ref="A129:B129"/>
    <mergeCell ref="A130:B130"/>
    <mergeCell ref="L132:M132"/>
    <mergeCell ref="L131:M131"/>
    <mergeCell ref="L130:M130"/>
    <mergeCell ref="L129:M129"/>
    <mergeCell ref="C119:D119"/>
    <mergeCell ref="E119:F119"/>
    <mergeCell ref="G119:H119"/>
    <mergeCell ref="F105:H105"/>
    <mergeCell ref="A166:H166"/>
    <mergeCell ref="A119:B119"/>
    <mergeCell ref="A103:E103"/>
    <mergeCell ref="F95:H95"/>
    <mergeCell ref="F103:H103"/>
    <mergeCell ref="F106:H106"/>
    <mergeCell ref="A121:B121"/>
    <mergeCell ref="E121:F121"/>
    <mergeCell ref="A39:B39"/>
    <mergeCell ref="C39:H39"/>
    <mergeCell ref="A48:B48"/>
    <mergeCell ref="C48:H48"/>
    <mergeCell ref="F97:H97"/>
    <mergeCell ref="A97:E97"/>
    <mergeCell ref="A104:E104"/>
    <mergeCell ref="A92:B92"/>
    <mergeCell ref="A96:E96"/>
    <mergeCell ref="A81:B81"/>
    <mergeCell ref="C81:H81"/>
    <mergeCell ref="A89:B89"/>
    <mergeCell ref="A67:B67"/>
    <mergeCell ref="D64:H64"/>
    <mergeCell ref="A65:C65"/>
    <mergeCell ref="D65:H65"/>
    <mergeCell ref="A62:C62"/>
    <mergeCell ref="C50:E50"/>
    <mergeCell ref="A87:B87"/>
    <mergeCell ref="A90:B90"/>
    <mergeCell ref="A91:B91"/>
    <mergeCell ref="A71:B71"/>
    <mergeCell ref="E71:F80"/>
    <mergeCell ref="E85:F94"/>
    <mergeCell ref="A51:B52"/>
    <mergeCell ref="A64:C64"/>
    <mergeCell ref="D58:H58"/>
    <mergeCell ref="D59:H59"/>
    <mergeCell ref="A85:B85"/>
    <mergeCell ref="G84:H84"/>
    <mergeCell ref="D62:H62"/>
    <mergeCell ref="C83:H83"/>
    <mergeCell ref="A70:B70"/>
    <mergeCell ref="E70:F70"/>
    <mergeCell ref="G70:H70"/>
    <mergeCell ref="G85:H94"/>
    <mergeCell ref="A93:B93"/>
    <mergeCell ref="A94:B94"/>
    <mergeCell ref="A86:B86"/>
    <mergeCell ref="A88:B88"/>
    <mergeCell ref="E84:F84"/>
    <mergeCell ref="G71:H80"/>
    <mergeCell ref="A83:B83"/>
    <mergeCell ref="A84:B84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13" max="7" man="1"/>
    <brk id="246" max="16383" man="1"/>
    <brk id="414" max="16383" man="1"/>
    <brk id="45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34" t="s">
        <v>105</v>
      </c>
      <c r="C3" s="234"/>
      <c r="D3" s="234"/>
      <c r="E3" s="234"/>
      <c r="F3" s="234"/>
      <c r="G3" s="234"/>
      <c r="H3" s="234"/>
    </row>
    <row r="4" spans="1:9" x14ac:dyDescent="0.3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2025-08-13T12:46:47Z</cp:lastPrinted>
  <dcterms:created xsi:type="dcterms:W3CDTF">2019-07-16T09:29:46Z</dcterms:created>
  <dcterms:modified xsi:type="dcterms:W3CDTF">2025-08-13T12:47:59Z</dcterms:modified>
</cp:coreProperties>
</file>