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K:\VSJ Work\Aug 25\Axis Dump\"/>
    </mc:Choice>
  </mc:AlternateContent>
  <xr:revisionPtr revIDLastSave="0" documentId="13_ncr:1_{0FD9FF69-1031-4A8A-B8A9-F582F8488D4C}"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Report!$A$1:$H$288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1" l="1"/>
  <c r="D134" i="1"/>
  <c r="E133" i="1"/>
  <c r="D133" i="1"/>
  <c r="E131" i="1"/>
  <c r="D131" i="1"/>
  <c r="D130" i="1"/>
  <c r="D128" i="1"/>
  <c r="F128" i="1" s="1"/>
  <c r="H128" i="1" s="1"/>
  <c r="E127" i="1"/>
  <c r="D127" i="1"/>
  <c r="E126" i="1"/>
  <c r="D126" i="1"/>
  <c r="E125" i="1"/>
  <c r="D125" i="1"/>
  <c r="D124" i="1"/>
  <c r="D118" i="1"/>
  <c r="D117" i="1"/>
  <c r="D116" i="1"/>
  <c r="D115" i="1"/>
  <c r="J115" i="1" s="1"/>
  <c r="A131" i="1"/>
  <c r="A132" i="1" s="1"/>
  <c r="A133" i="1" s="1"/>
  <c r="A134" i="1" s="1"/>
  <c r="I126" i="1"/>
  <c r="I124" i="1"/>
  <c r="J128" i="1" l="1"/>
  <c r="I116" i="1"/>
  <c r="I115" i="1"/>
  <c r="G51" i="1"/>
  <c r="G52" i="1" s="1"/>
  <c r="E43" i="1"/>
  <c r="F116" i="1" l="1"/>
  <c r="H116" i="1" s="1"/>
  <c r="F117" i="1"/>
  <c r="F118" i="1"/>
  <c r="H118" i="1" s="1"/>
  <c r="F115" i="1"/>
  <c r="H117" i="1" l="1"/>
  <c r="J117" i="1"/>
  <c r="H115" i="1"/>
  <c r="G102" i="1" s="1"/>
  <c r="G103" i="1" s="1"/>
  <c r="E102" i="1"/>
  <c r="E103" i="1" s="1"/>
  <c r="C102" i="1"/>
  <c r="C103" i="1" s="1"/>
  <c r="B138" i="1"/>
  <c r="G58" i="1" l="1"/>
  <c r="C58" i="1"/>
  <c r="G56" i="1"/>
  <c r="C56" i="1"/>
  <c r="C54" i="1"/>
  <c r="S33" i="1" l="1"/>
  <c r="F11" i="5" l="1"/>
  <c r="G11" i="5" s="1"/>
  <c r="F10" i="5"/>
  <c r="G10" i="5" s="1"/>
  <c r="F9" i="5"/>
  <c r="G9" i="5" s="1"/>
  <c r="F8" i="5"/>
  <c r="G8" i="5" s="1"/>
  <c r="F7" i="5"/>
  <c r="G7" i="5" s="1"/>
  <c r="F6" i="5"/>
  <c r="G6" i="5" s="1"/>
  <c r="F5" i="5"/>
  <c r="G5" i="5" s="1"/>
  <c r="G12" i="5" s="1"/>
  <c r="D160" i="1"/>
  <c r="B139" i="1"/>
  <c r="F134" i="1"/>
  <c r="H134" i="1" s="1"/>
  <c r="F133" i="1"/>
  <c r="H133" i="1" s="1"/>
  <c r="F131" i="1"/>
  <c r="H131" i="1" s="1"/>
  <c r="F130" i="1"/>
  <c r="H130" i="1" s="1"/>
  <c r="F127" i="1"/>
  <c r="F126" i="1"/>
  <c r="F125" i="1"/>
  <c r="A125" i="1"/>
  <c r="A126" i="1" s="1"/>
  <c r="A127" i="1" s="1"/>
  <c r="A128" i="1" s="1"/>
  <c r="F124" i="1"/>
  <c r="A116" i="1"/>
  <c r="A117" i="1" s="1"/>
  <c r="A118" i="1" s="1"/>
  <c r="F99" i="1"/>
  <c r="C73" i="1"/>
  <c r="D62" i="1"/>
  <c r="C51" i="1"/>
  <c r="E44" i="1"/>
  <c r="E45" i="1" s="1"/>
  <c r="E31" i="1"/>
  <c r="E28" i="1"/>
  <c r="E26" i="1"/>
  <c r="C16" i="1"/>
  <c r="I15" i="1"/>
  <c r="Z13" i="1"/>
  <c r="E3" i="1"/>
  <c r="H74" i="1"/>
  <c r="J124" i="1" l="1"/>
  <c r="E106" i="1"/>
  <c r="E107" i="1" s="1"/>
  <c r="E108" i="1" s="1"/>
  <c r="H125" i="1"/>
  <c r="K125" i="1" s="1"/>
  <c r="J125" i="1"/>
  <c r="H126" i="1"/>
  <c r="J126" i="1"/>
  <c r="H127" i="1"/>
  <c r="J127" i="1"/>
  <c r="H124" i="1"/>
  <c r="C106" i="1"/>
  <c r="C107" i="1" s="1"/>
  <c r="C108" i="1" s="1"/>
  <c r="J73" i="1"/>
  <c r="J75" i="1" s="1"/>
  <c r="J76" i="1"/>
  <c r="J77" i="1"/>
  <c r="J78" i="1"/>
  <c r="C77" i="1" s="1"/>
  <c r="D81" i="1"/>
  <c r="D83" i="1"/>
  <c r="D82" i="1"/>
  <c r="D86" i="1"/>
  <c r="D80" i="1"/>
  <c r="D85" i="1"/>
  <c r="D79" i="1"/>
  <c r="D84" i="1"/>
  <c r="B74" i="1"/>
  <c r="J79" i="1" s="1"/>
  <c r="G106" i="1" l="1"/>
  <c r="G107" i="1" s="1"/>
  <c r="G108" i="1" s="1"/>
  <c r="D77" i="1"/>
  <c r="J83" i="1"/>
  <c r="J81" i="1"/>
  <c r="J82" i="1"/>
  <c r="J80" i="1"/>
  <c r="J85" i="1" s="1"/>
  <c r="J86" i="1" s="1"/>
  <c r="C78" i="1" s="1"/>
  <c r="J84" i="1"/>
  <c r="J74" i="1" l="1"/>
  <c r="E77" i="1"/>
  <c r="D78" i="1"/>
  <c r="I74" i="1" s="1"/>
  <c r="G77" i="1"/>
  <c r="F72" i="1" l="1"/>
  <c r="D72" i="1"/>
  <c r="I75" i="1"/>
  <c r="I73" i="1" s="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                       Proposed Builtup Area
Approved No. of Floors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<sst xmlns="http://schemas.openxmlformats.org/spreadsheetml/2006/main" count="531" uniqueCount="343">
  <si>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</si>
  <si>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</si>
  <si>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</si>
  <si>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</si>
  <si>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</si>
  <si>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</si>
  <si>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</si>
  <si>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</si>
  <si>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</si>
  <si>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</si>
  <si>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</si>
  <si>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</si>
  <si>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</si>
  <si>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</si>
  <si>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</si>
  <si>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</si>
  <si>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</si>
  <si>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</si>
  <si>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</si>
  <si>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</si>
  <si>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</si>
  <si>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</si>
  <si>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</si>
  <si>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</si>
  <si>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</si>
  <si>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</si>
  <si>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</si>
  <si>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</si>
  <si>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</si>
  <si>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</si>
  <si>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</si>
  <si>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</si>
  <si>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</si>
  <si>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</si>
  <si>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</si>
  <si>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</si>
  <si>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</si>
  <si>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</si>
  <si>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</si>
  <si>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</si>
  <si>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</si>
  <si>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</si>
  <si>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</si>
  <si>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</si>
  <si>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</si>
  <si>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</si>
  <si>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</si>
  <si>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</si>
  <si>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</si>
  <si>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</si>
  <si>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</si>
  <si>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</si>
  <si>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</si>
  <si>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</si>
  <si>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</si>
  <si>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</si>
  <si>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</si>
  <si>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</si>
  <si>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</si>
  <si>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</si>
  <si>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</si>
  <si>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</si>
  <si>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</si>
  <si>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</si>
  <si>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</si>
  <si>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</si>
  <si>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</si>
  <si>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</si>
  <si>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</si>
  <si>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</si>
  <si>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</si>
  <si>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</si>
  <si>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</si>
  <si>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</si>
  <si>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</si>
  <si>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</si>
  <si>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</si>
  <si>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</si>
  <si>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</si>
  <si>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</si>
  <si>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</si>
  <si>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</si>
  <si>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</si>
  <si>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</si>
  <si>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</si>
  <si>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</si>
  <si>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</si>
  <si>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</si>
  <si>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</si>
  <si>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</si>
  <si>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</si>
  <si>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</si>
  <si>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</si>
  <si>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</si>
  <si>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</si>
  <si>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</si>
  <si>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</si>
  <si>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</si>
  <si>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</si>
  <si>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</si>
  <si>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</si>
  <si>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</si>
  <si>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</si>
  <si>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</si>
  <si>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</si>
  <si>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</si>
  <si>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</si>
  <si>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</si>
  <si>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</si>
  <si>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</si>
  <si>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</si>
  <si>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</si>
  <si>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</si>
  <si>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</si>
  <si>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</si>
  <si>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</si>
  <si>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</si>
  <si>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</si>
  <si>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</si>
  <si>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</si>
  <si>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</si>
  <si>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</si>
  <si>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</si>
  <si>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</si>
  <si>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</si>
  <si>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</si>
  <si>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</si>
  <si>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</si>
  <si>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</si>
  <si>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</si>
  <si>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</si>
  <si>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</si>
  <si>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</si>
  <si>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</si>
  <si>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</si>
  <si>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</si>
  <si>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</si>
  <si>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</si>
  <si>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</si>
  <si>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</si>
  <si>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</si>
  <si>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</si>
  <si>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</si>
  <si>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</si>
  <si>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</si>
  <si>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</si>
  <si>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</si>
  <si>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</si>
  <si>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</si>
  <si>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</si>
  <si>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</si>
  <si>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</si>
  <si>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</si>
  <si>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</si>
  <si>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</si>
  <si>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</si>
  <si>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</si>
  <si>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</si>
  <si>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</si>
  <si>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</si>
  <si>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</si>
  <si>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</si>
  <si>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</si>
  <si>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</si>
  <si>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</si>
  <si>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</si>
  <si>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</si>
  <si>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</si>
  <si>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</si>
  <si>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</si>
  <si>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</si>
  <si>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</si>
  <si>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</si>
  <si>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</si>
  <si>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</si>
  <si>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</si>
  <si>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</si>
  <si>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</si>
  <si>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</si>
  <si>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</si>
  <si>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</si>
  <si>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</si>
  <si>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</si>
  <si>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</si>
  <si>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</si>
  <si>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</si>
  <si>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</si>
  <si>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</si>
  <si>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</si>
  <si>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</si>
  <si>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</si>
  <si>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</si>
  <si>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</si>
  <si>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</si>
  <si>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</si>
  <si>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</si>
  <si>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</si>
  <si>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</si>
  <si>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</si>
  <si>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</si>
  <si>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</si>
  <si>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</si>
  <si>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</si>
  <si>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</si>
  <si>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</si>
  <si>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</si>
  <si>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</si>
  <si>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</si>
  <si>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</si>
  <si>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</si>
  <si>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</si>
  <si>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</si>
  <si>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</si>
  <si>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</si>
  <si>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</si>
  <si>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</si>
  <si>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</si>
  <si>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</si>
  <si>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</si>
  <si>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</si>
  <si>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</si>
  <si>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</si>
  <si>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</si>
  <si>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</si>
  <si>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</si>
  <si>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</si>
  <si>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</si>
  <si>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</si>
  <si>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</si>
  <si>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</si>
  <si>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</si>
  <si>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</si>
  <si>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</si>
  <si>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</si>
  <si>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</si>
  <si>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</si>
  <si>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</si>
  <si>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</si>
  <si>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</si>
  <si>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</si>
  <si>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</si>
  <si>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</si>
  <si>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</si>
  <si>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</si>
  <si>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</si>
  <si>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</si>
  <si>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</si>
  <si>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</si>
  <si>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</si>
  <si>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</si>
  <si>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</si>
  <si>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</si>
  <si>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</si>
  <si>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</si>
  <si>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</si>
  <si>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</si>
  <si>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</si>
  <si>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</si>
  <si>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</si>
  <si>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</si>
  <si>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</si>
  <si>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</si>
  <si>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</si>
  <si>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</si>
  <si>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</si>
  <si>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</si>
  <si>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</si>
  <si>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</si>
  <si>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</si>
  <si>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</si>
  <si>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</si>
  <si>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</si>
  <si>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</si>
  <si>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</si>
  <si>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</si>
  <si>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</si>
  <si>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</si>
  <si>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</si>
  <si>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</si>
  <si>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</si>
  <si>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</si>
  <si>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</si>
  <si>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</si>
  <si>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</si>
  <si>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</si>
  <si>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</si>
  <si>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</si>
  <si>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</si>
  <si>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</si>
  <si>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</si>
  <si>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</si>
  <si>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</si>
  <si>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</si>
  <si>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</si>
  <si>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Thane Municipal Corporation (TMC)</t>
  </si>
  <si>
    <t>Mr.Chand Mohammad Kamruddin Khan</t>
  </si>
  <si>
    <t>Name of the builder</t>
  </si>
  <si>
    <t>ACB Infrastructure</t>
  </si>
  <si>
    <t>K K Classic</t>
  </si>
  <si>
    <t>Mr.Chand Khan  9022508757</t>
  </si>
  <si>
    <t>Building No.1</t>
  </si>
  <si>
    <t>P99000051427</t>
  </si>
  <si>
    <t>Waliv</t>
  </si>
  <si>
    <t>19.413535,72.862130</t>
  </si>
  <si>
    <t>https://maps.app.goo.gl/GeM8pVmCnno4vKA39</t>
  </si>
  <si>
    <t>Sundar Nagar Building</t>
  </si>
  <si>
    <t>Internal Road</t>
  </si>
  <si>
    <t>5.5 KM from Vasai Road Railway Station</t>
  </si>
  <si>
    <t>Vasai Road East</t>
  </si>
  <si>
    <t>Building</t>
  </si>
  <si>
    <t>Kashi Hira Apartment</t>
  </si>
  <si>
    <t>House</t>
  </si>
  <si>
    <t>Bldg G + 4</t>
  </si>
  <si>
    <t>Other Plot</t>
  </si>
  <si>
    <t>4.50 Mt. WD. Existing Road</t>
  </si>
  <si>
    <t>VVCMC/TP/AMEND/VP/4870/209/203-24</t>
  </si>
  <si>
    <t>VVCMC/TP/RDP/VP-4870/209/2023-24</t>
  </si>
  <si>
    <t>Residential With Shopline Building = Gr/St + 1st to 6th(Pt) Floor
No. of Shops = 04
No. of Flats = 29</t>
  </si>
  <si>
    <r>
      <t xml:space="preserve">Proposed Amenities :                                                                                                                                                                                                                         </t>
    </r>
    <r>
      <rPr>
        <b/>
        <sz val="12"/>
        <rFont val="Times New Roman"/>
        <family val="1"/>
      </rPr>
      <t xml:space="preserve">                                               </t>
    </r>
  </si>
  <si>
    <t>Designer Entrance Lobby, Lift of a Reputed Brand, CCTV Camera in building Premises, Professional 24 x 7 Security Decorative False Ceiling, Parking etc.</t>
  </si>
  <si>
    <t>Ground Floor For Commercial &amp; Parking</t>
  </si>
  <si>
    <t>Shop</t>
  </si>
  <si>
    <t>RERA Carpet area</t>
  </si>
  <si>
    <t>1st to 5th Floor For Residential</t>
  </si>
  <si>
    <t>1BHK</t>
  </si>
  <si>
    <t>1RK</t>
  </si>
  <si>
    <t>Enclosed Balcony + A.F Area</t>
  </si>
  <si>
    <t>6th Floor (Part Terrace Area)</t>
  </si>
  <si>
    <t>Terrace Area Open To Sky</t>
  </si>
  <si>
    <t>We considered Gross carpet area = Net carpet + Enclosed Balcony + A.F Area</t>
  </si>
  <si>
    <t>Navnath Bhatkar</t>
  </si>
  <si>
    <t>Commercial Area Details : Shop</t>
  </si>
  <si>
    <t>Residential Area Details : Flat</t>
  </si>
  <si>
    <t>Flats - 29, Shops - 4</t>
  </si>
  <si>
    <t>Approved Plans, CC, Sale Plans &amp; Cost Sheet</t>
  </si>
  <si>
    <t>Golani Naka</t>
  </si>
  <si>
    <t>House No</t>
  </si>
  <si>
    <t>Building No.1 = Gr/St + 1st to 6th(Pt) Floor</t>
  </si>
  <si>
    <t>Completed</t>
  </si>
  <si>
    <t>Nothing</t>
  </si>
  <si>
    <t>Kunal Kadam</t>
  </si>
  <si>
    <t xml:space="preserve">60 Years </t>
  </si>
  <si>
    <t xml:space="preserve">All work completed. Please provide 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</si>
</sst>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19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13" fillId="0" borderId="2" xfId="1" applyNumberFormat="1" applyFont="1" applyBorder="1" applyAlignment="1" applyProtection="1">
      <alignment horizontal="center" vertical="top" wrapText="1"/>
      <protection locked="0"/>
    </xf>
    <xf numFmtId="9" fontId="13" fillId="0" borderId="15"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2"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10" fillId="0" borderId="7" xfId="0" applyNumberFormat="1"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1" fontId="10" fillId="0" borderId="7" xfId="0" applyNumberFormat="1" applyFont="1" applyBorder="1" applyAlignment="1" applyProtection="1">
      <alignment horizontal="center" vertical="top" wrapText="1"/>
      <protection locked="0"/>
    </xf>
    <xf numFmtId="0" fontId="10" fillId="0" borderId="8" xfId="0" applyFont="1" applyBorder="1" applyAlignment="1" applyProtection="1">
      <alignment horizontal="center" vertical="top" wrapText="1"/>
      <protection locked="0"/>
    </xf>
    <xf numFmtId="1" fontId="8" fillId="0" borderId="7"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8" fillId="0" borderId="15"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6" fillId="0" borderId="20"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10" fillId="0" borderId="32" xfId="0" applyNumberFormat="1"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10" fillId="0" borderId="1" xfId="0" applyFont="1" applyBorder="1" applyAlignment="1" applyProtection="1">
      <alignment horizontal="center" vertical="center"/>
      <protection locked="0"/>
    </xf>
    <xf numFmtId="1" fontId="10" fillId="0" borderId="2" xfId="0" applyNumberFormat="1" applyFont="1" applyBorder="1" applyAlignment="1" applyProtection="1">
      <alignment horizontal="center" vertical="center"/>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13" Type="http://schemas.openxmlformats.org/officeDocument/2006/relationships/image" Target="../media/image11.jpeg"/><Relationship Id="rId18" Type="http://schemas.openxmlformats.org/officeDocument/2006/relationships/image" Target="../media/image16.jpg"/><Relationship Id="rId3" Type="http://schemas.openxmlformats.org/officeDocument/2006/relationships/image" Target="../media/image3.png"/><Relationship Id="rId21" Type="http://schemas.openxmlformats.org/officeDocument/2006/relationships/image" Target="../media/image19.jpg"/><Relationship Id="rId7" Type="http://schemas.openxmlformats.org/officeDocument/2006/relationships/image" Target="../media/image5.jpeg"/><Relationship Id="rId12" Type="http://schemas.openxmlformats.org/officeDocument/2006/relationships/image" Target="../media/image10.jpeg"/><Relationship Id="rId17" Type="http://schemas.openxmlformats.org/officeDocument/2006/relationships/image" Target="../media/image15.jpg"/><Relationship Id="rId2" Type="http://schemas.openxmlformats.org/officeDocument/2006/relationships/image" Target="../media/image2.png"/><Relationship Id="rId16" Type="http://schemas.openxmlformats.org/officeDocument/2006/relationships/image" Target="../media/image14.jpeg"/><Relationship Id="rId20" Type="http://schemas.openxmlformats.org/officeDocument/2006/relationships/image" Target="../media/image18.jpg"/><Relationship Id="rId1" Type="http://schemas.openxmlformats.org/officeDocument/2006/relationships/image" Target="../media/image1.png"/><Relationship Id="rId6" Type="http://schemas.microsoft.com/office/2007/relationships/hdphoto" Target="../media/hdphoto2.wdp"/><Relationship Id="rId11" Type="http://schemas.openxmlformats.org/officeDocument/2006/relationships/image" Target="../media/image9.jpeg"/><Relationship Id="rId5" Type="http://schemas.openxmlformats.org/officeDocument/2006/relationships/image" Target="../media/image4.png"/><Relationship Id="rId15" Type="http://schemas.openxmlformats.org/officeDocument/2006/relationships/image" Target="../media/image13.jpg"/><Relationship Id="rId10" Type="http://schemas.openxmlformats.org/officeDocument/2006/relationships/image" Target="../media/image8.jpeg"/><Relationship Id="rId19" Type="http://schemas.openxmlformats.org/officeDocument/2006/relationships/image" Target="../media/image17.jpg"/><Relationship Id="rId4" Type="http://schemas.microsoft.com/office/2007/relationships/hdphoto" Target="../media/hdphoto1.wdp"/><Relationship Id="rId9" Type="http://schemas.openxmlformats.org/officeDocument/2006/relationships/image" Target="../media/image7.jpeg"/><Relationship Id="rId14" Type="http://schemas.openxmlformats.org/officeDocument/2006/relationships/image" Target="../media/image12.jpeg"/><Relationship Id="rId22"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653</xdr:colOff>
      <xdr:row>246</xdr:row>
      <xdr:rowOff>110707</xdr:rowOff>
    </xdr:from>
    <xdr:to>
      <xdr:col>6</xdr:col>
      <xdr:colOff>606878</xdr:colOff>
      <xdr:row>264</xdr:row>
      <xdr:rowOff>110814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62653" y="52088632"/>
          <a:ext cx="4692450" cy="3600557"/>
        </a:xfrm>
        <a:prstGeom prst="rect">
          <a:avLst/>
        </a:prstGeom>
        <a:ln w="3175">
          <a:solidFill>
            <a:srgbClr val="000000"/>
          </a:solidFill>
        </a:ln>
      </xdr:spPr>
    </xdr:pic>
    <xdr:clientData/>
  </xdr:twoCellAnchor>
  <xdr:twoCellAnchor>
    <xdr:from>
      <xdr:col>0</xdr:col>
      <xdr:colOff>335058</xdr:colOff>
      <xdr:row>265</xdr:row>
      <xdr:rowOff>72989</xdr:rowOff>
    </xdr:from>
    <xdr:to>
      <xdr:col>7</xdr:col>
      <xdr:colOff>364114</xdr:colOff>
      <xdr:row>286</xdr:row>
      <xdr:rowOff>155312</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35058" y="52529069"/>
          <a:ext cx="5759296" cy="4087531"/>
          <a:chOff x="323850" y="68431503"/>
          <a:chExt cx="5611534" cy="4255515"/>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323850" y="68431503"/>
            <a:ext cx="5611534" cy="4255515"/>
          </a:xfrm>
          <a:prstGeom prst="rect">
            <a:avLst/>
          </a:prstGeom>
          <a:ln w="3175">
            <a:solidFill>
              <a:srgbClr val="000000"/>
            </a:solidFill>
          </a:ln>
        </xdr:spPr>
      </xdr:pic>
      <xdr:sp macro="" textlink="">
        <xdr:nvSpPr>
          <xdr:cNvPr id="4" name="Rectangle 3">
            <a:extLst>
              <a:ext uri="{FF2B5EF4-FFF2-40B4-BE49-F238E27FC236}">
                <a16:creationId xmlns:a16="http://schemas.microsoft.com/office/drawing/2014/main" id="{00000000-0008-0000-0000-000004000000}"/>
              </a:ext>
            </a:extLst>
          </xdr:cNvPr>
          <xdr:cNvSpPr/>
        </xdr:nvSpPr>
        <xdr:spPr>
          <a:xfrm rot="1581758">
            <a:off x="2532801" y="70568941"/>
            <a:ext cx="444808" cy="309302"/>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297284</xdr:colOff>
      <xdr:row>221</xdr:row>
      <xdr:rowOff>96419</xdr:rowOff>
    </xdr:from>
    <xdr:to>
      <xdr:col>7</xdr:col>
      <xdr:colOff>342981</xdr:colOff>
      <xdr:row>241</xdr:row>
      <xdr:rowOff>78440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3" cstate="screen">
          <a:extLst>
            <a:ext uri="{BEBA8EAE-BF5A-486C-A8C5-ECC9F3942E4B}">
              <a14:imgProps xmlns:a14="http://schemas.microsoft.com/office/drawing/2010/main">
                <a14:imgLayer r:embed="rId4">
                  <a14:imgEffect>
                    <a14:colorTemperature colorTemp="4700"/>
                  </a14:imgEffect>
                  <a14:imgEffect>
                    <a14:brightnessContrast contrast="40000"/>
                  </a14:imgEffect>
                </a14:imgLayer>
              </a14:imgProps>
            </a:ext>
            <a:ext uri="{28A0092B-C50C-407E-A947-70E740481C1C}">
              <a14:useLocalDpi xmlns:a14="http://schemas.microsoft.com/office/drawing/2010/main"/>
            </a:ext>
          </a:extLst>
        </a:blip>
        <a:srcRect/>
        <a:stretch/>
      </xdr:blipFill>
      <xdr:spPr>
        <a:xfrm>
          <a:off x="297284" y="47306801"/>
          <a:ext cx="5626226" cy="4016139"/>
        </a:xfrm>
        <a:prstGeom prst="rect">
          <a:avLst/>
        </a:prstGeom>
        <a:ln>
          <a:solidFill>
            <a:srgbClr val="000000"/>
          </a:solidFill>
        </a:ln>
      </xdr:spPr>
    </xdr:pic>
    <xdr:clientData/>
  </xdr:twoCellAnchor>
  <xdr:twoCellAnchor editAs="oneCell">
    <xdr:from>
      <xdr:col>1</xdr:col>
      <xdr:colOff>112058</xdr:colOff>
      <xdr:row>204</xdr:row>
      <xdr:rowOff>123263</xdr:rowOff>
    </xdr:from>
    <xdr:to>
      <xdr:col>6</xdr:col>
      <xdr:colOff>437049</xdr:colOff>
      <xdr:row>220</xdr:row>
      <xdr:rowOff>118346</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5" cstate="screen">
          <a:extLst>
            <a:ext uri="{BEBA8EAE-BF5A-486C-A8C5-ECC9F3942E4B}">
              <a14:imgProps xmlns:a14="http://schemas.microsoft.com/office/drawing/2010/main">
                <a14:imgLayer r:embed="rId6">
                  <a14:imgEffect>
                    <a14:colorTemperature colorTemp="4700"/>
                  </a14:imgEffect>
                  <a14:imgEffect>
                    <a14:brightnessContrast contrast="40000"/>
                  </a14:imgEffect>
                </a14:imgLayer>
              </a14:imgProps>
            </a:ext>
            <a:ext uri="{28A0092B-C50C-407E-A947-70E740481C1C}">
              <a14:useLocalDpi xmlns:a14="http://schemas.microsoft.com/office/drawing/2010/main"/>
            </a:ext>
          </a:extLst>
        </a:blip>
        <a:srcRect/>
        <a:stretch/>
      </xdr:blipFill>
      <xdr:spPr>
        <a:xfrm rot="10800000">
          <a:off x="874058" y="56556087"/>
          <a:ext cx="4415138" cy="3222377"/>
        </a:xfrm>
        <a:prstGeom prst="rect">
          <a:avLst/>
        </a:prstGeom>
        <a:ln>
          <a:solidFill>
            <a:srgbClr val="000000"/>
          </a:solidFill>
        </a:ln>
      </xdr:spPr>
    </xdr:pic>
    <xdr:clientData/>
  </xdr:twoCellAnchor>
  <xdr:twoCellAnchor>
    <xdr:from>
      <xdr:col>8</xdr:col>
      <xdr:colOff>541020</xdr:colOff>
      <xdr:row>161</xdr:row>
      <xdr:rowOff>34290</xdr:rowOff>
    </xdr:from>
    <xdr:to>
      <xdr:col>15</xdr:col>
      <xdr:colOff>386079</xdr:colOff>
      <xdr:row>203</xdr:row>
      <xdr:rowOff>98290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7208520" y="32282130"/>
          <a:ext cx="6009639" cy="7988800"/>
          <a:chOff x="381000" y="32594550"/>
          <a:chExt cx="5861049" cy="8465050"/>
        </a:xfrm>
      </xdr:grpSpPr>
      <xdr:pic>
        <xdr:nvPicPr>
          <xdr:cNvPr id="41" name="Picture 40" descr="insp-233819-1525.jpg (959×128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4255747" y="38899600"/>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insp-233819-843.jpg (959×1280)">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506387" y="32594550"/>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insp-233819-851.jpg (959×1280)">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343327" y="32594550"/>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insp-233819-861.jpg (959×1280)">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381000" y="3628707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insp-233819-862.jpg (959×1280)">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367509" y="3628707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insp-233819-871.jpg (959×1280)">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2538958" y="38899600"/>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insp-233819-940.jpg (959×1280)">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4354018" y="3628707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insp-233819-925.jpg (959×1280)">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822169" y="38899600"/>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289560</xdr:colOff>
      <xdr:row>161</xdr:row>
      <xdr:rowOff>7620</xdr:rowOff>
    </xdr:from>
    <xdr:to>
      <xdr:col>7</xdr:col>
      <xdr:colOff>640529</xdr:colOff>
      <xdr:row>197</xdr:row>
      <xdr:rowOff>121381</xdr:rowOff>
    </xdr:to>
    <xdr:grpSp>
      <xdr:nvGrpSpPr>
        <xdr:cNvPr id="10" name="Group 9">
          <a:extLst>
            <a:ext uri="{FF2B5EF4-FFF2-40B4-BE49-F238E27FC236}">
              <a16:creationId xmlns:a16="http://schemas.microsoft.com/office/drawing/2014/main" id="{DA00143A-AE6C-804A-DFFF-C74F17CDE739}"/>
            </a:ext>
          </a:extLst>
        </xdr:cNvPr>
        <xdr:cNvGrpSpPr/>
      </xdr:nvGrpSpPr>
      <xdr:grpSpPr>
        <a:xfrm>
          <a:off x="289560" y="32255460"/>
          <a:ext cx="6081209" cy="7246081"/>
          <a:chOff x="173390" y="326572"/>
          <a:chExt cx="6081209" cy="7246081"/>
        </a:xfrm>
      </xdr:grpSpPr>
      <xdr:pic>
        <xdr:nvPicPr>
          <xdr:cNvPr id="11" name="Picture 10">
            <a:extLst>
              <a:ext uri="{FF2B5EF4-FFF2-40B4-BE49-F238E27FC236}">
                <a16:creationId xmlns:a16="http://schemas.microsoft.com/office/drawing/2014/main" id="{928058C2-F448-9B15-F6F5-C1188A3AEFA0}"/>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366568" y="340766"/>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5646A5DD-94D2-508E-A357-F4AA0C532AB5}"/>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1757856" y="5772653"/>
            <a:ext cx="1348594" cy="1800000"/>
          </a:xfrm>
          <a:prstGeom prst="rect">
            <a:avLst/>
          </a:prstGeom>
          <a:ln>
            <a:solidFill>
              <a:schemeClr val="tx1"/>
            </a:solidFill>
          </a:ln>
        </xdr:spPr>
      </xdr:pic>
      <xdr:pic>
        <xdr:nvPicPr>
          <xdr:cNvPr id="13" name="Picture 12">
            <a:extLst>
              <a:ext uri="{FF2B5EF4-FFF2-40B4-BE49-F238E27FC236}">
                <a16:creationId xmlns:a16="http://schemas.microsoft.com/office/drawing/2014/main" id="{76F1F837-1832-BC40-1B8E-0DFAC064C244}"/>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173391" y="326572"/>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3EFFCC8F-DFCC-2C6A-83FE-0043491F7017}"/>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366568" y="3043646"/>
            <a:ext cx="1888031"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C15F9FB8-547E-23E4-9B65-49DC9E6B3AF8}"/>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173390" y="3043646"/>
            <a:ext cx="1888031"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AB5B635C-F0FF-EBAC-20BC-DA0835FFEA1D}"/>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2269979" y="3043646"/>
            <a:ext cx="1888031"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E69517FF-5F40-FC4C-827E-AD245C93D4FC}"/>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2269979" y="326572"/>
            <a:ext cx="1888031"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6C9F8FB3-826C-1D5C-8674-EBD5CE5D4EA5}"/>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3315008" y="5772653"/>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1</xdr:colOff>
      <xdr:row>14</xdr:row>
      <xdr:rowOff>0</xdr:rowOff>
    </xdr:from>
    <xdr:to>
      <xdr:col>6</xdr:col>
      <xdr:colOff>4567</xdr:colOff>
      <xdr:row>32</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707" y="267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eM8pVmCnno4vKA3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87"/>
  <sheetViews>
    <sheetView tabSelected="1" view="pageBreakPreview" zoomScaleNormal="100" zoomScaleSheetLayoutView="100" zoomScalePageLayoutView="85" workbookViewId="0">
      <selection activeCell="J9" sqref="J9"/>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7" width="11" style="37" customWidth="1"/>
    <col min="8" max="8" width="13.6640625" style="37" customWidth="1"/>
    <col min="9" max="9" width="17.44140625" style="18" customWidth="1"/>
    <col min="10" max="10" width="11.44140625" style="18" customWidth="1"/>
    <col min="11" max="11" width="10.5546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59" t="s">
        <v>160</v>
      </c>
      <c r="B1" s="159"/>
      <c r="C1" s="159"/>
      <c r="D1" s="159"/>
      <c r="E1" s="159"/>
      <c r="F1" s="159"/>
      <c r="G1" s="159"/>
      <c r="H1" s="159"/>
    </row>
    <row r="2" spans="1:26" ht="16.5" customHeight="1" x14ac:dyDescent="0.3">
      <c r="A2" s="160" t="s">
        <v>0</v>
      </c>
      <c r="B2" s="160"/>
      <c r="C2" s="160"/>
      <c r="D2" s="160"/>
      <c r="E2" s="160"/>
      <c r="F2" s="160"/>
      <c r="G2" s="160"/>
      <c r="H2" s="160"/>
    </row>
    <row r="3" spans="1:26" x14ac:dyDescent="0.3">
      <c r="A3" s="111" t="s">
        <v>1</v>
      </c>
      <c r="B3" s="111"/>
      <c r="C3" s="111"/>
      <c r="D3" s="111"/>
      <c r="E3" s="111" t="str">
        <f ca="1">TEXT(TODAY(),"DD/MM/YYYY")</f>
        <v>14/08/2025</v>
      </c>
      <c r="F3" s="111"/>
      <c r="G3" s="111"/>
      <c r="H3" s="111"/>
      <c r="K3" s="50" t="s">
        <v>232</v>
      </c>
      <c r="L3" s="48" t="s">
        <v>230</v>
      </c>
      <c r="M3" s="48" t="s">
        <v>235</v>
      </c>
      <c r="N3" s="48" t="s">
        <v>233</v>
      </c>
      <c r="O3" s="48" t="s">
        <v>234</v>
      </c>
      <c r="P3" s="48" t="s">
        <v>236</v>
      </c>
    </row>
    <row r="4" spans="1:26" ht="15" customHeight="1" x14ac:dyDescent="0.3">
      <c r="A4" s="111" t="s">
        <v>229</v>
      </c>
      <c r="B4" s="111"/>
      <c r="C4" s="111"/>
      <c r="D4" s="111"/>
      <c r="E4" s="111" t="s">
        <v>230</v>
      </c>
      <c r="F4" s="111"/>
      <c r="G4" s="111"/>
      <c r="H4" s="111"/>
      <c r="K4" s="47" t="s">
        <v>231</v>
      </c>
      <c r="L4" s="48" t="s">
        <v>166</v>
      </c>
      <c r="M4" s="48" t="s">
        <v>240</v>
      </c>
      <c r="N4" s="48" t="s">
        <v>242</v>
      </c>
      <c r="O4" s="48" t="s">
        <v>244</v>
      </c>
      <c r="P4" s="48"/>
    </row>
    <row r="5" spans="1:26" ht="15" customHeight="1" x14ac:dyDescent="0.3">
      <c r="A5" s="111" t="s">
        <v>2</v>
      </c>
      <c r="B5" s="111"/>
      <c r="C5" s="111"/>
      <c r="D5" s="111"/>
      <c r="E5" s="111" t="s">
        <v>166</v>
      </c>
      <c r="F5" s="111"/>
      <c r="G5" s="111"/>
      <c r="H5" s="111"/>
      <c r="K5" s="47"/>
      <c r="L5" s="48" t="s">
        <v>237</v>
      </c>
      <c r="M5" s="48" t="s">
        <v>241</v>
      </c>
      <c r="N5" s="48" t="s">
        <v>243</v>
      </c>
      <c r="O5" s="48" t="s">
        <v>245</v>
      </c>
      <c r="P5" s="48"/>
    </row>
    <row r="6" spans="1:26" x14ac:dyDescent="0.3">
      <c r="A6" s="111" t="s">
        <v>3</v>
      </c>
      <c r="B6" s="111"/>
      <c r="C6" s="111"/>
      <c r="D6" s="111"/>
      <c r="E6" s="161">
        <v>45881</v>
      </c>
      <c r="F6" s="111"/>
      <c r="G6" s="111"/>
      <c r="H6" s="111"/>
      <c r="K6" s="47"/>
      <c r="L6" s="48" t="s">
        <v>238</v>
      </c>
      <c r="M6" s="48"/>
      <c r="N6" s="48"/>
      <c r="O6" s="48" t="s">
        <v>246</v>
      </c>
      <c r="P6" s="48"/>
    </row>
    <row r="7" spans="1:26" ht="16.5" customHeight="1" x14ac:dyDescent="0.3">
      <c r="A7" s="111" t="s">
        <v>296</v>
      </c>
      <c r="B7" s="111"/>
      <c r="C7" s="111"/>
      <c r="D7" s="111"/>
      <c r="E7" s="111" t="s">
        <v>295</v>
      </c>
      <c r="F7" s="111"/>
      <c r="G7" s="111"/>
      <c r="H7" s="111"/>
      <c r="K7" s="47"/>
      <c r="L7" s="48" t="s">
        <v>239</v>
      </c>
      <c r="M7" s="48"/>
      <c r="N7" s="48"/>
      <c r="O7" s="48" t="s">
        <v>246</v>
      </c>
      <c r="P7" s="48"/>
    </row>
    <row r="8" spans="1:26" ht="15" customHeight="1" x14ac:dyDescent="0.3">
      <c r="A8" s="111" t="s">
        <v>4</v>
      </c>
      <c r="B8" s="111"/>
      <c r="C8" s="111"/>
      <c r="D8" s="111"/>
      <c r="E8" s="111" t="s">
        <v>297</v>
      </c>
      <c r="F8" s="111"/>
      <c r="G8" s="111"/>
      <c r="H8" s="111"/>
      <c r="K8" s="47"/>
      <c r="L8" s="48"/>
      <c r="M8" s="48"/>
      <c r="N8" s="48"/>
      <c r="O8" s="48" t="s">
        <v>247</v>
      </c>
      <c r="P8" s="48"/>
    </row>
    <row r="9" spans="1:26" x14ac:dyDescent="0.3">
      <c r="A9" s="111" t="s">
        <v>5</v>
      </c>
      <c r="B9" s="111"/>
      <c r="C9" s="111"/>
      <c r="D9" s="111"/>
      <c r="E9" s="126" t="s">
        <v>298</v>
      </c>
      <c r="F9" s="126"/>
      <c r="G9" s="126"/>
      <c r="H9" s="126"/>
      <c r="K9" s="47"/>
      <c r="L9" s="48"/>
      <c r="M9" s="48"/>
      <c r="N9" s="48"/>
      <c r="O9" s="48" t="s">
        <v>248</v>
      </c>
      <c r="P9" s="48"/>
    </row>
    <row r="10" spans="1:26" x14ac:dyDescent="0.3">
      <c r="A10" s="111" t="s">
        <v>163</v>
      </c>
      <c r="B10" s="111"/>
      <c r="C10" s="111"/>
      <c r="D10" s="111"/>
      <c r="E10" s="111">
        <v>9022508757</v>
      </c>
      <c r="F10" s="111"/>
      <c r="G10" s="111"/>
      <c r="H10" s="111"/>
      <c r="K10" s="47"/>
      <c r="L10" s="48"/>
      <c r="M10" s="48"/>
      <c r="N10" s="48"/>
      <c r="O10" s="48"/>
      <c r="P10" s="48"/>
    </row>
    <row r="11" spans="1:26" x14ac:dyDescent="0.3">
      <c r="A11" s="111" t="s">
        <v>164</v>
      </c>
      <c r="B11" s="111"/>
      <c r="C11" s="111"/>
      <c r="D11" s="111"/>
      <c r="E11" s="111" t="s">
        <v>299</v>
      </c>
      <c r="F11" s="111"/>
      <c r="G11" s="111"/>
      <c r="H11" s="111"/>
    </row>
    <row r="12" spans="1:26" x14ac:dyDescent="0.3">
      <c r="A12" s="111" t="s">
        <v>6</v>
      </c>
      <c r="B12" s="111"/>
      <c r="C12" s="111"/>
      <c r="D12" s="111"/>
      <c r="E12" s="111" t="s">
        <v>300</v>
      </c>
      <c r="F12" s="111"/>
      <c r="G12" s="111"/>
      <c r="H12" s="111"/>
    </row>
    <row r="13" spans="1:26" x14ac:dyDescent="0.3">
      <c r="A13" s="111" t="s">
        <v>167</v>
      </c>
      <c r="B13" s="111"/>
      <c r="C13" s="111"/>
      <c r="D13" s="111"/>
      <c r="E13" s="111" t="s">
        <v>27</v>
      </c>
      <c r="F13" s="111"/>
      <c r="G13" s="111"/>
      <c r="H13" s="111"/>
      <c r="S13" s="48" t="s">
        <v>175</v>
      </c>
      <c r="T13" s="48" t="s">
        <v>185</v>
      </c>
      <c r="U13" s="48" t="s">
        <v>168</v>
      </c>
      <c r="V13" s="48" t="s">
        <v>190</v>
      </c>
      <c r="W13" s="48" t="s">
        <v>208</v>
      </c>
      <c r="X13"/>
      <c r="Y13" t="s">
        <v>190</v>
      </c>
      <c r="Z13" t="e">
        <f ca="1">OFFSET($S$13,1,MATCH($G20,$S$13:$W$13,0)-1,15,1)</f>
        <v>#VALUE!</v>
      </c>
    </row>
    <row r="14" spans="1:26" x14ac:dyDescent="0.3">
      <c r="A14" s="66" t="s">
        <v>275</v>
      </c>
      <c r="B14" s="66"/>
      <c r="C14" s="66"/>
      <c r="D14" s="66"/>
      <c r="E14" s="112" t="s">
        <v>334</v>
      </c>
      <c r="F14" s="112"/>
      <c r="G14" s="112"/>
      <c r="H14" s="112"/>
      <c r="S14" s="48" t="s">
        <v>176</v>
      </c>
      <c r="T14" s="48" t="s">
        <v>183</v>
      </c>
      <c r="U14" s="48" t="s">
        <v>205</v>
      </c>
      <c r="V14" s="48" t="s">
        <v>191</v>
      </c>
      <c r="W14" s="48" t="s">
        <v>209</v>
      </c>
      <c r="X14"/>
      <c r="Y14"/>
      <c r="Z14"/>
    </row>
    <row r="15" spans="1:26" x14ac:dyDescent="0.3">
      <c r="A15" s="66" t="s">
        <v>7</v>
      </c>
      <c r="B15" s="66"/>
      <c r="C15" s="66"/>
      <c r="D15" s="66"/>
      <c r="E15" s="112" t="s">
        <v>301</v>
      </c>
      <c r="F15" s="111"/>
      <c r="G15" s="111"/>
      <c r="H15" s="111"/>
      <c r="I15" s="191" t="e">
        <f ca="1">OFFSET($D$5,1,MATCH($J13,$D$5:$H$5,0)-1,15,1)</f>
        <v>#N/A</v>
      </c>
      <c r="J15" s="192"/>
      <c r="K15" s="192"/>
      <c r="L15" s="192"/>
      <c r="M15" s="192"/>
      <c r="N15" s="192"/>
      <c r="O15" s="192"/>
      <c r="P15" s="192"/>
      <c r="S15" s="48" t="s">
        <v>177</v>
      </c>
      <c r="T15" s="48" t="s">
        <v>184</v>
      </c>
      <c r="U15" s="48" t="s">
        <v>206</v>
      </c>
      <c r="V15" s="48" t="s">
        <v>192</v>
      </c>
      <c r="W15" s="48" t="s">
        <v>222</v>
      </c>
      <c r="X15"/>
      <c r="Y15"/>
      <c r="Z15"/>
    </row>
    <row r="16" spans="1:26" ht="33.75" customHeight="1" x14ac:dyDescent="0.3">
      <c r="A16" s="107" t="s">
        <v>8</v>
      </c>
      <c r="B16" s="107"/>
      <c r="C16" s="107" t="str">
        <f>CONCATENATE((IF(OR(E9="",E9="NA"),"",E9)),", ",(IF(OR(A17="",A17="NA"),"",A17)),".",(IF(OR(C17="",C17="NA"),"",C17)),", near ",(IF(OR(C22="",C22="NA"),"",C22)),", ",(IF(OR(C19="",C19="NA"),"",C19)),", ",(IF(OR(C18="",C18="NA"),"",C18)),", ",(IF(OR(G19="",G19="NA"),"",G19)),", ",(IF(OR(C20="",C20="NA"),"",C20)),", ",(IF(OR(C21="",C21="NA"),"",C21)),", ",(IF(OR(G20="",G20="NA"),"",G20))," - ",(IF(OR(G21="",G21="NA"),"",G21)),".")</f>
        <v>K K Classic, House No.323, near Sundar Nagar Building, Internal Road, Golani Naka, Waliv, Vasai Road East, Vasai, Palghar - 401208.</v>
      </c>
      <c r="D16" s="107"/>
      <c r="E16" s="107"/>
      <c r="F16" s="107"/>
      <c r="G16" s="107"/>
      <c r="H16" s="107"/>
      <c r="S16" s="48" t="s">
        <v>178</v>
      </c>
      <c r="T16" s="48" t="s">
        <v>186</v>
      </c>
      <c r="U16" s="48" t="s">
        <v>207</v>
      </c>
      <c r="V16" s="48" t="s">
        <v>193</v>
      </c>
      <c r="W16" s="48" t="s">
        <v>210</v>
      </c>
      <c r="X16"/>
      <c r="Y16"/>
      <c r="Z16"/>
    </row>
    <row r="17" spans="1:26" x14ac:dyDescent="0.3">
      <c r="A17" s="112" t="s">
        <v>336</v>
      </c>
      <c r="B17" s="112"/>
      <c r="C17" s="112">
        <v>323</v>
      </c>
      <c r="D17" s="112"/>
      <c r="E17" s="112"/>
      <c r="F17" s="112"/>
      <c r="G17" s="112"/>
      <c r="H17" s="112"/>
      <c r="S17" s="48" t="s">
        <v>179</v>
      </c>
      <c r="T17" s="48" t="s">
        <v>187</v>
      </c>
      <c r="U17" s="48" t="s">
        <v>168</v>
      </c>
      <c r="V17" s="48" t="s">
        <v>194</v>
      </c>
      <c r="W17" s="48" t="s">
        <v>211</v>
      </c>
      <c r="X17"/>
      <c r="Y17"/>
      <c r="Z17"/>
    </row>
    <row r="18" spans="1:26" ht="15.75" customHeight="1" x14ac:dyDescent="0.3">
      <c r="A18" s="112" t="s">
        <v>158</v>
      </c>
      <c r="B18" s="112"/>
      <c r="C18" s="112" t="s">
        <v>335</v>
      </c>
      <c r="D18" s="112"/>
      <c r="E18" s="112"/>
      <c r="F18" s="112"/>
      <c r="G18" s="112"/>
      <c r="H18" s="112"/>
      <c r="S18" s="48" t="s">
        <v>180</v>
      </c>
      <c r="T18" s="48" t="s">
        <v>185</v>
      </c>
      <c r="U18" s="48"/>
      <c r="V18" s="48" t="s">
        <v>195</v>
      </c>
      <c r="W18" s="48" t="s">
        <v>212</v>
      </c>
      <c r="X18"/>
      <c r="Y18"/>
      <c r="Z18"/>
    </row>
    <row r="19" spans="1:26" ht="15.75" customHeight="1" x14ac:dyDescent="0.3">
      <c r="A19" s="107" t="s">
        <v>9</v>
      </c>
      <c r="B19" s="107"/>
      <c r="C19" s="111" t="s">
        <v>306</v>
      </c>
      <c r="D19" s="111"/>
      <c r="E19" s="112" t="s">
        <v>68</v>
      </c>
      <c r="F19" s="112"/>
      <c r="G19" s="112" t="s">
        <v>302</v>
      </c>
      <c r="H19" s="112"/>
      <c r="S19" s="48" t="s">
        <v>181</v>
      </c>
      <c r="T19" s="48" t="s">
        <v>188</v>
      </c>
      <c r="U19" s="48"/>
      <c r="V19" s="48" t="s">
        <v>196</v>
      </c>
      <c r="W19" s="48" t="s">
        <v>213</v>
      </c>
      <c r="X19"/>
      <c r="Y19"/>
      <c r="Z19"/>
    </row>
    <row r="20" spans="1:26" x14ac:dyDescent="0.3">
      <c r="A20" s="66" t="s">
        <v>11</v>
      </c>
      <c r="B20" s="66"/>
      <c r="C20" s="112" t="s">
        <v>308</v>
      </c>
      <c r="D20" s="112"/>
      <c r="E20" s="112" t="s">
        <v>10</v>
      </c>
      <c r="F20" s="112"/>
      <c r="G20" s="158" t="s">
        <v>185</v>
      </c>
      <c r="H20" s="158"/>
      <c r="S20" s="48" t="s">
        <v>182</v>
      </c>
      <c r="T20" s="48" t="s">
        <v>189</v>
      </c>
      <c r="U20" s="48"/>
      <c r="V20" s="48" t="s">
        <v>197</v>
      </c>
      <c r="W20" s="48" t="s">
        <v>214</v>
      </c>
      <c r="X20"/>
      <c r="Y20"/>
      <c r="Z20"/>
    </row>
    <row r="21" spans="1:26" x14ac:dyDescent="0.3">
      <c r="A21" s="66" t="s">
        <v>69</v>
      </c>
      <c r="B21" s="66"/>
      <c r="C21" s="112" t="s">
        <v>186</v>
      </c>
      <c r="D21" s="112"/>
      <c r="E21" s="112" t="s">
        <v>12</v>
      </c>
      <c r="F21" s="112"/>
      <c r="G21" s="112">
        <v>401208</v>
      </c>
      <c r="H21" s="112"/>
      <c r="S21" s="48"/>
      <c r="T21" s="48"/>
      <c r="U21" s="48"/>
      <c r="V21" s="48" t="s">
        <v>198</v>
      </c>
      <c r="W21" s="48" t="s">
        <v>215</v>
      </c>
      <c r="X21"/>
      <c r="Y21"/>
      <c r="Z21"/>
    </row>
    <row r="22" spans="1:26" ht="32.25" customHeight="1" x14ac:dyDescent="0.3">
      <c r="A22" s="66" t="s">
        <v>117</v>
      </c>
      <c r="B22" s="66"/>
      <c r="C22" s="112" t="s">
        <v>305</v>
      </c>
      <c r="D22" s="112"/>
      <c r="E22" s="107" t="s">
        <v>13</v>
      </c>
      <c r="F22" s="107"/>
      <c r="G22" s="112" t="s">
        <v>307</v>
      </c>
      <c r="H22" s="112"/>
      <c r="S22" s="48"/>
      <c r="T22" s="48"/>
      <c r="U22" s="48"/>
      <c r="V22" s="48" t="s">
        <v>199</v>
      </c>
      <c r="W22" s="48" t="s">
        <v>216</v>
      </c>
      <c r="X22"/>
      <c r="Y22"/>
      <c r="Z22"/>
    </row>
    <row r="23" spans="1:26" ht="15" customHeight="1" x14ac:dyDescent="0.3">
      <c r="A23" s="107" t="s">
        <v>70</v>
      </c>
      <c r="B23" s="107"/>
      <c r="C23" s="107"/>
      <c r="D23" s="107"/>
      <c r="E23" s="111" t="s">
        <v>14</v>
      </c>
      <c r="F23" s="111"/>
      <c r="G23" s="111"/>
      <c r="H23" s="111"/>
      <c r="S23" s="48"/>
      <c r="T23" s="48"/>
      <c r="U23" s="48"/>
      <c r="V23" s="48" t="s">
        <v>200</v>
      </c>
      <c r="W23" s="48" t="s">
        <v>217</v>
      </c>
      <c r="X23"/>
      <c r="Y23"/>
      <c r="Z23"/>
    </row>
    <row r="24" spans="1:26" ht="18.75" customHeight="1" x14ac:dyDescent="0.3">
      <c r="A24" s="107"/>
      <c r="B24" s="107"/>
      <c r="C24" s="107"/>
      <c r="D24" s="107"/>
      <c r="E24" s="111"/>
      <c r="F24" s="111"/>
      <c r="G24" s="111"/>
      <c r="H24" s="111"/>
      <c r="S24" s="48"/>
      <c r="T24" s="48"/>
      <c r="U24" s="48"/>
      <c r="V24" s="48" t="s">
        <v>201</v>
      </c>
      <c r="W24" s="48" t="s">
        <v>218</v>
      </c>
      <c r="X24"/>
      <c r="Y24"/>
      <c r="Z24"/>
    </row>
    <row r="25" spans="1:26" ht="15" customHeight="1" x14ac:dyDescent="0.3">
      <c r="A25" s="107" t="s">
        <v>15</v>
      </c>
      <c r="B25" s="107"/>
      <c r="C25" s="107"/>
      <c r="D25" s="107"/>
      <c r="E25" s="112" t="s">
        <v>16</v>
      </c>
      <c r="F25" s="112"/>
      <c r="G25" s="112"/>
      <c r="H25" s="112"/>
      <c r="S25" s="48"/>
      <c r="T25" s="48"/>
      <c r="U25" s="48"/>
      <c r="V25" s="48" t="s">
        <v>202</v>
      </c>
      <c r="W25" s="48" t="s">
        <v>219</v>
      </c>
      <c r="X25"/>
      <c r="Y25"/>
      <c r="Z25"/>
    </row>
    <row r="26" spans="1:26" ht="15" customHeight="1" x14ac:dyDescent="0.3">
      <c r="A26" s="66" t="s">
        <v>17</v>
      </c>
      <c r="B26" s="66"/>
      <c r="C26" s="66"/>
      <c r="D26" s="66"/>
      <c r="E26" s="112" t="str">
        <f>IF(AND(G20="Mumbai"),"Upper Class","Middle Class")</f>
        <v>Middle Class</v>
      </c>
      <c r="F26" s="112"/>
      <c r="G26" s="112"/>
      <c r="H26" s="112"/>
      <c r="S26" s="48"/>
      <c r="T26" s="48"/>
      <c r="U26" s="48"/>
      <c r="V26" s="48" t="s">
        <v>203</v>
      </c>
      <c r="W26" s="48" t="s">
        <v>220</v>
      </c>
      <c r="X26"/>
      <c r="Y26"/>
      <c r="Z26"/>
    </row>
    <row r="27" spans="1:26" x14ac:dyDescent="0.3">
      <c r="A27" s="66" t="s">
        <v>18</v>
      </c>
      <c r="B27" s="66"/>
      <c r="C27" s="66"/>
      <c r="D27" s="66"/>
      <c r="E27" s="112" t="s">
        <v>19</v>
      </c>
      <c r="F27" s="112"/>
      <c r="G27" s="112"/>
      <c r="H27" s="112"/>
      <c r="S27" s="48"/>
      <c r="T27" s="48"/>
      <c r="U27" s="48"/>
      <c r="V27" s="48" t="s">
        <v>204</v>
      </c>
      <c r="W27" s="48" t="s">
        <v>221</v>
      </c>
      <c r="X27"/>
      <c r="Y27"/>
      <c r="Z27"/>
    </row>
    <row r="28" spans="1:26" ht="15.75" customHeight="1" x14ac:dyDescent="0.3">
      <c r="A28" s="66" t="s">
        <v>20</v>
      </c>
      <c r="B28" s="66"/>
      <c r="C28" s="66"/>
      <c r="D28" s="66"/>
      <c r="E28" s="112" t="str">
        <f>IF(AND(G20="Mumbai"),"Developed","Developing")</f>
        <v>Developing</v>
      </c>
      <c r="F28" s="112"/>
      <c r="G28" s="112"/>
      <c r="H28" s="112"/>
    </row>
    <row r="29" spans="1:26" x14ac:dyDescent="0.3">
      <c r="A29" s="66" t="s">
        <v>21</v>
      </c>
      <c r="B29" s="66"/>
      <c r="C29" s="66"/>
      <c r="D29" s="66"/>
      <c r="E29" s="112" t="s">
        <v>22</v>
      </c>
      <c r="F29" s="112"/>
      <c r="G29" s="112"/>
      <c r="H29" s="112"/>
    </row>
    <row r="30" spans="1:26" ht="15.75" customHeight="1" x14ac:dyDescent="0.3">
      <c r="A30" s="66" t="s">
        <v>75</v>
      </c>
      <c r="B30" s="66"/>
      <c r="C30" s="66"/>
      <c r="D30" s="66"/>
      <c r="E30" s="112" t="s">
        <v>76</v>
      </c>
      <c r="F30" s="112"/>
      <c r="G30" s="112"/>
      <c r="H30" s="112"/>
    </row>
    <row r="31" spans="1:26" ht="15" customHeight="1" x14ac:dyDescent="0.3">
      <c r="A31" s="66" t="s">
        <v>29</v>
      </c>
      <c r="B31" s="66"/>
      <c r="C31" s="66"/>
      <c r="D31" s="66"/>
      <c r="E31" s="11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2"/>
      <c r="G31" s="112"/>
      <c r="H31" s="112"/>
    </row>
    <row r="32" spans="1:26" ht="15.75" customHeight="1" x14ac:dyDescent="0.3">
      <c r="A32" s="66" t="s">
        <v>87</v>
      </c>
      <c r="B32" s="66"/>
      <c r="C32" s="66"/>
      <c r="D32" s="66"/>
      <c r="E32" s="112" t="s">
        <v>30</v>
      </c>
      <c r="F32" s="112"/>
      <c r="G32" s="112"/>
      <c r="H32" s="112"/>
    </row>
    <row r="33" spans="1:19" s="19" customFormat="1" x14ac:dyDescent="0.3">
      <c r="A33" s="157" t="s">
        <v>88</v>
      </c>
      <c r="B33" s="157"/>
      <c r="C33" s="154" t="s">
        <v>169</v>
      </c>
      <c r="D33" s="155"/>
      <c r="E33" s="156"/>
      <c r="F33" s="154" t="s">
        <v>28</v>
      </c>
      <c r="G33" s="155"/>
      <c r="H33" s="156"/>
      <c r="S33" s="19" t="e">
        <f ca="1">OFFSET($S$13,1,MATCH($G20,$S$13:$W$13,0)-1,15,1)</f>
        <v>#VALUE!</v>
      </c>
    </row>
    <row r="34" spans="1:19" s="19" customFormat="1" x14ac:dyDescent="0.3">
      <c r="A34" s="144" t="s">
        <v>23</v>
      </c>
      <c r="B34" s="144" t="s">
        <v>27</v>
      </c>
      <c r="C34" s="145" t="s">
        <v>311</v>
      </c>
      <c r="D34" s="146"/>
      <c r="E34" s="147"/>
      <c r="F34" s="145" t="s">
        <v>309</v>
      </c>
      <c r="G34" s="146"/>
      <c r="H34" s="147"/>
    </row>
    <row r="35" spans="1:19" x14ac:dyDescent="0.3">
      <c r="A35" s="144" t="s">
        <v>24</v>
      </c>
      <c r="B35" s="144" t="s">
        <v>27</v>
      </c>
      <c r="C35" s="145" t="s">
        <v>312</v>
      </c>
      <c r="D35" s="146"/>
      <c r="E35" s="147"/>
      <c r="F35" s="145" t="s">
        <v>305</v>
      </c>
      <c r="G35" s="146"/>
      <c r="H35" s="147"/>
    </row>
    <row r="36" spans="1:19" s="19" customFormat="1" x14ac:dyDescent="0.3">
      <c r="A36" s="144" t="s">
        <v>26</v>
      </c>
      <c r="B36" s="144" t="s">
        <v>27</v>
      </c>
      <c r="C36" s="145" t="s">
        <v>314</v>
      </c>
      <c r="D36" s="146"/>
      <c r="E36" s="147"/>
      <c r="F36" s="145" t="s">
        <v>306</v>
      </c>
      <c r="G36" s="146"/>
      <c r="H36" s="147"/>
    </row>
    <row r="37" spans="1:19" x14ac:dyDescent="0.3">
      <c r="A37" s="144" t="s">
        <v>25</v>
      </c>
      <c r="B37" s="144" t="s">
        <v>27</v>
      </c>
      <c r="C37" s="145" t="s">
        <v>313</v>
      </c>
      <c r="D37" s="146"/>
      <c r="E37" s="147"/>
      <c r="F37" s="145" t="s">
        <v>310</v>
      </c>
      <c r="G37" s="146"/>
      <c r="H37" s="147"/>
    </row>
    <row r="38" spans="1:19" x14ac:dyDescent="0.3">
      <c r="A38" s="66" t="s">
        <v>276</v>
      </c>
      <c r="B38" s="66"/>
      <c r="C38" s="66"/>
      <c r="D38" s="66"/>
      <c r="E38" s="66"/>
      <c r="F38" s="66"/>
      <c r="G38" s="66"/>
      <c r="H38" s="66"/>
    </row>
    <row r="39" spans="1:19" ht="15.75" customHeight="1" x14ac:dyDescent="0.3">
      <c r="A39" s="66" t="s">
        <v>161</v>
      </c>
      <c r="B39" s="66"/>
      <c r="C39" s="127" t="s">
        <v>303</v>
      </c>
      <c r="D39" s="127"/>
      <c r="E39" s="127"/>
      <c r="F39" s="127"/>
      <c r="G39" s="127"/>
      <c r="H39" s="127"/>
    </row>
    <row r="40" spans="1:19" x14ac:dyDescent="0.3">
      <c r="A40" s="66" t="s">
        <v>157</v>
      </c>
      <c r="B40" s="66"/>
      <c r="C40" s="115" t="s">
        <v>304</v>
      </c>
      <c r="D40" s="112"/>
      <c r="E40" s="112"/>
      <c r="F40" s="112"/>
      <c r="G40" s="112"/>
      <c r="H40" s="112"/>
    </row>
    <row r="41" spans="1:19" x14ac:dyDescent="0.3">
      <c r="A41" s="127" t="s">
        <v>31</v>
      </c>
      <c r="B41" s="127"/>
      <c r="C41" s="127"/>
      <c r="D41" s="127"/>
      <c r="E41" s="127"/>
      <c r="F41" s="127"/>
      <c r="G41" s="127"/>
      <c r="H41" s="127"/>
    </row>
    <row r="42" spans="1:19" x14ac:dyDescent="0.3">
      <c r="A42" s="66" t="s">
        <v>32</v>
      </c>
      <c r="B42" s="66"/>
      <c r="C42" s="66"/>
      <c r="D42" s="66"/>
      <c r="E42" s="148">
        <v>275.51</v>
      </c>
      <c r="F42" s="148"/>
      <c r="G42" s="148"/>
      <c r="H42" s="148"/>
    </row>
    <row r="43" spans="1:19" x14ac:dyDescent="0.3">
      <c r="A43" s="66" t="s">
        <v>33</v>
      </c>
      <c r="B43" s="66"/>
      <c r="C43" s="66"/>
      <c r="D43" s="66"/>
      <c r="E43" s="150">
        <f>551.02/E42</f>
        <v>2</v>
      </c>
      <c r="F43" s="150"/>
      <c r="G43" s="150"/>
      <c r="H43" s="150"/>
    </row>
    <row r="44" spans="1:19" x14ac:dyDescent="0.3">
      <c r="A44" s="66" t="s">
        <v>34</v>
      </c>
      <c r="B44" s="66"/>
      <c r="C44" s="66"/>
      <c r="D44" s="66"/>
      <c r="E44" s="150">
        <f>E46/E42-E43</f>
        <v>2.0843163587528588</v>
      </c>
      <c r="F44" s="150"/>
      <c r="G44" s="150"/>
      <c r="H44" s="150"/>
    </row>
    <row r="45" spans="1:19" x14ac:dyDescent="0.3">
      <c r="A45" s="66" t="s">
        <v>35</v>
      </c>
      <c r="B45" s="66"/>
      <c r="C45" s="66"/>
      <c r="D45" s="66"/>
      <c r="E45" s="150">
        <f>E43+E44</f>
        <v>4.0843163587528588</v>
      </c>
      <c r="F45" s="150"/>
      <c r="G45" s="150"/>
      <c r="H45" s="150"/>
    </row>
    <row r="46" spans="1:19" x14ac:dyDescent="0.3">
      <c r="A46" s="66" t="s">
        <v>86</v>
      </c>
      <c r="B46" s="66"/>
      <c r="C46" s="66"/>
      <c r="D46" s="66"/>
      <c r="E46" s="151">
        <v>1125.27</v>
      </c>
      <c r="F46" s="151"/>
      <c r="G46" s="151"/>
      <c r="H46" s="151"/>
    </row>
    <row r="47" spans="1:19" x14ac:dyDescent="0.3">
      <c r="A47" s="111" t="s">
        <v>36</v>
      </c>
      <c r="B47" s="111"/>
      <c r="C47" s="111"/>
      <c r="D47" s="111"/>
      <c r="E47" s="111" t="s">
        <v>116</v>
      </c>
      <c r="F47" s="111"/>
      <c r="G47" s="111"/>
      <c r="H47" s="111"/>
    </row>
    <row r="48" spans="1:19" x14ac:dyDescent="0.3">
      <c r="A48" s="127" t="s">
        <v>37</v>
      </c>
      <c r="B48" s="127"/>
      <c r="C48" s="127"/>
      <c r="D48" s="127"/>
      <c r="E48" s="127"/>
      <c r="F48" s="127"/>
      <c r="G48" s="127"/>
      <c r="H48" s="127"/>
    </row>
    <row r="49" spans="1:24" ht="33.75" customHeight="1" x14ac:dyDescent="0.3">
      <c r="A49" s="91" t="s">
        <v>146</v>
      </c>
      <c r="B49" s="92"/>
      <c r="C49" s="93" t="s">
        <v>271</v>
      </c>
      <c r="D49" s="94"/>
      <c r="E49" s="94"/>
      <c r="F49" s="94"/>
      <c r="G49" s="94"/>
      <c r="H49" s="95"/>
      <c r="R49" t="s">
        <v>249</v>
      </c>
      <c r="S49" t="s">
        <v>168</v>
      </c>
      <c r="T49" t="s">
        <v>175</v>
      </c>
      <c r="U49" t="s">
        <v>190</v>
      </c>
      <c r="V49" t="s">
        <v>185</v>
      </c>
    </row>
    <row r="50" spans="1:24" ht="30.75" customHeight="1" x14ac:dyDescent="0.3">
      <c r="A50" s="91" t="s">
        <v>38</v>
      </c>
      <c r="B50" s="92"/>
      <c r="C50" s="91" t="s">
        <v>315</v>
      </c>
      <c r="D50" s="152"/>
      <c r="E50" s="92"/>
      <c r="F50" s="17" t="s">
        <v>39</v>
      </c>
      <c r="G50" s="153">
        <v>45292</v>
      </c>
      <c r="H50" s="92"/>
      <c r="R50"/>
      <c r="S50" t="s">
        <v>250</v>
      </c>
      <c r="T50" t="s">
        <v>255</v>
      </c>
      <c r="U50" t="s">
        <v>266</v>
      </c>
      <c r="V50" t="s">
        <v>271</v>
      </c>
    </row>
    <row r="51" spans="1:24" ht="30.75" customHeight="1" x14ac:dyDescent="0.3">
      <c r="A51" s="91" t="s">
        <v>40</v>
      </c>
      <c r="B51" s="92"/>
      <c r="C51" s="91" t="str">
        <f>C50</f>
        <v>VVCMC/TP/AMEND/VP/4870/209/203-24</v>
      </c>
      <c r="D51" s="152"/>
      <c r="E51" s="92"/>
      <c r="F51" s="17" t="s">
        <v>39</v>
      </c>
      <c r="G51" s="153">
        <f>G50</f>
        <v>45292</v>
      </c>
      <c r="H51" s="92"/>
      <c r="R51"/>
      <c r="S51" t="s">
        <v>251</v>
      </c>
      <c r="T51" t="s">
        <v>294</v>
      </c>
      <c r="U51" t="s">
        <v>264</v>
      </c>
      <c r="V51" t="s">
        <v>272</v>
      </c>
    </row>
    <row r="52" spans="1:24" s="20" customFormat="1" ht="15" customHeight="1" x14ac:dyDescent="0.3">
      <c r="A52" s="178" t="s">
        <v>150</v>
      </c>
      <c r="B52" s="179"/>
      <c r="C52" s="91" t="s">
        <v>316</v>
      </c>
      <c r="D52" s="152"/>
      <c r="E52" s="92"/>
      <c r="F52" s="17" t="s">
        <v>39</v>
      </c>
      <c r="G52" s="153">
        <f>G51</f>
        <v>45292</v>
      </c>
      <c r="H52" s="92"/>
      <c r="R52"/>
      <c r="S52" t="s">
        <v>252</v>
      </c>
      <c r="T52" t="s">
        <v>257</v>
      </c>
      <c r="U52" t="s">
        <v>254</v>
      </c>
      <c r="V52" t="s">
        <v>273</v>
      </c>
    </row>
    <row r="53" spans="1:24" s="20" customFormat="1" ht="47.25" customHeight="1" x14ac:dyDescent="0.3">
      <c r="A53" s="180"/>
      <c r="B53" s="181"/>
      <c r="C53" s="91" t="s">
        <v>317</v>
      </c>
      <c r="D53" s="152"/>
      <c r="E53" s="152"/>
      <c r="F53" s="152"/>
      <c r="G53" s="152"/>
      <c r="H53" s="92"/>
      <c r="R53"/>
      <c r="S53" t="s">
        <v>253</v>
      </c>
      <c r="T53" t="s">
        <v>260</v>
      </c>
      <c r="U53" t="s">
        <v>267</v>
      </c>
    </row>
    <row r="54" spans="1:24" s="20" customFormat="1" hidden="1" x14ac:dyDescent="0.3">
      <c r="A54" s="187" t="s">
        <v>277</v>
      </c>
      <c r="B54" s="188"/>
      <c r="C54" s="91" t="e">
        <f>#REF!</f>
        <v>#REF!</v>
      </c>
      <c r="D54" s="152"/>
      <c r="E54" s="92"/>
      <c r="F54" s="17" t="s">
        <v>39</v>
      </c>
      <c r="G54" s="91"/>
      <c r="H54" s="92"/>
      <c r="R54"/>
      <c r="S54" t="s">
        <v>252</v>
      </c>
      <c r="T54" t="s">
        <v>257</v>
      </c>
      <c r="U54" t="s">
        <v>254</v>
      </c>
      <c r="V54" t="s">
        <v>273</v>
      </c>
    </row>
    <row r="55" spans="1:24" s="20" customFormat="1" ht="32.25" hidden="1" customHeight="1" x14ac:dyDescent="0.3">
      <c r="A55" s="189"/>
      <c r="B55" s="190"/>
      <c r="C55" s="122"/>
      <c r="D55" s="123"/>
      <c r="E55" s="123"/>
      <c r="F55" s="123"/>
      <c r="G55" s="123"/>
      <c r="H55" s="124"/>
      <c r="R55"/>
      <c r="S55" t="s">
        <v>254</v>
      </c>
      <c r="T55" t="s">
        <v>258</v>
      </c>
      <c r="U55" t="s">
        <v>268</v>
      </c>
      <c r="V55" s="18"/>
      <c r="W55" s="18"/>
      <c r="X55" s="18"/>
    </row>
    <row r="56" spans="1:24" s="20" customFormat="1" ht="34.5" hidden="1" customHeight="1" x14ac:dyDescent="0.3">
      <c r="A56" s="187" t="s">
        <v>278</v>
      </c>
      <c r="B56" s="188"/>
      <c r="C56" s="91">
        <f>C55</f>
        <v>0</v>
      </c>
      <c r="D56" s="152"/>
      <c r="E56" s="92"/>
      <c r="F56" s="17" t="s">
        <v>39</v>
      </c>
      <c r="G56" s="91">
        <f>G55</f>
        <v>0</v>
      </c>
      <c r="H56" s="92"/>
      <c r="R56"/>
      <c r="S56" s="18"/>
      <c r="T56" t="s">
        <v>259</v>
      </c>
      <c r="U56" t="s">
        <v>269</v>
      </c>
      <c r="V56" s="18"/>
      <c r="W56" s="18"/>
      <c r="X56" s="18"/>
    </row>
    <row r="57" spans="1:24" s="20" customFormat="1" ht="41.25" hidden="1" customHeight="1" x14ac:dyDescent="0.3">
      <c r="A57" s="189"/>
      <c r="B57" s="190"/>
      <c r="C57" s="91"/>
      <c r="D57" s="152"/>
      <c r="E57" s="152"/>
      <c r="F57" s="152"/>
      <c r="G57" s="152"/>
      <c r="H57" s="92"/>
      <c r="R57"/>
      <c r="S57" s="18"/>
      <c r="T57" t="s">
        <v>261</v>
      </c>
      <c r="U57" t="s">
        <v>270</v>
      </c>
      <c r="V57" s="18"/>
      <c r="W57" s="18"/>
      <c r="X57" s="18"/>
    </row>
    <row r="58" spans="1:24" s="20" customFormat="1" ht="15.75" hidden="1" customHeight="1" x14ac:dyDescent="0.3">
      <c r="A58" s="187" t="s">
        <v>279</v>
      </c>
      <c r="B58" s="188"/>
      <c r="C58" s="91">
        <f>C57</f>
        <v>0</v>
      </c>
      <c r="D58" s="152"/>
      <c r="E58" s="92"/>
      <c r="F58" s="17" t="s">
        <v>39</v>
      </c>
      <c r="G58" s="91">
        <f>G57</f>
        <v>0</v>
      </c>
      <c r="H58" s="92"/>
      <c r="R58"/>
      <c r="S58" s="18"/>
      <c r="T58" t="s">
        <v>262</v>
      </c>
      <c r="U58" s="18" t="s">
        <v>293</v>
      </c>
      <c r="V58" s="18"/>
      <c r="W58" s="18"/>
      <c r="X58" s="18"/>
    </row>
    <row r="59" spans="1:24" s="20" customFormat="1" ht="33.75" hidden="1" customHeight="1" x14ac:dyDescent="0.3">
      <c r="A59" s="189"/>
      <c r="B59" s="190"/>
      <c r="C59" s="91"/>
      <c r="D59" s="152"/>
      <c r="E59" s="152"/>
      <c r="F59" s="152"/>
      <c r="G59" s="152"/>
      <c r="H59" s="92"/>
      <c r="R59"/>
      <c r="S59" s="18"/>
      <c r="T59" t="s">
        <v>263</v>
      </c>
      <c r="U59" s="18"/>
      <c r="V59" s="18"/>
      <c r="W59" s="18"/>
      <c r="X59" s="18"/>
    </row>
    <row r="60" spans="1:24" x14ac:dyDescent="0.3">
      <c r="A60" s="194" t="s">
        <v>41</v>
      </c>
      <c r="B60" s="195"/>
      <c r="C60" s="194" t="s">
        <v>100</v>
      </c>
      <c r="D60" s="196"/>
      <c r="E60" s="195"/>
      <c r="F60" s="40" t="s">
        <v>39</v>
      </c>
      <c r="G60" s="185" t="s">
        <v>27</v>
      </c>
      <c r="H60" s="186"/>
      <c r="R60"/>
      <c r="T60" t="s">
        <v>265</v>
      </c>
    </row>
    <row r="61" spans="1:24" x14ac:dyDescent="0.3">
      <c r="A61" s="167" t="s">
        <v>43</v>
      </c>
      <c r="B61" s="167"/>
      <c r="C61" s="167"/>
      <c r="D61" s="167"/>
      <c r="E61" s="167"/>
      <c r="F61" s="167"/>
      <c r="G61" s="167"/>
      <c r="H61" s="167"/>
      <c r="T61" t="s">
        <v>274</v>
      </c>
    </row>
    <row r="62" spans="1:24" x14ac:dyDescent="0.3">
      <c r="A62" s="107" t="s">
        <v>85</v>
      </c>
      <c r="B62" s="107"/>
      <c r="C62" s="107"/>
      <c r="D62" s="66">
        <f>E46</f>
        <v>1125.27</v>
      </c>
      <c r="E62" s="66"/>
      <c r="F62" s="66"/>
      <c r="G62" s="66"/>
      <c r="H62" s="66"/>
      <c r="R62"/>
    </row>
    <row r="63" spans="1:24" x14ac:dyDescent="0.3">
      <c r="A63" s="112" t="s">
        <v>44</v>
      </c>
      <c r="B63" s="111"/>
      <c r="C63" s="111"/>
      <c r="D63" s="111" t="s">
        <v>333</v>
      </c>
      <c r="E63" s="111"/>
      <c r="F63" s="111"/>
      <c r="G63" s="111"/>
      <c r="H63" s="111"/>
      <c r="I63" s="21"/>
      <c r="R63"/>
    </row>
    <row r="64" spans="1:24" x14ac:dyDescent="0.3">
      <c r="A64" s="130" t="s">
        <v>45</v>
      </c>
      <c r="B64" s="131"/>
      <c r="C64" s="132"/>
      <c r="D64" s="128" t="s">
        <v>337</v>
      </c>
      <c r="E64" s="129"/>
      <c r="F64" s="129"/>
      <c r="G64" s="129"/>
      <c r="H64" s="129"/>
      <c r="R64"/>
    </row>
    <row r="65" spans="1:19" ht="15.75" customHeight="1" x14ac:dyDescent="0.3">
      <c r="A65" s="130" t="s">
        <v>83</v>
      </c>
      <c r="B65" s="131"/>
      <c r="C65" s="131"/>
      <c r="D65" s="128" t="s">
        <v>337</v>
      </c>
      <c r="E65" s="129"/>
      <c r="F65" s="129"/>
      <c r="G65" s="129"/>
      <c r="H65" s="129"/>
      <c r="R65"/>
    </row>
    <row r="66" spans="1:19" ht="15.75" customHeight="1" x14ac:dyDescent="0.3">
      <c r="A66" s="66" t="s">
        <v>42</v>
      </c>
      <c r="B66" s="66"/>
      <c r="C66" s="66"/>
      <c r="D66" s="107" t="s">
        <v>338</v>
      </c>
      <c r="E66" s="107"/>
      <c r="F66" s="107"/>
      <c r="G66" s="107"/>
      <c r="H66" s="107"/>
      <c r="J66" s="22"/>
      <c r="K66" s="21"/>
      <c r="N66" s="21"/>
      <c r="S66"/>
    </row>
    <row r="67" spans="1:19" ht="15.75" customHeight="1" x14ac:dyDescent="0.3">
      <c r="A67" s="66" t="s">
        <v>81</v>
      </c>
      <c r="B67" s="66"/>
      <c r="C67" s="66"/>
      <c r="D67" s="149" t="s">
        <v>341</v>
      </c>
      <c r="E67" s="149"/>
      <c r="F67" s="149"/>
      <c r="G67" s="149"/>
      <c r="H67" s="149"/>
      <c r="I67" s="18" t="str">
        <f>(IF(G60="NA","60 Years After Completion",IF(G60&lt;&gt;"NA",""&amp;60-ROUNDDOWN((E3-G60)/360,0)&amp;" Years"," ")))</f>
        <v>60 Years After Completion</v>
      </c>
      <c r="N67" s="21"/>
      <c r="S67"/>
    </row>
    <row r="68" spans="1:19" ht="15.75" customHeight="1" x14ac:dyDescent="0.3">
      <c r="A68" s="66" t="s">
        <v>82</v>
      </c>
      <c r="B68" s="66"/>
      <c r="C68" s="66"/>
      <c r="D68" s="107" t="s">
        <v>22</v>
      </c>
      <c r="E68" s="107"/>
      <c r="F68" s="107"/>
      <c r="G68" s="107"/>
      <c r="H68" s="107"/>
      <c r="J68" s="23"/>
      <c r="K68" s="23"/>
      <c r="S68"/>
    </row>
    <row r="69" spans="1:19" ht="49.5" customHeight="1" x14ac:dyDescent="0.3">
      <c r="A69" s="111" t="s">
        <v>318</v>
      </c>
      <c r="B69" s="111"/>
      <c r="C69" s="111"/>
      <c r="D69" s="112" t="s">
        <v>319</v>
      </c>
      <c r="E69" s="112"/>
      <c r="F69" s="112"/>
      <c r="G69" s="112"/>
      <c r="H69" s="112"/>
      <c r="S69"/>
    </row>
    <row r="70" spans="1:19" x14ac:dyDescent="0.3">
      <c r="A70" s="107" t="s">
        <v>143</v>
      </c>
      <c r="B70" s="107"/>
      <c r="C70" s="107"/>
      <c r="D70" s="107" t="s">
        <v>27</v>
      </c>
      <c r="E70" s="107"/>
      <c r="F70" s="107"/>
      <c r="G70" s="107"/>
      <c r="H70" s="107"/>
      <c r="I70" s="24"/>
      <c r="J70" s="24"/>
      <c r="K70" s="24"/>
      <c r="L70" s="24"/>
      <c r="M70" s="24"/>
      <c r="N70" s="24"/>
    </row>
    <row r="71" spans="1:19" ht="15.75" customHeight="1" x14ac:dyDescent="0.3">
      <c r="A71" s="197" t="s">
        <v>80</v>
      </c>
      <c r="B71" s="197"/>
      <c r="C71" s="197"/>
      <c r="D71" s="128" t="s">
        <v>339</v>
      </c>
      <c r="E71" s="128"/>
      <c r="F71" s="128"/>
      <c r="G71" s="128"/>
      <c r="H71" s="128"/>
      <c r="J71" s="23"/>
      <c r="S71"/>
    </row>
    <row r="72" spans="1:19" ht="33.75" customHeight="1" thickBot="1" x14ac:dyDescent="0.35">
      <c r="A72" s="113" t="s">
        <v>113</v>
      </c>
      <c r="B72" s="113"/>
      <c r="C72" s="113"/>
      <c r="D72" s="128" t="str">
        <f>(IF(D71="Nothing","Yes",IF(D71="Cement, Aggregate, Steel, etc","Under Construction",IF(D71="Work not yet Started","Work not yet Started"))))</f>
        <v>Yes</v>
      </c>
      <c r="E72" s="128"/>
      <c r="F72" s="128" t="str">
        <f>(IF(D71="Nothing","Yes",IF(D71="Cement, Aggregate, Steel, etc","Under Construction",IF(D71="Work not yet Started","Work not yet Started"))))</f>
        <v>Yes</v>
      </c>
      <c r="G72" s="128"/>
      <c r="H72" s="128"/>
      <c r="S72"/>
    </row>
    <row r="73" spans="1:19" ht="15.75" customHeight="1" x14ac:dyDescent="0.3">
      <c r="A73" s="102" t="s">
        <v>135</v>
      </c>
      <c r="B73" s="103"/>
      <c r="C73" s="104" t="str">
        <f>D65</f>
        <v>Building No.1 = Gr/St + 1st to 6th(Pt) Floor</v>
      </c>
      <c r="D73" s="105"/>
      <c r="E73" s="105"/>
      <c r="F73" s="105"/>
      <c r="G73" s="105"/>
      <c r="H73" s="106"/>
      <c r="I73" s="42" t="str">
        <f ca="1">IF(D86=100%,"All work Completed. Possession granted to the Building.",IF(D85=100%,"All work Completed, Waiting for OC",I74&amp;""&amp;I75&amp;""&amp;J74&amp;""&amp;J73&amp;" "&amp;J75))</f>
        <v>All work Completed. Possession granted to the Building.</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
      <c r="A74" s="15" t="s">
        <v>137</v>
      </c>
      <c r="B74" s="46">
        <f>IF(AND(ISNUMBER(SEARCH("1B",C73))),1,IF(AND(ISNUMBER(SEARCH("2B",C73))),2,IF(AND(ISNUMBER(SEARCH("3B",C73))),3,IF(AND(ISNUMBER(SEARCH("4B",C73))),4,IF(ISNUMBER(SEARCH("5B",C73)),5,0)))))</f>
        <v>0</v>
      </c>
      <c r="C74" s="46" t="s">
        <v>67</v>
      </c>
      <c r="D74" s="46">
        <v>1</v>
      </c>
      <c r="E74" s="46" t="s">
        <v>66</v>
      </c>
      <c r="F74" s="46">
        <v>0</v>
      </c>
      <c r="G74" s="46" t="s">
        <v>74</v>
      </c>
      <c r="H74" s="16">
        <f ca="1">--TRIM(RIGHT(SUBSTITUTE(LEFT(C73,_xlfn.AGGREGATE(16,6,FIND({0,1,2,3,4,5,6,7,8,9},C73,ROW(INDIRECT("1:"&amp;LEN(C73)))),1))," ",REPT(" ",LEN(C73))),LEN(C73)))</f>
        <v>6</v>
      </c>
      <c r="I74" s="44"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 Painting, Building common Amenities</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
      <c r="A75" s="125" t="s">
        <v>84</v>
      </c>
      <c r="B75" s="126"/>
      <c r="C75" s="108" t="str">
        <f ca="1">I73</f>
        <v>All work Completed. Possession granted to the Building.</v>
      </c>
      <c r="D75" s="108"/>
      <c r="E75" s="108"/>
      <c r="F75" s="108"/>
      <c r="G75" s="108"/>
      <c r="H75" s="109"/>
      <c r="I75" s="44" t="str">
        <f ca="1">IF(I74&lt;&gt;""," Completed","")</f>
        <v xml:space="preserve"> Completed</v>
      </c>
      <c r="J75" s="45" t="str">
        <f ca="1">IF(J73&lt;&gt;"","Completed","")</f>
        <v/>
      </c>
      <c r="S75"/>
    </row>
    <row r="76" spans="1:19" ht="15.75" customHeight="1" x14ac:dyDescent="0.3">
      <c r="A76" s="100" t="s">
        <v>46</v>
      </c>
      <c r="B76" s="101"/>
      <c r="C76" s="54" t="s">
        <v>134</v>
      </c>
      <c r="D76" s="54" t="s">
        <v>77</v>
      </c>
      <c r="E76" s="110" t="s">
        <v>79</v>
      </c>
      <c r="F76" s="110"/>
      <c r="G76" s="110" t="s">
        <v>78</v>
      </c>
      <c r="H76" s="162"/>
      <c r="I76" s="13" t="s">
        <v>136</v>
      </c>
      <c r="J76" s="25">
        <f ca="1">H74*25%</f>
        <v>1.5</v>
      </c>
      <c r="S76"/>
    </row>
    <row r="77" spans="1:19" x14ac:dyDescent="0.3">
      <c r="A77" s="100" t="s">
        <v>123</v>
      </c>
      <c r="B77" s="101"/>
      <c r="C77" s="54">
        <f ca="1">J78</f>
        <v>6</v>
      </c>
      <c r="D77" s="55">
        <f ca="1">((100/H74)*C77)/100</f>
        <v>1</v>
      </c>
      <c r="E77" s="133">
        <f ca="1">(((C78/H74*10)+(40/(D74+F74+H74)*C79)+(7.5/(H74)*C80)+(7.5/(H74)*C81)+(10/H74*C82)+(10/H74*C83)+(5/H74*C84)+(5/H74*C85)+(5/H74*C86))/100)</f>
        <v>1</v>
      </c>
      <c r="F77" s="134"/>
      <c r="G77" s="133">
        <f ca="1">((((C77/H74)*20)+((C78/H74)*25)+(30/(H74+F74+D74)*C79)+(5/H74*C80)+(5/H74*C81)+(5/H74*C82)+(5/H74*C83)+(0/H74*C84)+(0/H74*C85)+(5/H74*C86))/100)</f>
        <v>1</v>
      </c>
      <c r="H77" s="139"/>
      <c r="I77" s="13" t="s">
        <v>95</v>
      </c>
      <c r="J77" s="26">
        <f ca="1">H74*50%</f>
        <v>3</v>
      </c>
    </row>
    <row r="78" spans="1:19" x14ac:dyDescent="0.3">
      <c r="A78" s="100" t="s">
        <v>47</v>
      </c>
      <c r="B78" s="101"/>
      <c r="C78" s="54">
        <f ca="1">J86</f>
        <v>6</v>
      </c>
      <c r="D78" s="55">
        <f ca="1">((100/H74)*C78)/100</f>
        <v>1</v>
      </c>
      <c r="E78" s="135"/>
      <c r="F78" s="136"/>
      <c r="G78" s="135"/>
      <c r="H78" s="140"/>
      <c r="I78" s="13" t="s">
        <v>96</v>
      </c>
      <c r="J78" s="26">
        <f ca="1">H74</f>
        <v>6</v>
      </c>
      <c r="S78"/>
    </row>
    <row r="79" spans="1:19" ht="15.75" customHeight="1" x14ac:dyDescent="0.3">
      <c r="A79" s="100" t="s">
        <v>124</v>
      </c>
      <c r="B79" s="101"/>
      <c r="C79" s="54">
        <v>7</v>
      </c>
      <c r="D79" s="55">
        <f ca="1">((100/(D74+F74+H74))*C79)/100</f>
        <v>1</v>
      </c>
      <c r="E79" s="135"/>
      <c r="F79" s="136"/>
      <c r="G79" s="135"/>
      <c r="H79" s="140"/>
      <c r="I79" s="13" t="s">
        <v>97</v>
      </c>
      <c r="J79" s="27">
        <f ca="1">(IF(B74&gt;1,(H74/(B74+2)),H74/4))</f>
        <v>1.5</v>
      </c>
      <c r="S79"/>
    </row>
    <row r="80" spans="1:19" ht="15.75" customHeight="1" x14ac:dyDescent="0.3">
      <c r="A80" s="100" t="s">
        <v>131</v>
      </c>
      <c r="B80" s="101" t="s">
        <v>125</v>
      </c>
      <c r="C80" s="54">
        <v>6</v>
      </c>
      <c r="D80" s="55">
        <f ca="1">((100/H74)*C80)/100</f>
        <v>1</v>
      </c>
      <c r="E80" s="135"/>
      <c r="F80" s="136"/>
      <c r="G80" s="135"/>
      <c r="H80" s="140"/>
      <c r="I80" s="13" t="s">
        <v>98</v>
      </c>
      <c r="J80" s="27">
        <f ca="1">(IF(B74&gt;1,(H74/(B74+2)+J79),H74/4+J79))</f>
        <v>3</v>
      </c>
    </row>
    <row r="81" spans="1:22" ht="15.75" customHeight="1" x14ac:dyDescent="0.3">
      <c r="A81" s="100" t="s">
        <v>132</v>
      </c>
      <c r="B81" s="101" t="s">
        <v>125</v>
      </c>
      <c r="C81" s="54">
        <v>6</v>
      </c>
      <c r="D81" s="55">
        <f ca="1">((100/H74)*C81)/100</f>
        <v>1</v>
      </c>
      <c r="E81" s="135"/>
      <c r="F81" s="136"/>
      <c r="G81" s="135"/>
      <c r="H81" s="140"/>
      <c r="I81" s="13" t="s">
        <v>141</v>
      </c>
      <c r="J81" s="27">
        <f>(IF(B74&gt;1,(H74/(B74+2)+J80),0))</f>
        <v>0</v>
      </c>
    </row>
    <row r="82" spans="1:22" ht="15" customHeight="1" x14ac:dyDescent="0.3">
      <c r="A82" s="100" t="s">
        <v>130</v>
      </c>
      <c r="B82" s="101" t="s">
        <v>127</v>
      </c>
      <c r="C82" s="54">
        <v>6</v>
      </c>
      <c r="D82" s="55">
        <f ca="1">((100/(H74))*C82)/100</f>
        <v>1</v>
      </c>
      <c r="E82" s="135"/>
      <c r="F82" s="136"/>
      <c r="G82" s="135"/>
      <c r="H82" s="140"/>
      <c r="I82" s="13" t="s">
        <v>138</v>
      </c>
      <c r="J82" s="27">
        <f>(IF(B74&gt;2,(H74/(B74+2)+J81),0))</f>
        <v>0</v>
      </c>
    </row>
    <row r="83" spans="1:22" ht="15.75" customHeight="1" x14ac:dyDescent="0.3">
      <c r="A83" s="100" t="s">
        <v>126</v>
      </c>
      <c r="B83" s="101" t="s">
        <v>126</v>
      </c>
      <c r="C83" s="54">
        <v>6</v>
      </c>
      <c r="D83" s="55">
        <f ca="1">((100/H74)*C83)/100</f>
        <v>1</v>
      </c>
      <c r="E83" s="135"/>
      <c r="F83" s="136"/>
      <c r="G83" s="135"/>
      <c r="H83" s="140"/>
      <c r="I83" s="13" t="s">
        <v>139</v>
      </c>
      <c r="J83" s="28">
        <f>(IF(B74&gt;3,(H74/(B74+2)+J82),0))</f>
        <v>0</v>
      </c>
    </row>
    <row r="84" spans="1:22" ht="15.75" customHeight="1" x14ac:dyDescent="0.3">
      <c r="A84" s="100" t="s">
        <v>133</v>
      </c>
      <c r="B84" s="101"/>
      <c r="C84" s="54">
        <v>6</v>
      </c>
      <c r="D84" s="55">
        <f ca="1">((100/H74)*C84)/100</f>
        <v>1</v>
      </c>
      <c r="E84" s="135"/>
      <c r="F84" s="136"/>
      <c r="G84" s="135"/>
      <c r="H84" s="140"/>
      <c r="I84" s="13" t="s">
        <v>140</v>
      </c>
      <c r="J84" s="27">
        <f>(IF(B74&gt;4,(H74/(B74+2)+J83),0))</f>
        <v>0</v>
      </c>
    </row>
    <row r="85" spans="1:22" ht="15.75" customHeight="1" x14ac:dyDescent="0.3">
      <c r="A85" s="100" t="s">
        <v>128</v>
      </c>
      <c r="B85" s="101" t="s">
        <v>128</v>
      </c>
      <c r="C85" s="54">
        <v>6</v>
      </c>
      <c r="D85" s="55">
        <f ca="1">((100/(H74))*C85)/100</f>
        <v>1</v>
      </c>
      <c r="E85" s="135"/>
      <c r="F85" s="136"/>
      <c r="G85" s="135"/>
      <c r="H85" s="140"/>
      <c r="I85" s="13" t="s">
        <v>142</v>
      </c>
      <c r="J85" s="27">
        <f ca="1">(IF(B74=1,(H74/(B74+3)+J80),IF(B74=0,(H74/4+J80),IF(B74&gt;1,0))))</f>
        <v>4.5</v>
      </c>
    </row>
    <row r="86" spans="1:22" ht="16.2" thickBot="1" x14ac:dyDescent="0.35">
      <c r="A86" s="142" t="s">
        <v>129</v>
      </c>
      <c r="B86" s="143"/>
      <c r="C86" s="56">
        <v>6</v>
      </c>
      <c r="D86" s="57">
        <f ca="1">((100/(H74))*C86)/100</f>
        <v>1</v>
      </c>
      <c r="E86" s="137"/>
      <c r="F86" s="138"/>
      <c r="G86" s="137"/>
      <c r="H86" s="141"/>
      <c r="I86" s="14" t="s">
        <v>99</v>
      </c>
      <c r="J86" s="29">
        <f ca="1">(IF(B74&gt;1.5,(H74/(B74+2)+J80+MAX(0,J81-J80)+MAX(0,J82-J81)+MAX(0,J83-J82)+MAX(0,J84-J83)+MAX(0,J85-J84)),IF(B74=1,(H74/(B74+3)+J85),IF(B74=0,H74/4+J85))))</f>
        <v>6</v>
      </c>
    </row>
    <row r="87" spans="1:22" x14ac:dyDescent="0.3">
      <c r="A87" s="97" t="s">
        <v>152</v>
      </c>
      <c r="B87" s="97"/>
      <c r="C87" s="97"/>
      <c r="D87" s="97"/>
      <c r="E87" s="97"/>
      <c r="F87" s="171" t="s">
        <v>156</v>
      </c>
      <c r="G87" s="171"/>
      <c r="H87" s="171"/>
      <c r="R87" t="s">
        <v>249</v>
      </c>
      <c r="S87" t="s">
        <v>168</v>
      </c>
      <c r="T87" t="s">
        <v>175</v>
      </c>
      <c r="U87" t="s">
        <v>190</v>
      </c>
      <c r="V87" t="s">
        <v>185</v>
      </c>
    </row>
    <row r="88" spans="1:22" x14ac:dyDescent="0.3">
      <c r="A88" s="66" t="s">
        <v>154</v>
      </c>
      <c r="B88" s="66"/>
      <c r="C88" s="66"/>
      <c r="D88" s="66"/>
      <c r="E88" s="66"/>
      <c r="F88" s="96">
        <v>5400</v>
      </c>
      <c r="G88" s="96"/>
      <c r="H88" s="96"/>
      <c r="R88"/>
      <c r="S88">
        <v>800000</v>
      </c>
      <c r="T88">
        <v>150000</v>
      </c>
      <c r="U88">
        <v>100000</v>
      </c>
      <c r="V88">
        <v>100000</v>
      </c>
    </row>
    <row r="89" spans="1:22" x14ac:dyDescent="0.3">
      <c r="A89" s="66" t="s">
        <v>153</v>
      </c>
      <c r="B89" s="66"/>
      <c r="C89" s="66"/>
      <c r="D89" s="66"/>
      <c r="E89" s="66"/>
      <c r="F89" s="96">
        <v>9500</v>
      </c>
      <c r="G89" s="96"/>
      <c r="H89" s="96"/>
      <c r="R89"/>
      <c r="S89">
        <v>900000</v>
      </c>
      <c r="T89">
        <v>200000</v>
      </c>
      <c r="U89">
        <v>150000</v>
      </c>
      <c r="V89">
        <v>150000</v>
      </c>
    </row>
    <row r="90" spans="1:22" hidden="1" x14ac:dyDescent="0.3">
      <c r="A90" s="66" t="s">
        <v>155</v>
      </c>
      <c r="B90" s="66"/>
      <c r="C90" s="66"/>
      <c r="D90" s="66"/>
      <c r="E90" s="66"/>
      <c r="F90" s="96"/>
      <c r="G90" s="96"/>
      <c r="H90" s="96"/>
      <c r="R90"/>
      <c r="S90">
        <v>1000000</v>
      </c>
      <c r="T90">
        <v>250000</v>
      </c>
      <c r="U90">
        <v>200000</v>
      </c>
      <c r="V90">
        <v>200000</v>
      </c>
    </row>
    <row r="91" spans="1:22" s="30" customFormat="1" hidden="1" x14ac:dyDescent="0.3">
      <c r="A91" s="66" t="s">
        <v>171</v>
      </c>
      <c r="B91" s="66"/>
      <c r="C91" s="66"/>
      <c r="D91" s="66"/>
      <c r="E91" s="66"/>
      <c r="F91" s="96"/>
      <c r="G91" s="96"/>
      <c r="H91" s="96"/>
      <c r="R91"/>
      <c r="S91">
        <v>1100000</v>
      </c>
      <c r="T91">
        <v>300000</v>
      </c>
      <c r="U91">
        <v>250000</v>
      </c>
      <c r="V91" s="20">
        <v>250000</v>
      </c>
    </row>
    <row r="92" spans="1:22" s="30" customFormat="1" hidden="1" x14ac:dyDescent="0.3">
      <c r="A92" s="66" t="s">
        <v>89</v>
      </c>
      <c r="B92" s="66"/>
      <c r="C92" s="66"/>
      <c r="D92" s="66"/>
      <c r="E92" s="66"/>
      <c r="F92" s="96"/>
      <c r="G92" s="96"/>
      <c r="H92" s="96"/>
      <c r="R92"/>
      <c r="S92">
        <v>1200000</v>
      </c>
      <c r="T92">
        <v>350000</v>
      </c>
      <c r="U92">
        <v>300000</v>
      </c>
      <c r="V92">
        <v>300000</v>
      </c>
    </row>
    <row r="93" spans="1:22" s="30" customFormat="1" hidden="1" x14ac:dyDescent="0.3">
      <c r="A93" s="66" t="s">
        <v>90</v>
      </c>
      <c r="B93" s="66"/>
      <c r="C93" s="66"/>
      <c r="D93" s="66"/>
      <c r="E93" s="66"/>
      <c r="F93" s="96"/>
      <c r="G93" s="96"/>
      <c r="H93" s="96"/>
      <c r="R93"/>
      <c r="S93">
        <v>1300000</v>
      </c>
      <c r="T93">
        <v>400000</v>
      </c>
      <c r="U93">
        <v>350000</v>
      </c>
      <c r="V93" s="20">
        <v>400000</v>
      </c>
    </row>
    <row r="94" spans="1:22" s="30" customFormat="1" hidden="1" x14ac:dyDescent="0.3">
      <c r="A94" s="66" t="s">
        <v>91</v>
      </c>
      <c r="B94" s="66"/>
      <c r="C94" s="66"/>
      <c r="D94" s="66"/>
      <c r="E94" s="66"/>
      <c r="F94" s="96"/>
      <c r="G94" s="96"/>
      <c r="H94" s="96"/>
      <c r="R94"/>
      <c r="S94">
        <v>1400000</v>
      </c>
      <c r="T94">
        <v>500000</v>
      </c>
      <c r="U94">
        <v>400000</v>
      </c>
      <c r="V94"/>
    </row>
    <row r="95" spans="1:22" s="30" customFormat="1" hidden="1" x14ac:dyDescent="0.3">
      <c r="A95" s="66" t="s">
        <v>92</v>
      </c>
      <c r="B95" s="66"/>
      <c r="C95" s="66"/>
      <c r="D95" s="66"/>
      <c r="E95" s="66"/>
      <c r="F95" s="96"/>
      <c r="G95" s="96"/>
      <c r="H95" s="96"/>
      <c r="R95"/>
      <c r="S95">
        <v>1500000</v>
      </c>
      <c r="T95">
        <v>600000</v>
      </c>
      <c r="U95">
        <v>500000</v>
      </c>
      <c r="V95" s="20"/>
    </row>
    <row r="96" spans="1:22" s="30" customFormat="1" hidden="1" x14ac:dyDescent="0.3">
      <c r="A96" s="66" t="s">
        <v>93</v>
      </c>
      <c r="B96" s="66"/>
      <c r="C96" s="66"/>
      <c r="D96" s="66"/>
      <c r="E96" s="66"/>
      <c r="F96" s="96"/>
      <c r="G96" s="96"/>
      <c r="H96" s="96"/>
      <c r="R96"/>
      <c r="S96">
        <v>1600000</v>
      </c>
      <c r="T96">
        <v>700000</v>
      </c>
      <c r="U96">
        <v>600000</v>
      </c>
      <c r="V96"/>
    </row>
    <row r="97" spans="1:22" s="30" customFormat="1" hidden="1" x14ac:dyDescent="0.3">
      <c r="A97" s="66" t="s">
        <v>94</v>
      </c>
      <c r="B97" s="66"/>
      <c r="C97" s="66"/>
      <c r="D97" s="66"/>
      <c r="E97" s="66"/>
      <c r="F97" s="96"/>
      <c r="G97" s="96"/>
      <c r="H97" s="96"/>
      <c r="R97"/>
      <c r="S97">
        <v>1700000</v>
      </c>
      <c r="T97">
        <v>800000</v>
      </c>
      <c r="U97"/>
      <c r="V97" s="20"/>
    </row>
    <row r="98" spans="1:22" x14ac:dyDescent="0.3">
      <c r="A98" s="66" t="s">
        <v>48</v>
      </c>
      <c r="B98" s="66"/>
      <c r="C98" s="66"/>
      <c r="D98" s="66"/>
      <c r="E98" s="66"/>
      <c r="F98" s="96">
        <v>200000</v>
      </c>
      <c r="G98" s="96"/>
      <c r="H98" s="96"/>
      <c r="R98"/>
      <c r="S98">
        <v>1800000</v>
      </c>
      <c r="T98">
        <v>900000</v>
      </c>
      <c r="U98"/>
    </row>
    <row r="99" spans="1:22" s="31" customFormat="1" x14ac:dyDescent="0.3">
      <c r="A99" s="127" t="s">
        <v>49</v>
      </c>
      <c r="B99" s="127"/>
      <c r="C99" s="127"/>
      <c r="D99" s="127"/>
      <c r="E99" s="127"/>
      <c r="F99" s="96">
        <f>F88*0.8</f>
        <v>4320</v>
      </c>
      <c r="G99" s="96"/>
      <c r="H99" s="96"/>
      <c r="R99" s="18"/>
      <c r="S99" s="18"/>
      <c r="T99">
        <v>1000000</v>
      </c>
      <c r="U99"/>
      <c r="V99" s="18"/>
    </row>
    <row r="100" spans="1:22" s="32" customFormat="1" ht="15.75" customHeight="1" x14ac:dyDescent="0.3">
      <c r="A100" s="76" t="s">
        <v>331</v>
      </c>
      <c r="B100" s="76"/>
      <c r="C100" s="76"/>
      <c r="D100" s="76"/>
      <c r="E100" s="76"/>
      <c r="F100" s="76"/>
      <c r="G100" s="76"/>
      <c r="H100" s="76"/>
      <c r="R100"/>
      <c r="S100" s="18"/>
      <c r="T100"/>
      <c r="U100"/>
      <c r="V100" s="18"/>
    </row>
    <row r="101" spans="1:22" s="32" customFormat="1" ht="15.75" customHeight="1" x14ac:dyDescent="0.3">
      <c r="A101" s="168" t="s">
        <v>50</v>
      </c>
      <c r="B101" s="168"/>
      <c r="C101" s="183" t="s">
        <v>72</v>
      </c>
      <c r="D101" s="183"/>
      <c r="E101" s="170" t="s">
        <v>51</v>
      </c>
      <c r="F101" s="170"/>
      <c r="G101" s="168" t="s">
        <v>52</v>
      </c>
      <c r="H101" s="168"/>
      <c r="R101"/>
      <c r="S101" s="18"/>
      <c r="T101"/>
      <c r="U101" s="18"/>
      <c r="V101" s="18"/>
    </row>
    <row r="102" spans="1:22" s="32" customFormat="1" x14ac:dyDescent="0.3">
      <c r="A102" s="166" t="s">
        <v>300</v>
      </c>
      <c r="B102" s="166"/>
      <c r="C102" s="116">
        <f>COUNT(F115:F118)</f>
        <v>4</v>
      </c>
      <c r="D102" s="117"/>
      <c r="E102" s="118">
        <f>SUM(F115:F118)</f>
        <v>516.67200000000003</v>
      </c>
      <c r="F102" s="119"/>
      <c r="G102" s="118">
        <f>SUM(H115:H118)</f>
        <v>775.00799999999981</v>
      </c>
      <c r="H102" s="119"/>
      <c r="R102"/>
      <c r="S102" s="18"/>
      <c r="T102"/>
      <c r="U102" s="18"/>
      <c r="V102" s="18"/>
    </row>
    <row r="103" spans="1:22" s="32" customFormat="1" x14ac:dyDescent="0.3">
      <c r="A103" s="76" t="s">
        <v>145</v>
      </c>
      <c r="B103" s="76"/>
      <c r="C103" s="70">
        <f>SUM(C102)</f>
        <v>4</v>
      </c>
      <c r="D103" s="71"/>
      <c r="E103" s="72">
        <f>SUM(E102)</f>
        <v>516.67200000000003</v>
      </c>
      <c r="F103" s="73"/>
      <c r="G103" s="74">
        <f>SUM(G102)</f>
        <v>775.00799999999981</v>
      </c>
      <c r="H103" s="75"/>
      <c r="R103"/>
      <c r="S103" s="18"/>
      <c r="T103"/>
      <c r="U103" s="18"/>
      <c r="V103" s="18"/>
    </row>
    <row r="104" spans="1:22" s="32" customFormat="1" x14ac:dyDescent="0.3">
      <c r="A104" s="76" t="s">
        <v>332</v>
      </c>
      <c r="B104" s="76"/>
      <c r="C104" s="76"/>
      <c r="D104" s="76"/>
      <c r="E104" s="76"/>
      <c r="F104" s="76"/>
      <c r="G104" s="76"/>
      <c r="H104" s="76"/>
      <c r="T104"/>
    </row>
    <row r="105" spans="1:22" s="32" customFormat="1" ht="15.75" customHeight="1" x14ac:dyDescent="0.3">
      <c r="A105" s="168" t="s">
        <v>50</v>
      </c>
      <c r="B105" s="168"/>
      <c r="C105" s="183" t="s">
        <v>72</v>
      </c>
      <c r="D105" s="183"/>
      <c r="E105" s="170" t="s">
        <v>51</v>
      </c>
      <c r="F105" s="170"/>
      <c r="G105" s="168" t="s">
        <v>52</v>
      </c>
      <c r="H105" s="168"/>
      <c r="T105"/>
    </row>
    <row r="106" spans="1:22" s="32" customFormat="1" x14ac:dyDescent="0.3">
      <c r="A106" s="166" t="s">
        <v>300</v>
      </c>
      <c r="B106" s="166"/>
      <c r="C106" s="117">
        <f>COUNT(F124:F128)*5+COUNT(F130:F131,F133:F134)</f>
        <v>29</v>
      </c>
      <c r="D106" s="117"/>
      <c r="E106" s="118">
        <f>SUM(F124:F128)*5+SUM(F130:F131,F133:F134)</f>
        <v>9571.4026199999989</v>
      </c>
      <c r="F106" s="118"/>
      <c r="G106" s="118">
        <f>SUM(H124:H128)*5+SUM(H130:H131,H133:H134)</f>
        <v>13878.533798999997</v>
      </c>
      <c r="H106" s="118"/>
      <c r="T106"/>
    </row>
    <row r="107" spans="1:22" s="32" customFormat="1" ht="16.2" thickBot="1" x14ac:dyDescent="0.35">
      <c r="A107" s="67" t="s">
        <v>145</v>
      </c>
      <c r="B107" s="67"/>
      <c r="C107" s="184">
        <f t="shared" ref="C107:G107" si="0">SUM(C106)</f>
        <v>29</v>
      </c>
      <c r="D107" s="184"/>
      <c r="E107" s="68">
        <f t="shared" si="0"/>
        <v>9571.4026199999989</v>
      </c>
      <c r="F107" s="68"/>
      <c r="G107" s="69">
        <f t="shared" si="0"/>
        <v>13878.533798999997</v>
      </c>
      <c r="H107" s="69"/>
      <c r="T107"/>
    </row>
    <row r="108" spans="1:22" s="32" customFormat="1" ht="16.2" thickBot="1" x14ac:dyDescent="0.35">
      <c r="A108" s="174" t="s">
        <v>162</v>
      </c>
      <c r="B108" s="175"/>
      <c r="C108" s="176">
        <f>C103+C107</f>
        <v>33</v>
      </c>
      <c r="D108" s="176"/>
      <c r="E108" s="177">
        <f>E103+E107</f>
        <v>10088.074619999999</v>
      </c>
      <c r="F108" s="177"/>
      <c r="G108" s="120">
        <f>G103+G107</f>
        <v>14653.541798999997</v>
      </c>
      <c r="H108" s="121"/>
      <c r="T108"/>
    </row>
    <row r="109" spans="1:22" s="31" customFormat="1" x14ac:dyDescent="0.3">
      <c r="A109" s="171" t="s">
        <v>53</v>
      </c>
      <c r="B109" s="171"/>
      <c r="C109" s="171"/>
      <c r="D109" s="171"/>
      <c r="E109" s="171"/>
      <c r="F109" s="171"/>
      <c r="G109" s="171"/>
      <c r="H109" s="171"/>
      <c r="T109" s="32"/>
    </row>
    <row r="110" spans="1:22" x14ac:dyDescent="0.3">
      <c r="A110" s="193" t="s">
        <v>170</v>
      </c>
      <c r="B110" s="193"/>
      <c r="C110" s="193"/>
      <c r="D110" s="193"/>
      <c r="E110" s="193"/>
      <c r="F110" s="193"/>
      <c r="G110" s="193"/>
      <c r="H110" s="193"/>
      <c r="T110" s="32"/>
    </row>
    <row r="111" spans="1:22" ht="47.25" customHeight="1" x14ac:dyDescent="0.3">
      <c r="A111" s="82" t="s">
        <v>114</v>
      </c>
      <c r="B111" s="82" t="s">
        <v>172</v>
      </c>
      <c r="C111" s="82" t="s">
        <v>54</v>
      </c>
      <c r="D111" s="82" t="s">
        <v>322</v>
      </c>
      <c r="E111" s="98" t="s">
        <v>151</v>
      </c>
      <c r="F111" s="82" t="s">
        <v>55</v>
      </c>
      <c r="G111" s="98" t="s">
        <v>56</v>
      </c>
      <c r="H111" s="58" t="s">
        <v>144</v>
      </c>
      <c r="T111" s="32"/>
    </row>
    <row r="112" spans="1:22" s="34" customFormat="1" x14ac:dyDescent="0.3">
      <c r="A112" s="83"/>
      <c r="B112" s="83"/>
      <c r="C112" s="83"/>
      <c r="D112" s="83"/>
      <c r="E112" s="99"/>
      <c r="F112" s="83"/>
      <c r="G112" s="99"/>
      <c r="H112" s="59">
        <v>0.5</v>
      </c>
      <c r="T112" s="32"/>
    </row>
    <row r="113" spans="1:20" s="34" customFormat="1" x14ac:dyDescent="0.3">
      <c r="A113" s="88" t="s">
        <v>300</v>
      </c>
      <c r="B113" s="89"/>
      <c r="C113" s="89"/>
      <c r="D113" s="89"/>
      <c r="E113" s="89"/>
      <c r="F113" s="89"/>
      <c r="G113" s="89"/>
      <c r="H113" s="90"/>
      <c r="I113" s="62">
        <v>10.763999999999999</v>
      </c>
      <c r="J113" s="33"/>
      <c r="T113" s="32"/>
    </row>
    <row r="114" spans="1:20" s="34" customFormat="1" ht="15.75" customHeight="1" x14ac:dyDescent="0.3">
      <c r="A114" s="88" t="s">
        <v>320</v>
      </c>
      <c r="B114" s="89"/>
      <c r="C114" s="89"/>
      <c r="D114" s="89"/>
      <c r="E114" s="89"/>
      <c r="F114" s="89"/>
      <c r="G114" s="89"/>
      <c r="H114" s="90"/>
      <c r="I114" s="33"/>
      <c r="L114" s="114"/>
      <c r="M114" s="114"/>
      <c r="N114" s="33"/>
      <c r="T114" s="32"/>
    </row>
    <row r="115" spans="1:20" s="34" customFormat="1" ht="15.75" customHeight="1" x14ac:dyDescent="0.3">
      <c r="A115" s="80">
        <v>1</v>
      </c>
      <c r="B115" s="81"/>
      <c r="C115" s="39" t="s">
        <v>321</v>
      </c>
      <c r="D115" s="62">
        <f>(12.26)*10.764</f>
        <v>131.96663999999998</v>
      </c>
      <c r="E115" s="39">
        <v>0</v>
      </c>
      <c r="F115" s="39">
        <f>D115+(IF(E115&lt;201,E115,IF(E115&lt;301,E115/2,E115/3)))</f>
        <v>131.96663999999998</v>
      </c>
      <c r="G115" s="39">
        <v>0</v>
      </c>
      <c r="H115" s="39">
        <f>(F115+(IF(G115&lt;101,G115,IF(G115&lt;201,G115/2,IF(G115&lt;=301,G115/3,G115/4)))))*(($H$112)+1)</f>
        <v>197.94995999999998</v>
      </c>
      <c r="I115" s="60">
        <f>5*1.67+1.95*1.13+0.96*1.1</f>
        <v>11.609500000000001</v>
      </c>
      <c r="J115" s="60">
        <f>264/D115</f>
        <v>2.0005055823198958</v>
      </c>
      <c r="L115" s="114"/>
      <c r="M115" s="114"/>
      <c r="N115" s="33"/>
      <c r="T115" s="31"/>
    </row>
    <row r="116" spans="1:20" s="34" customFormat="1" ht="15.75" customHeight="1" x14ac:dyDescent="0.3">
      <c r="A116" s="80">
        <f>A115+1</f>
        <v>2</v>
      </c>
      <c r="B116" s="81"/>
      <c r="C116" s="39" t="s">
        <v>321</v>
      </c>
      <c r="D116" s="62">
        <f>(11.74)*10.764</f>
        <v>126.36936</v>
      </c>
      <c r="E116" s="39">
        <v>0</v>
      </c>
      <c r="F116" s="39">
        <f t="shared" ref="F116:F118" si="1">D116+(IF(E116&lt;201,E116,IF(E116&lt;301,E116/2,E116/3)))</f>
        <v>126.36936</v>
      </c>
      <c r="G116" s="39">
        <v>0</v>
      </c>
      <c r="H116" s="39">
        <f t="shared" ref="H116:H118" si="2">(F116+(IF(G116&lt;101,G116,IF(G116&lt;201,G116/2,IF(G116&lt;=301,G116/3,G116/4)))))*(($H$112)+1)</f>
        <v>189.55403999999999</v>
      </c>
      <c r="I116" s="33">
        <f>2.7*3.81+1.1*0.9</f>
        <v>11.277000000000001</v>
      </c>
      <c r="J116" s="60"/>
      <c r="L116" s="114"/>
      <c r="M116" s="114"/>
      <c r="N116" s="33"/>
      <c r="T116" s="18"/>
    </row>
    <row r="117" spans="1:20" s="34" customFormat="1" ht="15.75" customHeight="1" x14ac:dyDescent="0.3">
      <c r="A117" s="80">
        <f>A116+1</f>
        <v>3</v>
      </c>
      <c r="B117" s="81"/>
      <c r="C117" s="39" t="s">
        <v>321</v>
      </c>
      <c r="D117" s="62">
        <f>(11.74)*10.764</f>
        <v>126.36936</v>
      </c>
      <c r="E117" s="39">
        <v>0</v>
      </c>
      <c r="F117" s="39">
        <f t="shared" si="1"/>
        <v>126.36936</v>
      </c>
      <c r="G117" s="39">
        <v>0</v>
      </c>
      <c r="H117" s="39">
        <f t="shared" si="2"/>
        <v>189.55403999999999</v>
      </c>
      <c r="I117" s="33"/>
      <c r="J117" s="60">
        <f>252/F117</f>
        <v>1.9941542791702038</v>
      </c>
      <c r="L117" s="114"/>
      <c r="M117" s="114"/>
      <c r="N117" s="33"/>
      <c r="T117" s="18"/>
    </row>
    <row r="118" spans="1:20" s="34" customFormat="1" x14ac:dyDescent="0.3">
      <c r="A118" s="80">
        <f>A117+1</f>
        <v>4</v>
      </c>
      <c r="B118" s="81"/>
      <c r="C118" s="39" t="s">
        <v>321</v>
      </c>
      <c r="D118" s="62">
        <f>(12.26)*10.764</f>
        <v>131.96663999999998</v>
      </c>
      <c r="E118" s="39">
        <v>0</v>
      </c>
      <c r="F118" s="39">
        <f t="shared" si="1"/>
        <v>131.96663999999998</v>
      </c>
      <c r="G118" s="39">
        <v>0</v>
      </c>
      <c r="H118" s="39">
        <f t="shared" si="2"/>
        <v>197.94995999999998</v>
      </c>
      <c r="I118" s="33"/>
      <c r="N118" s="33"/>
    </row>
    <row r="119" spans="1:20" x14ac:dyDescent="0.3">
      <c r="A119" s="80"/>
      <c r="B119" s="169"/>
      <c r="C119" s="169"/>
      <c r="D119" s="169"/>
      <c r="E119" s="169"/>
      <c r="F119" s="169"/>
      <c r="G119" s="169"/>
      <c r="H119" s="81"/>
      <c r="I119" s="33"/>
      <c r="T119" s="34"/>
    </row>
    <row r="120" spans="1:20" s="34" customFormat="1" ht="46.8" x14ac:dyDescent="0.3">
      <c r="A120" s="172" t="s">
        <v>115</v>
      </c>
      <c r="B120" s="82" t="s">
        <v>173</v>
      </c>
      <c r="C120" s="82" t="s">
        <v>54</v>
      </c>
      <c r="D120" s="82" t="s">
        <v>322</v>
      </c>
      <c r="E120" s="82" t="s">
        <v>326</v>
      </c>
      <c r="F120" s="82" t="s">
        <v>55</v>
      </c>
      <c r="G120" s="98" t="s">
        <v>56</v>
      </c>
      <c r="H120" s="49" t="s">
        <v>144</v>
      </c>
      <c r="I120" s="33"/>
    </row>
    <row r="121" spans="1:20" s="34" customFormat="1" x14ac:dyDescent="0.3">
      <c r="A121" s="173"/>
      <c r="B121" s="83"/>
      <c r="C121" s="83"/>
      <c r="D121" s="83"/>
      <c r="E121" s="83"/>
      <c r="F121" s="83"/>
      <c r="G121" s="99"/>
      <c r="H121" s="59">
        <v>0.45</v>
      </c>
      <c r="J121" s="33"/>
    </row>
    <row r="122" spans="1:20" s="34" customFormat="1" ht="15.75" customHeight="1" x14ac:dyDescent="0.3">
      <c r="A122" s="88" t="s">
        <v>300</v>
      </c>
      <c r="B122" s="89"/>
      <c r="C122" s="89"/>
      <c r="D122" s="89"/>
      <c r="E122" s="89"/>
      <c r="F122" s="89"/>
      <c r="G122" s="89"/>
      <c r="H122" s="90"/>
      <c r="I122" s="33"/>
      <c r="L122" s="114"/>
      <c r="M122" s="114"/>
      <c r="N122" s="33"/>
    </row>
    <row r="123" spans="1:20" s="34" customFormat="1" ht="15.75" customHeight="1" x14ac:dyDescent="0.3">
      <c r="A123" s="88" t="s">
        <v>323</v>
      </c>
      <c r="B123" s="89"/>
      <c r="C123" s="89"/>
      <c r="D123" s="89"/>
      <c r="E123" s="89"/>
      <c r="F123" s="89"/>
      <c r="G123" s="89"/>
      <c r="H123" s="90"/>
      <c r="I123" s="33"/>
      <c r="L123" s="114"/>
      <c r="M123" s="114"/>
      <c r="N123" s="33"/>
    </row>
    <row r="124" spans="1:20" s="34" customFormat="1" ht="15.75" customHeight="1" x14ac:dyDescent="0.3">
      <c r="A124" s="80">
        <v>1</v>
      </c>
      <c r="B124" s="81"/>
      <c r="C124" s="39" t="s">
        <v>324</v>
      </c>
      <c r="D124" s="62">
        <f>(31.42)*10.764</f>
        <v>338.20488</v>
      </c>
      <c r="E124" s="62">
        <v>0</v>
      </c>
      <c r="F124" s="39">
        <f>D124+E124</f>
        <v>338.20488</v>
      </c>
      <c r="G124" s="39">
        <v>0</v>
      </c>
      <c r="H124" s="39">
        <f>F124*(($H$121)+1)+(IF(G124&lt;101,G124,IF(G124&lt;201,G124/2,IF(G124&lt;=301,G124/3,G124/4))))</f>
        <v>490.39707599999997</v>
      </c>
      <c r="I124" s="61">
        <f>2.7*4.75+1.95*2.6+2.9*2.6+1.1*2+1.75*1.1</f>
        <v>29.560000000000002</v>
      </c>
      <c r="J124" s="60">
        <f>560/F124</f>
        <v>1.6558010635446774</v>
      </c>
      <c r="L124" s="114"/>
      <c r="M124" s="114"/>
      <c r="N124" s="33"/>
    </row>
    <row r="125" spans="1:20" s="34" customFormat="1" ht="15.75" customHeight="1" x14ac:dyDescent="0.3">
      <c r="A125" s="80">
        <f>A124+1</f>
        <v>2</v>
      </c>
      <c r="B125" s="81"/>
      <c r="C125" s="39" t="s">
        <v>324</v>
      </c>
      <c r="D125" s="62">
        <f>(27.78)*10.764</f>
        <v>299.02391999999998</v>
      </c>
      <c r="E125" s="62">
        <f>(2.45)*10.764</f>
        <v>26.3718</v>
      </c>
      <c r="F125" s="39">
        <f>D125+E125</f>
        <v>325.39571999999998</v>
      </c>
      <c r="G125" s="39">
        <v>0</v>
      </c>
      <c r="H125" s="39">
        <f>F125*(($H$121)+1)+(IF(G125&lt;101,G125,IF(G125&lt;201,G125/2,IF(G125&lt;=301,G125/3,G125/4))))</f>
        <v>471.82379399999996</v>
      </c>
      <c r="I125" s="61"/>
      <c r="J125" s="60">
        <f>490/F125</f>
        <v>1.5058587740490257</v>
      </c>
      <c r="K125" s="34">
        <f>2550000/H125</f>
        <v>5404.5599913089591</v>
      </c>
      <c r="L125" s="114"/>
      <c r="M125" s="114"/>
      <c r="N125" s="33"/>
      <c r="T125" s="18"/>
    </row>
    <row r="126" spans="1:20" s="34" customFormat="1" x14ac:dyDescent="0.3">
      <c r="A126" s="80">
        <f>A125+1</f>
        <v>3</v>
      </c>
      <c r="B126" s="81"/>
      <c r="C126" s="39" t="s">
        <v>325</v>
      </c>
      <c r="D126" s="62">
        <f>(20.68)*10.764</f>
        <v>222.59951999999998</v>
      </c>
      <c r="E126" s="62">
        <f>(2.7*0.75)*10.764</f>
        <v>21.797100000000004</v>
      </c>
      <c r="F126" s="39">
        <f>D126+E126</f>
        <v>244.39661999999998</v>
      </c>
      <c r="G126" s="39">
        <v>0</v>
      </c>
      <c r="H126" s="39">
        <f>F126*(($H$121)+1)+(IF(G126&lt;101,G126,IF(G126&lt;201,G126/2,IF(G126&lt;=301,G126/3,G126/4))))</f>
        <v>354.37509899999998</v>
      </c>
      <c r="I126" s="61">
        <f>2.7*5+1.66*2.35+1.65*1.5</f>
        <v>19.875999999999998</v>
      </c>
      <c r="J126" s="60">
        <f>365/F126</f>
        <v>1.493474009583275</v>
      </c>
      <c r="L126" s="114"/>
      <c r="M126" s="114"/>
    </row>
    <row r="127" spans="1:20" s="34" customFormat="1" x14ac:dyDescent="0.3">
      <c r="A127" s="80">
        <f>A126+1</f>
        <v>4</v>
      </c>
      <c r="B127" s="81"/>
      <c r="C127" s="39" t="s">
        <v>324</v>
      </c>
      <c r="D127" s="62">
        <f>(31.11)*10.764</f>
        <v>334.86803999999995</v>
      </c>
      <c r="E127" s="62">
        <f>(6.8*0.75)*10.764</f>
        <v>54.896399999999993</v>
      </c>
      <c r="F127" s="39">
        <f>D127+E127</f>
        <v>389.76443999999992</v>
      </c>
      <c r="G127" s="39">
        <v>0</v>
      </c>
      <c r="H127" s="39">
        <f>F127*(($H$121)+1)+(IF(G127&lt;101,G127,IF(G127&lt;201,G127/2,IF(G127&lt;=301,G127/3,G127/4))))</f>
        <v>565.15843799999982</v>
      </c>
      <c r="I127" s="61"/>
      <c r="J127" s="60">
        <f>545/F127</f>
        <v>1.3982804588330329</v>
      </c>
      <c r="N127" s="33"/>
    </row>
    <row r="128" spans="1:20" s="34" customFormat="1" x14ac:dyDescent="0.3">
      <c r="A128" s="80">
        <f>A127+1</f>
        <v>5</v>
      </c>
      <c r="B128" s="81"/>
      <c r="C128" s="39" t="s">
        <v>324</v>
      </c>
      <c r="D128" s="62">
        <f>(31.42)*10.764</f>
        <v>338.20488</v>
      </c>
      <c r="E128" s="62">
        <v>0</v>
      </c>
      <c r="F128" s="39">
        <f>D128+E128</f>
        <v>338.20488</v>
      </c>
      <c r="G128" s="39">
        <v>0</v>
      </c>
      <c r="H128" s="39">
        <f>F128*(($H$121)+1)+(IF(G128&lt;101,G128,IF(G128&lt;201,G128/2,IF(G128&lt;=301,G128/3,G128/4))))</f>
        <v>490.39707599999997</v>
      </c>
      <c r="I128" s="33"/>
      <c r="J128" s="60">
        <f>560/F128</f>
        <v>1.6558010635446774</v>
      </c>
      <c r="N128" s="33"/>
    </row>
    <row r="129" spans="1:20" s="34" customFormat="1" x14ac:dyDescent="0.3">
      <c r="A129" s="165" t="s">
        <v>327</v>
      </c>
      <c r="B129" s="165"/>
      <c r="C129" s="165"/>
      <c r="D129" s="165"/>
      <c r="E129" s="165"/>
      <c r="F129" s="165"/>
      <c r="G129" s="165"/>
      <c r="H129" s="165"/>
      <c r="I129" s="33"/>
      <c r="N129" s="33"/>
    </row>
    <row r="130" spans="1:20" s="34" customFormat="1" x14ac:dyDescent="0.3">
      <c r="A130" s="80">
        <v>1</v>
      </c>
      <c r="B130" s="81"/>
      <c r="C130" s="39" t="s">
        <v>324</v>
      </c>
      <c r="D130" s="62">
        <f>(31.42)*10.764</f>
        <v>338.20488</v>
      </c>
      <c r="E130" s="62">
        <v>0</v>
      </c>
      <c r="F130" s="39">
        <f>D130+E130</f>
        <v>338.20488</v>
      </c>
      <c r="G130" s="39">
        <v>0</v>
      </c>
      <c r="H130" s="39">
        <f>F130*(($H$121)+1)+(IF(G130&lt;101,G130,IF(G130&lt;201,G130/2,IF(G130&lt;=301,G130/3,G130/4))))</f>
        <v>490.39707599999997</v>
      </c>
      <c r="I130" s="33"/>
      <c r="N130" s="33"/>
    </row>
    <row r="131" spans="1:20" s="34" customFormat="1" x14ac:dyDescent="0.3">
      <c r="A131" s="80">
        <f>A130+1</f>
        <v>2</v>
      </c>
      <c r="B131" s="81"/>
      <c r="C131" s="39" t="s">
        <v>324</v>
      </c>
      <c r="D131" s="62">
        <f>(27.78)*10.764</f>
        <v>299.02391999999998</v>
      </c>
      <c r="E131" s="62">
        <f>(2.45)*10.764</f>
        <v>26.3718</v>
      </c>
      <c r="F131" s="39">
        <f>D131+E131</f>
        <v>325.39571999999998</v>
      </c>
      <c r="G131" s="39">
        <v>0</v>
      </c>
      <c r="H131" s="39">
        <f>F131*(($H$121)+1)+(IF(G131&lt;101,G131,IF(G131&lt;201,G131/2,IF(G131&lt;=301,G131/3,G131/4))))</f>
        <v>471.82379399999996</v>
      </c>
      <c r="I131" s="33"/>
      <c r="N131" s="33"/>
    </row>
    <row r="132" spans="1:20" s="34" customFormat="1" ht="15.75" customHeight="1" x14ac:dyDescent="0.3">
      <c r="A132" s="80">
        <f>A131+1</f>
        <v>3</v>
      </c>
      <c r="B132" s="81"/>
      <c r="C132" s="80" t="s">
        <v>328</v>
      </c>
      <c r="D132" s="169"/>
      <c r="E132" s="169"/>
      <c r="F132" s="169"/>
      <c r="G132" s="169"/>
      <c r="H132" s="81"/>
      <c r="I132" s="33"/>
    </row>
    <row r="133" spans="1:20" s="34" customFormat="1" ht="15.75" customHeight="1" x14ac:dyDescent="0.3">
      <c r="A133" s="80">
        <f>A132+1</f>
        <v>4</v>
      </c>
      <c r="B133" s="81"/>
      <c r="C133" s="39" t="s">
        <v>324</v>
      </c>
      <c r="D133" s="62">
        <f>(31.11)*10.764</f>
        <v>334.86803999999995</v>
      </c>
      <c r="E133" s="62">
        <f>(6.8*0.75)*10.764</f>
        <v>54.896399999999993</v>
      </c>
      <c r="F133" s="39">
        <f>D133+E133</f>
        <v>389.76443999999992</v>
      </c>
      <c r="G133" s="39">
        <v>0</v>
      </c>
      <c r="H133" s="39">
        <f>F133*(($H$121)+1)+(IF(G133&lt;101,G133,IF(G133&lt;201,G133/2,IF(G133&lt;=301,G133/3,G133/4))))</f>
        <v>565.15843799999982</v>
      </c>
      <c r="I133" s="33"/>
    </row>
    <row r="134" spans="1:20" s="34" customFormat="1" ht="15.75" customHeight="1" x14ac:dyDescent="0.3">
      <c r="A134" s="80">
        <f>A133+1</f>
        <v>5</v>
      </c>
      <c r="B134" s="81"/>
      <c r="C134" s="39" t="s">
        <v>324</v>
      </c>
      <c r="D134" s="62">
        <f>(31.42)*10.764</f>
        <v>338.20488</v>
      </c>
      <c r="E134" s="62">
        <v>0</v>
      </c>
      <c r="F134" s="39">
        <f>D134+E134</f>
        <v>338.20488</v>
      </c>
      <c r="G134" s="39">
        <v>0</v>
      </c>
      <c r="H134" s="39">
        <f>F134*(($H$121)+1)+(IF(G134&lt;101,G134,IF(G134&lt;201,G134/2,IF(G134&lt;=301,G134/3,G134/4))))</f>
        <v>490.39707599999997</v>
      </c>
      <c r="I134" s="33"/>
    </row>
    <row r="135" spans="1:20" s="34" customFormat="1" ht="15.75" customHeight="1" x14ac:dyDescent="0.3">
      <c r="A135" s="88"/>
      <c r="B135" s="89"/>
      <c r="C135" s="89"/>
      <c r="D135" s="89"/>
      <c r="E135" s="89"/>
      <c r="F135" s="89"/>
      <c r="G135" s="89"/>
      <c r="H135" s="90"/>
      <c r="I135" s="33"/>
    </row>
    <row r="136" spans="1:20" s="32" customFormat="1" x14ac:dyDescent="0.3">
      <c r="A136" s="87" t="s">
        <v>64</v>
      </c>
      <c r="B136" s="87"/>
      <c r="C136" s="87"/>
      <c r="D136" s="87"/>
      <c r="E136" s="87"/>
      <c r="F136" s="87"/>
      <c r="G136" s="87"/>
      <c r="H136" s="87"/>
      <c r="T136" s="34"/>
    </row>
    <row r="137" spans="1:20" s="32" customFormat="1" x14ac:dyDescent="0.3">
      <c r="A137" s="41" t="s">
        <v>148</v>
      </c>
      <c r="B137" s="84" t="s">
        <v>342</v>
      </c>
      <c r="C137" s="85"/>
      <c r="D137" s="85"/>
      <c r="E137" s="85"/>
      <c r="F137" s="85"/>
      <c r="G137" s="85"/>
      <c r="H137" s="86"/>
      <c r="T137" s="34"/>
    </row>
    <row r="138" spans="1:20" s="32" customFormat="1" x14ac:dyDescent="0.3">
      <c r="A138" s="41" t="s">
        <v>148</v>
      </c>
      <c r="B138" s="84" t="str">
        <f>(IF(H120="Saleable area Loading :","We have considered Saleable area of Flats as per our Calculation.","We considered Saleable area of Flat as per Builder area Sheet."))</f>
        <v>We have considered Saleable area of Flats as per our Calculation.</v>
      </c>
      <c r="C138" s="85"/>
      <c r="D138" s="85"/>
      <c r="E138" s="85"/>
      <c r="F138" s="85"/>
      <c r="G138" s="85"/>
      <c r="H138" s="86"/>
      <c r="T138" s="34"/>
    </row>
    <row r="139" spans="1:20" s="32" customFormat="1" x14ac:dyDescent="0.3">
      <c r="A139" s="41" t="s">
        <v>148</v>
      </c>
      <c r="B139" s="84" t="str">
        <f>(IF(H111="Saleable area Loading :","We have considered Saleable area of Commercial as per our Calculation.","We considered Saleable area of Commercial as per Builder area Sheet."))</f>
        <v>We have considered Saleable area of Commercial as per our Calculation.</v>
      </c>
      <c r="C139" s="85"/>
      <c r="D139" s="85"/>
      <c r="E139" s="85"/>
      <c r="F139" s="85"/>
      <c r="G139" s="85"/>
      <c r="H139" s="86"/>
    </row>
    <row r="140" spans="1:20" s="32" customFormat="1" x14ac:dyDescent="0.3">
      <c r="A140" s="41" t="s">
        <v>148</v>
      </c>
      <c r="B140" s="77" t="s">
        <v>118</v>
      </c>
      <c r="C140" s="78"/>
      <c r="D140" s="78"/>
      <c r="E140" s="78"/>
      <c r="F140" s="78"/>
      <c r="G140" s="78"/>
      <c r="H140" s="79"/>
    </row>
    <row r="141" spans="1:20" s="32" customFormat="1" x14ac:dyDescent="0.3">
      <c r="A141" s="41" t="s">
        <v>148</v>
      </c>
      <c r="B141" s="77" t="s">
        <v>329</v>
      </c>
      <c r="C141" s="78"/>
      <c r="D141" s="78"/>
      <c r="E141" s="78"/>
      <c r="F141" s="78"/>
      <c r="G141" s="78"/>
      <c r="H141" s="79"/>
    </row>
    <row r="142" spans="1:20" s="32" customFormat="1" x14ac:dyDescent="0.3">
      <c r="A142" s="41" t="s">
        <v>148</v>
      </c>
      <c r="B142" s="77" t="s">
        <v>147</v>
      </c>
      <c r="C142" s="78"/>
      <c r="D142" s="78"/>
      <c r="E142" s="78"/>
      <c r="F142" s="78"/>
      <c r="G142" s="78"/>
      <c r="H142" s="79"/>
    </row>
    <row r="143" spans="1:20" s="32" customFormat="1" x14ac:dyDescent="0.3">
      <c r="A143" s="41" t="s">
        <v>148</v>
      </c>
      <c r="B143" s="77" t="s">
        <v>119</v>
      </c>
      <c r="C143" s="78"/>
      <c r="D143" s="78"/>
      <c r="E143" s="78"/>
      <c r="F143" s="78"/>
      <c r="G143" s="78"/>
      <c r="H143" s="79"/>
    </row>
    <row r="144" spans="1:20" s="32" customFormat="1" ht="35.25" customHeight="1" x14ac:dyDescent="0.3">
      <c r="A144" s="41" t="s">
        <v>148</v>
      </c>
      <c r="B144" s="77" t="s">
        <v>149</v>
      </c>
      <c r="C144" s="78"/>
      <c r="D144" s="78"/>
      <c r="E144" s="78"/>
      <c r="F144" s="78"/>
      <c r="G144" s="78"/>
      <c r="H144" s="79"/>
    </row>
    <row r="145" spans="1:20" x14ac:dyDescent="0.3">
      <c r="A145" s="41" t="s">
        <v>148</v>
      </c>
      <c r="B145" s="77" t="s">
        <v>120</v>
      </c>
      <c r="C145" s="78"/>
      <c r="D145" s="78"/>
      <c r="E145" s="78"/>
      <c r="F145" s="78"/>
      <c r="G145" s="78"/>
      <c r="H145" s="79"/>
      <c r="T145" s="32"/>
    </row>
    <row r="146" spans="1:20" hidden="1" x14ac:dyDescent="0.3">
      <c r="A146" s="41" t="s">
        <v>148</v>
      </c>
      <c r="B146" s="63" t="s">
        <v>174</v>
      </c>
      <c r="C146" s="64"/>
      <c r="D146" s="64"/>
      <c r="E146" s="64"/>
      <c r="F146" s="64"/>
      <c r="G146" s="64"/>
      <c r="H146" s="65"/>
      <c r="T146" s="32"/>
    </row>
    <row r="147" spans="1:20" ht="15.75" hidden="1" customHeight="1" x14ac:dyDescent="0.3">
      <c r="A147" s="41" t="s">
        <v>148</v>
      </c>
      <c r="B147" s="63" t="s">
        <v>228</v>
      </c>
      <c r="C147" s="64"/>
      <c r="D147" s="64"/>
      <c r="E147" s="64"/>
      <c r="F147" s="64"/>
      <c r="G147" s="64"/>
      <c r="H147" s="65"/>
      <c r="T147" s="32"/>
    </row>
    <row r="148" spans="1:20" x14ac:dyDescent="0.3">
      <c r="A148" s="167" t="s">
        <v>57</v>
      </c>
      <c r="B148" s="167"/>
      <c r="C148" s="167"/>
      <c r="D148" s="167"/>
      <c r="E148" s="167"/>
      <c r="F148" s="167"/>
      <c r="G148" s="167"/>
      <c r="H148" s="167"/>
      <c r="T148" s="32"/>
    </row>
    <row r="149" spans="1:20" x14ac:dyDescent="0.3">
      <c r="A149" s="66" t="s">
        <v>58</v>
      </c>
      <c r="B149" s="66"/>
      <c r="C149" s="66"/>
      <c r="D149" s="66"/>
      <c r="E149" s="66"/>
      <c r="F149" s="66"/>
      <c r="G149" s="66"/>
      <c r="H149" s="66"/>
      <c r="T149" s="32"/>
    </row>
    <row r="150" spans="1:20" x14ac:dyDescent="0.3">
      <c r="A150" s="182" t="s">
        <v>59</v>
      </c>
      <c r="B150" s="182"/>
      <c r="C150" s="182"/>
      <c r="D150" s="182"/>
      <c r="E150" s="182"/>
      <c r="F150" s="182"/>
      <c r="G150" s="182"/>
      <c r="H150" s="182"/>
      <c r="T150" s="32"/>
    </row>
    <row r="151" spans="1:20" x14ac:dyDescent="0.3">
      <c r="A151" s="66" t="s">
        <v>60</v>
      </c>
      <c r="B151" s="66"/>
      <c r="C151" s="66"/>
      <c r="D151" s="66"/>
      <c r="E151" s="66"/>
      <c r="F151" s="66"/>
      <c r="G151" s="66"/>
      <c r="H151" s="66"/>
    </row>
    <row r="152" spans="1:20" x14ac:dyDescent="0.3">
      <c r="A152" s="66" t="s">
        <v>61</v>
      </c>
      <c r="B152" s="66"/>
      <c r="C152" s="66"/>
      <c r="D152" s="66"/>
      <c r="E152" s="66"/>
      <c r="F152" s="66"/>
      <c r="G152" s="66"/>
      <c r="H152" s="66"/>
    </row>
    <row r="153" spans="1:20" x14ac:dyDescent="0.3">
      <c r="A153" s="66" t="s">
        <v>121</v>
      </c>
      <c r="B153" s="66"/>
      <c r="C153" s="66"/>
      <c r="D153" s="66"/>
      <c r="E153" s="66"/>
      <c r="F153" s="66"/>
      <c r="G153" s="66"/>
      <c r="H153" s="66"/>
    </row>
    <row r="154" spans="1:20" x14ac:dyDescent="0.3">
      <c r="A154" s="107" t="s">
        <v>122</v>
      </c>
      <c r="B154" s="107"/>
      <c r="C154" s="107"/>
      <c r="D154" s="107"/>
      <c r="E154" s="107"/>
      <c r="F154" s="107"/>
      <c r="G154" s="107"/>
      <c r="H154" s="107"/>
    </row>
    <row r="155" spans="1:20" x14ac:dyDescent="0.3">
      <c r="A155" s="164" t="s">
        <v>71</v>
      </c>
      <c r="B155" s="164"/>
      <c r="C155" s="164" t="s">
        <v>330</v>
      </c>
      <c r="D155" s="164"/>
      <c r="E155" s="164" t="s">
        <v>101</v>
      </c>
      <c r="F155" s="164"/>
      <c r="G155" s="164" t="s">
        <v>340</v>
      </c>
      <c r="H155" s="164"/>
    </row>
    <row r="156" spans="1:20" x14ac:dyDescent="0.3">
      <c r="A156" s="163" t="s">
        <v>73</v>
      </c>
      <c r="B156" s="163"/>
      <c r="C156" s="163"/>
      <c r="D156" s="163"/>
      <c r="E156" s="163"/>
      <c r="F156" s="163"/>
      <c r="G156" s="163"/>
      <c r="H156" s="163"/>
    </row>
    <row r="157" spans="1:20" x14ac:dyDescent="0.3">
      <c r="A157" s="163"/>
      <c r="B157" s="163"/>
      <c r="C157" s="163"/>
      <c r="D157" s="163"/>
      <c r="E157" s="163"/>
      <c r="F157" s="163"/>
      <c r="G157" s="163"/>
      <c r="H157" s="163"/>
    </row>
    <row r="158" spans="1:20" x14ac:dyDescent="0.3">
      <c r="A158" s="163"/>
      <c r="B158" s="163"/>
      <c r="C158" s="163"/>
      <c r="D158" s="163"/>
      <c r="E158" s="163"/>
      <c r="F158" s="163"/>
      <c r="G158" s="163"/>
      <c r="H158" s="163"/>
    </row>
    <row r="159" spans="1:20" x14ac:dyDescent="0.3">
      <c r="A159" s="163"/>
      <c r="B159" s="163"/>
      <c r="C159" s="163"/>
      <c r="D159" s="163"/>
      <c r="E159" s="163"/>
      <c r="F159" s="163"/>
      <c r="G159" s="163"/>
      <c r="H159" s="163"/>
    </row>
    <row r="160" spans="1:20" ht="15" customHeight="1" x14ac:dyDescent="0.3">
      <c r="A160" s="35" t="s">
        <v>62</v>
      </c>
      <c r="B160" s="36"/>
      <c r="C160" s="36"/>
      <c r="D160" s="35" t="str">
        <f>E9</f>
        <v>K K Classic</v>
      </c>
      <c r="F160" s="36"/>
      <c r="G160" s="36"/>
      <c r="H160" s="36"/>
    </row>
    <row r="161" spans="1:8" x14ac:dyDescent="0.3">
      <c r="A161" s="36"/>
      <c r="B161" s="36"/>
      <c r="C161" s="36"/>
      <c r="D161" s="36"/>
      <c r="E161" s="36"/>
      <c r="F161" s="36"/>
      <c r="G161" s="36"/>
      <c r="H161" s="36"/>
    </row>
    <row r="162" spans="1:8" x14ac:dyDescent="0.3">
      <c r="A162" s="36"/>
      <c r="B162" s="36"/>
      <c r="C162" s="36"/>
      <c r="D162" s="36"/>
      <c r="E162" s="36"/>
      <c r="F162" s="36"/>
      <c r="G162" s="36"/>
      <c r="H162" s="36"/>
    </row>
    <row r="200" spans="1:1" hidden="1" x14ac:dyDescent="0.3"/>
    <row r="201" spans="1:1" hidden="1" x14ac:dyDescent="0.3"/>
    <row r="204" spans="1:1" x14ac:dyDescent="0.3">
      <c r="A204" s="38" t="s">
        <v>159</v>
      </c>
    </row>
    <row r="246" spans="1:1" x14ac:dyDescent="0.3">
      <c r="A246" s="38" t="s">
        <v>63</v>
      </c>
    </row>
    <row r="287" hidden="1" x14ac:dyDescent="0.3"/>
  </sheetData>
  <mergeCells count="299">
    <mergeCell ref="I15:P15"/>
    <mergeCell ref="F97:H97"/>
    <mergeCell ref="F95:H95"/>
    <mergeCell ref="A110:H110"/>
    <mergeCell ref="G101:H101"/>
    <mergeCell ref="A96:E96"/>
    <mergeCell ref="A116:B116"/>
    <mergeCell ref="A60:B60"/>
    <mergeCell ref="C60:E60"/>
    <mergeCell ref="D62:H62"/>
    <mergeCell ref="F96:H96"/>
    <mergeCell ref="E101:F101"/>
    <mergeCell ref="A101:B101"/>
    <mergeCell ref="C105:D105"/>
    <mergeCell ref="D70:H70"/>
    <mergeCell ref="A71:C71"/>
    <mergeCell ref="E43:H43"/>
    <mergeCell ref="A43:D43"/>
    <mergeCell ref="A82:B82"/>
    <mergeCell ref="A50:B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A153:H153"/>
    <mergeCell ref="A150:H150"/>
    <mergeCell ref="A130:B130"/>
    <mergeCell ref="A105:B105"/>
    <mergeCell ref="D120:D121"/>
    <mergeCell ref="E120:E121"/>
    <mergeCell ref="F88:H88"/>
    <mergeCell ref="G102:H102"/>
    <mergeCell ref="F94:H94"/>
    <mergeCell ref="C101:D101"/>
    <mergeCell ref="C107:D107"/>
    <mergeCell ref="A123:H123"/>
    <mergeCell ref="A149:H149"/>
    <mergeCell ref="F87:H87"/>
    <mergeCell ref="F92:H92"/>
    <mergeCell ref="A124:B124"/>
    <mergeCell ref="A118:B118"/>
    <mergeCell ref="A117:B117"/>
    <mergeCell ref="A93:E93"/>
    <mergeCell ref="F93:H93"/>
    <mergeCell ref="A95:E95"/>
    <mergeCell ref="F90:H90"/>
    <mergeCell ref="A94:E94"/>
    <mergeCell ref="A119:H119"/>
    <mergeCell ref="E105:F105"/>
    <mergeCell ref="A109:H109"/>
    <mergeCell ref="A120:A121"/>
    <mergeCell ref="F120:F121"/>
    <mergeCell ref="A115:B115"/>
    <mergeCell ref="B146:H146"/>
    <mergeCell ref="A108:B108"/>
    <mergeCell ref="C108:D108"/>
    <mergeCell ref="E108:F108"/>
    <mergeCell ref="B145:H145"/>
    <mergeCell ref="B143:H143"/>
    <mergeCell ref="B139:H139"/>
    <mergeCell ref="A114:H114"/>
    <mergeCell ref="A122:H122"/>
    <mergeCell ref="A128:B128"/>
    <mergeCell ref="C132:H132"/>
    <mergeCell ref="D72:H72"/>
    <mergeCell ref="A70:C70"/>
    <mergeCell ref="D71:H71"/>
    <mergeCell ref="A77:B77"/>
    <mergeCell ref="G76:H76"/>
    <mergeCell ref="A156:H159"/>
    <mergeCell ref="A155:B155"/>
    <mergeCell ref="E155:F155"/>
    <mergeCell ref="C155:D155"/>
    <mergeCell ref="G155:H155"/>
    <mergeCell ref="A100:H100"/>
    <mergeCell ref="A98:E98"/>
    <mergeCell ref="F98:H98"/>
    <mergeCell ref="A99:E99"/>
    <mergeCell ref="F99:H99"/>
    <mergeCell ref="A129:H129"/>
    <mergeCell ref="A106:B106"/>
    <mergeCell ref="A102:B102"/>
    <mergeCell ref="A151:H151"/>
    <mergeCell ref="A104:H104"/>
    <mergeCell ref="A154:H154"/>
    <mergeCell ref="A152:H152"/>
    <mergeCell ref="A148:H148"/>
    <mergeCell ref="G105:H10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C50:E50"/>
    <mergeCell ref="G50:H50"/>
    <mergeCell ref="A39:B39"/>
    <mergeCell ref="C39:H39"/>
    <mergeCell ref="A46:D46"/>
    <mergeCell ref="L117:M117"/>
    <mergeCell ref="L116:M116"/>
    <mergeCell ref="L115:M115"/>
    <mergeCell ref="L114:M114"/>
    <mergeCell ref="A84:B84"/>
    <mergeCell ref="C106:D106"/>
    <mergeCell ref="E106:F106"/>
    <mergeCell ref="G106:H106"/>
    <mergeCell ref="A88:E88"/>
    <mergeCell ref="A113:H113"/>
    <mergeCell ref="E111:E112"/>
    <mergeCell ref="A47:D47"/>
    <mergeCell ref="A48:H48"/>
    <mergeCell ref="D64:H64"/>
    <mergeCell ref="A64:C64"/>
    <mergeCell ref="A83:B83"/>
    <mergeCell ref="A45:D45"/>
    <mergeCell ref="E77:F86"/>
    <mergeCell ref="G77:H86"/>
    <mergeCell ref="A85:B85"/>
    <mergeCell ref="A86:B86"/>
    <mergeCell ref="L126:M126"/>
    <mergeCell ref="A134:B134"/>
    <mergeCell ref="A131:B131"/>
    <mergeCell ref="A132:B132"/>
    <mergeCell ref="A40:B40"/>
    <mergeCell ref="C40:H40"/>
    <mergeCell ref="F111:F112"/>
    <mergeCell ref="C102:D102"/>
    <mergeCell ref="E102:F102"/>
    <mergeCell ref="B111:B112"/>
    <mergeCell ref="A111:A112"/>
    <mergeCell ref="C120:C121"/>
    <mergeCell ref="G120:G121"/>
    <mergeCell ref="L125:M125"/>
    <mergeCell ref="L122:M122"/>
    <mergeCell ref="A125:B125"/>
    <mergeCell ref="G108:H108"/>
    <mergeCell ref="L123:M123"/>
    <mergeCell ref="A126:B126"/>
    <mergeCell ref="L124:M124"/>
    <mergeCell ref="C55:H55"/>
    <mergeCell ref="A127:B127"/>
    <mergeCell ref="A76:B76"/>
    <mergeCell ref="A75:B75"/>
    <mergeCell ref="A49:B49"/>
    <mergeCell ref="C49:H49"/>
    <mergeCell ref="B142:H142"/>
    <mergeCell ref="F89:H89"/>
    <mergeCell ref="A89:E89"/>
    <mergeCell ref="D111:D112"/>
    <mergeCell ref="A91:E91"/>
    <mergeCell ref="A90:E90"/>
    <mergeCell ref="A87:E87"/>
    <mergeCell ref="F91:H91"/>
    <mergeCell ref="G111:G112"/>
    <mergeCell ref="A79:B79"/>
    <mergeCell ref="A73:B73"/>
    <mergeCell ref="C73:H73"/>
    <mergeCell ref="A81:B81"/>
    <mergeCell ref="A68:C68"/>
    <mergeCell ref="D68:H68"/>
    <mergeCell ref="C75:H75"/>
    <mergeCell ref="A78:B78"/>
    <mergeCell ref="A80:B80"/>
    <mergeCell ref="E76:F76"/>
    <mergeCell ref="A69:C69"/>
    <mergeCell ref="D69:H69"/>
    <mergeCell ref="A72:C72"/>
    <mergeCell ref="B147:H147"/>
    <mergeCell ref="A92:E92"/>
    <mergeCell ref="A107:B107"/>
    <mergeCell ref="E107:F107"/>
    <mergeCell ref="A97:E97"/>
    <mergeCell ref="G107:H107"/>
    <mergeCell ref="C103:D103"/>
    <mergeCell ref="E103:F103"/>
    <mergeCell ref="G103:H103"/>
    <mergeCell ref="A103:B103"/>
    <mergeCell ref="B144:H144"/>
    <mergeCell ref="A133:B133"/>
    <mergeCell ref="C111:C112"/>
    <mergeCell ref="B120:B121"/>
    <mergeCell ref="B137:H137"/>
    <mergeCell ref="B138:H138"/>
    <mergeCell ref="B140:H140"/>
    <mergeCell ref="B141:H141"/>
    <mergeCell ref="A136:H136"/>
    <mergeCell ref="A135:H135"/>
  </mergeCells>
  <dataValidations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No,House No"</formula1>
    </dataValidation>
    <dataValidation type="list" allowBlank="1" showInputMessage="1" showErrorMessage="1" sqref="G20:H20" xr:uid="{00000000-0002-0000-0000-000002000000}">
      <formula1>$S$13:$W$13</formula1>
    </dataValidation>
    <dataValidation type="list" allowBlank="1" showInputMessage="1" showErrorMessage="1" sqref="E111:E112" xr:uid="{00000000-0002-0000-0000-000003000000}">
      <formula1>"Attached Loft area,Attached Otla area,Attached Mezzanine area"</formula1>
    </dataValidation>
    <dataValidation type="list" allowBlank="1" showInputMessage="1" showErrorMessage="1" sqref="G155:H155" xr:uid="{00000000-0002-0000-0000-000004000000}">
      <formula1>"Gaurav Panchal,Kunal Kadam,Pranita Mhatre,Shruti Fule,Pooja Kawale,Mansee Mohite,Anjali Kamble,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1:B112" xr:uid="{00000000-0002-0000-0000-000007000000}">
      <formula1>"Shop No. (Sale Plan),Sale / Rehab,Sale / Mhada"</formula1>
    </dataValidation>
    <dataValidation type="list" allowBlank="1" showInputMessage="1" showErrorMessage="1" sqref="B120:B121"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0:E121" xr:uid="{00000000-0002-0000-0000-00000B000000}">
      <formula1>"Fungible area,Enclosed Balcony + A.F Area,Chajja Area,Cornice Area,AP Area,WS Area"</formula1>
    </dataValidation>
    <dataValidation type="list" allowBlank="1" showInputMessage="1" showErrorMessage="1" sqref="H112 H121"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2" xr:uid="{00000000-0002-0000-0000-00000F000000}">
      <formula1>0</formula1>
      <formula2>H74</formula2>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16383" man="1"/>
    <brk id="119" max="7" man="1"/>
    <brk id="159" max="7" man="1"/>
    <brk id="203" max="7" man="1"/>
    <brk id="24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6" zoomScale="85" zoomScaleNormal="85" workbookViewId="0">
      <selection activeCell="H31" sqref="H31"/>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198" t="s">
        <v>102</v>
      </c>
      <c r="C3" s="198"/>
      <c r="D3" s="198"/>
      <c r="E3" s="198"/>
      <c r="F3" s="198"/>
      <c r="G3" s="198"/>
      <c r="H3" s="198"/>
    </row>
    <row r="4" spans="1:9" x14ac:dyDescent="0.3">
      <c r="A4" s="2"/>
      <c r="B4" s="3" t="s">
        <v>103</v>
      </c>
      <c r="C4" s="3" t="s">
        <v>104</v>
      </c>
      <c r="D4" s="3" t="s">
        <v>65</v>
      </c>
      <c r="E4" s="3" t="s">
        <v>105</v>
      </c>
      <c r="F4" s="3" t="s">
        <v>111</v>
      </c>
      <c r="G4" s="3" t="s">
        <v>112</v>
      </c>
      <c r="H4" s="3" t="s">
        <v>106</v>
      </c>
    </row>
    <row r="5" spans="1:9" ht="15" customHeight="1" x14ac:dyDescent="0.3">
      <c r="A5" s="2"/>
      <c r="B5" s="5" t="s">
        <v>107</v>
      </c>
      <c r="C5" s="6"/>
      <c r="D5" s="5"/>
      <c r="E5" s="5"/>
      <c r="F5" s="7">
        <f>E5*1.6</f>
        <v>0</v>
      </c>
      <c r="G5" s="7" t="e">
        <f>H5/F5</f>
        <v>#DIV/0!</v>
      </c>
      <c r="H5" s="8"/>
    </row>
    <row r="6" spans="1:9" x14ac:dyDescent="0.3">
      <c r="A6" s="2"/>
      <c r="B6" s="5" t="s">
        <v>107</v>
      </c>
      <c r="C6" s="9"/>
      <c r="D6" s="5"/>
      <c r="E6" s="5"/>
      <c r="F6" s="7">
        <f t="shared" ref="F6:F11" si="0">E6*1.6</f>
        <v>0</v>
      </c>
      <c r="G6" s="7" t="e">
        <f t="shared" ref="G6:G11" si="1">H6/F6</f>
        <v>#DIV/0!</v>
      </c>
      <c r="H6" s="8"/>
    </row>
    <row r="7" spans="1:9" ht="15" customHeight="1" x14ac:dyDescent="0.3">
      <c r="A7" s="2"/>
      <c r="B7" s="5" t="s">
        <v>107</v>
      </c>
      <c r="C7" s="6"/>
      <c r="D7" s="5"/>
      <c r="E7" s="5"/>
      <c r="F7" s="7">
        <f t="shared" si="0"/>
        <v>0</v>
      </c>
      <c r="G7" s="7" t="e">
        <f t="shared" si="1"/>
        <v>#DIV/0!</v>
      </c>
      <c r="H7" s="8"/>
    </row>
    <row r="8" spans="1:9" x14ac:dyDescent="0.3">
      <c r="A8" s="2"/>
      <c r="B8" s="5" t="s">
        <v>107</v>
      </c>
      <c r="C8" s="9"/>
      <c r="D8" s="5"/>
      <c r="E8" s="5"/>
      <c r="F8" s="7">
        <f t="shared" si="0"/>
        <v>0</v>
      </c>
      <c r="G8" s="7" t="e">
        <f t="shared" si="1"/>
        <v>#DIV/0!</v>
      </c>
      <c r="H8" s="8"/>
    </row>
    <row r="9" spans="1:9" ht="15" customHeight="1" x14ac:dyDescent="0.3">
      <c r="A9" s="2"/>
      <c r="B9" s="5" t="s">
        <v>107</v>
      </c>
      <c r="C9" s="9"/>
      <c r="D9" s="5"/>
      <c r="E9" s="5"/>
      <c r="F9" s="7">
        <f t="shared" si="0"/>
        <v>0</v>
      </c>
      <c r="G9" s="7" t="e">
        <f t="shared" si="1"/>
        <v>#DIV/0!</v>
      </c>
      <c r="H9" s="8"/>
    </row>
    <row r="10" spans="1:9" ht="15" customHeight="1" x14ac:dyDescent="0.3">
      <c r="A10" s="2"/>
      <c r="B10" s="5" t="s">
        <v>108</v>
      </c>
      <c r="C10" s="6"/>
      <c r="D10" s="5"/>
      <c r="E10" s="5"/>
      <c r="F10" s="7">
        <f t="shared" si="0"/>
        <v>0</v>
      </c>
      <c r="G10" s="7" t="e">
        <f t="shared" si="1"/>
        <v>#DIV/0!</v>
      </c>
      <c r="H10" s="8"/>
    </row>
    <row r="11" spans="1:9" ht="15" customHeight="1" x14ac:dyDescent="0.3">
      <c r="A11" s="2"/>
      <c r="B11" s="5" t="s">
        <v>108</v>
      </c>
      <c r="C11" s="6"/>
      <c r="D11" s="5"/>
      <c r="E11" s="5"/>
      <c r="F11" s="7">
        <f t="shared" si="0"/>
        <v>0</v>
      </c>
      <c r="G11" s="7" t="e">
        <f t="shared" si="1"/>
        <v>#DIV/0!</v>
      </c>
      <c r="H11" s="8"/>
    </row>
    <row r="12" spans="1:9" ht="15" customHeight="1" x14ac:dyDescent="0.3">
      <c r="A12" s="2"/>
      <c r="B12" s="10" t="s">
        <v>109</v>
      </c>
      <c r="C12" s="5"/>
      <c r="D12" s="5"/>
      <c r="E12" s="5"/>
      <c r="F12" s="5"/>
      <c r="G12" s="11" t="e">
        <f>AVERAGE(G5:G11)</f>
        <v>#DIV/0!</v>
      </c>
      <c r="H12" s="5"/>
    </row>
    <row r="13" spans="1:9" ht="15" customHeight="1" x14ac:dyDescent="0.3">
      <c r="B13" s="10" t="s">
        <v>110</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10</v>
      </c>
      <c r="D4" s="48" t="s">
        <v>175</v>
      </c>
      <c r="E4" s="48" t="s">
        <v>185</v>
      </c>
      <c r="F4" s="48" t="s">
        <v>168</v>
      </c>
      <c r="G4" s="48" t="s">
        <v>190</v>
      </c>
      <c r="H4" s="48" t="s">
        <v>208</v>
      </c>
      <c r="J4" t="s">
        <v>190</v>
      </c>
      <c r="K4" t="s">
        <v>206</v>
      </c>
    </row>
    <row r="5" spans="2:11" x14ac:dyDescent="0.3">
      <c r="B5" s="47"/>
      <c r="C5" s="47"/>
      <c r="D5" s="48" t="s">
        <v>176</v>
      </c>
      <c r="E5" s="48" t="s">
        <v>183</v>
      </c>
      <c r="F5" s="48" t="s">
        <v>205</v>
      </c>
      <c r="G5" s="48" t="s">
        <v>191</v>
      </c>
      <c r="H5" s="48" t="s">
        <v>209</v>
      </c>
    </row>
    <row r="6" spans="2:11" x14ac:dyDescent="0.3">
      <c r="B6" s="47"/>
      <c r="C6" s="47"/>
      <c r="D6" s="48" t="s">
        <v>177</v>
      </c>
      <c r="E6" s="48" t="s">
        <v>184</v>
      </c>
      <c r="F6" s="48" t="s">
        <v>206</v>
      </c>
      <c r="G6" s="48" t="s">
        <v>192</v>
      </c>
      <c r="H6" s="48" t="s">
        <v>222</v>
      </c>
    </row>
    <row r="7" spans="2:11" x14ac:dyDescent="0.3">
      <c r="B7" s="47"/>
      <c r="C7" s="47"/>
      <c r="D7" s="48" t="s">
        <v>178</v>
      </c>
      <c r="E7" s="48" t="s">
        <v>186</v>
      </c>
      <c r="F7" s="48" t="s">
        <v>207</v>
      </c>
      <c r="G7" s="48" t="s">
        <v>193</v>
      </c>
      <c r="H7" s="48" t="s">
        <v>210</v>
      </c>
    </row>
    <row r="8" spans="2:11" x14ac:dyDescent="0.3">
      <c r="B8" s="47"/>
      <c r="C8" s="47"/>
      <c r="D8" s="48" t="s">
        <v>179</v>
      </c>
      <c r="E8" s="48" t="s">
        <v>187</v>
      </c>
      <c r="F8" s="48"/>
      <c r="G8" s="48" t="s">
        <v>194</v>
      </c>
      <c r="H8" s="48" t="s">
        <v>211</v>
      </c>
    </row>
    <row r="9" spans="2:11" x14ac:dyDescent="0.3">
      <c r="B9" s="47"/>
      <c r="C9" s="47"/>
      <c r="D9" s="48" t="s">
        <v>180</v>
      </c>
      <c r="E9" s="48" t="s">
        <v>185</v>
      </c>
      <c r="F9" s="48"/>
      <c r="G9" s="48" t="s">
        <v>195</v>
      </c>
      <c r="H9" s="48" t="s">
        <v>212</v>
      </c>
    </row>
    <row r="10" spans="2:11" x14ac:dyDescent="0.3">
      <c r="B10" s="47"/>
      <c r="C10" s="47"/>
      <c r="D10" s="48" t="s">
        <v>181</v>
      </c>
      <c r="E10" s="48" t="s">
        <v>188</v>
      </c>
      <c r="F10" s="48"/>
      <c r="G10" s="48" t="s">
        <v>196</v>
      </c>
      <c r="H10" s="48" t="s">
        <v>213</v>
      </c>
    </row>
    <row r="11" spans="2:11" x14ac:dyDescent="0.3">
      <c r="B11" s="47"/>
      <c r="C11" s="47"/>
      <c r="D11" s="48" t="s">
        <v>182</v>
      </c>
      <c r="E11" s="48" t="s">
        <v>189</v>
      </c>
      <c r="F11" s="48"/>
      <c r="G11" s="48" t="s">
        <v>197</v>
      </c>
      <c r="H11" s="48" t="s">
        <v>214</v>
      </c>
    </row>
    <row r="12" spans="2:11" x14ac:dyDescent="0.3">
      <c r="B12" s="47"/>
      <c r="C12" s="47"/>
      <c r="D12" s="48"/>
      <c r="E12" s="48"/>
      <c r="F12" s="48"/>
      <c r="G12" s="48" t="s">
        <v>198</v>
      </c>
      <c r="H12" s="48" t="s">
        <v>215</v>
      </c>
    </row>
    <row r="13" spans="2:11" x14ac:dyDescent="0.3">
      <c r="B13" s="47"/>
      <c r="C13" s="47"/>
      <c r="D13" s="48"/>
      <c r="E13" s="48"/>
      <c r="F13" s="48"/>
      <c r="G13" s="48" t="s">
        <v>199</v>
      </c>
      <c r="H13" s="48" t="s">
        <v>216</v>
      </c>
    </row>
    <row r="14" spans="2:11" x14ac:dyDescent="0.3">
      <c r="B14" s="47"/>
      <c r="C14" s="47"/>
      <c r="D14" s="48"/>
      <c r="E14" s="48"/>
      <c r="F14" s="48"/>
      <c r="G14" s="48" t="s">
        <v>200</v>
      </c>
      <c r="H14" s="48" t="s">
        <v>217</v>
      </c>
    </row>
    <row r="15" spans="2:11" x14ac:dyDescent="0.3">
      <c r="B15" s="47"/>
      <c r="C15" s="47"/>
      <c r="D15" s="48"/>
      <c r="E15" s="48"/>
      <c r="F15" s="48"/>
      <c r="G15" s="48" t="s">
        <v>201</v>
      </c>
      <c r="H15" s="48" t="s">
        <v>218</v>
      </c>
    </row>
    <row r="16" spans="2:11" x14ac:dyDescent="0.3">
      <c r="B16" s="47"/>
      <c r="C16" s="47"/>
      <c r="D16" s="48"/>
      <c r="E16" s="48"/>
      <c r="F16" s="48"/>
      <c r="G16" s="48" t="s">
        <v>202</v>
      </c>
      <c r="H16" s="48" t="s">
        <v>219</v>
      </c>
    </row>
    <row r="17" spans="2:8" x14ac:dyDescent="0.3">
      <c r="B17" s="47"/>
      <c r="C17" s="47"/>
      <c r="D17" s="48"/>
      <c r="E17" s="48"/>
      <c r="F17" s="48"/>
      <c r="G17" s="48" t="s">
        <v>203</v>
      </c>
      <c r="H17" s="48" t="s">
        <v>220</v>
      </c>
    </row>
    <row r="18" spans="2:8" x14ac:dyDescent="0.3">
      <c r="B18" s="47"/>
      <c r="C18" s="47"/>
      <c r="D18" s="48"/>
      <c r="E18" s="48"/>
      <c r="F18" s="48"/>
      <c r="G18" s="48" t="s">
        <v>204</v>
      </c>
      <c r="H18" s="48" t="s">
        <v>221</v>
      </c>
    </row>
    <row r="24" spans="2:8" x14ac:dyDescent="0.3">
      <c r="C24" t="s">
        <v>165</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165</v>
      </c>
    </row>
    <row r="33" spans="3:11" x14ac:dyDescent="0.3">
      <c r="J33">
        <v>1</v>
      </c>
      <c r="K33">
        <v>2</v>
      </c>
    </row>
    <row r="34" spans="3:11" x14ac:dyDescent="0.3">
      <c r="C34" s="50" t="s">
        <v>232</v>
      </c>
      <c r="D34" s="48" t="s">
        <v>230</v>
      </c>
      <c r="E34" s="48" t="s">
        <v>235</v>
      </c>
      <c r="F34" s="48" t="s">
        <v>233</v>
      </c>
      <c r="G34" s="48" t="s">
        <v>234</v>
      </c>
      <c r="H34" s="48" t="s">
        <v>236</v>
      </c>
      <c r="J34" t="s">
        <v>190</v>
      </c>
      <c r="K34" t="s">
        <v>206</v>
      </c>
    </row>
    <row r="35" spans="3:11" x14ac:dyDescent="0.3">
      <c r="C35" s="47" t="s">
        <v>231</v>
      </c>
      <c r="D35" s="48" t="s">
        <v>166</v>
      </c>
      <c r="E35" s="48" t="s">
        <v>240</v>
      </c>
      <c r="F35" s="48" t="s">
        <v>242</v>
      </c>
      <c r="G35" s="48" t="s">
        <v>244</v>
      </c>
      <c r="H35" s="48"/>
    </row>
    <row r="36" spans="3:11" x14ac:dyDescent="0.3">
      <c r="C36" s="47"/>
      <c r="D36" s="48" t="s">
        <v>237</v>
      </c>
      <c r="E36" s="48" t="s">
        <v>241</v>
      </c>
      <c r="F36" s="48" t="s">
        <v>243</v>
      </c>
      <c r="G36" s="48" t="s">
        <v>245</v>
      </c>
      <c r="H36" s="48"/>
    </row>
    <row r="37" spans="3:11" x14ac:dyDescent="0.3">
      <c r="C37" s="47"/>
      <c r="D37" s="48" t="s">
        <v>238</v>
      </c>
      <c r="E37" s="48"/>
      <c r="F37" s="48"/>
      <c r="G37" s="48" t="s">
        <v>246</v>
      </c>
      <c r="H37" s="48"/>
    </row>
    <row r="38" spans="3:11" x14ac:dyDescent="0.3">
      <c r="C38" s="47"/>
      <c r="D38" s="48" t="s">
        <v>239</v>
      </c>
      <c r="E38" s="48"/>
      <c r="F38" s="48"/>
      <c r="G38" s="48" t="s">
        <v>246</v>
      </c>
      <c r="H38" s="48"/>
    </row>
    <row r="39" spans="3:11" x14ac:dyDescent="0.3">
      <c r="C39" s="47"/>
      <c r="D39" s="48"/>
      <c r="E39" s="48"/>
      <c r="F39" s="48"/>
      <c r="G39" s="48" t="s">
        <v>247</v>
      </c>
      <c r="H39" s="48"/>
    </row>
    <row r="40" spans="3:11" x14ac:dyDescent="0.3">
      <c r="C40" s="47"/>
      <c r="D40" s="48"/>
      <c r="E40" s="48"/>
      <c r="F40" s="48"/>
      <c r="G40" s="48" t="s">
        <v>248</v>
      </c>
      <c r="H40" s="48"/>
    </row>
    <row r="41" spans="3:11" x14ac:dyDescent="0.3">
      <c r="C41" s="47"/>
      <c r="D41" s="48"/>
      <c r="E41" s="48"/>
      <c r="F41" s="48"/>
      <c r="G41" s="48"/>
      <c r="H41" s="48"/>
    </row>
    <row r="43" spans="3:11" x14ac:dyDescent="0.3">
      <c r="C43" t="s">
        <v>249</v>
      </c>
    </row>
    <row r="44" spans="3:11" x14ac:dyDescent="0.3">
      <c r="C44" t="s">
        <v>168</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175</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190</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185</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topLeftCell="A13" workbookViewId="0">
      <selection activeCell="C24" sqref="C24"/>
    </sheetView>
  </sheetViews>
  <sheetFormatPr defaultRowHeight="14.4" x14ac:dyDescent="0.3"/>
  <cols>
    <col min="2" max="2" width="3" bestFit="1" customWidth="1"/>
    <col min="3" max="3" width="130" customWidth="1"/>
  </cols>
  <sheetData>
    <row r="2" spans="2:3" ht="15" customHeight="1" x14ac:dyDescent="0.3">
      <c r="B2" s="51">
        <v>1</v>
      </c>
      <c r="C2" s="53" t="s">
        <v>280</v>
      </c>
    </row>
    <row r="3" spans="2:3" x14ac:dyDescent="0.3">
      <c r="B3" s="51">
        <v>2</v>
      </c>
      <c r="C3" s="52" t="s">
        <v>281</v>
      </c>
    </row>
    <row r="4" spans="2:3" x14ac:dyDescent="0.3">
      <c r="B4" s="51">
        <v>3</v>
      </c>
      <c r="C4" s="51" t="s">
        <v>282</v>
      </c>
    </row>
    <row r="5" spans="2:3" x14ac:dyDescent="0.3">
      <c r="B5" s="51">
        <v>4</v>
      </c>
      <c r="C5" s="52" t="s">
        <v>283</v>
      </c>
    </row>
    <row r="6" spans="2:3" x14ac:dyDescent="0.3">
      <c r="B6" s="51">
        <v>5</v>
      </c>
      <c r="C6" s="51" t="s">
        <v>284</v>
      </c>
    </row>
    <row r="7" spans="2:3" ht="28.8" x14ac:dyDescent="0.3">
      <c r="B7" s="51">
        <v>6</v>
      </c>
      <c r="C7" s="52" t="s">
        <v>285</v>
      </c>
    </row>
    <row r="8" spans="2:3" ht="72" x14ac:dyDescent="0.3">
      <c r="B8" s="51">
        <v>7</v>
      </c>
      <c r="C8" s="52" t="s">
        <v>286</v>
      </c>
    </row>
    <row r="9" spans="2:3" x14ac:dyDescent="0.3">
      <c r="B9" s="51">
        <v>8</v>
      </c>
      <c r="C9" s="51" t="s">
        <v>287</v>
      </c>
    </row>
    <row r="10" spans="2:3" x14ac:dyDescent="0.3">
      <c r="B10" s="51">
        <v>9</v>
      </c>
      <c r="C10" s="51" t="s">
        <v>288</v>
      </c>
    </row>
    <row r="11" spans="2:3" x14ac:dyDescent="0.3">
      <c r="B11" s="51">
        <v>10</v>
      </c>
      <c r="C11" s="51" t="s">
        <v>289</v>
      </c>
    </row>
    <row r="12" spans="2:3" x14ac:dyDescent="0.3">
      <c r="B12" s="51">
        <v>11</v>
      </c>
      <c r="C12" s="51" t="s">
        <v>290</v>
      </c>
    </row>
    <row r="13" spans="2:3" x14ac:dyDescent="0.3">
      <c r="B13" s="51">
        <v>12</v>
      </c>
      <c r="C13" s="51" t="s">
        <v>291</v>
      </c>
    </row>
    <row r="14" spans="2:3" x14ac:dyDescent="0.3">
      <c r="B14" s="51">
        <v>13</v>
      </c>
      <c r="C14" s="51" t="s">
        <v>292</v>
      </c>
    </row>
    <row r="15" spans="2:3" x14ac:dyDescent="0.3">
      <c r="B15" s="51">
        <v>14</v>
      </c>
      <c r="C15" s="51"/>
    </row>
    <row r="16" spans="2:3" x14ac:dyDescent="0.3">
      <c r="B16" s="51">
        <v>15</v>
      </c>
      <c r="C16" s="51"/>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2025-08-14T10:56:46Z</cp:lastPrinted>
  <dcterms:created xsi:type="dcterms:W3CDTF">2019-07-16T09:29:46Z</dcterms:created>
  <dcterms:modified xsi:type="dcterms:W3CDTF">2025-08-14T10:57:18Z</dcterms:modified>
</cp:coreProperties>
</file>