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Dump\Axis Dump\"/>
    </mc:Choice>
  </mc:AlternateContent>
  <xr:revisionPtr revIDLastSave="0" documentId="13_ncr:1_{8545D4D6-3A6A-4F79-8E2D-6F9E1DF31E8B}"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1" l="1"/>
  <c r="C81" i="1" s="1"/>
  <c r="C82" i="1" l="1"/>
  <c r="L133" i="1"/>
  <c r="L125" i="1"/>
  <c r="D129" i="1"/>
  <c r="K88" i="1" l="1"/>
  <c r="L88" i="1"/>
  <c r="D154" i="1"/>
  <c r="F154" i="1" s="1"/>
  <c r="H154" i="1" s="1"/>
  <c r="D153" i="1"/>
  <c r="D152" i="1"/>
  <c r="F152" i="1" s="1"/>
  <c r="H152" i="1" s="1"/>
  <c r="D151" i="1"/>
  <c r="F151" i="1" s="1"/>
  <c r="H151" i="1" s="1"/>
  <c r="D150" i="1"/>
  <c r="F150" i="1" s="1"/>
  <c r="H150" i="1" s="1"/>
  <c r="D146" i="1"/>
  <c r="F146" i="1" s="1"/>
  <c r="H146" i="1" s="1"/>
  <c r="D145" i="1"/>
  <c r="F145" i="1" s="1"/>
  <c r="H145" i="1" s="1"/>
  <c r="D144" i="1"/>
  <c r="F144" i="1" s="1"/>
  <c r="H144" i="1" s="1"/>
  <c r="D143" i="1"/>
  <c r="F143" i="1" s="1"/>
  <c r="H143" i="1" s="1"/>
  <c r="D135" i="1"/>
  <c r="F135" i="1" s="1"/>
  <c r="H135" i="1" s="1"/>
  <c r="J135" i="1" s="1"/>
  <c r="D140" i="1"/>
  <c r="F140" i="1" s="1"/>
  <c r="H140" i="1" s="1"/>
  <c r="D139" i="1"/>
  <c r="F139" i="1" s="1"/>
  <c r="H139" i="1" s="1"/>
  <c r="D138" i="1"/>
  <c r="F138" i="1" s="1"/>
  <c r="H138" i="1" s="1"/>
  <c r="D137" i="1"/>
  <c r="F137" i="1" s="1"/>
  <c r="H137" i="1" s="1"/>
  <c r="D136" i="1"/>
  <c r="F136" i="1" s="1"/>
  <c r="H136" i="1" s="1"/>
  <c r="D132" i="1"/>
  <c r="F132" i="1" s="1"/>
  <c r="H132" i="1" s="1"/>
  <c r="L132" i="1" s="1"/>
  <c r="D131" i="1"/>
  <c r="F131" i="1" s="1"/>
  <c r="H131" i="1" s="1"/>
  <c r="L131" i="1" s="1"/>
  <c r="D130" i="1"/>
  <c r="F130" i="1" s="1"/>
  <c r="H130" i="1" s="1"/>
  <c r="L130" i="1" s="1"/>
  <c r="F129" i="1"/>
  <c r="H129" i="1" s="1"/>
  <c r="L129" i="1" s="1"/>
  <c r="E121" i="1"/>
  <c r="D121" i="1"/>
  <c r="E120" i="1"/>
  <c r="D120" i="1"/>
  <c r="E119" i="1"/>
  <c r="D119" i="1"/>
  <c r="E118" i="1"/>
  <c r="D118" i="1"/>
  <c r="E117" i="1"/>
  <c r="D117" i="1"/>
  <c r="E116" i="1"/>
  <c r="D116" i="1"/>
  <c r="E115" i="1"/>
  <c r="D115" i="1"/>
  <c r="F153" i="1"/>
  <c r="H153" i="1" s="1"/>
  <c r="A150" i="1"/>
  <c r="A151" i="1" s="1"/>
  <c r="A152" i="1" s="1"/>
  <c r="A153" i="1" s="1"/>
  <c r="A154" i="1" s="1"/>
  <c r="A143" i="1"/>
  <c r="A144" i="1" s="1"/>
  <c r="A145" i="1" s="1"/>
  <c r="A146" i="1" s="1"/>
  <c r="A147" i="1" s="1"/>
  <c r="A136" i="1"/>
  <c r="A137" i="1" s="1"/>
  <c r="A138" i="1" s="1"/>
  <c r="A139" i="1" s="1"/>
  <c r="A140" i="1" s="1"/>
  <c r="I130" i="1"/>
  <c r="A129" i="1"/>
  <c r="A130" i="1" s="1"/>
  <c r="A131" i="1" s="1"/>
  <c r="A132" i="1" s="1"/>
  <c r="A133" i="1" s="1"/>
  <c r="J130" i="1" l="1"/>
  <c r="J88" i="1" s="1"/>
  <c r="I88" i="1" s="1"/>
  <c r="G106" i="1"/>
  <c r="G107" i="1" s="1"/>
  <c r="C106" i="1"/>
  <c r="C107" i="1" s="1"/>
  <c r="E106" i="1"/>
  <c r="E107" i="1" s="1"/>
  <c r="F120" i="1"/>
  <c r="H120" i="1" s="1"/>
  <c r="I116" i="1"/>
  <c r="F121" i="1" l="1"/>
  <c r="H121" i="1" s="1"/>
  <c r="F119" i="1"/>
  <c r="H119" i="1" s="1"/>
  <c r="F116" i="1"/>
  <c r="H116" i="1" s="1"/>
  <c r="F117" i="1"/>
  <c r="H117" i="1" s="1"/>
  <c r="F118" i="1"/>
  <c r="H118" i="1" s="1"/>
  <c r="F115" i="1"/>
  <c r="H115" i="1" l="1"/>
  <c r="G102" i="1" s="1"/>
  <c r="G103" i="1" s="1"/>
  <c r="E102" i="1"/>
  <c r="E103" i="1" s="1"/>
  <c r="C102" i="1"/>
  <c r="C103" i="1" s="1"/>
  <c r="B186" i="1"/>
  <c r="G58" i="1" l="1"/>
  <c r="C58" i="1"/>
  <c r="G56" i="1"/>
  <c r="C56" i="1"/>
  <c r="S33" i="1" l="1"/>
  <c r="F11" i="5" l="1"/>
  <c r="G11" i="5" s="1"/>
  <c r="F10" i="5"/>
  <c r="G10" i="5" s="1"/>
  <c r="F9" i="5"/>
  <c r="G9" i="5" s="1"/>
  <c r="F8" i="5"/>
  <c r="G8" i="5" s="1"/>
  <c r="F7" i="5"/>
  <c r="G7" i="5" s="1"/>
  <c r="F6" i="5"/>
  <c r="G6" i="5" s="1"/>
  <c r="F5" i="5"/>
  <c r="G5" i="5" s="1"/>
  <c r="G12" i="5" s="1"/>
  <c r="D209" i="1"/>
  <c r="B187" i="1"/>
  <c r="F183" i="1"/>
  <c r="H183" i="1" s="1"/>
  <c r="F182" i="1"/>
  <c r="H182" i="1" s="1"/>
  <c r="F181" i="1"/>
  <c r="H181" i="1" s="1"/>
  <c r="F180" i="1"/>
  <c r="H180" i="1" s="1"/>
  <c r="F179" i="1"/>
  <c r="H179" i="1" s="1"/>
  <c r="F177" i="1"/>
  <c r="H177" i="1" s="1"/>
  <c r="F176" i="1"/>
  <c r="H176" i="1" s="1"/>
  <c r="F175" i="1"/>
  <c r="H175" i="1" s="1"/>
  <c r="F174" i="1"/>
  <c r="H174" i="1" s="1"/>
  <c r="F173" i="1"/>
  <c r="H173" i="1" s="1"/>
  <c r="F171" i="1"/>
  <c r="H171" i="1" s="1"/>
  <c r="F170" i="1"/>
  <c r="H170" i="1" s="1"/>
  <c r="F169" i="1"/>
  <c r="H169" i="1" s="1"/>
  <c r="F168" i="1"/>
  <c r="H168" i="1" s="1"/>
  <c r="F167" i="1"/>
  <c r="H167" i="1" s="1"/>
  <c r="F165" i="1"/>
  <c r="H165" i="1" s="1"/>
  <c r="F164" i="1"/>
  <c r="H164" i="1" s="1"/>
  <c r="F163" i="1"/>
  <c r="H163" i="1" s="1"/>
  <c r="F162" i="1"/>
  <c r="H162" i="1" s="1"/>
  <c r="F161" i="1"/>
  <c r="H161" i="1" s="1"/>
  <c r="A161" i="1"/>
  <c r="A162" i="1" s="1"/>
  <c r="A163" i="1" s="1"/>
  <c r="A164" i="1" s="1"/>
  <c r="A165" i="1" s="1"/>
  <c r="F159" i="1"/>
  <c r="H159" i="1" s="1"/>
  <c r="F158" i="1"/>
  <c r="H158" i="1" s="1"/>
  <c r="F157" i="1"/>
  <c r="H157" i="1" s="1"/>
  <c r="A157" i="1"/>
  <c r="A158" i="1" s="1"/>
  <c r="A159" i="1" s="1"/>
  <c r="F156" i="1"/>
  <c r="H156" i="1" s="1"/>
  <c r="A116" i="1"/>
  <c r="A117" i="1" s="1"/>
  <c r="A118" i="1" s="1"/>
  <c r="A119" i="1" s="1"/>
  <c r="A120" i="1" s="1"/>
  <c r="A121" i="1" s="1"/>
  <c r="G108" i="1"/>
  <c r="E108" i="1"/>
  <c r="C108" i="1"/>
  <c r="F99" i="1"/>
  <c r="C73" i="1"/>
  <c r="D67" i="1"/>
  <c r="D62" i="1"/>
  <c r="G51" i="1"/>
  <c r="C51" i="1"/>
  <c r="E44" i="1"/>
  <c r="E45" i="1" s="1"/>
  <c r="E31" i="1"/>
  <c r="E28" i="1"/>
  <c r="E26" i="1"/>
  <c r="C16" i="1"/>
  <c r="I15" i="1"/>
  <c r="Z13" i="1"/>
  <c r="E8" i="1"/>
  <c r="E3" i="1"/>
  <c r="A179" i="1"/>
  <c r="A173" i="1"/>
  <c r="A167" i="1"/>
  <c r="H74" i="1"/>
  <c r="J73" i="1" l="1"/>
  <c r="J75" i="1" s="1"/>
  <c r="J76" i="1"/>
  <c r="J77" i="1"/>
  <c r="J78" i="1"/>
  <c r="C77" i="1" s="1"/>
  <c r="D81" i="1"/>
  <c r="D83" i="1"/>
  <c r="D82" i="1"/>
  <c r="D86" i="1"/>
  <c r="D80" i="1"/>
  <c r="D85" i="1"/>
  <c r="D79" i="1"/>
  <c r="D84" i="1"/>
  <c r="B74" i="1"/>
  <c r="J79" i="1" s="1"/>
  <c r="A180" i="1"/>
  <c r="A174" i="1"/>
  <c r="A168" i="1"/>
  <c r="D77" i="1" l="1"/>
  <c r="J83" i="1"/>
  <c r="J81" i="1"/>
  <c r="J82" i="1"/>
  <c r="J80" i="1"/>
  <c r="J85" i="1" s="1"/>
  <c r="J84" i="1"/>
  <c r="A169" i="1"/>
  <c r="A175" i="1"/>
  <c r="A181" i="1"/>
  <c r="J86" i="1" l="1"/>
  <c r="C78" i="1" s="1"/>
  <c r="D78" i="1" s="1"/>
  <c r="I74" i="1" s="1"/>
  <c r="A170" i="1"/>
  <c r="A176" i="1"/>
  <c r="A182" i="1"/>
  <c r="G77" i="1" l="1"/>
  <c r="D71" i="1" s="1"/>
  <c r="F72" i="1" s="1"/>
  <c r="E77" i="1"/>
  <c r="J74" i="1"/>
  <c r="I75" i="1"/>
  <c r="A183" i="1"/>
  <c r="A177" i="1"/>
  <c r="A171" i="1"/>
  <c r="I73" i="1" l="1"/>
  <c r="C75" i="1" s="1"/>
  <c r="D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<sst xmlns="http://schemas.openxmlformats.org/spreadsheetml/2006/main" count="562" uniqueCount="356">
  <si>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</si>
  <si>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</si>
  <si>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</si>
  <si>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</si>
  <si>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</si>
  <si>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</si>
  <si>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</si>
  <si>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</si>
  <si>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</si>
  <si>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</si>
  <si>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</si>
  <si>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</si>
  <si>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</si>
  <si>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</si>
  <si>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</si>
  <si>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</si>
  <si>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</si>
  <si>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</si>
  <si>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</si>
  <si>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</si>
  <si>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</si>
  <si>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</si>
  <si>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</si>
  <si>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</si>
  <si>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</si>
  <si>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</si>
  <si>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</si>
  <si>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</si>
  <si>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</si>
  <si>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</si>
  <si>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</si>
  <si>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</si>
  <si>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</si>
  <si>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</si>
  <si>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</si>
  <si>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</si>
  <si>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</si>
  <si>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</si>
  <si>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</si>
  <si>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</si>
  <si>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</si>
  <si>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</si>
  <si>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</si>
  <si>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</si>
  <si>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</si>
  <si>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</si>
  <si>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</si>
  <si>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</si>
  <si>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</si>
  <si>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</si>
  <si>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</si>
  <si>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</si>
  <si>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</si>
  <si>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</si>
  <si>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</si>
  <si>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</si>
  <si>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</si>
  <si>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</si>
  <si>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</si>
  <si>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</si>
  <si>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</si>
  <si>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</si>
  <si>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</si>
  <si>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</si>
  <si>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</si>
  <si>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</si>
  <si>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</si>
  <si>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</si>
  <si>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</si>
  <si>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</si>
  <si>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</si>
  <si>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</si>
  <si>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</si>
  <si>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</si>
  <si>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</si>
  <si>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</si>
  <si>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</si>
  <si>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</si>
  <si>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</si>
  <si>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</si>
  <si>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</si>
  <si>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</si>
  <si>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</si>
  <si>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</si>
  <si>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</si>
  <si>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</si>
  <si>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</si>
  <si>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</si>
  <si>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</si>
  <si>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</si>
  <si>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</si>
  <si>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</si>
  <si>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</si>
  <si>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</si>
  <si>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</si>
  <si>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</si>
  <si>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</si>
  <si>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</si>
  <si>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</si>
  <si>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</si>
  <si>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</si>
  <si>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</si>
  <si>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</si>
  <si>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</si>
  <si>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</si>
  <si>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</si>
  <si>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</si>
  <si>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</si>
  <si>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</si>
  <si>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</si>
  <si>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</si>
  <si>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</si>
  <si>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</si>
  <si>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</si>
  <si>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</si>
  <si>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</si>
  <si>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</si>
  <si>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</si>
  <si>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</si>
  <si>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</si>
  <si>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</si>
  <si>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</si>
  <si>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</si>
  <si>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</si>
  <si>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</si>
  <si>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</si>
  <si>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</si>
  <si>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</si>
  <si>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</si>
  <si>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</si>
  <si>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</si>
  <si>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</si>
  <si>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</si>
  <si>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</si>
  <si>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</si>
  <si>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</si>
  <si>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</si>
  <si>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</si>
  <si>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</si>
  <si>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</si>
  <si>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</si>
  <si>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</si>
  <si>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</si>
  <si>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</si>
  <si>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</si>
  <si>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</si>
  <si>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</si>
  <si>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</si>
  <si>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</si>
  <si>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</si>
  <si>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</si>
  <si>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</si>
  <si>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</si>
  <si>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</si>
  <si>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</si>
  <si>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</si>
  <si>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</si>
  <si>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</si>
  <si>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</si>
  <si>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</si>
  <si>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</si>
  <si>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</si>
  <si>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</si>
  <si>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</si>
  <si>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</si>
  <si>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</si>
  <si>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</si>
  <si>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</si>
  <si>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</si>
  <si>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</si>
  <si>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</si>
  <si>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</si>
  <si>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</si>
  <si>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</si>
  <si>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</si>
  <si>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</si>
  <si>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</si>
  <si>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</si>
  <si>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</si>
  <si>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</si>
  <si>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</si>
  <si>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</si>
  <si>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</si>
  <si>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</si>
  <si>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</si>
  <si>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</si>
  <si>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</si>
  <si>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</si>
  <si>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</si>
  <si>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</si>
  <si>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</si>
  <si>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</si>
  <si>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</si>
  <si>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</si>
  <si>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</si>
  <si>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</si>
  <si>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</si>
  <si>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</si>
  <si>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</si>
  <si>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</si>
  <si>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</si>
  <si>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</si>
  <si>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</si>
  <si>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</si>
  <si>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</si>
  <si>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</si>
  <si>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</si>
  <si>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</si>
  <si>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</si>
  <si>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</si>
  <si>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</si>
  <si>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</si>
  <si>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</si>
  <si>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</si>
  <si>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</si>
  <si>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</si>
  <si>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</si>
  <si>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</si>
  <si>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</si>
  <si>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</si>
  <si>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</si>
  <si>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</si>
  <si>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</si>
  <si>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</si>
  <si>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</si>
  <si>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</si>
  <si>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</si>
  <si>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</si>
  <si>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</si>
  <si>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</si>
  <si>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</si>
  <si>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</si>
  <si>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</si>
  <si>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</si>
  <si>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</si>
  <si>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</si>
  <si>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</si>
  <si>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</si>
  <si>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</si>
  <si>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</si>
  <si>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</si>
  <si>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</si>
  <si>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</si>
  <si>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</si>
  <si>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</si>
  <si>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</si>
  <si>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</si>
  <si>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</si>
  <si>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</si>
  <si>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</si>
  <si>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</si>
  <si>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</si>
  <si>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</si>
  <si>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</si>
  <si>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</si>
  <si>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</si>
  <si>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</si>
  <si>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</si>
  <si>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</si>
  <si>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</si>
  <si>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</si>
  <si>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</si>
  <si>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</si>
  <si>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</si>
  <si>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</si>
  <si>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</si>
  <si>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</si>
  <si>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</si>
  <si>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</si>
  <si>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</si>
  <si>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</si>
  <si>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</si>
  <si>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</si>
  <si>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</si>
  <si>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</si>
  <si>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</si>
  <si>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</si>
  <si>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</si>
  <si>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</si>
  <si>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</si>
  <si>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</si>
  <si>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</si>
  <si>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</si>
  <si>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</si>
  <si>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</si>
  <si>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</si>
  <si>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</si>
  <si>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</si>
  <si>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</si>
  <si>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</si>
  <si>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</si>
  <si>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</si>
  <si>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</si>
  <si>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</si>
  <si>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</si>
  <si>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</si>
  <si>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</si>
  <si>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</si>
  <si>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</si>
  <si>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</si>
  <si>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</si>
  <si>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</si>
  <si>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</si>
  <si>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in approved layout plan &amp; floor plan.</t>
  </si>
  <si>
    <t>Gurukrupa Group Builders And Developers LLP</t>
  </si>
  <si>
    <t>Gurukrupa Darshanam</t>
  </si>
  <si>
    <t>P51900053293</t>
  </si>
  <si>
    <t>Shram Seva CHSL</t>
  </si>
  <si>
    <t>356(Pt)x, S.No.113(Pt) &amp; Redevelopment of "Shram Seva CHSL also known as Building No.139"</t>
  </si>
  <si>
    <t>Hariyali</t>
  </si>
  <si>
    <t>Kannamwar Nagar, Mhada Colony</t>
  </si>
  <si>
    <t>Vikhroli (East)</t>
  </si>
  <si>
    <t>Mhada-9/1307/2023</t>
  </si>
  <si>
    <t>As per RERA - 31/12/2026</t>
  </si>
  <si>
    <t>Part Basement Floor for Pump Room &amp; U.G. Tank</t>
  </si>
  <si>
    <t>Shop</t>
  </si>
  <si>
    <t>Ground Floor for Commercial &amp; Parking</t>
  </si>
  <si>
    <t>1st to 5th Podium Floor for Parking</t>
  </si>
  <si>
    <t>6th Podium Floor for Parking &amp; Fitness Center</t>
  </si>
  <si>
    <r>
      <t xml:space="preserve">Proposed Amenities :                                                                                                                                                                                                                         </t>
    </r>
    <r>
      <rPr>
        <b/>
        <sz val="12"/>
        <rFont val="Times New Roman"/>
        <family val="1"/>
      </rPr>
      <t xml:space="preserve">                                               </t>
    </r>
  </si>
  <si>
    <t>2.1 KM from Vikhroli Railway Station</t>
  </si>
  <si>
    <t>Play Ground</t>
  </si>
  <si>
    <t>18.30M.W. Mhada Layout Road</t>
  </si>
  <si>
    <t>Building No.138</t>
  </si>
  <si>
    <t>Building No.140</t>
  </si>
  <si>
    <t>Refuge Area</t>
  </si>
  <si>
    <t>1BHK</t>
  </si>
  <si>
    <t>2BHK</t>
  </si>
  <si>
    <t>1st Floor for Residential &amp; Society Office (Part Refuge Area)</t>
  </si>
  <si>
    <t>2nd to 7th &amp; 9th to 14th &amp; 16th to 21st &amp; 23rd to 26th Floor</t>
  </si>
  <si>
    <t>8th &amp; 15th Floor (Part Refuge Area)</t>
  </si>
  <si>
    <t>22th Floor (Part Refuge Area)</t>
  </si>
  <si>
    <t>We considered Gross carpet area = Net carpet.</t>
  </si>
  <si>
    <t>Flats</t>
  </si>
  <si>
    <t>Flats - 149, Shops - 7</t>
  </si>
  <si>
    <t>1B + Gr/Stilt + 1st to 6th Podium Floor + 1st to 26th Floor</t>
  </si>
  <si>
    <t>1B + Gr/Stilt + 1st to 6th Podium Floor + 1st to 28th Floor</t>
  </si>
  <si>
    <t>https://maps.app.goo.gl/G2Lp1vdWKbe7MsyNA</t>
  </si>
  <si>
    <t>19.1198423,72.9386293</t>
  </si>
  <si>
    <t>Ravindra Mhatre Ground</t>
  </si>
  <si>
    <t>Road No.1</t>
  </si>
  <si>
    <r>
      <t xml:space="preserve">Shop No.
</t>
    </r>
    <r>
      <rPr>
        <b/>
        <sz val="11"/>
        <rFont val="Times New Roman"/>
        <family val="1"/>
      </rPr>
      <t>(Approved Plan)</t>
    </r>
  </si>
  <si>
    <t>Online</t>
  </si>
  <si>
    <t>Visitor</t>
  </si>
  <si>
    <t>Builder</t>
  </si>
  <si>
    <t>MIS</t>
  </si>
  <si>
    <t>3BHK</t>
  </si>
  <si>
    <t>Open Gym Area, Swimming pool, Walking-Jogging Track, Branded Fittings, Club house, Elegant Entrance Lobby, Indoor games, Lawn area, Amphitheater Area</t>
  </si>
  <si>
    <t>Construction work is in process at the time of Visit. Internal photographs was not allowed.</t>
  </si>
  <si>
    <t>Mr. Uchit : 7400318558</t>
  </si>
  <si>
    <t>MH/EE/(BP)/GM/MHADA-9/1307/2025/FCC/1/Amend</t>
  </si>
  <si>
    <t>This C.C. is now further extended upto top of 19th upper residential floors{ i. e. Residential cum Commercial Bldg. comprising of part basement (-05.00 mt.) for pump room + Ground floor for 07 no. of shops + Entrance lobby + fire control room + common electric meter room + space for D.G. Set + 1st to 5th podium floor for surface car parking by way of two Car lifts + 6th podium floor for surface car parking + fitness centre + Car lifts machine room + 1st to 19th upper residential floors with total height of 78.41 mt. from AGL as per approved Amended plans u/no. MH/EE/ (BP)/GM/MHADA-9/1307/2025/IOA/1/Amend dt. 03.03.2025}.</t>
  </si>
  <si>
    <t>We have updated latest CC from Mhada site (On 08/05/2025).</t>
  </si>
  <si>
    <t>We have updated latest CC from Mhada site (On 28/05/2024).</t>
  </si>
  <si>
    <t>Kunal Kadam</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</si>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</sst>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5" fillId="0" borderId="0" applyNumberFormat="0" applyFill="0" applyBorder="0" applyAlignment="0" applyProtection="0"/>
  </cellStyleXfs>
  <cellXfs count="19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7" fillId="0" borderId="1" xfId="5" applyNumberFormat="1" applyFont="1" applyBorder="1" applyAlignment="1">
      <alignment horizontal="center" vertical="center"/>
    </xf>
    <xf numFmtId="0" fontId="5"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4" fillId="0" borderId="0" xfId="1" applyFont="1"/>
    <xf numFmtId="0" fontId="11"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2" fillId="0" borderId="0" xfId="1" applyFont="1"/>
    <xf numFmtId="0" fontId="7"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3" fillId="2" borderId="28" xfId="0" applyFont="1" applyFill="1" applyBorder="1"/>
    <xf numFmtId="0" fontId="24" fillId="0" borderId="29" xfId="0" applyFont="1" applyBorder="1"/>
    <xf numFmtId="0" fontId="24" fillId="0" borderId="1" xfId="0" applyFont="1" applyBorder="1"/>
    <xf numFmtId="0" fontId="24"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1" fillId="0" borderId="1" xfId="1" applyFont="1" applyBorder="1" applyAlignment="1" applyProtection="1">
      <alignment vertical="top" wrapText="1"/>
      <protection locked="0"/>
    </xf>
    <xf numFmtId="1" fontId="7"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0" borderId="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top" wrapText="1"/>
      <protection locked="0"/>
    </xf>
    <xf numFmtId="0" fontId="14" fillId="0" borderId="0" xfId="1" applyFont="1" applyAlignment="1">
      <alignment horizontal="center" vertical="center"/>
    </xf>
    <xf numFmtId="0" fontId="31" fillId="0" borderId="0" xfId="1" applyFont="1" applyAlignment="1">
      <alignment horizontal="center" vertical="center"/>
    </xf>
    <xf numFmtId="0" fontId="14" fillId="0" borderId="0" xfId="2" applyFont="1" applyAlignment="1">
      <alignment horizontal="center" vertical="center"/>
    </xf>
    <xf numFmtId="0" fontId="14" fillId="0" borderId="0" xfId="0" applyFont="1" applyAlignment="1">
      <alignment horizontal="center" vertical="center"/>
    </xf>
    <xf numFmtId="1" fontId="14" fillId="0" borderId="0" xfId="1" applyNumberFormat="1" applyFont="1" applyAlignment="1">
      <alignment horizontal="center" vertical="center"/>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0" fontId="11" fillId="0" borderId="7"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2" fillId="0" borderId="1"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30" fillId="0" borderId="1" xfId="1" applyNumberFormat="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12" fillId="0" borderId="31" xfId="0" applyNumberFormat="1" applyFont="1" applyBorder="1" applyAlignment="1" applyProtection="1">
      <alignment horizontal="center" vertical="top" wrapText="1"/>
      <protection locked="0"/>
    </xf>
    <xf numFmtId="1" fontId="12" fillId="0" borderId="32"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1"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11" fillId="0" borderId="1" xfId="0"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3"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9" xfId="8" applyFont="1" applyFill="1" applyBorder="1" applyAlignment="1" applyProtection="1">
      <alignment horizontal="center" vertical="center" wrapText="1"/>
      <protection locked="0"/>
    </xf>
    <xf numFmtId="9" fontId="11" fillId="0" borderId="11" xfId="8" applyFont="1" applyFill="1" applyBorder="1" applyAlignment="1" applyProtection="1">
      <alignment horizontal="center" vertical="center"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29" fillId="0" borderId="1" xfId="1" applyFont="1" applyBorder="1" applyAlignment="1" applyProtection="1">
      <alignment horizontal="center" vertical="top" wrapText="1"/>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0" fontId="8" fillId="0" borderId="15"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12" fillId="0" borderId="2" xfId="0" applyNumberFormat="1" applyFont="1" applyBorder="1" applyAlignment="1" applyProtection="1">
      <alignment horizontal="center" vertical="center" wrapText="1"/>
      <protection locked="0"/>
    </xf>
    <xf numFmtId="1" fontId="12" fillId="0" borderId="2" xfId="0" applyNumberFormat="1"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2"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30" xfId="0" applyNumberFormat="1" applyFont="1" applyBorder="1" applyAlignment="1" applyProtection="1">
      <alignment horizontal="center" vertical="center" wrapText="1"/>
      <protection locked="0"/>
    </xf>
    <xf numFmtId="1" fontId="12" fillId="0" borderId="31" xfId="0" applyNumberFormat="1" applyFont="1" applyBorder="1" applyAlignment="1" applyProtection="1">
      <alignment horizontal="center" vertical="center" wrapText="1"/>
      <protection locked="0"/>
    </xf>
    <xf numFmtId="0" fontId="12" fillId="0" borderId="31" xfId="0" applyFont="1" applyBorder="1" applyAlignment="1" applyProtection="1">
      <alignment horizontal="center" vertical="center"/>
      <protection locked="0"/>
    </xf>
    <xf numFmtId="14" fontId="11" fillId="0" borderId="7" xfId="1" applyNumberFormat="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23"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293</xdr:row>
      <xdr:rowOff>114300</xdr:rowOff>
    </xdr:from>
    <xdr:to>
      <xdr:col>6</xdr:col>
      <xdr:colOff>638567</xdr:colOff>
      <xdr:row>314</xdr:row>
      <xdr:rowOff>114039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52500" y="56394350"/>
          <a:ext cx="4772417" cy="4133589"/>
        </a:xfrm>
        <a:prstGeom prst="rect">
          <a:avLst/>
        </a:prstGeom>
        <a:ln>
          <a:solidFill>
            <a:schemeClr val="tx1"/>
          </a:solidFill>
        </a:ln>
      </xdr:spPr>
    </xdr:pic>
    <xdr:clientData/>
  </xdr:twoCellAnchor>
  <xdr:twoCellAnchor>
    <xdr:from>
      <xdr:col>1</xdr:col>
      <xdr:colOff>767115</xdr:colOff>
      <xdr:row>315</xdr:row>
      <xdr:rowOff>114299</xdr:rowOff>
    </xdr:from>
    <xdr:to>
      <xdr:col>6</xdr:col>
      <xdr:colOff>22861</xdr:colOff>
      <xdr:row>330</xdr:row>
      <xdr:rowOff>74930</xdr:rowOff>
    </xdr:to>
    <xdr:grpSp>
      <xdr:nvGrpSpPr>
        <xdr:cNvPr id="22" name="Group 21">
          <a:extLst>
            <a:ext uri="{FF2B5EF4-FFF2-40B4-BE49-F238E27FC236}">
              <a16:creationId xmlns:a16="http://schemas.microsoft.com/office/drawing/2014/main" id="{9D72270F-7ABA-A387-82D1-17D86D1136D8}"/>
            </a:ext>
          </a:extLst>
        </xdr:cNvPr>
        <xdr:cNvGrpSpPr/>
      </xdr:nvGrpSpPr>
      <xdr:grpSpPr>
        <a:xfrm>
          <a:off x="1551975" y="60761879"/>
          <a:ext cx="3477226" cy="2932431"/>
          <a:chOff x="1300514" y="60715081"/>
          <a:chExt cx="3981137" cy="3619310"/>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00514" y="60715081"/>
            <a:ext cx="3981137" cy="3619310"/>
          </a:xfrm>
          <a:prstGeom prst="rect">
            <a:avLst/>
          </a:prstGeom>
          <a:ln>
            <a:solidFill>
              <a:schemeClr val="tx1"/>
            </a:solidFill>
          </a:ln>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2790224" y="61654880"/>
            <a:ext cx="924526" cy="1625409"/>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twoCellAnchor editAs="oneCell">
    <xdr:from>
      <xdr:col>2</xdr:col>
      <xdr:colOff>17084</xdr:colOff>
      <xdr:row>271</xdr:row>
      <xdr:rowOff>11471</xdr:rowOff>
    </xdr:from>
    <xdr:to>
      <xdr:col>5</xdr:col>
      <xdr:colOff>754380</xdr:colOff>
      <xdr:row>290</xdr:row>
      <xdr:rowOff>143179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624904" y="51941771"/>
          <a:ext cx="3366196" cy="3895988"/>
        </a:xfrm>
        <a:prstGeom prst="rect">
          <a:avLst/>
        </a:prstGeom>
        <a:ln>
          <a:solidFill>
            <a:schemeClr val="tx1"/>
          </a:solidFill>
        </a:ln>
      </xdr:spPr>
    </xdr:pic>
    <xdr:clientData/>
  </xdr:twoCellAnchor>
  <xdr:twoCellAnchor editAs="oneCell">
    <xdr:from>
      <xdr:col>1</xdr:col>
      <xdr:colOff>736600</xdr:colOff>
      <xdr:row>251</xdr:row>
      <xdr:rowOff>76200</xdr:rowOff>
    </xdr:from>
    <xdr:to>
      <xdr:col>6</xdr:col>
      <xdr:colOff>133002</xdr:colOff>
      <xdr:row>270</xdr:row>
      <xdr:rowOff>81334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536700" y="47891700"/>
          <a:ext cx="3682652" cy="3745284"/>
        </a:xfrm>
        <a:prstGeom prst="rect">
          <a:avLst/>
        </a:prstGeom>
        <a:ln>
          <a:solidFill>
            <a:schemeClr val="tx1"/>
          </a:solidFill>
        </a:ln>
      </xdr:spPr>
    </xdr:pic>
    <xdr:clientData/>
  </xdr:twoCellAnchor>
  <xdr:twoCellAnchor>
    <xdr:from>
      <xdr:col>11</xdr:col>
      <xdr:colOff>565150</xdr:colOff>
      <xdr:row>212</xdr:row>
      <xdr:rowOff>97790</xdr:rowOff>
    </xdr:from>
    <xdr:to>
      <xdr:col>19</xdr:col>
      <xdr:colOff>313480</xdr:colOff>
      <xdr:row>252</xdr:row>
      <xdr:rowOff>39370</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10006330" y="40339010"/>
          <a:ext cx="6011970" cy="7866380"/>
          <a:chOff x="336550" y="39814500"/>
          <a:chExt cx="6105950" cy="801370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18564" y="46181602"/>
            <a:ext cx="1353766" cy="1646598"/>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91922" y="43898051"/>
            <a:ext cx="1624519" cy="216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6550" y="39814500"/>
            <a:ext cx="2978285" cy="396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349934" y="43898051"/>
            <a:ext cx="1624519"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464215" y="39814500"/>
            <a:ext cx="2978285" cy="396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010311" y="46181602"/>
            <a:ext cx="1353766" cy="1646598"/>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70928" y="43898051"/>
            <a:ext cx="1624519" cy="2160000"/>
          </a:xfrm>
          <a:prstGeom prst="rect">
            <a:avLst/>
          </a:prstGeom>
          <a:ln>
            <a:solidFill>
              <a:schemeClr val="tx1"/>
            </a:solidFill>
          </a:ln>
        </xdr:spPr>
      </xdr:pic>
    </xdr:grpSp>
    <xdr:clientData/>
  </xdr:twoCellAnchor>
  <xdr:twoCellAnchor>
    <xdr:from>
      <xdr:col>0</xdr:col>
      <xdr:colOff>426720</xdr:colOff>
      <xdr:row>210</xdr:row>
      <xdr:rowOff>22860</xdr:rowOff>
    </xdr:from>
    <xdr:to>
      <xdr:col>7</xdr:col>
      <xdr:colOff>609616</xdr:colOff>
      <xdr:row>246</xdr:row>
      <xdr:rowOff>117717</xdr:rowOff>
    </xdr:to>
    <xdr:grpSp>
      <xdr:nvGrpSpPr>
        <xdr:cNvPr id="11" name="Group 10">
          <a:extLst>
            <a:ext uri="{FF2B5EF4-FFF2-40B4-BE49-F238E27FC236}">
              <a16:creationId xmlns:a16="http://schemas.microsoft.com/office/drawing/2014/main" id="{113CCD5E-D2E7-093E-AC79-E2FC55818086}"/>
            </a:ext>
          </a:extLst>
        </xdr:cNvPr>
        <xdr:cNvGrpSpPr/>
      </xdr:nvGrpSpPr>
      <xdr:grpSpPr>
        <a:xfrm>
          <a:off x="426720" y="39875460"/>
          <a:ext cx="5943616" cy="7219557"/>
          <a:chOff x="197700" y="259492"/>
          <a:chExt cx="5943616" cy="7219557"/>
        </a:xfrm>
      </xdr:grpSpPr>
      <xdr:grpSp>
        <xdr:nvGrpSpPr>
          <xdr:cNvPr id="12" name="Group 11">
            <a:extLst>
              <a:ext uri="{FF2B5EF4-FFF2-40B4-BE49-F238E27FC236}">
                <a16:creationId xmlns:a16="http://schemas.microsoft.com/office/drawing/2014/main" id="{C1FB61F2-B269-072B-2E0A-06CEABB65F17}"/>
              </a:ext>
            </a:extLst>
          </xdr:cNvPr>
          <xdr:cNvGrpSpPr/>
        </xdr:nvGrpSpPr>
        <xdr:grpSpPr>
          <a:xfrm>
            <a:off x="197700" y="259492"/>
            <a:ext cx="5943616" cy="5226519"/>
            <a:chOff x="197700" y="259492"/>
            <a:chExt cx="5943616" cy="5226519"/>
          </a:xfrm>
        </xdr:grpSpPr>
        <xdr:pic>
          <xdr:nvPicPr>
            <xdr:cNvPr id="17" name="Picture 16">
              <a:extLst>
                <a:ext uri="{FF2B5EF4-FFF2-40B4-BE49-F238E27FC236}">
                  <a16:creationId xmlns:a16="http://schemas.microsoft.com/office/drawing/2014/main" id="{9D269304-1BFB-3C42-F680-47560C04900F}"/>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4251316" y="2966011"/>
              <a:ext cx="1890000"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BF919E8E-C821-FCD9-7535-62B831BAD4F1}"/>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251316" y="259492"/>
              <a:ext cx="1890000" cy="2520000"/>
            </a:xfrm>
            <a:prstGeom prst="rect">
              <a:avLst/>
            </a:prstGeom>
            <a:ln>
              <a:solidFill>
                <a:schemeClr val="tx1"/>
              </a:solidFill>
            </a:ln>
          </xdr:spPr>
        </xdr:pic>
        <xdr:pic>
          <xdr:nvPicPr>
            <xdr:cNvPr id="19" name="Picture 18">
              <a:extLst>
                <a:ext uri="{FF2B5EF4-FFF2-40B4-BE49-F238E27FC236}">
                  <a16:creationId xmlns:a16="http://schemas.microsoft.com/office/drawing/2014/main" id="{8DB13696-C3F2-A04A-226F-C6475DA5BA5D}"/>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197700" y="259492"/>
              <a:ext cx="3914994" cy="522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9411AE35-28AA-403C-14D3-739BF91D85CA}"/>
              </a:ext>
            </a:extLst>
          </xdr:cNvPr>
          <xdr:cNvGrpSpPr/>
        </xdr:nvGrpSpPr>
        <xdr:grpSpPr>
          <a:xfrm>
            <a:off x="480887" y="5672530"/>
            <a:ext cx="5377243" cy="1806519"/>
            <a:chOff x="2087695" y="5666011"/>
            <a:chExt cx="5377243" cy="1806519"/>
          </a:xfrm>
        </xdr:grpSpPr>
        <xdr:pic>
          <xdr:nvPicPr>
            <xdr:cNvPr id="14" name="Picture 13">
              <a:extLst>
                <a:ext uri="{FF2B5EF4-FFF2-40B4-BE49-F238E27FC236}">
                  <a16:creationId xmlns:a16="http://schemas.microsoft.com/office/drawing/2014/main" id="{C916FDB4-A44D-349E-059A-13C9A0A34683}"/>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5064938" y="5672530"/>
              <a:ext cx="2400000"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044D038A-3B57-BC44-05B3-EEEC2C24885A}"/>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576316" y="5666011"/>
              <a:ext cx="1350000"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51D75FAD-09EF-8568-45ED-2F3AD6C1BED5}"/>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2087695" y="5666011"/>
              <a:ext cx="1349999"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694880</xdr:colOff>
      <xdr:row>14</xdr:row>
      <xdr:rowOff>0</xdr:rowOff>
    </xdr:from>
    <xdr:to>
      <xdr:col>10</xdr:col>
      <xdr:colOff>544232</xdr:colOff>
      <xdr:row>30</xdr:row>
      <xdr:rowOff>34323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238056"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2Lp1vdWKbe7MsyN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93"/>
  <sheetViews>
    <sheetView tabSelected="1" view="pageBreakPreview" zoomScaleNormal="100" zoomScaleSheetLayoutView="100" zoomScalePageLayoutView="85" workbookViewId="0">
      <selection activeCell="J8" sqref="J8"/>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7" width="11" style="37" customWidth="1"/>
    <col min="8" max="8" width="14.21875"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50" t="s">
        <v>168</v>
      </c>
      <c r="B1" s="150"/>
      <c r="C1" s="150"/>
      <c r="D1" s="150"/>
      <c r="E1" s="150"/>
      <c r="F1" s="150"/>
      <c r="G1" s="150"/>
      <c r="H1" s="150"/>
    </row>
    <row r="2" spans="1:26" ht="16.5" customHeight="1" x14ac:dyDescent="0.3">
      <c r="A2" s="147" t="s">
        <v>0</v>
      </c>
      <c r="B2" s="147"/>
      <c r="C2" s="147"/>
      <c r="D2" s="147"/>
      <c r="E2" s="147"/>
      <c r="F2" s="147"/>
      <c r="G2" s="147"/>
      <c r="H2" s="147"/>
    </row>
    <row r="3" spans="1:26" x14ac:dyDescent="0.3">
      <c r="A3" s="117" t="s">
        <v>1</v>
      </c>
      <c r="B3" s="117"/>
      <c r="C3" s="117"/>
      <c r="D3" s="117"/>
      <c r="E3" s="117" t="str">
        <f ca="1">TEXT(TODAY(),"DD/MM/YYYY")</f>
        <v>20/08/2025</v>
      </c>
      <c r="F3" s="117"/>
      <c r="G3" s="117"/>
      <c r="H3" s="117"/>
      <c r="K3" s="50" t="s">
        <v>241</v>
      </c>
      <c r="L3" s="47" t="s">
        <v>239</v>
      </c>
      <c r="M3" s="47" t="s">
        <v>244</v>
      </c>
      <c r="N3" s="47" t="s">
        <v>242</v>
      </c>
      <c r="O3" s="47" t="s">
        <v>243</v>
      </c>
      <c r="P3" s="47" t="s">
        <v>245</v>
      </c>
    </row>
    <row r="4" spans="1:26" ht="15" customHeight="1" x14ac:dyDescent="0.3">
      <c r="A4" s="117" t="s">
        <v>238</v>
      </c>
      <c r="B4" s="117"/>
      <c r="C4" s="117"/>
      <c r="D4" s="117"/>
      <c r="E4" s="117" t="s">
        <v>239</v>
      </c>
      <c r="F4" s="117"/>
      <c r="G4" s="117"/>
      <c r="H4" s="117"/>
      <c r="K4" s="46" t="s">
        <v>240</v>
      </c>
      <c r="L4" s="47" t="s">
        <v>174</v>
      </c>
      <c r="M4" s="47" t="s">
        <v>249</v>
      </c>
      <c r="N4" s="47" t="s">
        <v>251</v>
      </c>
      <c r="O4" s="47" t="s">
        <v>253</v>
      </c>
      <c r="P4" s="47"/>
    </row>
    <row r="5" spans="1:26" ht="15" customHeight="1" x14ac:dyDescent="0.3">
      <c r="A5" s="117" t="s">
        <v>2</v>
      </c>
      <c r="B5" s="117"/>
      <c r="C5" s="117"/>
      <c r="D5" s="117"/>
      <c r="E5" s="117" t="s">
        <v>246</v>
      </c>
      <c r="F5" s="117"/>
      <c r="G5" s="117"/>
      <c r="H5" s="117"/>
      <c r="K5" s="46"/>
      <c r="L5" s="47" t="s">
        <v>246</v>
      </c>
      <c r="M5" s="47" t="s">
        <v>250</v>
      </c>
      <c r="N5" s="47" t="s">
        <v>252</v>
      </c>
      <c r="O5" s="47" t="s">
        <v>254</v>
      </c>
      <c r="P5" s="47"/>
    </row>
    <row r="6" spans="1:26" x14ac:dyDescent="0.3">
      <c r="A6" s="117" t="s">
        <v>3</v>
      </c>
      <c r="B6" s="117"/>
      <c r="C6" s="117"/>
      <c r="D6" s="117"/>
      <c r="E6" s="151">
        <v>45881</v>
      </c>
      <c r="F6" s="117"/>
      <c r="G6" s="117"/>
      <c r="H6" s="117"/>
      <c r="K6" s="46"/>
      <c r="L6" s="47" t="s">
        <v>247</v>
      </c>
      <c r="M6" s="47"/>
      <c r="N6" s="47"/>
      <c r="O6" s="47" t="s">
        <v>255</v>
      </c>
      <c r="P6" s="47"/>
    </row>
    <row r="7" spans="1:26" ht="16.5" customHeight="1" x14ac:dyDescent="0.3">
      <c r="A7" s="117" t="s">
        <v>4</v>
      </c>
      <c r="B7" s="117"/>
      <c r="C7" s="117"/>
      <c r="D7" s="117"/>
      <c r="E7" s="117" t="s">
        <v>304</v>
      </c>
      <c r="F7" s="117"/>
      <c r="G7" s="117"/>
      <c r="H7" s="117"/>
      <c r="K7" s="46"/>
      <c r="L7" s="47" t="s">
        <v>248</v>
      </c>
      <c r="M7" s="47"/>
      <c r="N7" s="47"/>
      <c r="O7" s="47" t="s">
        <v>255</v>
      </c>
      <c r="P7" s="47"/>
    </row>
    <row r="8" spans="1:26" ht="15" customHeight="1" x14ac:dyDescent="0.3">
      <c r="A8" s="117" t="s">
        <v>5</v>
      </c>
      <c r="B8" s="117"/>
      <c r="C8" s="117"/>
      <c r="D8" s="117"/>
      <c r="E8" s="117" t="str">
        <f>E7</f>
        <v>Gurukrupa Group Builders And Developers LLP</v>
      </c>
      <c r="F8" s="117"/>
      <c r="G8" s="117"/>
      <c r="H8" s="117"/>
      <c r="K8" s="46"/>
      <c r="L8" s="47"/>
      <c r="M8" s="47"/>
      <c r="N8" s="47"/>
      <c r="O8" s="47" t="s">
        <v>256</v>
      </c>
      <c r="P8" s="47"/>
    </row>
    <row r="9" spans="1:26" x14ac:dyDescent="0.3">
      <c r="A9" s="117" t="s">
        <v>6</v>
      </c>
      <c r="B9" s="117"/>
      <c r="C9" s="117"/>
      <c r="D9" s="117"/>
      <c r="E9" s="95" t="s">
        <v>305</v>
      </c>
      <c r="F9" s="95"/>
      <c r="G9" s="95"/>
      <c r="H9" s="95"/>
      <c r="K9" s="46"/>
      <c r="L9" s="47"/>
      <c r="M9" s="47"/>
      <c r="N9" s="47"/>
      <c r="O9" s="47" t="s">
        <v>257</v>
      </c>
      <c r="P9" s="47"/>
    </row>
    <row r="10" spans="1:26" x14ac:dyDescent="0.3">
      <c r="A10" s="117" t="s">
        <v>171</v>
      </c>
      <c r="B10" s="117"/>
      <c r="C10" s="117"/>
      <c r="D10" s="117"/>
      <c r="E10" s="117">
        <v>7400318558</v>
      </c>
      <c r="F10" s="117"/>
      <c r="G10" s="117"/>
      <c r="H10" s="117"/>
      <c r="K10" s="46"/>
      <c r="L10" s="47"/>
      <c r="M10" s="47"/>
      <c r="N10" s="47"/>
      <c r="O10" s="47"/>
      <c r="P10" s="47"/>
    </row>
    <row r="11" spans="1:26" x14ac:dyDescent="0.3">
      <c r="A11" s="117" t="s">
        <v>172</v>
      </c>
      <c r="B11" s="117"/>
      <c r="C11" s="117"/>
      <c r="D11" s="117"/>
      <c r="E11" s="117" t="s">
        <v>349</v>
      </c>
      <c r="F11" s="117"/>
      <c r="G11" s="117"/>
      <c r="H11" s="117"/>
    </row>
    <row r="12" spans="1:26" x14ac:dyDescent="0.3">
      <c r="A12" s="117" t="s">
        <v>7</v>
      </c>
      <c r="B12" s="117"/>
      <c r="C12" s="117"/>
      <c r="D12" s="117"/>
      <c r="E12" s="117" t="s">
        <v>120</v>
      </c>
      <c r="F12" s="117"/>
      <c r="G12" s="117"/>
      <c r="H12" s="117"/>
    </row>
    <row r="13" spans="1:26" x14ac:dyDescent="0.3">
      <c r="A13" s="117" t="s">
        <v>175</v>
      </c>
      <c r="B13" s="117"/>
      <c r="C13" s="117"/>
      <c r="D13" s="117"/>
      <c r="E13" s="117" t="s">
        <v>307</v>
      </c>
      <c r="F13" s="117"/>
      <c r="G13" s="117"/>
      <c r="H13" s="117"/>
      <c r="S13" s="47" t="s">
        <v>183</v>
      </c>
      <c r="T13" s="47" t="s">
        <v>193</v>
      </c>
      <c r="U13" s="47" t="s">
        <v>176</v>
      </c>
      <c r="V13" s="47" t="s">
        <v>198</v>
      </c>
      <c r="W13" s="47" t="s">
        <v>216</v>
      </c>
      <c r="X13"/>
      <c r="Y13" t="s">
        <v>198</v>
      </c>
      <c r="Z13" t="e">
        <f ca="1">OFFSET($S$13,1,MATCH($G20,$S$13:$W$13,0)-1,15,1)</f>
        <v>#VALUE!</v>
      </c>
    </row>
    <row r="14" spans="1:26" x14ac:dyDescent="0.3">
      <c r="A14" s="88" t="s">
        <v>284</v>
      </c>
      <c r="B14" s="88"/>
      <c r="C14" s="88"/>
      <c r="D14" s="88"/>
      <c r="E14" s="105" t="s">
        <v>231</v>
      </c>
      <c r="F14" s="105"/>
      <c r="G14" s="105"/>
      <c r="H14" s="105"/>
      <c r="S14" s="47" t="s">
        <v>184</v>
      </c>
      <c r="T14" s="47" t="s">
        <v>191</v>
      </c>
      <c r="U14" s="47" t="s">
        <v>213</v>
      </c>
      <c r="V14" s="47" t="s">
        <v>199</v>
      </c>
      <c r="W14" s="47" t="s">
        <v>217</v>
      </c>
      <c r="X14"/>
      <c r="Y14"/>
      <c r="Z14"/>
    </row>
    <row r="15" spans="1:26" x14ac:dyDescent="0.3">
      <c r="A15" s="88" t="s">
        <v>8</v>
      </c>
      <c r="B15" s="88"/>
      <c r="C15" s="88"/>
      <c r="D15" s="88"/>
      <c r="E15" s="105" t="s">
        <v>306</v>
      </c>
      <c r="F15" s="117"/>
      <c r="G15" s="117"/>
      <c r="H15" s="117"/>
      <c r="I15" s="190" t="e">
        <f ca="1">OFFSET($D$5,1,MATCH($J13,$D$5:$H$5,0)-1,15,1)</f>
        <v>#N/A</v>
      </c>
      <c r="J15" s="191"/>
      <c r="K15" s="191"/>
      <c r="L15" s="191"/>
      <c r="M15" s="191"/>
      <c r="N15" s="191"/>
      <c r="O15" s="191"/>
      <c r="P15" s="191"/>
      <c r="S15" s="47" t="s">
        <v>185</v>
      </c>
      <c r="T15" s="47" t="s">
        <v>192</v>
      </c>
      <c r="U15" s="47" t="s">
        <v>214</v>
      </c>
      <c r="V15" s="47" t="s">
        <v>200</v>
      </c>
      <c r="W15" s="47" t="s">
        <v>230</v>
      </c>
      <c r="X15"/>
      <c r="Y15"/>
      <c r="Z15"/>
    </row>
    <row r="16" spans="1:26" ht="65.55" customHeight="1" x14ac:dyDescent="0.3">
      <c r="A16" s="105" t="s">
        <v>9</v>
      </c>
      <c r="B16" s="105"/>
      <c r="C16" s="105" t="str">
        <f>CONCATENATE((IF(OR(E9="",E9="NA"),"",E9)),", ",(IF(OR(A17="",A17="NA"),"",A17)),".",(IF(OR(C17="",C17="NA"),"",C17)),", near ",(IF(OR(C22="",C22="NA"),"",C22)),", ",(IF(OR(C19="",C19="NA"),"",C19)),", ",(IF(OR(C18="",C18="NA"),"",C18)),", ",(IF(OR(G19="",G19="NA"),"",G19)),", ",(IF(OR(C20="",C20="NA"),"",C20)),", ",(IF(OR(C21="",C21="NA"),"",C21)),", ",(IF(OR(G20="",G20="NA"),"",G20))," - ",(IF(OR(G21="",G21="NA"),"",G21)),".")</f>
        <v>Gurukrupa Darshanam, CTS No.356(Pt)x, S.No.113(Pt) &amp; Redevelopment of "Shram Seva CHSL also known as Building No.139", near Building No.138, Road No.1, Kannamwar Nagar, Mhada Colony, Hariyali, Vikhroli (East), Mumbai, Mumbai - 400083.</v>
      </c>
      <c r="D16" s="105"/>
      <c r="E16" s="105"/>
      <c r="F16" s="105"/>
      <c r="G16" s="105"/>
      <c r="H16" s="105"/>
      <c r="S16" s="47" t="s">
        <v>186</v>
      </c>
      <c r="T16" s="47" t="s">
        <v>194</v>
      </c>
      <c r="U16" s="47" t="s">
        <v>215</v>
      </c>
      <c r="V16" s="47" t="s">
        <v>201</v>
      </c>
      <c r="W16" s="47" t="s">
        <v>218</v>
      </c>
      <c r="X16"/>
      <c r="Y16"/>
      <c r="Z16"/>
    </row>
    <row r="17" spans="1:26" ht="31.05" customHeight="1" x14ac:dyDescent="0.3">
      <c r="A17" s="105" t="s">
        <v>180</v>
      </c>
      <c r="B17" s="105"/>
      <c r="C17" s="105" t="s">
        <v>308</v>
      </c>
      <c r="D17" s="105"/>
      <c r="E17" s="105"/>
      <c r="F17" s="105"/>
      <c r="G17" s="105"/>
      <c r="H17" s="105"/>
      <c r="S17" s="47" t="s">
        <v>187</v>
      </c>
      <c r="T17" s="47" t="s">
        <v>195</v>
      </c>
      <c r="U17" s="47" t="s">
        <v>176</v>
      </c>
      <c r="V17" s="47" t="s">
        <v>202</v>
      </c>
      <c r="W17" s="47" t="s">
        <v>219</v>
      </c>
      <c r="X17"/>
      <c r="Y17"/>
      <c r="Z17"/>
    </row>
    <row r="18" spans="1:26" ht="15.75" customHeight="1" x14ac:dyDescent="0.3">
      <c r="A18" s="105" t="s">
        <v>166</v>
      </c>
      <c r="B18" s="105"/>
      <c r="C18" s="105" t="s">
        <v>310</v>
      </c>
      <c r="D18" s="105"/>
      <c r="E18" s="105"/>
      <c r="F18" s="105"/>
      <c r="G18" s="105"/>
      <c r="H18" s="105"/>
      <c r="S18" s="47" t="s">
        <v>188</v>
      </c>
      <c r="T18" s="47" t="s">
        <v>193</v>
      </c>
      <c r="U18" s="47"/>
      <c r="V18" s="47" t="s">
        <v>203</v>
      </c>
      <c r="W18" s="47" t="s">
        <v>220</v>
      </c>
      <c r="X18"/>
      <c r="Y18"/>
      <c r="Z18"/>
    </row>
    <row r="19" spans="1:26" ht="15.75" customHeight="1" x14ac:dyDescent="0.3">
      <c r="A19" s="105" t="s">
        <v>10</v>
      </c>
      <c r="B19" s="105"/>
      <c r="C19" s="117" t="s">
        <v>340</v>
      </c>
      <c r="D19" s="117"/>
      <c r="E19" s="105" t="s">
        <v>70</v>
      </c>
      <c r="F19" s="105"/>
      <c r="G19" s="105" t="s">
        <v>309</v>
      </c>
      <c r="H19" s="105"/>
      <c r="S19" s="47" t="s">
        <v>189</v>
      </c>
      <c r="T19" s="47" t="s">
        <v>196</v>
      </c>
      <c r="U19" s="47"/>
      <c r="V19" s="47" t="s">
        <v>204</v>
      </c>
      <c r="W19" s="47" t="s">
        <v>221</v>
      </c>
      <c r="X19"/>
      <c r="Y19"/>
      <c r="Z19"/>
    </row>
    <row r="20" spans="1:26" x14ac:dyDescent="0.3">
      <c r="A20" s="117" t="s">
        <v>12</v>
      </c>
      <c r="B20" s="117"/>
      <c r="C20" s="105" t="s">
        <v>311</v>
      </c>
      <c r="D20" s="105"/>
      <c r="E20" s="105" t="s">
        <v>11</v>
      </c>
      <c r="F20" s="105"/>
      <c r="G20" s="149" t="s">
        <v>176</v>
      </c>
      <c r="H20" s="149"/>
      <c r="S20" s="47" t="s">
        <v>190</v>
      </c>
      <c r="T20" s="47" t="s">
        <v>197</v>
      </c>
      <c r="U20" s="47"/>
      <c r="V20" s="47" t="s">
        <v>205</v>
      </c>
      <c r="W20" s="47" t="s">
        <v>222</v>
      </c>
      <c r="X20"/>
      <c r="Y20"/>
      <c r="Z20"/>
    </row>
    <row r="21" spans="1:26" x14ac:dyDescent="0.3">
      <c r="A21" s="117" t="s">
        <v>71</v>
      </c>
      <c r="B21" s="117"/>
      <c r="C21" s="105" t="s">
        <v>176</v>
      </c>
      <c r="D21" s="105"/>
      <c r="E21" s="105" t="s">
        <v>13</v>
      </c>
      <c r="F21" s="105"/>
      <c r="G21" s="105">
        <v>400083</v>
      </c>
      <c r="H21" s="105"/>
      <c r="S21" s="47"/>
      <c r="T21" s="47"/>
      <c r="U21" s="47"/>
      <c r="V21" s="47" t="s">
        <v>206</v>
      </c>
      <c r="W21" s="47" t="s">
        <v>223</v>
      </c>
      <c r="X21"/>
      <c r="Y21"/>
      <c r="Z21"/>
    </row>
    <row r="22" spans="1:26" ht="32.25" customHeight="1" x14ac:dyDescent="0.3">
      <c r="A22" s="117" t="s">
        <v>122</v>
      </c>
      <c r="B22" s="117"/>
      <c r="C22" s="105" t="s">
        <v>323</v>
      </c>
      <c r="D22" s="105"/>
      <c r="E22" s="105" t="s">
        <v>14</v>
      </c>
      <c r="F22" s="105"/>
      <c r="G22" s="105" t="s">
        <v>320</v>
      </c>
      <c r="H22" s="105"/>
      <c r="S22" s="47"/>
      <c r="T22" s="47"/>
      <c r="U22" s="47"/>
      <c r="V22" s="47" t="s">
        <v>207</v>
      </c>
      <c r="W22" s="47" t="s">
        <v>224</v>
      </c>
      <c r="X22"/>
      <c r="Y22"/>
      <c r="Z22"/>
    </row>
    <row r="23" spans="1:26" ht="15" customHeight="1" x14ac:dyDescent="0.3">
      <c r="A23" s="101" t="s">
        <v>73</v>
      </c>
      <c r="B23" s="101"/>
      <c r="C23" s="101"/>
      <c r="D23" s="101"/>
      <c r="E23" s="117" t="s">
        <v>15</v>
      </c>
      <c r="F23" s="117"/>
      <c r="G23" s="117"/>
      <c r="H23" s="117"/>
      <c r="S23" s="47"/>
      <c r="T23" s="47"/>
      <c r="U23" s="47"/>
      <c r="V23" s="47" t="s">
        <v>208</v>
      </c>
      <c r="W23" s="47" t="s">
        <v>225</v>
      </c>
      <c r="X23"/>
      <c r="Y23"/>
      <c r="Z23"/>
    </row>
    <row r="24" spans="1:26" ht="18.75" customHeight="1" x14ac:dyDescent="0.3">
      <c r="A24" s="101"/>
      <c r="B24" s="101"/>
      <c r="C24" s="101"/>
      <c r="D24" s="101"/>
      <c r="E24" s="117"/>
      <c r="F24" s="117"/>
      <c r="G24" s="117"/>
      <c r="H24" s="117"/>
      <c r="S24" s="47"/>
      <c r="T24" s="47"/>
      <c r="U24" s="47"/>
      <c r="V24" s="47" t="s">
        <v>209</v>
      </c>
      <c r="W24" s="47" t="s">
        <v>226</v>
      </c>
      <c r="X24"/>
      <c r="Y24"/>
      <c r="Z24"/>
    </row>
    <row r="25" spans="1:26" ht="15" customHeight="1" x14ac:dyDescent="0.3">
      <c r="A25" s="101" t="s">
        <v>16</v>
      </c>
      <c r="B25" s="101"/>
      <c r="C25" s="101"/>
      <c r="D25" s="101"/>
      <c r="E25" s="105" t="s">
        <v>17</v>
      </c>
      <c r="F25" s="105"/>
      <c r="G25" s="105"/>
      <c r="H25" s="105"/>
      <c r="S25" s="47"/>
      <c r="T25" s="47"/>
      <c r="U25" s="47"/>
      <c r="V25" s="47" t="s">
        <v>210</v>
      </c>
      <c r="W25" s="47" t="s">
        <v>227</v>
      </c>
      <c r="X25"/>
      <c r="Y25"/>
      <c r="Z25"/>
    </row>
    <row r="26" spans="1:26" ht="15" customHeight="1" x14ac:dyDescent="0.3">
      <c r="A26" s="88" t="s">
        <v>18</v>
      </c>
      <c r="B26" s="88"/>
      <c r="C26" s="88"/>
      <c r="D26" s="88"/>
      <c r="E26" s="105" t="str">
        <f>IF(AND(G20="Mumbai"),"Upper Class","Middle Class")</f>
        <v>Upper Class</v>
      </c>
      <c r="F26" s="105"/>
      <c r="G26" s="105"/>
      <c r="H26" s="105"/>
      <c r="S26" s="47"/>
      <c r="T26" s="47"/>
      <c r="U26" s="47"/>
      <c r="V26" s="47" t="s">
        <v>211</v>
      </c>
      <c r="W26" s="47" t="s">
        <v>228</v>
      </c>
      <c r="X26"/>
      <c r="Y26"/>
      <c r="Z26"/>
    </row>
    <row r="27" spans="1:26" x14ac:dyDescent="0.3">
      <c r="A27" s="88" t="s">
        <v>19</v>
      </c>
      <c r="B27" s="88"/>
      <c r="C27" s="88"/>
      <c r="D27" s="88"/>
      <c r="E27" s="105" t="s">
        <v>20</v>
      </c>
      <c r="F27" s="105"/>
      <c r="G27" s="105"/>
      <c r="H27" s="105"/>
      <c r="S27" s="47"/>
      <c r="T27" s="47"/>
      <c r="U27" s="47"/>
      <c r="V27" s="47" t="s">
        <v>212</v>
      </c>
      <c r="W27" s="47" t="s">
        <v>229</v>
      </c>
      <c r="X27"/>
      <c r="Y27"/>
      <c r="Z27"/>
    </row>
    <row r="28" spans="1:26" ht="15.75" customHeight="1" x14ac:dyDescent="0.3">
      <c r="A28" s="88" t="s">
        <v>21</v>
      </c>
      <c r="B28" s="88"/>
      <c r="C28" s="88"/>
      <c r="D28" s="88"/>
      <c r="E28" s="105" t="str">
        <f>IF(AND(G20="Mumbai"),"Developed","Developing")</f>
        <v>Developed</v>
      </c>
      <c r="F28" s="105"/>
      <c r="G28" s="105"/>
      <c r="H28" s="105"/>
    </row>
    <row r="29" spans="1:26" x14ac:dyDescent="0.3">
      <c r="A29" s="88" t="s">
        <v>22</v>
      </c>
      <c r="B29" s="88"/>
      <c r="C29" s="88"/>
      <c r="D29" s="88"/>
      <c r="E29" s="105" t="s">
        <v>23</v>
      </c>
      <c r="F29" s="105"/>
      <c r="G29" s="105"/>
      <c r="H29" s="105"/>
    </row>
    <row r="30" spans="1:26" ht="15.75" customHeight="1" x14ac:dyDescent="0.3">
      <c r="A30" s="88" t="s">
        <v>78</v>
      </c>
      <c r="B30" s="88"/>
      <c r="C30" s="88"/>
      <c r="D30" s="88"/>
      <c r="E30" s="105" t="s">
        <v>79</v>
      </c>
      <c r="F30" s="105"/>
      <c r="G30" s="105"/>
      <c r="H30" s="105"/>
    </row>
    <row r="31" spans="1:26" ht="15" customHeight="1" x14ac:dyDescent="0.3">
      <c r="A31" s="88" t="s">
        <v>30</v>
      </c>
      <c r="B31" s="88"/>
      <c r="C31" s="88"/>
      <c r="D31" s="88"/>
      <c r="E31" s="10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5"/>
      <c r="G31" s="105"/>
      <c r="H31" s="105"/>
    </row>
    <row r="32" spans="1:26" ht="15.75" customHeight="1" x14ac:dyDescent="0.3">
      <c r="A32" s="88" t="s">
        <v>90</v>
      </c>
      <c r="B32" s="88"/>
      <c r="C32" s="88"/>
      <c r="D32" s="88"/>
      <c r="E32" s="105" t="s">
        <v>31</v>
      </c>
      <c r="F32" s="105"/>
      <c r="G32" s="105"/>
      <c r="H32" s="105"/>
    </row>
    <row r="33" spans="1:19" s="19" customFormat="1" x14ac:dyDescent="0.3">
      <c r="A33" s="148" t="s">
        <v>91</v>
      </c>
      <c r="B33" s="148"/>
      <c r="C33" s="147" t="s">
        <v>177</v>
      </c>
      <c r="D33" s="147"/>
      <c r="E33" s="147"/>
      <c r="F33" s="147" t="s">
        <v>29</v>
      </c>
      <c r="G33" s="147"/>
      <c r="H33" s="147"/>
      <c r="S33" s="19" t="e">
        <f ca="1">OFFSET($S$13,1,MATCH($G20,$S$13:$W$13,0)-1,15,1)</f>
        <v>#VALUE!</v>
      </c>
    </row>
    <row r="34" spans="1:19" s="19" customFormat="1" x14ac:dyDescent="0.3">
      <c r="A34" s="135" t="s">
        <v>24</v>
      </c>
      <c r="B34" s="135" t="s">
        <v>28</v>
      </c>
      <c r="C34" s="136" t="s">
        <v>321</v>
      </c>
      <c r="D34" s="136"/>
      <c r="E34" s="136"/>
      <c r="F34" s="136" t="s">
        <v>339</v>
      </c>
      <c r="G34" s="136"/>
      <c r="H34" s="136"/>
    </row>
    <row r="35" spans="1:19" x14ac:dyDescent="0.3">
      <c r="A35" s="135" t="s">
        <v>25</v>
      </c>
      <c r="B35" s="135" t="s">
        <v>28</v>
      </c>
      <c r="C35" s="136" t="s">
        <v>322</v>
      </c>
      <c r="D35" s="136"/>
      <c r="E35" s="136"/>
      <c r="F35" s="136" t="s">
        <v>340</v>
      </c>
      <c r="G35" s="136"/>
      <c r="H35" s="136"/>
    </row>
    <row r="36" spans="1:19" s="19" customFormat="1" x14ac:dyDescent="0.3">
      <c r="A36" s="135" t="s">
        <v>27</v>
      </c>
      <c r="B36" s="135" t="s">
        <v>28</v>
      </c>
      <c r="C36" s="136" t="s">
        <v>323</v>
      </c>
      <c r="D36" s="136"/>
      <c r="E36" s="136"/>
      <c r="F36" s="136" t="s">
        <v>323</v>
      </c>
      <c r="G36" s="136"/>
      <c r="H36" s="136"/>
    </row>
    <row r="37" spans="1:19" x14ac:dyDescent="0.3">
      <c r="A37" s="135" t="s">
        <v>26</v>
      </c>
      <c r="B37" s="135" t="s">
        <v>28</v>
      </c>
      <c r="C37" s="136" t="s">
        <v>324</v>
      </c>
      <c r="D37" s="136"/>
      <c r="E37" s="136"/>
      <c r="F37" s="136" t="s">
        <v>324</v>
      </c>
      <c r="G37" s="136"/>
      <c r="H37" s="136"/>
    </row>
    <row r="38" spans="1:19" x14ac:dyDescent="0.3">
      <c r="A38" s="88" t="s">
        <v>285</v>
      </c>
      <c r="B38" s="88"/>
      <c r="C38" s="88"/>
      <c r="D38" s="88"/>
      <c r="E38" s="88"/>
      <c r="F38" s="88"/>
      <c r="G38" s="88"/>
      <c r="H38" s="88"/>
    </row>
    <row r="39" spans="1:19" ht="15.75" customHeight="1" x14ac:dyDescent="0.3">
      <c r="A39" s="88" t="s">
        <v>169</v>
      </c>
      <c r="B39" s="88"/>
      <c r="C39" s="121" t="s">
        <v>338</v>
      </c>
      <c r="D39" s="121"/>
      <c r="E39" s="121"/>
      <c r="F39" s="121"/>
      <c r="G39" s="121"/>
      <c r="H39" s="121"/>
    </row>
    <row r="40" spans="1:19" x14ac:dyDescent="0.3">
      <c r="A40" s="88" t="s">
        <v>165</v>
      </c>
      <c r="B40" s="88"/>
      <c r="C40" s="104" t="s">
        <v>337</v>
      </c>
      <c r="D40" s="105"/>
      <c r="E40" s="105"/>
      <c r="F40" s="105"/>
      <c r="G40" s="105"/>
      <c r="H40" s="105"/>
    </row>
    <row r="41" spans="1:19" x14ac:dyDescent="0.3">
      <c r="A41" s="121" t="s">
        <v>32</v>
      </c>
      <c r="B41" s="121"/>
      <c r="C41" s="121"/>
      <c r="D41" s="121"/>
      <c r="E41" s="121"/>
      <c r="F41" s="121"/>
      <c r="G41" s="121"/>
      <c r="H41" s="121"/>
    </row>
    <row r="42" spans="1:19" x14ac:dyDescent="0.3">
      <c r="A42" s="88" t="s">
        <v>33</v>
      </c>
      <c r="B42" s="88"/>
      <c r="C42" s="88"/>
      <c r="D42" s="88"/>
      <c r="E42" s="137">
        <v>1367.18</v>
      </c>
      <c r="F42" s="137"/>
      <c r="G42" s="137"/>
      <c r="H42" s="137"/>
    </row>
    <row r="43" spans="1:19" x14ac:dyDescent="0.3">
      <c r="A43" s="88" t="s">
        <v>34</v>
      </c>
      <c r="B43" s="88"/>
      <c r="C43" s="88"/>
      <c r="D43" s="88"/>
      <c r="E43" s="196">
        <v>3</v>
      </c>
      <c r="F43" s="196"/>
      <c r="G43" s="196"/>
      <c r="H43" s="196"/>
    </row>
    <row r="44" spans="1:19" x14ac:dyDescent="0.3">
      <c r="A44" s="117" t="s">
        <v>35</v>
      </c>
      <c r="B44" s="117"/>
      <c r="C44" s="117"/>
      <c r="D44" s="117"/>
      <c r="E44" s="139">
        <f>E46/E42-E43</f>
        <v>1.7130480258634559</v>
      </c>
      <c r="F44" s="139"/>
      <c r="G44" s="139"/>
      <c r="H44" s="139"/>
    </row>
    <row r="45" spans="1:19" x14ac:dyDescent="0.3">
      <c r="A45" s="117" t="s">
        <v>36</v>
      </c>
      <c r="B45" s="117"/>
      <c r="C45" s="117"/>
      <c r="D45" s="117"/>
      <c r="E45" s="139">
        <f>E43+E44</f>
        <v>4.7130480258634559</v>
      </c>
      <c r="F45" s="139"/>
      <c r="G45" s="139"/>
      <c r="H45" s="139"/>
    </row>
    <row r="46" spans="1:19" x14ac:dyDescent="0.3">
      <c r="A46" s="117" t="s">
        <v>89</v>
      </c>
      <c r="B46" s="117"/>
      <c r="C46" s="117"/>
      <c r="D46" s="117"/>
      <c r="E46" s="140">
        <v>6443.585</v>
      </c>
      <c r="F46" s="140"/>
      <c r="G46" s="140"/>
      <c r="H46" s="140"/>
    </row>
    <row r="47" spans="1:19" x14ac:dyDescent="0.3">
      <c r="A47" s="117" t="s">
        <v>37</v>
      </c>
      <c r="B47" s="117"/>
      <c r="C47" s="117"/>
      <c r="D47" s="117"/>
      <c r="E47" s="117" t="s">
        <v>120</v>
      </c>
      <c r="F47" s="117"/>
      <c r="G47" s="117"/>
      <c r="H47" s="117"/>
    </row>
    <row r="48" spans="1:19" x14ac:dyDescent="0.3">
      <c r="A48" s="95" t="s">
        <v>38</v>
      </c>
      <c r="B48" s="95"/>
      <c r="C48" s="95"/>
      <c r="D48" s="95"/>
      <c r="E48" s="95"/>
      <c r="F48" s="95"/>
      <c r="G48" s="95"/>
      <c r="H48" s="95"/>
    </row>
    <row r="49" spans="1:24" ht="33.75" customHeight="1" x14ac:dyDescent="0.3">
      <c r="A49" s="82" t="s">
        <v>154</v>
      </c>
      <c r="B49" s="83"/>
      <c r="C49" s="84" t="s">
        <v>261</v>
      </c>
      <c r="D49" s="85"/>
      <c r="E49" s="85"/>
      <c r="F49" s="85"/>
      <c r="G49" s="85"/>
      <c r="H49" s="86"/>
      <c r="R49" t="s">
        <v>258</v>
      </c>
      <c r="S49" t="s">
        <v>176</v>
      </c>
      <c r="T49" t="s">
        <v>183</v>
      </c>
      <c r="U49" t="s">
        <v>198</v>
      </c>
      <c r="V49" t="s">
        <v>193</v>
      </c>
    </row>
    <row r="50" spans="1:24" ht="15.75" customHeight="1" x14ac:dyDescent="0.3">
      <c r="A50" s="82" t="s">
        <v>39</v>
      </c>
      <c r="B50" s="83"/>
      <c r="C50" s="82" t="s">
        <v>312</v>
      </c>
      <c r="D50" s="144"/>
      <c r="E50" s="83"/>
      <c r="F50" s="54" t="s">
        <v>40</v>
      </c>
      <c r="G50" s="178">
        <v>45114</v>
      </c>
      <c r="H50" s="179"/>
      <c r="R50"/>
      <c r="S50" t="s">
        <v>259</v>
      </c>
      <c r="T50" t="s">
        <v>264</v>
      </c>
      <c r="U50" t="s">
        <v>275</v>
      </c>
      <c r="V50" t="s">
        <v>280</v>
      </c>
    </row>
    <row r="51" spans="1:24" x14ac:dyDescent="0.3">
      <c r="A51" s="141" t="s">
        <v>41</v>
      </c>
      <c r="B51" s="143"/>
      <c r="C51" s="141" t="str">
        <f>C50</f>
        <v>Mhada-9/1307/2023</v>
      </c>
      <c r="D51" s="142"/>
      <c r="E51" s="143"/>
      <c r="F51" s="17" t="s">
        <v>40</v>
      </c>
      <c r="G51" s="145">
        <f>G50</f>
        <v>45114</v>
      </c>
      <c r="H51" s="146"/>
      <c r="R51"/>
      <c r="S51" t="s">
        <v>260</v>
      </c>
      <c r="T51" t="s">
        <v>265</v>
      </c>
      <c r="U51" t="s">
        <v>273</v>
      </c>
      <c r="V51" t="s">
        <v>281</v>
      </c>
    </row>
    <row r="52" spans="1:24" s="20" customFormat="1" ht="31.5" customHeight="1" x14ac:dyDescent="0.3">
      <c r="A52" s="186" t="s">
        <v>158</v>
      </c>
      <c r="B52" s="187"/>
      <c r="C52" s="141" t="s">
        <v>350</v>
      </c>
      <c r="D52" s="142"/>
      <c r="E52" s="143"/>
      <c r="F52" s="17" t="s">
        <v>40</v>
      </c>
      <c r="G52" s="145">
        <v>45762</v>
      </c>
      <c r="H52" s="146"/>
      <c r="R52"/>
      <c r="S52" t="s">
        <v>261</v>
      </c>
      <c r="T52" t="s">
        <v>266</v>
      </c>
      <c r="U52" t="s">
        <v>263</v>
      </c>
      <c r="V52" t="s">
        <v>282</v>
      </c>
    </row>
    <row r="53" spans="1:24" s="20" customFormat="1" ht="267.45" customHeight="1" x14ac:dyDescent="0.3">
      <c r="A53" s="188"/>
      <c r="B53" s="189"/>
      <c r="C53" s="141" t="s">
        <v>351</v>
      </c>
      <c r="D53" s="142"/>
      <c r="E53" s="143"/>
      <c r="F53" s="17" t="s">
        <v>121</v>
      </c>
      <c r="G53" s="145">
        <v>45896</v>
      </c>
      <c r="H53" s="146"/>
      <c r="R53"/>
      <c r="S53" t="s">
        <v>262</v>
      </c>
      <c r="T53" t="s">
        <v>269</v>
      </c>
      <c r="U53" t="s">
        <v>276</v>
      </c>
    </row>
    <row r="54" spans="1:24" s="20" customFormat="1" hidden="1" x14ac:dyDescent="0.3">
      <c r="A54" s="182" t="s">
        <v>286</v>
      </c>
      <c r="B54" s="183"/>
      <c r="C54" s="141"/>
      <c r="D54" s="142"/>
      <c r="E54" s="143"/>
      <c r="F54" s="17" t="s">
        <v>40</v>
      </c>
      <c r="G54" s="141"/>
      <c r="H54" s="143"/>
      <c r="R54"/>
      <c r="S54" t="s">
        <v>261</v>
      </c>
      <c r="T54" t="s">
        <v>266</v>
      </c>
      <c r="U54" t="s">
        <v>263</v>
      </c>
      <c r="V54" t="s">
        <v>282</v>
      </c>
    </row>
    <row r="55" spans="1:24" s="20" customFormat="1" ht="32.25" hidden="1" customHeight="1" x14ac:dyDescent="0.3">
      <c r="A55" s="184"/>
      <c r="B55" s="185"/>
      <c r="C55" s="114"/>
      <c r="D55" s="115"/>
      <c r="E55" s="115"/>
      <c r="F55" s="115"/>
      <c r="G55" s="115"/>
      <c r="H55" s="116"/>
      <c r="R55"/>
      <c r="S55" t="s">
        <v>263</v>
      </c>
      <c r="T55" t="s">
        <v>267</v>
      </c>
      <c r="U55" t="s">
        <v>277</v>
      </c>
      <c r="V55" s="18"/>
      <c r="W55" s="18"/>
      <c r="X55" s="18"/>
    </row>
    <row r="56" spans="1:24" s="20" customFormat="1" ht="34.5" hidden="1" customHeight="1" x14ac:dyDescent="0.3">
      <c r="A56" s="182" t="s">
        <v>287</v>
      </c>
      <c r="B56" s="183"/>
      <c r="C56" s="141">
        <f>C55</f>
        <v>0</v>
      </c>
      <c r="D56" s="142"/>
      <c r="E56" s="143"/>
      <c r="F56" s="17" t="s">
        <v>40</v>
      </c>
      <c r="G56" s="141">
        <f>G55</f>
        <v>0</v>
      </c>
      <c r="H56" s="143"/>
      <c r="R56"/>
      <c r="S56" s="18"/>
      <c r="T56" t="s">
        <v>268</v>
      </c>
      <c r="U56" t="s">
        <v>278</v>
      </c>
      <c r="V56" s="18"/>
      <c r="W56" s="18"/>
      <c r="X56" s="18"/>
    </row>
    <row r="57" spans="1:24" s="20" customFormat="1" ht="41.25" hidden="1" customHeight="1" x14ac:dyDescent="0.3">
      <c r="A57" s="184"/>
      <c r="B57" s="185"/>
      <c r="C57" s="141"/>
      <c r="D57" s="142"/>
      <c r="E57" s="142"/>
      <c r="F57" s="142"/>
      <c r="G57" s="142"/>
      <c r="H57" s="143"/>
      <c r="R57"/>
      <c r="S57" s="18"/>
      <c r="T57" t="s">
        <v>270</v>
      </c>
      <c r="U57" t="s">
        <v>279</v>
      </c>
      <c r="V57" s="18"/>
      <c r="W57" s="18"/>
      <c r="X57" s="18"/>
    </row>
    <row r="58" spans="1:24" s="20" customFormat="1" ht="15.75" hidden="1" customHeight="1" x14ac:dyDescent="0.3">
      <c r="A58" s="182" t="s">
        <v>288</v>
      </c>
      <c r="B58" s="183"/>
      <c r="C58" s="141">
        <f>C57</f>
        <v>0</v>
      </c>
      <c r="D58" s="142"/>
      <c r="E58" s="143"/>
      <c r="F58" s="17" t="s">
        <v>40</v>
      </c>
      <c r="G58" s="141">
        <f>G57</f>
        <v>0</v>
      </c>
      <c r="H58" s="143"/>
      <c r="R58"/>
      <c r="S58" s="18"/>
      <c r="T58" t="s">
        <v>271</v>
      </c>
      <c r="U58" s="18" t="s">
        <v>302</v>
      </c>
      <c r="V58" s="18"/>
      <c r="W58" s="18"/>
      <c r="X58" s="18"/>
    </row>
    <row r="59" spans="1:24" s="20" customFormat="1" ht="33.75" hidden="1" customHeight="1" x14ac:dyDescent="0.3">
      <c r="A59" s="184"/>
      <c r="B59" s="185"/>
      <c r="C59" s="101"/>
      <c r="D59" s="101"/>
      <c r="E59" s="101"/>
      <c r="F59" s="17" t="s">
        <v>121</v>
      </c>
      <c r="G59" s="101"/>
      <c r="H59" s="101"/>
      <c r="R59"/>
      <c r="S59" s="18"/>
      <c r="T59" t="s">
        <v>272</v>
      </c>
      <c r="U59" s="18"/>
      <c r="V59" s="18"/>
      <c r="W59" s="18"/>
      <c r="X59" s="18"/>
    </row>
    <row r="60" spans="1:24" x14ac:dyDescent="0.3">
      <c r="A60" s="192" t="s">
        <v>42</v>
      </c>
      <c r="B60" s="193"/>
      <c r="C60" s="192" t="s">
        <v>103</v>
      </c>
      <c r="D60" s="194"/>
      <c r="E60" s="193"/>
      <c r="F60" s="39" t="s">
        <v>40</v>
      </c>
      <c r="G60" s="180" t="s">
        <v>28</v>
      </c>
      <c r="H60" s="181"/>
      <c r="R60"/>
      <c r="T60" t="s">
        <v>274</v>
      </c>
    </row>
    <row r="61" spans="1:24" x14ac:dyDescent="0.3">
      <c r="A61" s="157" t="s">
        <v>44</v>
      </c>
      <c r="B61" s="157"/>
      <c r="C61" s="157"/>
      <c r="D61" s="157"/>
      <c r="E61" s="157"/>
      <c r="F61" s="157"/>
      <c r="G61" s="157"/>
      <c r="H61" s="157"/>
      <c r="T61" t="s">
        <v>283</v>
      </c>
    </row>
    <row r="62" spans="1:24" x14ac:dyDescent="0.3">
      <c r="A62" s="101" t="s">
        <v>88</v>
      </c>
      <c r="B62" s="101"/>
      <c r="C62" s="101"/>
      <c r="D62" s="88">
        <f>E46</f>
        <v>6443.585</v>
      </c>
      <c r="E62" s="88"/>
      <c r="F62" s="88"/>
      <c r="G62" s="88"/>
      <c r="H62" s="88"/>
      <c r="R62"/>
    </row>
    <row r="63" spans="1:24" x14ac:dyDescent="0.3">
      <c r="A63" s="105" t="s">
        <v>45</v>
      </c>
      <c r="B63" s="117"/>
      <c r="C63" s="117"/>
      <c r="D63" s="117" t="s">
        <v>334</v>
      </c>
      <c r="E63" s="117"/>
      <c r="F63" s="117"/>
      <c r="G63" s="117"/>
      <c r="H63" s="117"/>
      <c r="I63" s="21"/>
      <c r="R63"/>
    </row>
    <row r="64" spans="1:24" x14ac:dyDescent="0.3">
      <c r="A64" s="105" t="s">
        <v>46</v>
      </c>
      <c r="B64" s="105"/>
      <c r="C64" s="105"/>
      <c r="D64" s="105" t="s">
        <v>335</v>
      </c>
      <c r="E64" s="117"/>
      <c r="F64" s="117"/>
      <c r="G64" s="117"/>
      <c r="H64" s="117"/>
      <c r="R64"/>
    </row>
    <row r="65" spans="1:19" ht="15.75" customHeight="1" x14ac:dyDescent="0.3">
      <c r="A65" s="105" t="s">
        <v>86</v>
      </c>
      <c r="B65" s="105"/>
      <c r="C65" s="105"/>
      <c r="D65" s="105" t="s">
        <v>336</v>
      </c>
      <c r="E65" s="117"/>
      <c r="F65" s="117"/>
      <c r="G65" s="117"/>
      <c r="H65" s="117"/>
      <c r="R65"/>
    </row>
    <row r="66" spans="1:19" ht="15.75" customHeight="1" x14ac:dyDescent="0.3">
      <c r="A66" s="88" t="s">
        <v>43</v>
      </c>
      <c r="B66" s="88"/>
      <c r="C66" s="88"/>
      <c r="D66" s="101" t="s">
        <v>313</v>
      </c>
      <c r="E66" s="101"/>
      <c r="F66" s="101"/>
      <c r="G66" s="101"/>
      <c r="H66" s="101"/>
      <c r="J66" s="22"/>
      <c r="K66" s="21"/>
      <c r="N66" s="21"/>
      <c r="S66"/>
    </row>
    <row r="67" spans="1:19" ht="15.75" customHeight="1" x14ac:dyDescent="0.3">
      <c r="A67" s="88" t="s">
        <v>84</v>
      </c>
      <c r="B67" s="88"/>
      <c r="C67" s="88"/>
      <c r="D67" s="138" t="str">
        <f>(IF(G60="NA","60 Years After Completion",IF(G60&lt;&gt;"NA",""&amp;60-ROUNDDOWN((E3-G60)/360,0)&amp;" Years"," ")))</f>
        <v>60 Years After Completion</v>
      </c>
      <c r="E67" s="138"/>
      <c r="F67" s="138"/>
      <c r="G67" s="138"/>
      <c r="H67" s="138"/>
      <c r="N67" s="21"/>
      <c r="S67"/>
    </row>
    <row r="68" spans="1:19" ht="15.75" customHeight="1" x14ac:dyDescent="0.3">
      <c r="A68" s="88" t="s">
        <v>85</v>
      </c>
      <c r="B68" s="88"/>
      <c r="C68" s="88"/>
      <c r="D68" s="101" t="s">
        <v>23</v>
      </c>
      <c r="E68" s="101"/>
      <c r="F68" s="101"/>
      <c r="G68" s="101"/>
      <c r="H68" s="101"/>
      <c r="J68" s="23"/>
      <c r="K68" s="23"/>
      <c r="S68"/>
    </row>
    <row r="69" spans="1:19" ht="48" customHeight="1" x14ac:dyDescent="0.3">
      <c r="A69" s="117" t="s">
        <v>319</v>
      </c>
      <c r="B69" s="117"/>
      <c r="C69" s="117"/>
      <c r="D69" s="105" t="s">
        <v>347</v>
      </c>
      <c r="E69" s="101"/>
      <c r="F69" s="101"/>
      <c r="G69" s="101"/>
      <c r="H69" s="101"/>
      <c r="S69"/>
    </row>
    <row r="70" spans="1:19" x14ac:dyDescent="0.3">
      <c r="A70" s="101" t="s">
        <v>150</v>
      </c>
      <c r="B70" s="101"/>
      <c r="C70" s="101"/>
      <c r="D70" s="101" t="s">
        <v>28</v>
      </c>
      <c r="E70" s="101"/>
      <c r="F70" s="101"/>
      <c r="G70" s="101"/>
      <c r="H70" s="101"/>
      <c r="I70" s="24"/>
      <c r="J70" s="24"/>
      <c r="K70" s="24"/>
      <c r="L70" s="24"/>
      <c r="M70" s="24"/>
      <c r="N70" s="24"/>
    </row>
    <row r="71" spans="1:19" ht="15.75" customHeight="1" x14ac:dyDescent="0.3">
      <c r="A71" s="195" t="s">
        <v>83</v>
      </c>
      <c r="B71" s="195"/>
      <c r="C71" s="195"/>
      <c r="D71" s="119" t="str">
        <f ca="1">(IF(G77&gt;95%,"Nothing",IF(G77&gt;0%,"Cement, Aggregate, Steel, etc",IF(G77=0%,"Work not yet Started"))))</f>
        <v>Cement, Aggregate, Steel, etc</v>
      </c>
      <c r="E71" s="119"/>
      <c r="F71" s="119"/>
      <c r="G71" s="119"/>
      <c r="H71" s="119"/>
      <c r="J71" s="23"/>
      <c r="S71"/>
    </row>
    <row r="72" spans="1:19" ht="33.75" customHeight="1" thickBot="1" x14ac:dyDescent="0.35">
      <c r="A72" s="118" t="s">
        <v>116</v>
      </c>
      <c r="B72" s="118"/>
      <c r="C72" s="118"/>
      <c r="D72" s="119" t="str">
        <f ca="1">(IF(D71="Nothing","Yes",IF(D71="Cement, Aggregate, Steel, etc","Under Construction",IF(D71="Work not yet Started","Work not yet Started"))))</f>
        <v>Under Construction</v>
      </c>
      <c r="E72" s="119"/>
      <c r="F72" s="119" t="str">
        <f ca="1">(IF(D71="Nothing","Yes",IF(D71="Cement, Aggregate, Steel, etc","Under Construction",IF(D71="Work not yet Started","Work not yet Started"))))</f>
        <v>Under Construction</v>
      </c>
      <c r="G72" s="119"/>
      <c r="H72" s="119"/>
      <c r="S72"/>
    </row>
    <row r="73" spans="1:19" ht="15.75" customHeight="1" x14ac:dyDescent="0.3">
      <c r="A73" s="96" t="s">
        <v>140</v>
      </c>
      <c r="B73" s="97"/>
      <c r="C73" s="98" t="str">
        <f>D65</f>
        <v>1B + Gr/Stilt + 1st to 6th Podium Floor + 1st to 28th Floor</v>
      </c>
      <c r="D73" s="99"/>
      <c r="E73" s="99"/>
      <c r="F73" s="99"/>
      <c r="G73" s="99"/>
      <c r="H73" s="100"/>
      <c r="I73" s="41" t="str">
        <f ca="1">IF(D86=100%,"All work Completed. Possession granted to the Building.",IF(D85=100%,"All work Completed, Waiting for OC",I74&amp;""&amp;I75&amp;""&amp;J74&amp;""&amp;J73&amp;" "&amp;J75))</f>
        <v>Excavation, Plinth Completed, RCC upto 25 Slab, Brickwork upto 18 Floor, Internal Plaster upto 13.5 Floor, External Plaster upto 12.6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25 Slab, Brickwork upto 18 Floor, Internal Plaster upto 13.5 Floor, External Plaster upto 12.6 Floor</v>
      </c>
      <c r="S73"/>
    </row>
    <row r="74" spans="1:19" x14ac:dyDescent="0.3">
      <c r="A74" s="15" t="s">
        <v>142</v>
      </c>
      <c r="B74" s="45">
        <f>IF(AND(ISNUMBER(SEARCH("1B",C73))),1,IF(AND(ISNUMBER(SEARCH("2B",C73))),2,IF(AND(ISNUMBER(SEARCH("3B",C73))),3,IF(AND(ISNUMBER(SEARCH("4B",C73))),4,IF(ISNUMBER(SEARCH("5B",C73)),5,0)))))</f>
        <v>1</v>
      </c>
      <c r="C74" s="45" t="s">
        <v>69</v>
      </c>
      <c r="D74" s="45">
        <v>1</v>
      </c>
      <c r="E74" s="45" t="s">
        <v>68</v>
      </c>
      <c r="F74" s="45">
        <v>6</v>
      </c>
      <c r="G74" s="45" t="s">
        <v>77</v>
      </c>
      <c r="H74" s="16">
        <f ca="1">--TRIM(RIGHT(SUBSTITUTE(LEFT(C73,_xlfn.AGGREGATE(16,6,FIND({0,1,2,3,4,5,6,7,8,9},C73,ROW(INDIRECT("1:"&amp;LEN(C73)))),1))," ",REPT(" ",LEN(C73))),LEN(C73)))</f>
        <v>28</v>
      </c>
      <c r="I74" s="43" t="str">
        <f ca="1">IF(D77=100%,"Excavation","")&amp;IF(D78=100%,", Plinth","")&amp;IF(D79=100%,", RCC Slab","")&amp;IF(D80=100%,", Brickwork","")&amp;IF(D81=100%,", Internal Plaster","")&amp;IF(D82=100%,", External Plaster","")&amp;IF(D83=100%,", Flooring","")&amp;IF(D84=100%,", Painting","")&amp;IF(D85=100%,", Building common Amenities","")</f>
        <v>Excavation, Plinth</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 customHeight="1" x14ac:dyDescent="0.3">
      <c r="A75" s="94" t="s">
        <v>87</v>
      </c>
      <c r="B75" s="95"/>
      <c r="C75" s="102" t="str">
        <f ca="1">I73</f>
        <v>Excavation, Plinth Completed, RCC upto 25 Slab, Brickwork upto 18 Floor, Internal Plaster upto 13.5 Floor, External Plaster upto 12.6 Floor Completed</v>
      </c>
      <c r="D75" s="102"/>
      <c r="E75" s="102"/>
      <c r="F75" s="102"/>
      <c r="G75" s="102"/>
      <c r="H75" s="103"/>
      <c r="I75" s="43" t="str">
        <f ca="1">IF(I74&lt;&gt;""," Completed","")</f>
        <v xml:space="preserve"> Completed</v>
      </c>
      <c r="J75" s="44" t="str">
        <f ca="1">IF(J73&lt;&gt;"","Completed","")</f>
        <v>Completed</v>
      </c>
      <c r="S75"/>
    </row>
    <row r="76" spans="1:19" ht="15.75" customHeight="1" x14ac:dyDescent="0.3">
      <c r="A76" s="92" t="s">
        <v>47</v>
      </c>
      <c r="B76" s="93"/>
      <c r="C76" s="56" t="s">
        <v>139</v>
      </c>
      <c r="D76" s="56" t="s">
        <v>80</v>
      </c>
      <c r="E76" s="93" t="s">
        <v>82</v>
      </c>
      <c r="F76" s="93"/>
      <c r="G76" s="93" t="s">
        <v>81</v>
      </c>
      <c r="H76" s="120"/>
      <c r="I76" s="13" t="s">
        <v>141</v>
      </c>
      <c r="J76" s="25">
        <f ca="1">H74*25%</f>
        <v>7</v>
      </c>
      <c r="S76"/>
    </row>
    <row r="77" spans="1:19" x14ac:dyDescent="0.3">
      <c r="A77" s="92" t="s">
        <v>128</v>
      </c>
      <c r="B77" s="93"/>
      <c r="C77" s="56">
        <f ca="1">J78</f>
        <v>28</v>
      </c>
      <c r="D77" s="57">
        <f ca="1">((100/H74)*C77)/100</f>
        <v>1</v>
      </c>
      <c r="E77" s="124">
        <f ca="1">(((C78/H74*10)+(40/(D74+F74+H74)*C79)+(7.5/(H74)*C80)+(7.5/(H74)*C81)+(10/H74*C82)+(10/H74*C83)+(5/H74*C84)+(5/H74*C85)+(5/H74*C86))/100)</f>
        <v>0.51508928571428569</v>
      </c>
      <c r="F77" s="125"/>
      <c r="G77" s="124">
        <f ca="1">((((C77/H74)*20)+((C78/H74)*25)+(30/(H74+F74+D74)*C79)+(5/H74*C80)+(5/H74*C81)+(5/H74*C82)+(5/H74*C83)+(0/H74*C84)+(0/H74*C85)+(5/H74*C86))/100)</f>
        <v>0.74303571428571435</v>
      </c>
      <c r="H77" s="130"/>
      <c r="I77" s="13" t="s">
        <v>98</v>
      </c>
      <c r="J77" s="26">
        <f ca="1">H74*50%</f>
        <v>14</v>
      </c>
    </row>
    <row r="78" spans="1:19" x14ac:dyDescent="0.3">
      <c r="A78" s="92" t="s">
        <v>48</v>
      </c>
      <c r="B78" s="93"/>
      <c r="C78" s="60">
        <f ca="1">J86</f>
        <v>28</v>
      </c>
      <c r="D78" s="57">
        <f ca="1">((100/H74)*C78)/100</f>
        <v>1</v>
      </c>
      <c r="E78" s="126"/>
      <c r="F78" s="127"/>
      <c r="G78" s="126"/>
      <c r="H78" s="131"/>
      <c r="I78" s="13" t="s">
        <v>99</v>
      </c>
      <c r="J78" s="26">
        <f ca="1">H74</f>
        <v>28</v>
      </c>
      <c r="S78"/>
    </row>
    <row r="79" spans="1:19" ht="15.75" customHeight="1" x14ac:dyDescent="0.3">
      <c r="A79" s="92" t="s">
        <v>129</v>
      </c>
      <c r="B79" s="93"/>
      <c r="C79" s="56">
        <v>25</v>
      </c>
      <c r="D79" s="57">
        <f ca="1">((100/(D74+F74+H74))*C79)/100</f>
        <v>0.7142857142857143</v>
      </c>
      <c r="E79" s="126"/>
      <c r="F79" s="127"/>
      <c r="G79" s="126"/>
      <c r="H79" s="131"/>
      <c r="I79" s="13" t="s">
        <v>100</v>
      </c>
      <c r="J79" s="27">
        <f ca="1">(IF(B74&gt;1,(H74/(B74+2)),H74/4))</f>
        <v>7</v>
      </c>
      <c r="S79"/>
    </row>
    <row r="80" spans="1:19" ht="15.75" customHeight="1" x14ac:dyDescent="0.3">
      <c r="A80" s="92" t="s">
        <v>136</v>
      </c>
      <c r="B80" s="93" t="s">
        <v>130</v>
      </c>
      <c r="C80" s="56">
        <f>C79-F74-D74</f>
        <v>18</v>
      </c>
      <c r="D80" s="57">
        <f ca="1">((100/H74)*C80)/100</f>
        <v>0.6428571428571429</v>
      </c>
      <c r="E80" s="126"/>
      <c r="F80" s="127"/>
      <c r="G80" s="126"/>
      <c r="H80" s="131"/>
      <c r="I80" s="13" t="s">
        <v>101</v>
      </c>
      <c r="J80" s="27">
        <f ca="1">(IF(B74&gt;1,(H74/(B74+2)+J79),H74/4+J79))</f>
        <v>14</v>
      </c>
    </row>
    <row r="81" spans="1:22" ht="15.75" customHeight="1" x14ac:dyDescent="0.3">
      <c r="A81" s="92" t="s">
        <v>137</v>
      </c>
      <c r="B81" s="93" t="s">
        <v>130</v>
      </c>
      <c r="C81" s="60">
        <f>C80*0.75</f>
        <v>13.5</v>
      </c>
      <c r="D81" s="57">
        <f ca="1">((100/H74)*C81)/100</f>
        <v>0.48214285714285715</v>
      </c>
      <c r="E81" s="126"/>
      <c r="F81" s="127"/>
      <c r="G81" s="126"/>
      <c r="H81" s="131"/>
      <c r="I81" s="13" t="s">
        <v>148</v>
      </c>
      <c r="J81" s="27">
        <f>(IF(B74&gt;1,(H74/(B74+2)+J80),0))</f>
        <v>0</v>
      </c>
    </row>
    <row r="82" spans="1:22" ht="15" customHeight="1" x14ac:dyDescent="0.3">
      <c r="A82" s="92" t="s">
        <v>135</v>
      </c>
      <c r="B82" s="93" t="s">
        <v>132</v>
      </c>
      <c r="C82" s="60">
        <f>C80*0.7</f>
        <v>12.6</v>
      </c>
      <c r="D82" s="57">
        <f ca="1">((100/(H74))*C82)/100</f>
        <v>0.45</v>
      </c>
      <c r="E82" s="126"/>
      <c r="F82" s="127"/>
      <c r="G82" s="126"/>
      <c r="H82" s="131"/>
      <c r="I82" s="13" t="s">
        <v>143</v>
      </c>
      <c r="J82" s="27">
        <f>(IF(B74&gt;2,(H74/(B74+2)+J81),0))</f>
        <v>0</v>
      </c>
    </row>
    <row r="83" spans="1:22" ht="15.75" customHeight="1" x14ac:dyDescent="0.3">
      <c r="A83" s="92" t="s">
        <v>131</v>
      </c>
      <c r="B83" s="93" t="s">
        <v>131</v>
      </c>
      <c r="C83" s="56">
        <v>0</v>
      </c>
      <c r="D83" s="57">
        <f ca="1">((100/H74)*C83)/100</f>
        <v>0</v>
      </c>
      <c r="E83" s="126"/>
      <c r="F83" s="127"/>
      <c r="G83" s="126"/>
      <c r="H83" s="131"/>
      <c r="I83" s="13" t="s">
        <v>144</v>
      </c>
      <c r="J83" s="28">
        <f>(IF(B74&gt;3,(H74/(B74+2)+J82),0))</f>
        <v>0</v>
      </c>
    </row>
    <row r="84" spans="1:22" ht="15.75" customHeight="1" x14ac:dyDescent="0.3">
      <c r="A84" s="92" t="s">
        <v>138</v>
      </c>
      <c r="B84" s="93"/>
      <c r="C84" s="56">
        <v>0</v>
      </c>
      <c r="D84" s="57">
        <f ca="1">((100/H74)*C84)/100</f>
        <v>0</v>
      </c>
      <c r="E84" s="126"/>
      <c r="F84" s="127"/>
      <c r="G84" s="126"/>
      <c r="H84" s="131"/>
      <c r="I84" s="13" t="s">
        <v>145</v>
      </c>
      <c r="J84" s="27">
        <f>(IF(B74&gt;4,(H74/(B74+2)+J83),0))</f>
        <v>0</v>
      </c>
    </row>
    <row r="85" spans="1:22" ht="15.75" customHeight="1" x14ac:dyDescent="0.3">
      <c r="A85" s="92" t="s">
        <v>133</v>
      </c>
      <c r="B85" s="93" t="s">
        <v>133</v>
      </c>
      <c r="C85" s="56">
        <v>0</v>
      </c>
      <c r="D85" s="57">
        <f ca="1">((100/(H74))*C85)/100</f>
        <v>0</v>
      </c>
      <c r="E85" s="126"/>
      <c r="F85" s="127"/>
      <c r="G85" s="126"/>
      <c r="H85" s="131"/>
      <c r="I85" s="13" t="s">
        <v>149</v>
      </c>
      <c r="J85" s="27">
        <f ca="1">(IF(B74=1,(H74/(B74+3)+J80),IF(B74=0,(H74/4+J80),IF(B74&gt;1,0))))</f>
        <v>21</v>
      </c>
    </row>
    <row r="86" spans="1:22" ht="16.2" thickBot="1" x14ac:dyDescent="0.35">
      <c r="A86" s="133" t="s">
        <v>134</v>
      </c>
      <c r="B86" s="134"/>
      <c r="C86" s="58">
        <v>0</v>
      </c>
      <c r="D86" s="59">
        <f ca="1">((100/(H74))*C86)/100</f>
        <v>0</v>
      </c>
      <c r="E86" s="128"/>
      <c r="F86" s="129"/>
      <c r="G86" s="128"/>
      <c r="H86" s="132"/>
      <c r="I86" s="14" t="s">
        <v>102</v>
      </c>
      <c r="J86" s="29">
        <f ca="1">(IF(B74&gt;1.5,(H74/(B74+2)+J80+MAX(0,J81-J80)+MAX(0,J82-J81)+MAX(0,J83-J82)+MAX(0,J84-J83)+MAX(0,J85-J84)),IF(B74=1,(H74/(B74+3)+J85),IF(B74=0,H74/4+J85))))</f>
        <v>28</v>
      </c>
    </row>
    <row r="87" spans="1:22" x14ac:dyDescent="0.3">
      <c r="A87" s="90" t="s">
        <v>160</v>
      </c>
      <c r="B87" s="90"/>
      <c r="C87" s="90"/>
      <c r="D87" s="90"/>
      <c r="E87" s="90"/>
      <c r="F87" s="160" t="s">
        <v>164</v>
      </c>
      <c r="G87" s="160"/>
      <c r="H87" s="160"/>
      <c r="I87" s="62"/>
      <c r="J87" s="62" t="s">
        <v>342</v>
      </c>
      <c r="K87" s="62" t="s">
        <v>343</v>
      </c>
      <c r="L87" s="62" t="s">
        <v>344</v>
      </c>
      <c r="M87" s="62" t="s">
        <v>345</v>
      </c>
      <c r="N87" s="62"/>
      <c r="R87" t="s">
        <v>258</v>
      </c>
      <c r="S87" t="s">
        <v>176</v>
      </c>
      <c r="T87" t="s">
        <v>183</v>
      </c>
      <c r="U87" t="s">
        <v>198</v>
      </c>
      <c r="V87" t="s">
        <v>193</v>
      </c>
    </row>
    <row r="88" spans="1:22" x14ac:dyDescent="0.3">
      <c r="A88" s="88" t="s">
        <v>162</v>
      </c>
      <c r="B88" s="88"/>
      <c r="C88" s="88"/>
      <c r="D88" s="88"/>
      <c r="E88" s="88"/>
      <c r="F88" s="87">
        <v>14000</v>
      </c>
      <c r="G88" s="87"/>
      <c r="H88" s="87"/>
      <c r="I88" s="66">
        <f>AVERAGE(J88:M88)</f>
        <v>14363.937757953958</v>
      </c>
      <c r="J88" s="66">
        <f>AVERAGE(J130,J135)</f>
        <v>13789.084365149167</v>
      </c>
      <c r="K88" s="66">
        <f>22000/1.5</f>
        <v>14666.666666666666</v>
      </c>
      <c r="L88" s="62">
        <f>24000/1.5</f>
        <v>16000</v>
      </c>
      <c r="M88" s="62">
        <v>13000</v>
      </c>
      <c r="N88" s="62"/>
      <c r="R88"/>
      <c r="S88">
        <v>800000</v>
      </c>
      <c r="T88">
        <v>300000</v>
      </c>
      <c r="U88">
        <v>100000</v>
      </c>
      <c r="V88">
        <v>100000</v>
      </c>
    </row>
    <row r="89" spans="1:22" x14ac:dyDescent="0.3">
      <c r="A89" s="88" t="s">
        <v>161</v>
      </c>
      <c r="B89" s="88"/>
      <c r="C89" s="88"/>
      <c r="D89" s="88"/>
      <c r="E89" s="88"/>
      <c r="F89" s="87">
        <v>27000</v>
      </c>
      <c r="G89" s="87"/>
      <c r="H89" s="87"/>
      <c r="I89" s="62"/>
      <c r="J89" s="62"/>
      <c r="K89" s="62"/>
      <c r="L89" s="62"/>
      <c r="M89" s="62"/>
      <c r="N89" s="62"/>
      <c r="R89"/>
      <c r="S89">
        <v>900000</v>
      </c>
      <c r="T89">
        <v>350000</v>
      </c>
      <c r="U89">
        <v>150000</v>
      </c>
      <c r="V89">
        <v>150000</v>
      </c>
    </row>
    <row r="90" spans="1:22" hidden="1" x14ac:dyDescent="0.3">
      <c r="A90" s="88" t="s">
        <v>163</v>
      </c>
      <c r="B90" s="88"/>
      <c r="C90" s="88"/>
      <c r="D90" s="88"/>
      <c r="E90" s="88"/>
      <c r="F90" s="87"/>
      <c r="G90" s="87"/>
      <c r="H90" s="87"/>
      <c r="I90" s="62"/>
      <c r="J90" s="62"/>
      <c r="K90" s="62"/>
      <c r="L90" s="62"/>
      <c r="M90" s="62"/>
      <c r="N90" s="62"/>
      <c r="R90"/>
      <c r="S90">
        <v>1000000</v>
      </c>
      <c r="T90">
        <v>400000</v>
      </c>
      <c r="U90">
        <v>200000</v>
      </c>
      <c r="V90">
        <v>200000</v>
      </c>
    </row>
    <row r="91" spans="1:22" s="30" customFormat="1" hidden="1" x14ac:dyDescent="0.3">
      <c r="A91" s="88" t="s">
        <v>179</v>
      </c>
      <c r="B91" s="88"/>
      <c r="C91" s="88"/>
      <c r="D91" s="88"/>
      <c r="E91" s="88"/>
      <c r="F91" s="87"/>
      <c r="G91" s="87"/>
      <c r="H91" s="87"/>
      <c r="I91" s="63"/>
      <c r="J91" s="63"/>
      <c r="K91" s="63"/>
      <c r="L91" s="63"/>
      <c r="M91" s="63"/>
      <c r="N91" s="63"/>
      <c r="R91"/>
      <c r="S91">
        <v>1100000</v>
      </c>
      <c r="T91">
        <v>500000</v>
      </c>
      <c r="U91">
        <v>250000</v>
      </c>
      <c r="V91" s="20">
        <v>250000</v>
      </c>
    </row>
    <row r="92" spans="1:22" s="30" customFormat="1" hidden="1" x14ac:dyDescent="0.3">
      <c r="A92" s="88" t="s">
        <v>92</v>
      </c>
      <c r="B92" s="88"/>
      <c r="C92" s="88"/>
      <c r="D92" s="88"/>
      <c r="E92" s="88"/>
      <c r="F92" s="87"/>
      <c r="G92" s="87"/>
      <c r="H92" s="87"/>
      <c r="I92" s="63"/>
      <c r="J92" s="63"/>
      <c r="K92" s="63"/>
      <c r="L92" s="63"/>
      <c r="M92" s="63"/>
      <c r="N92" s="63"/>
      <c r="R92"/>
      <c r="S92">
        <v>1200000</v>
      </c>
      <c r="T92">
        <v>600000</v>
      </c>
      <c r="U92">
        <v>300000</v>
      </c>
      <c r="V92">
        <v>300000</v>
      </c>
    </row>
    <row r="93" spans="1:22" s="30" customFormat="1" hidden="1" x14ac:dyDescent="0.3">
      <c r="A93" s="88" t="s">
        <v>93</v>
      </c>
      <c r="B93" s="88"/>
      <c r="C93" s="88"/>
      <c r="D93" s="88"/>
      <c r="E93" s="88"/>
      <c r="F93" s="87"/>
      <c r="G93" s="87"/>
      <c r="H93" s="87"/>
      <c r="I93" s="63"/>
      <c r="J93" s="63"/>
      <c r="K93" s="63"/>
      <c r="L93" s="63"/>
      <c r="M93" s="63"/>
      <c r="N93" s="63"/>
      <c r="R93"/>
      <c r="S93">
        <v>1300000</v>
      </c>
      <c r="T93">
        <v>700000</v>
      </c>
      <c r="U93">
        <v>350000</v>
      </c>
      <c r="V93" s="20">
        <v>400000</v>
      </c>
    </row>
    <row r="94" spans="1:22" s="30" customFormat="1" hidden="1" x14ac:dyDescent="0.3">
      <c r="A94" s="88" t="s">
        <v>94</v>
      </c>
      <c r="B94" s="88"/>
      <c r="C94" s="88"/>
      <c r="D94" s="88"/>
      <c r="E94" s="88"/>
      <c r="F94" s="87"/>
      <c r="G94" s="87"/>
      <c r="H94" s="87"/>
      <c r="I94" s="63"/>
      <c r="J94" s="63"/>
      <c r="K94" s="63"/>
      <c r="L94" s="63"/>
      <c r="M94" s="63"/>
      <c r="N94" s="63"/>
      <c r="R94"/>
      <c r="S94">
        <v>1400000</v>
      </c>
      <c r="T94">
        <v>800000</v>
      </c>
      <c r="U94">
        <v>400000</v>
      </c>
      <c r="V94"/>
    </row>
    <row r="95" spans="1:22" s="30" customFormat="1" hidden="1" x14ac:dyDescent="0.3">
      <c r="A95" s="88" t="s">
        <v>95</v>
      </c>
      <c r="B95" s="88"/>
      <c r="C95" s="88"/>
      <c r="D95" s="88"/>
      <c r="E95" s="88"/>
      <c r="F95" s="87"/>
      <c r="G95" s="87"/>
      <c r="H95" s="87"/>
      <c r="I95" s="63"/>
      <c r="J95" s="63"/>
      <c r="K95" s="63"/>
      <c r="L95" s="63"/>
      <c r="M95" s="63"/>
      <c r="N95" s="63"/>
      <c r="R95"/>
      <c r="S95">
        <v>1500000</v>
      </c>
      <c r="T95">
        <v>900000</v>
      </c>
      <c r="U95">
        <v>500000</v>
      </c>
      <c r="V95" s="20"/>
    </row>
    <row r="96" spans="1:22" s="30" customFormat="1" hidden="1" x14ac:dyDescent="0.3">
      <c r="A96" s="88" t="s">
        <v>96</v>
      </c>
      <c r="B96" s="88"/>
      <c r="C96" s="88"/>
      <c r="D96" s="88"/>
      <c r="E96" s="88"/>
      <c r="F96" s="87"/>
      <c r="G96" s="87"/>
      <c r="H96" s="87"/>
      <c r="I96" s="63"/>
      <c r="J96" s="63"/>
      <c r="K96" s="63"/>
      <c r="L96" s="63"/>
      <c r="M96" s="63"/>
      <c r="N96" s="63"/>
      <c r="R96"/>
      <c r="S96">
        <v>1600000</v>
      </c>
      <c r="T96">
        <v>1000000</v>
      </c>
      <c r="U96">
        <v>600000</v>
      </c>
      <c r="V96"/>
    </row>
    <row r="97" spans="1:22" s="30" customFormat="1" hidden="1" x14ac:dyDescent="0.3">
      <c r="A97" s="88" t="s">
        <v>97</v>
      </c>
      <c r="B97" s="88"/>
      <c r="C97" s="88"/>
      <c r="D97" s="88"/>
      <c r="E97" s="88"/>
      <c r="F97" s="87"/>
      <c r="G97" s="87"/>
      <c r="H97" s="87"/>
      <c r="I97" s="63"/>
      <c r="J97" s="63"/>
      <c r="K97" s="63"/>
      <c r="L97" s="63"/>
      <c r="M97" s="63"/>
      <c r="N97" s="63"/>
      <c r="R97"/>
      <c r="S97">
        <v>1700000</v>
      </c>
      <c r="T97"/>
      <c r="U97"/>
      <c r="V97" s="20"/>
    </row>
    <row r="98" spans="1:22" x14ac:dyDescent="0.3">
      <c r="A98" s="88" t="s">
        <v>49</v>
      </c>
      <c r="B98" s="88"/>
      <c r="C98" s="88"/>
      <c r="D98" s="88"/>
      <c r="E98" s="88"/>
      <c r="F98" s="87">
        <v>800000</v>
      </c>
      <c r="G98" s="87"/>
      <c r="H98" s="87"/>
      <c r="I98" s="62"/>
      <c r="J98" s="62"/>
      <c r="K98" s="62"/>
      <c r="L98" s="62"/>
      <c r="M98" s="62"/>
      <c r="N98" s="62"/>
      <c r="R98"/>
      <c r="S98">
        <v>1800000</v>
      </c>
      <c r="T98"/>
      <c r="U98"/>
    </row>
    <row r="99" spans="1:22" s="31" customFormat="1" x14ac:dyDescent="0.3">
      <c r="A99" s="121" t="s">
        <v>50</v>
      </c>
      <c r="B99" s="121"/>
      <c r="C99" s="121"/>
      <c r="D99" s="121"/>
      <c r="E99" s="121"/>
      <c r="F99" s="87">
        <f>F88*0.8</f>
        <v>11200</v>
      </c>
      <c r="G99" s="87"/>
      <c r="H99" s="87"/>
      <c r="I99" s="64"/>
      <c r="J99" s="64"/>
      <c r="K99" s="64"/>
      <c r="L99" s="64"/>
      <c r="M99" s="64"/>
      <c r="N99" s="64"/>
      <c r="R99" s="18"/>
      <c r="S99" s="18"/>
      <c r="T99"/>
      <c r="U99"/>
      <c r="V99" s="18"/>
    </row>
    <row r="100" spans="1:22" s="32" customFormat="1" ht="15.75" customHeight="1" x14ac:dyDescent="0.3">
      <c r="A100" s="154" t="s">
        <v>72</v>
      </c>
      <c r="B100" s="154"/>
      <c r="C100" s="154"/>
      <c r="D100" s="154"/>
      <c r="E100" s="154"/>
      <c r="F100" s="154"/>
      <c r="G100" s="154"/>
      <c r="H100" s="154"/>
      <c r="I100" s="65"/>
      <c r="J100" s="65"/>
      <c r="K100" s="65"/>
      <c r="L100" s="65"/>
      <c r="M100" s="65"/>
      <c r="N100" s="65"/>
      <c r="R100"/>
      <c r="S100" s="18"/>
      <c r="T100"/>
      <c r="U100"/>
      <c r="V100" s="18"/>
    </row>
    <row r="101" spans="1:22" s="32" customFormat="1" ht="15.75" customHeight="1" x14ac:dyDescent="0.3">
      <c r="A101" s="158" t="s">
        <v>51</v>
      </c>
      <c r="B101" s="158"/>
      <c r="C101" s="168" t="s">
        <v>75</v>
      </c>
      <c r="D101" s="168"/>
      <c r="E101" s="161" t="s">
        <v>52</v>
      </c>
      <c r="F101" s="161"/>
      <c r="G101" s="158" t="s">
        <v>53</v>
      </c>
      <c r="H101" s="158"/>
      <c r="R101"/>
      <c r="S101" s="18"/>
      <c r="T101"/>
      <c r="U101" s="18"/>
      <c r="V101" s="18"/>
    </row>
    <row r="102" spans="1:22" s="32" customFormat="1" x14ac:dyDescent="0.3">
      <c r="A102" s="156" t="s">
        <v>315</v>
      </c>
      <c r="B102" s="156"/>
      <c r="C102" s="106">
        <f>COUNT(F115:F121)</f>
        <v>7</v>
      </c>
      <c r="D102" s="107"/>
      <c r="E102" s="106">
        <f>SUM(F115:F121)</f>
        <v>2914.4641382999998</v>
      </c>
      <c r="F102" s="107"/>
      <c r="G102" s="106">
        <f>SUM(H115:H121)</f>
        <v>4663.1426212800006</v>
      </c>
      <c r="H102" s="107"/>
      <c r="R102"/>
      <c r="S102" s="18"/>
      <c r="T102"/>
      <c r="U102" s="18"/>
      <c r="V102" s="18"/>
    </row>
    <row r="103" spans="1:22" s="32" customFormat="1" hidden="1" x14ac:dyDescent="0.3">
      <c r="A103" s="154" t="s">
        <v>153</v>
      </c>
      <c r="B103" s="154"/>
      <c r="C103" s="167">
        <f>SUM(C102)</f>
        <v>7</v>
      </c>
      <c r="D103" s="168"/>
      <c r="E103" s="171">
        <f>SUM(E102)</f>
        <v>2914.4641382999998</v>
      </c>
      <c r="F103" s="161"/>
      <c r="G103" s="158">
        <f>SUM(G102)</f>
        <v>4663.1426212800006</v>
      </c>
      <c r="H103" s="158"/>
      <c r="R103"/>
      <c r="S103" s="18"/>
      <c r="T103"/>
      <c r="U103" s="18"/>
      <c r="V103" s="18"/>
    </row>
    <row r="104" spans="1:22" s="32" customFormat="1" x14ac:dyDescent="0.3">
      <c r="A104" s="154" t="s">
        <v>67</v>
      </c>
      <c r="B104" s="154"/>
      <c r="C104" s="154"/>
      <c r="D104" s="154"/>
      <c r="E104" s="154"/>
      <c r="F104" s="154"/>
      <c r="G104" s="154"/>
      <c r="H104" s="154"/>
      <c r="T104"/>
    </row>
    <row r="105" spans="1:22" s="32" customFormat="1" ht="15.75" customHeight="1" x14ac:dyDescent="0.3">
      <c r="A105" s="158" t="s">
        <v>51</v>
      </c>
      <c r="B105" s="158"/>
      <c r="C105" s="168" t="s">
        <v>75</v>
      </c>
      <c r="D105" s="168"/>
      <c r="E105" s="161" t="s">
        <v>52</v>
      </c>
      <c r="F105" s="161"/>
      <c r="G105" s="158" t="s">
        <v>53</v>
      </c>
      <c r="H105" s="158"/>
      <c r="T105"/>
    </row>
    <row r="106" spans="1:22" s="32" customFormat="1" ht="16.2" thickBot="1" x14ac:dyDescent="0.35">
      <c r="A106" s="155" t="s">
        <v>333</v>
      </c>
      <c r="B106" s="155"/>
      <c r="C106" s="122">
        <f>COUNT(F129:F132)+COUNT(F135:F140)*22+COUNT(F143:F146)*2+COUNT(F150:F154)</f>
        <v>149</v>
      </c>
      <c r="D106" s="122"/>
      <c r="E106" s="122">
        <f>SUM(F129:F132)+SUM(F135:F140)*22+SUM(F143:F146)*2+SUM(F150:F154)</f>
        <v>82897.116119999977</v>
      </c>
      <c r="F106" s="122"/>
      <c r="G106" s="122">
        <f>SUM(H129:H132)+SUM(H135:H140)*22+SUM(H143:H146)*2+SUM(H150:H154)</f>
        <v>124345.67417999999</v>
      </c>
      <c r="H106" s="122"/>
      <c r="T106"/>
    </row>
    <row r="107" spans="1:22" s="32" customFormat="1" ht="16.2" hidden="1" thickBot="1" x14ac:dyDescent="0.35">
      <c r="A107" s="164" t="s">
        <v>153</v>
      </c>
      <c r="B107" s="164"/>
      <c r="C107" s="169">
        <f>SUM(C106)</f>
        <v>149</v>
      </c>
      <c r="D107" s="170"/>
      <c r="E107" s="165">
        <f>SUM(E106)</f>
        <v>82897.116119999977</v>
      </c>
      <c r="F107" s="166"/>
      <c r="G107" s="165">
        <f>SUM(G106)</f>
        <v>124345.67417999999</v>
      </c>
      <c r="H107" s="165"/>
    </row>
    <row r="108" spans="1:22" s="32" customFormat="1" x14ac:dyDescent="0.3">
      <c r="A108" s="175" t="s">
        <v>170</v>
      </c>
      <c r="B108" s="176"/>
      <c r="C108" s="177">
        <f>C103+C107</f>
        <v>156</v>
      </c>
      <c r="D108" s="177"/>
      <c r="E108" s="112">
        <f>E103+E107</f>
        <v>85811.580258299975</v>
      </c>
      <c r="F108" s="112"/>
      <c r="G108" s="112">
        <f>G103+G107</f>
        <v>129008.81680127999</v>
      </c>
      <c r="H108" s="113"/>
    </row>
    <row r="109" spans="1:22" s="31" customFormat="1" x14ac:dyDescent="0.3">
      <c r="A109" s="147" t="s">
        <v>54</v>
      </c>
      <c r="B109" s="147"/>
      <c r="C109" s="147"/>
      <c r="D109" s="147"/>
      <c r="E109" s="147"/>
      <c r="F109" s="147"/>
      <c r="G109" s="147"/>
      <c r="H109" s="147"/>
      <c r="T109" s="32"/>
    </row>
    <row r="110" spans="1:22" x14ac:dyDescent="0.3">
      <c r="A110" s="147" t="s">
        <v>178</v>
      </c>
      <c r="B110" s="147"/>
      <c r="C110" s="147"/>
      <c r="D110" s="147"/>
      <c r="E110" s="147"/>
      <c r="F110" s="147"/>
      <c r="G110" s="147"/>
      <c r="H110" s="147"/>
      <c r="T110" s="32"/>
    </row>
    <row r="111" spans="1:22" ht="47.25" customHeight="1" x14ac:dyDescent="0.3">
      <c r="A111" s="89" t="s">
        <v>341</v>
      </c>
      <c r="B111" s="89" t="s">
        <v>181</v>
      </c>
      <c r="C111" s="89" t="s">
        <v>55</v>
      </c>
      <c r="D111" s="89" t="s">
        <v>237</v>
      </c>
      <c r="E111" s="91" t="s">
        <v>159</v>
      </c>
      <c r="F111" s="89" t="s">
        <v>56</v>
      </c>
      <c r="G111" s="91" t="s">
        <v>57</v>
      </c>
      <c r="H111" s="67" t="s">
        <v>151</v>
      </c>
      <c r="T111" s="32"/>
    </row>
    <row r="112" spans="1:22" s="34" customFormat="1" x14ac:dyDescent="0.3">
      <c r="A112" s="89"/>
      <c r="B112" s="89"/>
      <c r="C112" s="89"/>
      <c r="D112" s="89"/>
      <c r="E112" s="91"/>
      <c r="F112" s="89"/>
      <c r="G112" s="91"/>
      <c r="H112" s="68">
        <v>0.6</v>
      </c>
      <c r="T112" s="31"/>
    </row>
    <row r="113" spans="1:20" s="34" customFormat="1" x14ac:dyDescent="0.3">
      <c r="A113" s="123" t="s">
        <v>314</v>
      </c>
      <c r="B113" s="123"/>
      <c r="C113" s="123"/>
      <c r="D113" s="123"/>
      <c r="E113" s="123"/>
      <c r="F113" s="123"/>
      <c r="G113" s="123"/>
      <c r="H113" s="123"/>
      <c r="J113" s="33"/>
      <c r="T113" s="18"/>
    </row>
    <row r="114" spans="1:20" s="34" customFormat="1" x14ac:dyDescent="0.3">
      <c r="A114" s="123" t="s">
        <v>316</v>
      </c>
      <c r="B114" s="123"/>
      <c r="C114" s="123"/>
      <c r="D114" s="123"/>
      <c r="E114" s="123"/>
      <c r="F114" s="123"/>
      <c r="G114" s="123"/>
      <c r="H114" s="123"/>
      <c r="J114" s="33"/>
      <c r="T114" s="18"/>
    </row>
    <row r="115" spans="1:20" s="34" customFormat="1" ht="15.75" customHeight="1" x14ac:dyDescent="0.3">
      <c r="A115" s="70">
        <v>1</v>
      </c>
      <c r="B115" s="70"/>
      <c r="C115" s="48" t="s">
        <v>315</v>
      </c>
      <c r="D115" s="55">
        <f>(37.5)*10.764</f>
        <v>403.65</v>
      </c>
      <c r="E115" s="55">
        <f>(7.11*4.06)*10.764</f>
        <v>310.72008239999997</v>
      </c>
      <c r="F115" s="48">
        <f>D115+(IF(E115&lt;201,E115,IF(E115&lt;301,E115/2,E115/3)))</f>
        <v>507.22336079999997</v>
      </c>
      <c r="G115" s="48">
        <v>0</v>
      </c>
      <c r="H115" s="48">
        <f>(F115+(IF(G115&lt;101,G115,IF(G115&lt;201,G115/2,IF(G115&lt;=301,G115/3,G115/4)))))*(($H$112)+1)</f>
        <v>811.55737727999997</v>
      </c>
      <c r="I115" s="33"/>
      <c r="L115" s="69"/>
      <c r="M115" s="69"/>
      <c r="N115" s="33"/>
      <c r="T115" s="18"/>
    </row>
    <row r="116" spans="1:20" s="34" customFormat="1" ht="15.75" customHeight="1" x14ac:dyDescent="0.3">
      <c r="A116" s="70">
        <f t="shared" ref="A116:A121" si="0">A115+1</f>
        <v>2</v>
      </c>
      <c r="B116" s="70"/>
      <c r="C116" s="48" t="s">
        <v>315</v>
      </c>
      <c r="D116" s="55">
        <f>(21.41)*10.764</f>
        <v>230.45723999999998</v>
      </c>
      <c r="E116" s="55">
        <f>(3.2*4.75)*10.764</f>
        <v>163.61279999999999</v>
      </c>
      <c r="F116" s="48">
        <f t="shared" ref="F116:F118" si="1">D116+(IF(E116&lt;201,E116,IF(E116&lt;301,E116/2,E116/3)))</f>
        <v>394.07003999999995</v>
      </c>
      <c r="G116" s="48">
        <v>0</v>
      </c>
      <c r="H116" s="48">
        <f t="shared" ref="H116:H118" si="2">(F116+(IF(G116&lt;101,G116,IF(G116&lt;201,G116/2,IF(G116&lt;=301,G116/3,G116/4)))))*(($H$112)+1)</f>
        <v>630.51206400000001</v>
      </c>
      <c r="I116" s="33">
        <f>3.2*5.26+1.82*1.26+1.25*1.02</f>
        <v>20.400199999999998</v>
      </c>
      <c r="L116" s="69"/>
      <c r="M116" s="69"/>
      <c r="N116" s="33"/>
    </row>
    <row r="117" spans="1:20" s="34" customFormat="1" ht="15.75" customHeight="1" x14ac:dyDescent="0.3">
      <c r="A117" s="75">
        <f t="shared" si="0"/>
        <v>3</v>
      </c>
      <c r="B117" s="76"/>
      <c r="C117" s="48" t="s">
        <v>315</v>
      </c>
      <c r="D117" s="55">
        <f>(21.07)*10.764</f>
        <v>226.79747999999998</v>
      </c>
      <c r="E117" s="55">
        <f>(3.2*4.75)*10.764</f>
        <v>163.61279999999999</v>
      </c>
      <c r="F117" s="48">
        <f t="shared" si="1"/>
        <v>390.41027999999994</v>
      </c>
      <c r="G117" s="48">
        <v>0</v>
      </c>
      <c r="H117" s="48">
        <f t="shared" si="2"/>
        <v>624.65644799999995</v>
      </c>
      <c r="I117" s="33"/>
      <c r="L117" s="69"/>
      <c r="M117" s="69"/>
      <c r="N117" s="33"/>
    </row>
    <row r="118" spans="1:20" s="34" customFormat="1" ht="15.75" customHeight="1" x14ac:dyDescent="0.3">
      <c r="A118" s="75">
        <f t="shared" si="0"/>
        <v>4</v>
      </c>
      <c r="B118" s="76"/>
      <c r="C118" s="48" t="s">
        <v>315</v>
      </c>
      <c r="D118" s="55">
        <f>(20.83)*10.764</f>
        <v>224.21411999999998</v>
      </c>
      <c r="E118" s="55">
        <f>(3.13*4.75)*10.764</f>
        <v>160.03376999999998</v>
      </c>
      <c r="F118" s="48">
        <f t="shared" si="1"/>
        <v>384.24788999999998</v>
      </c>
      <c r="G118" s="48">
        <v>0</v>
      </c>
      <c r="H118" s="48">
        <f t="shared" si="2"/>
        <v>614.79662400000007</v>
      </c>
      <c r="I118" s="33"/>
      <c r="L118" s="69"/>
      <c r="M118" s="69"/>
      <c r="N118" s="33"/>
    </row>
    <row r="119" spans="1:20" s="34" customFormat="1" ht="15.75" customHeight="1" x14ac:dyDescent="0.3">
      <c r="A119" s="75">
        <f t="shared" si="0"/>
        <v>5</v>
      </c>
      <c r="B119" s="76"/>
      <c r="C119" s="48" t="s">
        <v>315</v>
      </c>
      <c r="D119" s="55">
        <f>(21.14)*10.764</f>
        <v>227.55096</v>
      </c>
      <c r="E119" s="55">
        <f>(3.13*4.75)*10.764</f>
        <v>160.03376999999998</v>
      </c>
      <c r="F119" s="48">
        <f t="shared" ref="F119:F121" si="3">D119+(IF(E119&lt;201,E119,IF(E119&lt;301,E119/2,E119/3)))</f>
        <v>387.58472999999998</v>
      </c>
      <c r="G119" s="48">
        <v>0</v>
      </c>
      <c r="H119" s="48">
        <f t="shared" ref="H119:H121" si="4">(F119+(IF(G119&lt;101,G119,IF(G119&lt;201,G119/2,IF(G119&lt;=301,G119/3,G119/4)))))*(($H$112)+1)</f>
        <v>620.13556800000003</v>
      </c>
      <c r="I119" s="33"/>
      <c r="L119" s="69"/>
      <c r="M119" s="69"/>
      <c r="N119" s="33"/>
    </row>
    <row r="120" spans="1:20" s="34" customFormat="1" ht="15.75" customHeight="1" x14ac:dyDescent="0.3">
      <c r="A120" s="75">
        <f t="shared" si="0"/>
        <v>6</v>
      </c>
      <c r="B120" s="76"/>
      <c r="C120" s="48" t="s">
        <v>315</v>
      </c>
      <c r="D120" s="55">
        <f>(21.41)*10.764</f>
        <v>230.45723999999998</v>
      </c>
      <c r="E120" s="55">
        <f>(3.21*4.75)*10.764</f>
        <v>164.12409</v>
      </c>
      <c r="F120" s="48">
        <f t="shared" si="3"/>
        <v>394.58132999999998</v>
      </c>
      <c r="G120" s="48">
        <v>0</v>
      </c>
      <c r="H120" s="48">
        <f t="shared" si="4"/>
        <v>631.33012800000006</v>
      </c>
      <c r="I120" s="33"/>
      <c r="L120" s="69"/>
      <c r="M120" s="69"/>
      <c r="N120" s="33"/>
    </row>
    <row r="121" spans="1:20" s="34" customFormat="1" ht="15.75" customHeight="1" x14ac:dyDescent="0.3">
      <c r="A121" s="75">
        <f t="shared" si="0"/>
        <v>7</v>
      </c>
      <c r="B121" s="76"/>
      <c r="C121" s="48" t="s">
        <v>315</v>
      </c>
      <c r="D121" s="55">
        <f>(31.44)*10.764</f>
        <v>338.42016000000001</v>
      </c>
      <c r="E121" s="55">
        <f>(4.05*4.75+0.5*1.55*3.45)*10.764</f>
        <v>235.85269500000001</v>
      </c>
      <c r="F121" s="48">
        <f t="shared" si="3"/>
        <v>456.34650750000003</v>
      </c>
      <c r="G121" s="48">
        <v>0</v>
      </c>
      <c r="H121" s="48">
        <f t="shared" si="4"/>
        <v>730.15441200000009</v>
      </c>
      <c r="I121" s="33"/>
      <c r="L121" s="69"/>
      <c r="M121" s="69"/>
      <c r="N121" s="33"/>
    </row>
    <row r="122" spans="1:20" s="34" customFormat="1" x14ac:dyDescent="0.3">
      <c r="A122" s="75"/>
      <c r="B122" s="81"/>
      <c r="C122" s="81"/>
      <c r="D122" s="81"/>
      <c r="E122" s="81"/>
      <c r="F122" s="81"/>
      <c r="G122" s="81"/>
      <c r="H122" s="76"/>
      <c r="I122" s="33"/>
      <c r="N122" s="33"/>
    </row>
    <row r="123" spans="1:20" ht="47.25" customHeight="1" x14ac:dyDescent="0.3">
      <c r="A123" s="162" t="s">
        <v>119</v>
      </c>
      <c r="B123" s="108" t="s">
        <v>182</v>
      </c>
      <c r="C123" s="108" t="s">
        <v>55</v>
      </c>
      <c r="D123" s="108" t="s">
        <v>237</v>
      </c>
      <c r="E123" s="108" t="s">
        <v>236</v>
      </c>
      <c r="F123" s="108" t="s">
        <v>56</v>
      </c>
      <c r="G123" s="110" t="s">
        <v>57</v>
      </c>
      <c r="H123" s="49" t="s">
        <v>151</v>
      </c>
      <c r="I123" s="33"/>
      <c r="T123" s="34"/>
    </row>
    <row r="124" spans="1:20" s="34" customFormat="1" x14ac:dyDescent="0.3">
      <c r="A124" s="163"/>
      <c r="B124" s="109"/>
      <c r="C124" s="109"/>
      <c r="D124" s="109"/>
      <c r="E124" s="109"/>
      <c r="F124" s="109"/>
      <c r="G124" s="111"/>
      <c r="H124" s="61">
        <v>0.5</v>
      </c>
      <c r="I124" s="33"/>
    </row>
    <row r="125" spans="1:20" s="34" customFormat="1" x14ac:dyDescent="0.3">
      <c r="A125" s="77" t="s">
        <v>317</v>
      </c>
      <c r="B125" s="78"/>
      <c r="C125" s="78"/>
      <c r="D125" s="78"/>
      <c r="E125" s="78"/>
      <c r="F125" s="78"/>
      <c r="G125" s="78"/>
      <c r="H125" s="79"/>
      <c r="J125" s="55">
        <v>10.763999999999999</v>
      </c>
      <c r="L125" s="34">
        <f>22000/1.5</f>
        <v>14666.666666666666</v>
      </c>
    </row>
    <row r="126" spans="1:20" s="34" customFormat="1" x14ac:dyDescent="0.3">
      <c r="A126" s="77" t="s">
        <v>318</v>
      </c>
      <c r="B126" s="78"/>
      <c r="C126" s="78"/>
      <c r="D126" s="78"/>
      <c r="E126" s="78"/>
      <c r="F126" s="78"/>
      <c r="G126" s="78"/>
      <c r="H126" s="79"/>
      <c r="J126" s="33"/>
    </row>
    <row r="127" spans="1:20" s="34" customFormat="1" x14ac:dyDescent="0.3">
      <c r="A127" s="77" t="s">
        <v>328</v>
      </c>
      <c r="B127" s="78"/>
      <c r="C127" s="78"/>
      <c r="D127" s="78"/>
      <c r="E127" s="78"/>
      <c r="F127" s="78"/>
      <c r="G127" s="78"/>
      <c r="H127" s="79"/>
      <c r="J127" s="33"/>
    </row>
    <row r="128" spans="1:20" s="34" customFormat="1" ht="15.75" customHeight="1" x14ac:dyDescent="0.3">
      <c r="A128" s="75">
        <v>1</v>
      </c>
      <c r="B128" s="76"/>
      <c r="C128" s="75" t="s">
        <v>325</v>
      </c>
      <c r="D128" s="81"/>
      <c r="E128" s="81"/>
      <c r="F128" s="81"/>
      <c r="G128" s="81"/>
      <c r="H128" s="76"/>
      <c r="I128" s="33"/>
      <c r="L128" s="69"/>
      <c r="M128" s="69"/>
      <c r="N128" s="33"/>
      <c r="T128" s="18"/>
    </row>
    <row r="129" spans="1:20" s="34" customFormat="1" ht="15.75" customHeight="1" x14ac:dyDescent="0.3">
      <c r="A129" s="75">
        <f>A128+1</f>
        <v>2</v>
      </c>
      <c r="B129" s="76"/>
      <c r="C129" s="48" t="s">
        <v>346</v>
      </c>
      <c r="D129" s="55">
        <f>(66.99)*10.764</f>
        <v>721.08035999999993</v>
      </c>
      <c r="E129" s="48">
        <v>0</v>
      </c>
      <c r="F129" s="48">
        <f>D129+E129</f>
        <v>721.08035999999993</v>
      </c>
      <c r="G129" s="48">
        <v>0</v>
      </c>
      <c r="H129" s="48">
        <f>F129*(($H$124)+1)+(IF(G129&lt;101,G129,IF(G129&lt;201,G129/2,IF(G129&lt;=301,G129/3,G129/4))))</f>
        <v>1081.6205399999999</v>
      </c>
      <c r="I129" s="33"/>
      <c r="L129" s="69">
        <f>14000*H129</f>
        <v>15142687.559999999</v>
      </c>
      <c r="M129" s="69"/>
      <c r="N129" s="33"/>
    </row>
    <row r="130" spans="1:20" s="34" customFormat="1" ht="15.75" customHeight="1" x14ac:dyDescent="0.3">
      <c r="A130" s="75">
        <f>A129+1</f>
        <v>3</v>
      </c>
      <c r="B130" s="76"/>
      <c r="C130" s="48" t="s">
        <v>326</v>
      </c>
      <c r="D130" s="55">
        <f>(35.4)*10.764</f>
        <v>381.04559999999998</v>
      </c>
      <c r="E130" s="48">
        <v>0</v>
      </c>
      <c r="F130" s="48">
        <f>D130+E130</f>
        <v>381.04559999999998</v>
      </c>
      <c r="G130" s="48">
        <v>0</v>
      </c>
      <c r="H130" s="48">
        <f>F130*(($H$124)+1)+(IF(G130&lt;101,G130,IF(G130&lt;201,G130/2,IF(G130&lt;=301,G130/3,G130/4))))</f>
        <v>571.5684</v>
      </c>
      <c r="I130" s="33">
        <f>3.03*3.75+2.13*2.68+2.9*3.58+1.2*2.06+3.4*0.9</f>
        <v>32.984900000000003</v>
      </c>
      <c r="J130" s="33">
        <f>8200000/H130</f>
        <v>14346.489414040385</v>
      </c>
      <c r="L130" s="69">
        <f t="shared" ref="L130:L133" si="5">14000*H130</f>
        <v>8001957.5999999996</v>
      </c>
      <c r="M130" s="69"/>
      <c r="N130" s="33"/>
    </row>
    <row r="131" spans="1:20" s="34" customFormat="1" ht="15.75" customHeight="1" x14ac:dyDescent="0.3">
      <c r="A131" s="75">
        <f>A130+1</f>
        <v>4</v>
      </c>
      <c r="B131" s="76"/>
      <c r="C131" s="48" t="s">
        <v>327</v>
      </c>
      <c r="D131" s="55">
        <f>(58.51)*10.764</f>
        <v>629.80163999999991</v>
      </c>
      <c r="E131" s="48">
        <v>0</v>
      </c>
      <c r="F131" s="48">
        <f>D131+E131</f>
        <v>629.80163999999991</v>
      </c>
      <c r="G131" s="48">
        <v>0</v>
      </c>
      <c r="H131" s="48">
        <f>F131*(($H$124)+1)+(IF(G131&lt;101,G131,IF(G131&lt;201,G131/2,IF(G131&lt;=301,G131/3,G131/4))))</f>
        <v>944.70245999999986</v>
      </c>
      <c r="I131" s="33"/>
      <c r="L131" s="69">
        <f t="shared" si="5"/>
        <v>13225834.439999998</v>
      </c>
      <c r="M131" s="69"/>
      <c r="N131" s="33"/>
    </row>
    <row r="132" spans="1:20" s="34" customFormat="1" ht="15.75" customHeight="1" x14ac:dyDescent="0.3">
      <c r="A132" s="75">
        <f>A131+1</f>
        <v>5</v>
      </c>
      <c r="B132" s="76"/>
      <c r="C132" s="48" t="s">
        <v>326</v>
      </c>
      <c r="D132" s="55">
        <f>(38.01)*10.764</f>
        <v>409.13963999999993</v>
      </c>
      <c r="E132" s="48">
        <v>0</v>
      </c>
      <c r="F132" s="48">
        <f>D132+E132</f>
        <v>409.13963999999993</v>
      </c>
      <c r="G132" s="48">
        <v>0</v>
      </c>
      <c r="H132" s="48">
        <f>F132*(($H$124)+1)+(IF(G132&lt;101,G132,IF(G132&lt;201,G132/2,IF(G132&lt;=301,G132/3,G132/4))))</f>
        <v>613.70945999999992</v>
      </c>
      <c r="I132" s="33"/>
      <c r="L132" s="69">
        <f t="shared" si="5"/>
        <v>8591932.4399999995</v>
      </c>
      <c r="M132" s="69"/>
      <c r="N132" s="33"/>
    </row>
    <row r="133" spans="1:20" s="34" customFormat="1" ht="15.75" customHeight="1" x14ac:dyDescent="0.3">
      <c r="A133" s="75">
        <f>A132+1</f>
        <v>6</v>
      </c>
      <c r="B133" s="76"/>
      <c r="C133" s="75" t="s">
        <v>325</v>
      </c>
      <c r="D133" s="81"/>
      <c r="E133" s="81"/>
      <c r="F133" s="81"/>
      <c r="G133" s="81"/>
      <c r="H133" s="76"/>
      <c r="I133" s="33"/>
      <c r="L133" s="69">
        <f t="shared" si="5"/>
        <v>0</v>
      </c>
      <c r="M133" s="69"/>
      <c r="N133" s="33"/>
    </row>
    <row r="134" spans="1:20" s="34" customFormat="1" x14ac:dyDescent="0.3">
      <c r="A134" s="77" t="s">
        <v>329</v>
      </c>
      <c r="B134" s="78"/>
      <c r="C134" s="78"/>
      <c r="D134" s="78"/>
      <c r="E134" s="78"/>
      <c r="F134" s="78"/>
      <c r="G134" s="78"/>
      <c r="H134" s="79"/>
      <c r="J134" s="33"/>
    </row>
    <row r="135" spans="1:20" s="34" customFormat="1" ht="15.75" customHeight="1" x14ac:dyDescent="0.3">
      <c r="A135" s="75">
        <v>1</v>
      </c>
      <c r="B135" s="76"/>
      <c r="C135" s="48" t="s">
        <v>327</v>
      </c>
      <c r="D135" s="55">
        <f>(58.51)*10.764</f>
        <v>629.80163999999991</v>
      </c>
      <c r="E135" s="48">
        <v>0</v>
      </c>
      <c r="F135" s="48">
        <f t="shared" ref="F135:F140" si="6">D135+E135</f>
        <v>629.80163999999991</v>
      </c>
      <c r="G135" s="48">
        <v>0</v>
      </c>
      <c r="H135" s="48">
        <f t="shared" ref="H135:H140" si="7">F135*(($H$124)+1)+(IF(G135&lt;101,G135,IF(G135&lt;201,G135/2,IF(G135&lt;=301,G135/3,G135/4))))</f>
        <v>944.70245999999986</v>
      </c>
      <c r="I135" s="33"/>
      <c r="J135" s="33">
        <f>12500000/H135</f>
        <v>13231.679316257949</v>
      </c>
      <c r="L135" s="69"/>
      <c r="M135" s="69"/>
      <c r="N135" s="33"/>
      <c r="T135" s="18"/>
    </row>
    <row r="136" spans="1:20" s="34" customFormat="1" ht="15.75" customHeight="1" x14ac:dyDescent="0.3">
      <c r="A136" s="75">
        <f>A135+1</f>
        <v>2</v>
      </c>
      <c r="B136" s="76"/>
      <c r="C136" s="48" t="s">
        <v>327</v>
      </c>
      <c r="D136" s="55">
        <f>(58.51)*10.764</f>
        <v>629.80163999999991</v>
      </c>
      <c r="E136" s="48">
        <v>0</v>
      </c>
      <c r="F136" s="48">
        <f t="shared" si="6"/>
        <v>629.80163999999991</v>
      </c>
      <c r="G136" s="48">
        <v>0</v>
      </c>
      <c r="H136" s="48">
        <f t="shared" si="7"/>
        <v>944.70245999999986</v>
      </c>
      <c r="I136" s="33"/>
      <c r="L136" s="69"/>
      <c r="M136" s="69"/>
      <c r="N136" s="33"/>
    </row>
    <row r="137" spans="1:20" s="34" customFormat="1" ht="15.75" customHeight="1" x14ac:dyDescent="0.3">
      <c r="A137" s="75">
        <f>A136+1</f>
        <v>3</v>
      </c>
      <c r="B137" s="76"/>
      <c r="C137" s="48" t="s">
        <v>327</v>
      </c>
      <c r="D137" s="55">
        <f>(58.51)*10.764</f>
        <v>629.80163999999991</v>
      </c>
      <c r="E137" s="48">
        <v>0</v>
      </c>
      <c r="F137" s="48">
        <f t="shared" si="6"/>
        <v>629.80163999999991</v>
      </c>
      <c r="G137" s="48">
        <v>0</v>
      </c>
      <c r="H137" s="48">
        <f t="shared" si="7"/>
        <v>944.70245999999986</v>
      </c>
      <c r="I137" s="33"/>
      <c r="L137" s="69"/>
      <c r="M137" s="69"/>
      <c r="N137" s="33"/>
    </row>
    <row r="138" spans="1:20" s="34" customFormat="1" ht="15.75" customHeight="1" x14ac:dyDescent="0.3">
      <c r="A138" s="75">
        <f>A137+1</f>
        <v>4</v>
      </c>
      <c r="B138" s="76"/>
      <c r="C138" s="48" t="s">
        <v>327</v>
      </c>
      <c r="D138" s="55">
        <f>(58.51)*10.764</f>
        <v>629.80163999999991</v>
      </c>
      <c r="E138" s="48">
        <v>0</v>
      </c>
      <c r="F138" s="48">
        <f t="shared" si="6"/>
        <v>629.80163999999991</v>
      </c>
      <c r="G138" s="48">
        <v>0</v>
      </c>
      <c r="H138" s="48">
        <f t="shared" si="7"/>
        <v>944.70245999999986</v>
      </c>
      <c r="I138" s="33"/>
      <c r="L138" s="69"/>
      <c r="M138" s="69"/>
      <c r="N138" s="33"/>
    </row>
    <row r="139" spans="1:20" s="34" customFormat="1" ht="15.75" customHeight="1" x14ac:dyDescent="0.3">
      <c r="A139" s="75">
        <f>A138+1</f>
        <v>5</v>
      </c>
      <c r="B139" s="76"/>
      <c r="C139" s="48" t="s">
        <v>326</v>
      </c>
      <c r="D139" s="55">
        <f>(38.01)*10.764</f>
        <v>409.13963999999993</v>
      </c>
      <c r="E139" s="48">
        <v>0</v>
      </c>
      <c r="F139" s="48">
        <f t="shared" si="6"/>
        <v>409.13963999999993</v>
      </c>
      <c r="G139" s="48">
        <v>0</v>
      </c>
      <c r="H139" s="48">
        <f t="shared" si="7"/>
        <v>613.70945999999992</v>
      </c>
      <c r="I139" s="33"/>
      <c r="L139" s="69"/>
      <c r="M139" s="69"/>
      <c r="N139" s="33"/>
    </row>
    <row r="140" spans="1:20" s="34" customFormat="1" ht="15.75" customHeight="1" x14ac:dyDescent="0.3">
      <c r="A140" s="75">
        <f>A139+1</f>
        <v>6</v>
      </c>
      <c r="B140" s="76"/>
      <c r="C140" s="48" t="s">
        <v>326</v>
      </c>
      <c r="D140" s="55">
        <f>(37.38)*10.764</f>
        <v>402.35831999999999</v>
      </c>
      <c r="E140" s="48">
        <v>0</v>
      </c>
      <c r="F140" s="48">
        <f t="shared" si="6"/>
        <v>402.35831999999999</v>
      </c>
      <c r="G140" s="48">
        <v>0</v>
      </c>
      <c r="H140" s="48">
        <f t="shared" si="7"/>
        <v>603.53747999999996</v>
      </c>
      <c r="I140" s="33"/>
      <c r="L140" s="69"/>
      <c r="M140" s="69"/>
      <c r="N140" s="33"/>
    </row>
    <row r="141" spans="1:20" s="34" customFormat="1" x14ac:dyDescent="0.3">
      <c r="A141" s="77" t="s">
        <v>330</v>
      </c>
      <c r="B141" s="78"/>
      <c r="C141" s="78"/>
      <c r="D141" s="78"/>
      <c r="E141" s="78"/>
      <c r="F141" s="78"/>
      <c r="G141" s="78"/>
      <c r="H141" s="79"/>
      <c r="J141" s="33"/>
    </row>
    <row r="142" spans="1:20" s="34" customFormat="1" ht="15.75" customHeight="1" x14ac:dyDescent="0.3">
      <c r="A142" s="75">
        <v>1</v>
      </c>
      <c r="B142" s="76"/>
      <c r="C142" s="75" t="s">
        <v>325</v>
      </c>
      <c r="D142" s="81"/>
      <c r="E142" s="81"/>
      <c r="F142" s="81"/>
      <c r="G142" s="81"/>
      <c r="H142" s="76"/>
      <c r="I142" s="33"/>
      <c r="L142" s="69"/>
      <c r="M142" s="69"/>
      <c r="N142" s="33"/>
      <c r="T142" s="18"/>
    </row>
    <row r="143" spans="1:20" s="34" customFormat="1" ht="15.75" customHeight="1" x14ac:dyDescent="0.3">
      <c r="A143" s="75">
        <f>A142+1</f>
        <v>2</v>
      </c>
      <c r="B143" s="76"/>
      <c r="C143" s="48" t="s">
        <v>346</v>
      </c>
      <c r="D143" s="55">
        <f>(66.99)*10.764</f>
        <v>721.08035999999993</v>
      </c>
      <c r="E143" s="48">
        <v>0</v>
      </c>
      <c r="F143" s="48">
        <f>D143+E143</f>
        <v>721.08035999999993</v>
      </c>
      <c r="G143" s="48">
        <v>0</v>
      </c>
      <c r="H143" s="48">
        <f>F143*(($H$124)+1)+(IF(G143&lt;101,G143,IF(G143&lt;201,G143/2,IF(G143&lt;=301,G143/3,G143/4))))</f>
        <v>1081.6205399999999</v>
      </c>
      <c r="I143" s="33"/>
      <c r="L143" s="69"/>
      <c r="M143" s="69"/>
      <c r="N143" s="33"/>
    </row>
    <row r="144" spans="1:20" s="34" customFormat="1" ht="15.75" customHeight="1" x14ac:dyDescent="0.3">
      <c r="A144" s="75">
        <f>A143+1</f>
        <v>3</v>
      </c>
      <c r="B144" s="76"/>
      <c r="C144" s="48" t="s">
        <v>327</v>
      </c>
      <c r="D144" s="55">
        <f>(58.51)*10.764</f>
        <v>629.80163999999991</v>
      </c>
      <c r="E144" s="48">
        <v>0</v>
      </c>
      <c r="F144" s="48">
        <f>D144+E144</f>
        <v>629.80163999999991</v>
      </c>
      <c r="G144" s="48">
        <v>0</v>
      </c>
      <c r="H144" s="48">
        <f>F144*(($H$124)+1)+(IF(G144&lt;101,G144,IF(G144&lt;201,G144/2,IF(G144&lt;=301,G144/3,G144/4))))</f>
        <v>944.70245999999986</v>
      </c>
      <c r="I144" s="33"/>
      <c r="L144" s="69"/>
      <c r="M144" s="69"/>
      <c r="N144" s="33"/>
    </row>
    <row r="145" spans="1:20" s="34" customFormat="1" ht="15.75" customHeight="1" x14ac:dyDescent="0.3">
      <c r="A145" s="75">
        <f>A144+1</f>
        <v>4</v>
      </c>
      <c r="B145" s="76"/>
      <c r="C145" s="48" t="s">
        <v>327</v>
      </c>
      <c r="D145" s="55">
        <f>(58.51)*10.764</f>
        <v>629.80163999999991</v>
      </c>
      <c r="E145" s="48">
        <v>0</v>
      </c>
      <c r="F145" s="48">
        <f>D145+E145</f>
        <v>629.80163999999991</v>
      </c>
      <c r="G145" s="48">
        <v>0</v>
      </c>
      <c r="H145" s="48">
        <f>F145*(($H$124)+1)+(IF(G145&lt;101,G145,IF(G145&lt;201,G145/2,IF(G145&lt;=301,G145/3,G145/4))))</f>
        <v>944.70245999999986</v>
      </c>
      <c r="I145" s="33"/>
      <c r="L145" s="69"/>
      <c r="M145" s="69"/>
      <c r="N145" s="33"/>
    </row>
    <row r="146" spans="1:20" s="34" customFormat="1" ht="15.75" customHeight="1" x14ac:dyDescent="0.3">
      <c r="A146" s="75">
        <f>A145+1</f>
        <v>5</v>
      </c>
      <c r="B146" s="76"/>
      <c r="C146" s="48" t="s">
        <v>326</v>
      </c>
      <c r="D146" s="55">
        <f>(38.01)*10.764</f>
        <v>409.13963999999993</v>
      </c>
      <c r="E146" s="48">
        <v>0</v>
      </c>
      <c r="F146" s="48">
        <f>D146+E146</f>
        <v>409.13963999999993</v>
      </c>
      <c r="G146" s="48">
        <v>0</v>
      </c>
      <c r="H146" s="48">
        <f>F146*(($H$124)+1)+(IF(G146&lt;101,G146,IF(G146&lt;201,G146/2,IF(G146&lt;=301,G146/3,G146/4))))</f>
        <v>613.70945999999992</v>
      </c>
      <c r="I146" s="33"/>
      <c r="L146" s="69"/>
      <c r="M146" s="69"/>
      <c r="N146" s="33"/>
    </row>
    <row r="147" spans="1:20" s="34" customFormat="1" ht="15.75" customHeight="1" x14ac:dyDescent="0.3">
      <c r="A147" s="75">
        <f>A146+1</f>
        <v>6</v>
      </c>
      <c r="B147" s="76"/>
      <c r="C147" s="75" t="s">
        <v>325</v>
      </c>
      <c r="D147" s="81"/>
      <c r="E147" s="81"/>
      <c r="F147" s="81"/>
      <c r="G147" s="81"/>
      <c r="H147" s="76"/>
      <c r="I147" s="33"/>
      <c r="L147" s="69"/>
      <c r="M147" s="69"/>
      <c r="N147" s="33"/>
    </row>
    <row r="148" spans="1:20" s="34" customFormat="1" x14ac:dyDescent="0.3">
      <c r="A148" s="74" t="s">
        <v>331</v>
      </c>
      <c r="B148" s="74"/>
      <c r="C148" s="74"/>
      <c r="D148" s="74"/>
      <c r="E148" s="74"/>
      <c r="F148" s="74"/>
      <c r="G148" s="74"/>
      <c r="H148" s="74"/>
      <c r="J148" s="33"/>
    </row>
    <row r="149" spans="1:20" s="34" customFormat="1" ht="15.75" customHeight="1" x14ac:dyDescent="0.3">
      <c r="A149" s="70">
        <v>1</v>
      </c>
      <c r="B149" s="70"/>
      <c r="C149" s="70" t="s">
        <v>325</v>
      </c>
      <c r="D149" s="70"/>
      <c r="E149" s="70"/>
      <c r="F149" s="70"/>
      <c r="G149" s="70"/>
      <c r="H149" s="70"/>
      <c r="I149" s="33"/>
      <c r="L149" s="69"/>
      <c r="M149" s="69"/>
      <c r="N149" s="33"/>
      <c r="T149" s="18"/>
    </row>
    <row r="150" spans="1:20" s="34" customFormat="1" ht="15.75" customHeight="1" x14ac:dyDescent="0.3">
      <c r="A150" s="70">
        <f>A149+1</f>
        <v>2</v>
      </c>
      <c r="B150" s="70"/>
      <c r="C150" s="48" t="s">
        <v>327</v>
      </c>
      <c r="D150" s="55">
        <f>(58.51)*10.764</f>
        <v>629.80163999999991</v>
      </c>
      <c r="E150" s="48">
        <v>0</v>
      </c>
      <c r="F150" s="48">
        <f>D150+E150</f>
        <v>629.80163999999991</v>
      </c>
      <c r="G150" s="48">
        <v>0</v>
      </c>
      <c r="H150" s="48">
        <f>F150*(($H$124)+1)+(IF(G150&lt;101,G150,IF(G150&lt;201,G150/2,IF(G150&lt;=301,G150/3,G150/4))))</f>
        <v>944.70245999999986</v>
      </c>
      <c r="I150" s="33"/>
      <c r="L150" s="69"/>
      <c r="M150" s="69"/>
      <c r="N150" s="33"/>
    </row>
    <row r="151" spans="1:20" s="34" customFormat="1" ht="15.75" customHeight="1" x14ac:dyDescent="0.3">
      <c r="A151" s="70">
        <f>A150+1</f>
        <v>3</v>
      </c>
      <c r="B151" s="70"/>
      <c r="C151" s="48" t="s">
        <v>327</v>
      </c>
      <c r="D151" s="55">
        <f>(58.51)*10.764</f>
        <v>629.80163999999991</v>
      </c>
      <c r="E151" s="48">
        <v>0</v>
      </c>
      <c r="F151" s="48">
        <f>D151+E151</f>
        <v>629.80163999999991</v>
      </c>
      <c r="G151" s="48">
        <v>0</v>
      </c>
      <c r="H151" s="48">
        <f>F151*(($H$124)+1)+(IF(G151&lt;101,G151,IF(G151&lt;201,G151/2,IF(G151&lt;=301,G151/3,G151/4))))</f>
        <v>944.70245999999986</v>
      </c>
      <c r="I151" s="33"/>
      <c r="L151" s="69"/>
      <c r="M151" s="69"/>
      <c r="N151" s="33"/>
    </row>
    <row r="152" spans="1:20" s="34" customFormat="1" ht="15.75" customHeight="1" x14ac:dyDescent="0.3">
      <c r="A152" s="70">
        <f>A151+1</f>
        <v>4</v>
      </c>
      <c r="B152" s="70"/>
      <c r="C152" s="48" t="s">
        <v>327</v>
      </c>
      <c r="D152" s="55">
        <f>(58.51)*10.764</f>
        <v>629.80163999999991</v>
      </c>
      <c r="E152" s="48">
        <v>0</v>
      </c>
      <c r="F152" s="48">
        <f>D152+E152</f>
        <v>629.80163999999991</v>
      </c>
      <c r="G152" s="48">
        <v>0</v>
      </c>
      <c r="H152" s="48">
        <f>F152*(($H$124)+1)+(IF(G152&lt;101,G152,IF(G152&lt;201,G152/2,IF(G152&lt;=301,G152/3,G152/4))))</f>
        <v>944.70245999999986</v>
      </c>
      <c r="I152" s="33"/>
      <c r="L152" s="69"/>
      <c r="M152" s="69"/>
      <c r="N152" s="33"/>
    </row>
    <row r="153" spans="1:20" s="34" customFormat="1" ht="15.75" customHeight="1" x14ac:dyDescent="0.3">
      <c r="A153" s="70">
        <f>A152+1</f>
        <v>5</v>
      </c>
      <c r="B153" s="70"/>
      <c r="C153" s="48" t="s">
        <v>326</v>
      </c>
      <c r="D153" s="55">
        <f>(38.01)*10.764</f>
        <v>409.13963999999993</v>
      </c>
      <c r="E153" s="48">
        <v>0</v>
      </c>
      <c r="F153" s="48">
        <f>D153+E153</f>
        <v>409.13963999999993</v>
      </c>
      <c r="G153" s="48">
        <v>0</v>
      </c>
      <c r="H153" s="48">
        <f>F153*(($H$124)+1)+(IF(G153&lt;101,G153,IF(G153&lt;201,G153/2,IF(G153&lt;=301,G153/3,G153/4))))</f>
        <v>613.70945999999992</v>
      </c>
      <c r="I153" s="33"/>
      <c r="L153" s="69"/>
      <c r="M153" s="69"/>
      <c r="N153" s="33"/>
    </row>
    <row r="154" spans="1:20" s="34" customFormat="1" ht="15.75" customHeight="1" x14ac:dyDescent="0.3">
      <c r="A154" s="70">
        <f>A153+1</f>
        <v>6</v>
      </c>
      <c r="B154" s="70"/>
      <c r="C154" s="48" t="s">
        <v>326</v>
      </c>
      <c r="D154" s="55">
        <f>(37.38)*10.764</f>
        <v>402.35831999999999</v>
      </c>
      <c r="E154" s="48">
        <v>0</v>
      </c>
      <c r="F154" s="48">
        <f>D154+E154</f>
        <v>402.35831999999999</v>
      </c>
      <c r="G154" s="48">
        <v>0</v>
      </c>
      <c r="H154" s="48">
        <f>F154*(($H$124)+1)+(IF(G154&lt;101,G154,IF(G154&lt;201,G154/2,IF(G154&lt;=301,G154/3,G154/4))))</f>
        <v>603.53747999999996</v>
      </c>
      <c r="I154" s="33"/>
      <c r="L154" s="69"/>
      <c r="M154" s="69"/>
      <c r="N154" s="33"/>
    </row>
    <row r="155" spans="1:20" s="34" customFormat="1" hidden="1" x14ac:dyDescent="0.3">
      <c r="A155" s="74" t="s">
        <v>117</v>
      </c>
      <c r="B155" s="74"/>
      <c r="C155" s="74"/>
      <c r="D155" s="74"/>
      <c r="E155" s="74"/>
      <c r="F155" s="74"/>
      <c r="G155" s="74"/>
      <c r="H155" s="74"/>
      <c r="J155" s="33"/>
    </row>
    <row r="156" spans="1:20" s="34" customFormat="1" ht="15.75" hidden="1" customHeight="1" x14ac:dyDescent="0.3">
      <c r="A156" s="70">
        <v>1</v>
      </c>
      <c r="B156" s="70"/>
      <c r="C156" s="48"/>
      <c r="D156" s="48"/>
      <c r="E156" s="48">
        <v>0</v>
      </c>
      <c r="F156" s="48">
        <f>D156+E156</f>
        <v>0</v>
      </c>
      <c r="G156" s="48">
        <v>0</v>
      </c>
      <c r="H156" s="48">
        <f>F156*(($H$124)+1)+(IF(G156&lt;101,G156,IF(G156&lt;201,G156/2,IF(G156&lt;=301,G156/3,G156/4))))</f>
        <v>0</v>
      </c>
      <c r="I156" s="33"/>
      <c r="L156" s="69"/>
      <c r="M156" s="69"/>
      <c r="N156" s="33"/>
      <c r="T156" s="18"/>
    </row>
    <row r="157" spans="1:20" s="34" customFormat="1" ht="15.75" hidden="1" customHeight="1" x14ac:dyDescent="0.3">
      <c r="A157" s="70">
        <f>A156+1</f>
        <v>2</v>
      </c>
      <c r="B157" s="70"/>
      <c r="C157" s="48"/>
      <c r="D157" s="48"/>
      <c r="E157" s="48">
        <v>0</v>
      </c>
      <c r="F157" s="48">
        <f>D157+E157</f>
        <v>0</v>
      </c>
      <c r="G157" s="48">
        <v>0</v>
      </c>
      <c r="H157" s="48">
        <f>F157*(($H$124)+1)+(IF(G157&lt;101,G157,IF(G157&lt;201,G157/2,IF(G157&lt;=301,G157/3,G157/4))))</f>
        <v>0</v>
      </c>
      <c r="I157" s="33"/>
      <c r="L157" s="69"/>
      <c r="M157" s="69"/>
      <c r="N157" s="33"/>
    </row>
    <row r="158" spans="1:20" s="34" customFormat="1" ht="15.75" hidden="1" customHeight="1" x14ac:dyDescent="0.3">
      <c r="A158" s="70">
        <f>A157+1</f>
        <v>3</v>
      </c>
      <c r="B158" s="70"/>
      <c r="C158" s="48"/>
      <c r="D158" s="48"/>
      <c r="E158" s="48">
        <v>0</v>
      </c>
      <c r="F158" s="48">
        <f>D158+E158</f>
        <v>0</v>
      </c>
      <c r="G158" s="48">
        <v>0</v>
      </c>
      <c r="H158" s="48">
        <f>F158*(($H$124)+1)+(IF(G158&lt;101,G158,IF(G158&lt;201,G158/2,IF(G158&lt;=301,G158/3,G158/4))))</f>
        <v>0</v>
      </c>
      <c r="I158" s="33"/>
      <c r="L158" s="69"/>
      <c r="M158" s="69"/>
      <c r="N158" s="33"/>
    </row>
    <row r="159" spans="1:20" s="34" customFormat="1" ht="15.75" hidden="1" customHeight="1" x14ac:dyDescent="0.3">
      <c r="A159" s="70">
        <f>A158+1</f>
        <v>4</v>
      </c>
      <c r="B159" s="70"/>
      <c r="C159" s="48"/>
      <c r="D159" s="48"/>
      <c r="E159" s="48">
        <v>0</v>
      </c>
      <c r="F159" s="48">
        <f>D159+E159</f>
        <v>0</v>
      </c>
      <c r="G159" s="48">
        <v>0</v>
      </c>
      <c r="H159" s="48">
        <f>F159*(($H$124)+1)+(IF(G159&lt;101,G159,IF(G159&lt;201,G159/2,IF(G159&lt;=301,G159/3,G159/4))))</f>
        <v>0</v>
      </c>
      <c r="I159" s="33"/>
      <c r="L159" s="69"/>
      <c r="M159" s="69"/>
      <c r="N159" s="33"/>
    </row>
    <row r="160" spans="1:20" s="34" customFormat="1" hidden="1" x14ac:dyDescent="0.3">
      <c r="A160" s="74" t="s">
        <v>118</v>
      </c>
      <c r="B160" s="74"/>
      <c r="C160" s="74"/>
      <c r="D160" s="74"/>
      <c r="E160" s="74"/>
      <c r="F160" s="74"/>
      <c r="G160" s="74"/>
      <c r="H160" s="74"/>
      <c r="I160" s="33"/>
      <c r="L160" s="69"/>
      <c r="M160" s="69"/>
    </row>
    <row r="161" spans="1:14" s="34" customFormat="1" hidden="1" x14ac:dyDescent="0.3">
      <c r="A161" s="70">
        <f>LEFT(A160,SUM(LEN(A160)-LEN(SUBSTITUTE(A160,{"0","1","2","3","4","5","6","7","8","9"},""))))*100+1</f>
        <v>201</v>
      </c>
      <c r="B161" s="70"/>
      <c r="C161" s="48"/>
      <c r="D161" s="48"/>
      <c r="E161" s="48">
        <v>0</v>
      </c>
      <c r="F161" s="48">
        <f>D161+E161</f>
        <v>0</v>
      </c>
      <c r="G161" s="48">
        <v>0</v>
      </c>
      <c r="H161" s="48">
        <f>F161*(($H$124)+1)+(IF(G161&lt;101,G161,IF(G161&lt;201,G161/2,IF(G161&lt;=301,G161/3,G161/4))))</f>
        <v>0</v>
      </c>
      <c r="I161" s="33"/>
      <c r="N161" s="33"/>
    </row>
    <row r="162" spans="1:14" s="34" customFormat="1" hidden="1" x14ac:dyDescent="0.3">
      <c r="A162" s="70">
        <f>A161+1</f>
        <v>202</v>
      </c>
      <c r="B162" s="70"/>
      <c r="C162" s="48"/>
      <c r="D162" s="48"/>
      <c r="E162" s="48">
        <v>0</v>
      </c>
      <c r="F162" s="48">
        <f>D162+E162</f>
        <v>0</v>
      </c>
      <c r="G162" s="48">
        <v>0</v>
      </c>
      <c r="H162" s="48">
        <f>F162*(($H$124)+1)+(IF(G162&lt;101,G162,IF(G162&lt;201,G162/2,IF(G162&lt;=301,G162/3,G162/4))))</f>
        <v>0</v>
      </c>
      <c r="I162" s="33"/>
      <c r="N162" s="33"/>
    </row>
    <row r="163" spans="1:14" s="34" customFormat="1" hidden="1" x14ac:dyDescent="0.3">
      <c r="A163" s="70">
        <f>A162+1</f>
        <v>203</v>
      </c>
      <c r="B163" s="70"/>
      <c r="C163" s="48"/>
      <c r="D163" s="48"/>
      <c r="E163" s="48">
        <v>0</v>
      </c>
      <c r="F163" s="48">
        <f>D163+E163</f>
        <v>0</v>
      </c>
      <c r="G163" s="48">
        <v>0</v>
      </c>
      <c r="H163" s="48">
        <f>F163*(($H$124)+1)+(IF(G163&lt;101,G163,IF(G163&lt;201,G163/2,IF(G163&lt;=301,G163/3,G163/4))))</f>
        <v>0</v>
      </c>
      <c r="I163" s="33"/>
      <c r="N163" s="33"/>
    </row>
    <row r="164" spans="1:14" s="34" customFormat="1" hidden="1" x14ac:dyDescent="0.3">
      <c r="A164" s="70">
        <f>A163+1</f>
        <v>204</v>
      </c>
      <c r="B164" s="70"/>
      <c r="C164" s="48"/>
      <c r="D164" s="48"/>
      <c r="E164" s="48">
        <v>0</v>
      </c>
      <c r="F164" s="48">
        <f>D164+E164</f>
        <v>0</v>
      </c>
      <c r="G164" s="48">
        <v>0</v>
      </c>
      <c r="H164" s="48">
        <f>F164*(($H$124)+1)+(IF(G164&lt;101,G164,IF(G164&lt;201,G164/2,IF(G164&lt;=301,G164/3,G164/4))))</f>
        <v>0</v>
      </c>
      <c r="I164" s="33"/>
      <c r="N164" s="33"/>
    </row>
    <row r="165" spans="1:14" s="34" customFormat="1" hidden="1" x14ac:dyDescent="0.3">
      <c r="A165" s="70">
        <f>A164+1</f>
        <v>205</v>
      </c>
      <c r="B165" s="70"/>
      <c r="C165" s="48"/>
      <c r="D165" s="48"/>
      <c r="E165" s="48">
        <v>0</v>
      </c>
      <c r="F165" s="48">
        <f>D165+E165</f>
        <v>0</v>
      </c>
      <c r="G165" s="48">
        <v>0</v>
      </c>
      <c r="H165" s="48">
        <f>F165*(($H$124)+1)+(IF(G165&lt;101,G165,IF(G165&lt;201,G165/2,IF(G165&lt;=301,G165/3,G165/4))))</f>
        <v>0</v>
      </c>
      <c r="I165" s="33"/>
      <c r="N165" s="33"/>
    </row>
    <row r="166" spans="1:14" s="34" customFormat="1" ht="15.75" hidden="1" customHeight="1" x14ac:dyDescent="0.3">
      <c r="A166" s="74" t="s">
        <v>152</v>
      </c>
      <c r="B166" s="74"/>
      <c r="C166" s="74"/>
      <c r="D166" s="74"/>
      <c r="E166" s="74"/>
      <c r="F166" s="74"/>
      <c r="G166" s="74"/>
      <c r="H166" s="74"/>
      <c r="I166" s="33"/>
    </row>
    <row r="167" spans="1:14" s="34" customFormat="1" ht="15.75" hidden="1" customHeight="1" x14ac:dyDescent="0.3">
      <c r="A167" s="70"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10^ROW(INDIRECT("1:"&amp;LEN((LEFT(A166,SUM(LEN(A166)-LEN(SUBSTITUTE(A166,{"0","1","2"},""))))))))/10))*100+1&amp;""&amp;" ,..,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",LEN(A166))),LEN(A166)))))))/10))*100+1</f>
        <v>301 ,.., 1501</v>
      </c>
      <c r="B167" s="70"/>
      <c r="C167" s="48"/>
      <c r="D167" s="48"/>
      <c r="E167" s="48">
        <v>0</v>
      </c>
      <c r="F167" s="48">
        <f>D167+E167</f>
        <v>0</v>
      </c>
      <c r="G167" s="48">
        <v>0</v>
      </c>
      <c r="H167" s="48">
        <f>F167*(($H$124)+1)+(IF(G167&lt;101,G167,IF(G167&lt;201,G167/2,IF(G167&lt;=301,G167/3,G167/4))))</f>
        <v>0</v>
      </c>
      <c r="I167" s="33"/>
    </row>
    <row r="168" spans="1:14" s="34" customFormat="1" ht="15.75" hidden="1" customHeight="1" x14ac:dyDescent="0.3">
      <c r="A168" s="70"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302 ,.., 1502</v>
      </c>
      <c r="B168" s="70"/>
      <c r="C168" s="48"/>
      <c r="D168" s="48"/>
      <c r="E168" s="48">
        <v>0</v>
      </c>
      <c r="F168" s="48">
        <f>D168+E168</f>
        <v>0</v>
      </c>
      <c r="G168" s="48">
        <v>0</v>
      </c>
      <c r="H168" s="48">
        <f>F168*(($H$124)+1)+(IF(G168&lt;101,G168,IF(G168&lt;201,G168/2,IF(G168&lt;=301,G168/3,G168/4))))</f>
        <v>0</v>
      </c>
      <c r="I168" s="33"/>
    </row>
    <row r="169" spans="1:14" s="34" customFormat="1" ht="15.75" hidden="1" customHeight="1" x14ac:dyDescent="0.3">
      <c r="A169" s="70"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303 ,.., 1503</v>
      </c>
      <c r="B169" s="70"/>
      <c r="C169" s="48"/>
      <c r="D169" s="48"/>
      <c r="E169" s="48">
        <v>0</v>
      </c>
      <c r="F169" s="48">
        <f>D169+E169</f>
        <v>0</v>
      </c>
      <c r="G169" s="48">
        <v>0</v>
      </c>
      <c r="H169" s="48">
        <f>F169*(($H$124)+1)+(IF(G169&lt;101,G169,IF(G169&lt;201,G169/2,IF(G169&lt;=301,G169/3,G169/4))))</f>
        <v>0</v>
      </c>
      <c r="I169" s="33"/>
    </row>
    <row r="170" spans="1:14" s="34" customFormat="1" ht="15.75" hidden="1" customHeight="1" x14ac:dyDescent="0.3">
      <c r="A170" s="70"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304 ,.., 1504</v>
      </c>
      <c r="B170" s="70"/>
      <c r="C170" s="48"/>
      <c r="D170" s="48"/>
      <c r="E170" s="48">
        <v>0</v>
      </c>
      <c r="F170" s="48">
        <f>D170+E170</f>
        <v>0</v>
      </c>
      <c r="G170" s="48">
        <v>0</v>
      </c>
      <c r="H170" s="48">
        <f>F170*(($H$124)+1)+(IF(G170&lt;101,G170,IF(G170&lt;201,G170/2,IF(G170&lt;=301,G170/3,G170/4))))</f>
        <v>0</v>
      </c>
      <c r="I170" s="33"/>
    </row>
    <row r="171" spans="1:14" s="34" customFormat="1" ht="15.75" hidden="1" customHeight="1" x14ac:dyDescent="0.3">
      <c r="A171" s="70"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10^ROW(INDIRECT("1:"&amp;LEN((LEFT(A170,SUM(LEN(A170)-LEN(SUBSTITUTE(A170,{"0","1","2"},""))))))))/10))*1+1&amp;""&amp;" ,..,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",LEN(A170))),LEN(A170)))))))/10))*1+1</f>
        <v>305 ,.., 1505</v>
      </c>
      <c r="B171" s="70"/>
      <c r="C171" s="48"/>
      <c r="D171" s="48"/>
      <c r="E171" s="48">
        <v>0</v>
      </c>
      <c r="F171" s="48">
        <f>D171+E171</f>
        <v>0</v>
      </c>
      <c r="G171" s="48">
        <v>0</v>
      </c>
      <c r="H171" s="48">
        <f>F171*(($H$124)+1)+(IF(G171&lt;101,G171,IF(G171&lt;201,G171/2,IF(G171&lt;=301,G171/3,G171/4))))</f>
        <v>0</v>
      </c>
      <c r="I171" s="33"/>
    </row>
    <row r="172" spans="1:14" s="34" customFormat="1" hidden="1" x14ac:dyDescent="0.3">
      <c r="A172" s="74" t="s">
        <v>146</v>
      </c>
      <c r="B172" s="74"/>
      <c r="C172" s="74"/>
      <c r="D172" s="74"/>
      <c r="E172" s="74"/>
      <c r="F172" s="74"/>
      <c r="G172" s="74"/>
      <c r="H172" s="74"/>
      <c r="I172" s="33"/>
    </row>
    <row r="173" spans="1:14" s="34" customFormat="1" ht="15.75" hidden="1" customHeight="1" x14ac:dyDescent="0.3">
      <c r="A173" s="70"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10^ROW(INDIRECT("1:"&amp;LEN((LEFT(A172,SUM(LEN(A172)-LEN(SUBSTITUTE(A172,{"0","1","2"},""))))))))/10))*100+1&amp;""&amp;" to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",LEN(A172))),LEN(A172)))))))/10))*100+1</f>
        <v>201 to 501</v>
      </c>
      <c r="B173" s="70"/>
      <c r="C173" s="48"/>
      <c r="D173" s="48"/>
      <c r="E173" s="48">
        <v>0</v>
      </c>
      <c r="F173" s="48">
        <f>D173+E173</f>
        <v>0</v>
      </c>
      <c r="G173" s="48">
        <v>0</v>
      </c>
      <c r="H173" s="48">
        <f>F173*(($H$124)+1)+(IF(G173&lt;101,G173,IF(G173&lt;201,G173/2,IF(G173&lt;=301,G173/3,G173/4))))</f>
        <v>0</v>
      </c>
      <c r="I173" s="33"/>
    </row>
    <row r="174" spans="1:14" s="34" customFormat="1" ht="15.75" hidden="1" customHeight="1" x14ac:dyDescent="0.3">
      <c r="A174" s="70"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to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202 to 502</v>
      </c>
      <c r="B174" s="70"/>
      <c r="C174" s="48"/>
      <c r="D174" s="48"/>
      <c r="E174" s="48">
        <v>0</v>
      </c>
      <c r="F174" s="48">
        <f>D174+E174</f>
        <v>0</v>
      </c>
      <c r="G174" s="48">
        <v>0</v>
      </c>
      <c r="H174" s="48">
        <f>F174*(($H$124)+1)+(IF(G174&lt;101,G174,IF(G174&lt;201,G174/2,IF(G174&lt;=301,G174/3,G174/4))))</f>
        <v>0</v>
      </c>
      <c r="I174" s="33"/>
    </row>
    <row r="175" spans="1:14" s="34" customFormat="1" ht="15.75" hidden="1" customHeight="1" x14ac:dyDescent="0.3">
      <c r="A175" s="70"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to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203 to 503</v>
      </c>
      <c r="B175" s="70"/>
      <c r="C175" s="48"/>
      <c r="D175" s="48"/>
      <c r="E175" s="48">
        <v>0</v>
      </c>
      <c r="F175" s="48">
        <f>D175+E175</f>
        <v>0</v>
      </c>
      <c r="G175" s="48">
        <v>0</v>
      </c>
      <c r="H175" s="48">
        <f>F175*(($H$124)+1)+(IF(G175&lt;101,G175,IF(G175&lt;201,G175/2,IF(G175&lt;=301,G175/3,G175/4))))</f>
        <v>0</v>
      </c>
      <c r="I175" s="33"/>
    </row>
    <row r="176" spans="1:14" s="34" customFormat="1" ht="15.75" hidden="1" customHeight="1" x14ac:dyDescent="0.3">
      <c r="A176" s="70"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to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204 to 504</v>
      </c>
      <c r="B176" s="70"/>
      <c r="C176" s="48"/>
      <c r="D176" s="48"/>
      <c r="E176" s="48">
        <v>0</v>
      </c>
      <c r="F176" s="48">
        <f>D176+E176</f>
        <v>0</v>
      </c>
      <c r="G176" s="48">
        <v>0</v>
      </c>
      <c r="H176" s="48">
        <f>F176*(($H$124)+1)+(IF(G176&lt;101,G176,IF(G176&lt;201,G176/2,IF(G176&lt;=301,G176/3,G176/4))))</f>
        <v>0</v>
      </c>
      <c r="I176" s="33"/>
    </row>
    <row r="177" spans="1:20" s="34" customFormat="1" ht="15.75" hidden="1" customHeight="1" x14ac:dyDescent="0.3">
      <c r="A177" s="70"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to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205 to 505</v>
      </c>
      <c r="B177" s="70"/>
      <c r="C177" s="48"/>
      <c r="D177" s="48"/>
      <c r="E177" s="48">
        <v>0</v>
      </c>
      <c r="F177" s="48">
        <f>D177+E177</f>
        <v>0</v>
      </c>
      <c r="G177" s="48">
        <v>0</v>
      </c>
      <c r="H177" s="48">
        <f>F177*(($H$124)+1)+(IF(G177&lt;101,G177,IF(G177&lt;201,G177/2,IF(G177&lt;=301,G177/3,G177/4))))</f>
        <v>0</v>
      </c>
      <c r="I177" s="33"/>
    </row>
    <row r="178" spans="1:20" s="34" customFormat="1" hidden="1" x14ac:dyDescent="0.3">
      <c r="A178" s="74" t="s">
        <v>147</v>
      </c>
      <c r="B178" s="74"/>
      <c r="C178" s="74"/>
      <c r="D178" s="74"/>
      <c r="E178" s="74"/>
      <c r="F178" s="74"/>
      <c r="G178" s="74"/>
      <c r="H178" s="74"/>
      <c r="I178" s="33"/>
    </row>
    <row r="179" spans="1:20" s="34" customFormat="1" ht="15.75" hidden="1" customHeight="1" x14ac:dyDescent="0.3">
      <c r="A179" s="7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10^ROW(INDIRECT("1:"&amp;LEN((LEFT(A178,SUM(LEN(A178)-LEN(SUBSTITUTE(A178,{"0","1","2"},""))))))))/10))*100+1&amp;""&amp;" &amp;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",LEN(A178))),LEN(A178)))))))/10))*100+1</f>
        <v>201 &amp; 501</v>
      </c>
      <c r="B179" s="70"/>
      <c r="C179" s="48"/>
      <c r="D179" s="48"/>
      <c r="E179" s="48">
        <v>0</v>
      </c>
      <c r="F179" s="48">
        <f>D179+E179</f>
        <v>0</v>
      </c>
      <c r="G179" s="48">
        <v>0</v>
      </c>
      <c r="H179" s="48">
        <f>F179*(($H$124)+1)+(IF(G179&lt;101,G179,IF(G179&lt;201,G179/2,IF(G179&lt;=301,G179/3,G179/4))))</f>
        <v>0</v>
      </c>
      <c r="I179" s="33"/>
    </row>
    <row r="180" spans="1:20" s="34" customFormat="1" ht="15.75" hidden="1" customHeight="1" x14ac:dyDescent="0.3">
      <c r="A180" s="70"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&amp;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202 &amp; 502</v>
      </c>
      <c r="B180" s="70"/>
      <c r="C180" s="48"/>
      <c r="D180" s="48"/>
      <c r="E180" s="48">
        <v>0</v>
      </c>
      <c r="F180" s="48">
        <f>D180+E180</f>
        <v>0</v>
      </c>
      <c r="G180" s="48">
        <v>0</v>
      </c>
      <c r="H180" s="48">
        <f>F180*(($H$124)+1)+(IF(G180&lt;101,G180,IF(G180&lt;201,G180/2,IF(G180&lt;=301,G180/3,G180/4))))</f>
        <v>0</v>
      </c>
      <c r="I180" s="33"/>
    </row>
    <row r="181" spans="1:20" s="34" customFormat="1" ht="15.75" hidden="1" customHeight="1" x14ac:dyDescent="0.3">
      <c r="A181" s="7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&amp;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203 &amp; 503</v>
      </c>
      <c r="B181" s="70"/>
      <c r="C181" s="48"/>
      <c r="D181" s="48"/>
      <c r="E181" s="48">
        <v>0</v>
      </c>
      <c r="F181" s="48">
        <f>D181+E181</f>
        <v>0</v>
      </c>
      <c r="G181" s="48">
        <v>0</v>
      </c>
      <c r="H181" s="48">
        <f>F181*(($H$124)+1)+(IF(G181&lt;101,G181,IF(G181&lt;201,G181/2,IF(G181&lt;=301,G181/3,G181/4))))</f>
        <v>0</v>
      </c>
      <c r="I181" s="33"/>
    </row>
    <row r="182" spans="1:20" s="34" customFormat="1" ht="15.75" hidden="1" customHeight="1" x14ac:dyDescent="0.3">
      <c r="A182" s="70"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&amp;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204 &amp; 504</v>
      </c>
      <c r="B182" s="70"/>
      <c r="C182" s="48"/>
      <c r="D182" s="48"/>
      <c r="E182" s="48">
        <v>0</v>
      </c>
      <c r="F182" s="48">
        <f>D182+E182</f>
        <v>0</v>
      </c>
      <c r="G182" s="48">
        <v>0</v>
      </c>
      <c r="H182" s="48">
        <f>F182*(($H$124)+1)+(IF(G182&lt;101,G182,IF(G182&lt;201,G182/2,IF(G182&lt;=301,G182/3,G182/4))))</f>
        <v>0</v>
      </c>
      <c r="I182" s="33"/>
    </row>
    <row r="183" spans="1:20" s="34" customFormat="1" ht="15.75" hidden="1" customHeight="1" x14ac:dyDescent="0.3">
      <c r="A183" s="70"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&amp;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205 &amp; 505</v>
      </c>
      <c r="B183" s="70"/>
      <c r="C183" s="48"/>
      <c r="D183" s="48"/>
      <c r="E183" s="48">
        <v>0</v>
      </c>
      <c r="F183" s="48">
        <f>D183+E183</f>
        <v>0</v>
      </c>
      <c r="G183" s="48">
        <v>0</v>
      </c>
      <c r="H183" s="48">
        <f>F183*(($H$124)+1)+(IF(G183&lt;101,G183,IF(G183&lt;201,G183/2,IF(G183&lt;=301,G183/3,G183/4))))</f>
        <v>0</v>
      </c>
      <c r="I183" s="33"/>
    </row>
    <row r="184" spans="1:20" s="32" customFormat="1" x14ac:dyDescent="0.3">
      <c r="A184" s="80" t="s">
        <v>65</v>
      </c>
      <c r="B184" s="80"/>
      <c r="C184" s="80"/>
      <c r="D184" s="80"/>
      <c r="E184" s="80"/>
      <c r="F184" s="80"/>
      <c r="G184" s="80"/>
      <c r="H184" s="80"/>
      <c r="T184" s="34"/>
    </row>
    <row r="185" spans="1:20" s="32" customFormat="1" x14ac:dyDescent="0.3">
      <c r="A185" s="40" t="s">
        <v>156</v>
      </c>
      <c r="B185" s="172" t="s">
        <v>348</v>
      </c>
      <c r="C185" s="173"/>
      <c r="D185" s="173"/>
      <c r="E185" s="173"/>
      <c r="F185" s="173"/>
      <c r="G185" s="173"/>
      <c r="H185" s="174"/>
      <c r="T185" s="34"/>
    </row>
    <row r="186" spans="1:20" s="32" customFormat="1" x14ac:dyDescent="0.3">
      <c r="A186" s="40" t="s">
        <v>156</v>
      </c>
      <c r="B186" s="172" t="str">
        <f>(IF(H123="Saleable area Loading :","We have considered Saleable area of Flats as per our Calculation.","We considered Saleable area of Flat as per Builder area Sheet."))</f>
        <v>We have considered Saleable area of Flats as per our Calculation.</v>
      </c>
      <c r="C186" s="173"/>
      <c r="D186" s="173"/>
      <c r="E186" s="173"/>
      <c r="F186" s="173"/>
      <c r="G186" s="173"/>
      <c r="H186" s="174"/>
      <c r="T186" s="34"/>
    </row>
    <row r="187" spans="1:20" s="32" customFormat="1" x14ac:dyDescent="0.3">
      <c r="A187" s="40" t="s">
        <v>156</v>
      </c>
      <c r="B187" s="172" t="str">
        <f>(IF(H111="Saleable area Loading :","We have considered Saleable area of Commercial as per our Calculation.","We considered Saleable area of Commercial as per Builder area Sheet."))</f>
        <v>We have considered Saleable area of Commercial as per our Calculation.</v>
      </c>
      <c r="C187" s="173"/>
      <c r="D187" s="173"/>
      <c r="E187" s="173"/>
      <c r="F187" s="173"/>
      <c r="G187" s="173"/>
      <c r="H187" s="174"/>
    </row>
    <row r="188" spans="1:20" s="32" customFormat="1" x14ac:dyDescent="0.3">
      <c r="A188" s="40" t="s">
        <v>156</v>
      </c>
      <c r="B188" s="71" t="s">
        <v>123</v>
      </c>
      <c r="C188" s="72"/>
      <c r="D188" s="72"/>
      <c r="E188" s="72"/>
      <c r="F188" s="72"/>
      <c r="G188" s="72"/>
      <c r="H188" s="73"/>
    </row>
    <row r="189" spans="1:20" s="32" customFormat="1" x14ac:dyDescent="0.3">
      <c r="A189" s="40" t="s">
        <v>156</v>
      </c>
      <c r="B189" s="71" t="s">
        <v>332</v>
      </c>
      <c r="C189" s="72"/>
      <c r="D189" s="72"/>
      <c r="E189" s="72"/>
      <c r="F189" s="72"/>
      <c r="G189" s="72"/>
      <c r="H189" s="73"/>
    </row>
    <row r="190" spans="1:20" s="32" customFormat="1" x14ac:dyDescent="0.3">
      <c r="A190" s="40" t="s">
        <v>156</v>
      </c>
      <c r="B190" s="71" t="s">
        <v>155</v>
      </c>
      <c r="C190" s="72"/>
      <c r="D190" s="72"/>
      <c r="E190" s="72"/>
      <c r="F190" s="72"/>
      <c r="G190" s="72"/>
      <c r="H190" s="73"/>
    </row>
    <row r="191" spans="1:20" s="32" customFormat="1" x14ac:dyDescent="0.3">
      <c r="A191" s="40" t="s">
        <v>156</v>
      </c>
      <c r="B191" s="71" t="s">
        <v>124</v>
      </c>
      <c r="C191" s="72"/>
      <c r="D191" s="72"/>
      <c r="E191" s="72"/>
      <c r="F191" s="72"/>
      <c r="G191" s="72"/>
      <c r="H191" s="73"/>
    </row>
    <row r="192" spans="1:20" s="32" customFormat="1" ht="34.5" customHeight="1" x14ac:dyDescent="0.3">
      <c r="A192" s="40" t="s">
        <v>156</v>
      </c>
      <c r="B192" s="71" t="s">
        <v>157</v>
      </c>
      <c r="C192" s="72"/>
      <c r="D192" s="72"/>
      <c r="E192" s="72"/>
      <c r="F192" s="72"/>
      <c r="G192" s="72"/>
      <c r="H192" s="73"/>
    </row>
    <row r="193" spans="1:20" s="32" customFormat="1" x14ac:dyDescent="0.3">
      <c r="A193" s="40" t="s">
        <v>156</v>
      </c>
      <c r="B193" s="71" t="s">
        <v>125</v>
      </c>
      <c r="C193" s="72"/>
      <c r="D193" s="72"/>
      <c r="E193" s="72"/>
      <c r="F193" s="72"/>
      <c r="G193" s="72"/>
      <c r="H193" s="73"/>
    </row>
    <row r="194" spans="1:20" s="32" customFormat="1" ht="32.25" customHeight="1" x14ac:dyDescent="0.3">
      <c r="A194" s="40" t="s">
        <v>156</v>
      </c>
      <c r="B194" s="172" t="s">
        <v>303</v>
      </c>
      <c r="C194" s="173"/>
      <c r="D194" s="173"/>
      <c r="E194" s="173"/>
      <c r="F194" s="173"/>
      <c r="G194" s="173"/>
      <c r="H194" s="174"/>
    </row>
    <row r="195" spans="1:20" s="32" customFormat="1" hidden="1" x14ac:dyDescent="0.3">
      <c r="A195" s="40" t="s">
        <v>156</v>
      </c>
      <c r="B195" s="71" t="s">
        <v>353</v>
      </c>
      <c r="C195" s="72"/>
      <c r="D195" s="72"/>
      <c r="E195" s="72"/>
      <c r="F195" s="72"/>
      <c r="G195" s="72"/>
      <c r="H195" s="73"/>
    </row>
    <row r="196" spans="1:20" s="32" customFormat="1" ht="15.45" customHeight="1" x14ac:dyDescent="0.3">
      <c r="A196" s="40" t="s">
        <v>156</v>
      </c>
      <c r="B196" s="71" t="s">
        <v>352</v>
      </c>
      <c r="C196" s="72"/>
      <c r="D196" s="72"/>
      <c r="E196" s="72"/>
      <c r="F196" s="72"/>
      <c r="G196" s="72"/>
      <c r="H196" s="73"/>
    </row>
    <row r="197" spans="1:20" x14ac:dyDescent="0.3">
      <c r="A197" s="157" t="s">
        <v>58</v>
      </c>
      <c r="B197" s="157"/>
      <c r="C197" s="157"/>
      <c r="D197" s="157"/>
      <c r="E197" s="157"/>
      <c r="F197" s="157"/>
      <c r="G197" s="157"/>
      <c r="H197" s="157"/>
      <c r="T197" s="32"/>
    </row>
    <row r="198" spans="1:20" x14ac:dyDescent="0.3">
      <c r="A198" s="88" t="s">
        <v>59</v>
      </c>
      <c r="B198" s="88"/>
      <c r="C198" s="88"/>
      <c r="D198" s="88"/>
      <c r="E198" s="88"/>
      <c r="F198" s="88"/>
      <c r="G198" s="88"/>
      <c r="H198" s="88"/>
      <c r="T198" s="32"/>
    </row>
    <row r="199" spans="1:20" ht="15.75" customHeight="1" x14ac:dyDescent="0.3">
      <c r="A199" s="159" t="s">
        <v>60</v>
      </c>
      <c r="B199" s="159"/>
      <c r="C199" s="159"/>
      <c r="D199" s="159"/>
      <c r="E199" s="159"/>
      <c r="F199" s="159"/>
      <c r="G199" s="159"/>
      <c r="H199" s="159"/>
      <c r="T199" s="32"/>
    </row>
    <row r="200" spans="1:20" x14ac:dyDescent="0.3">
      <c r="A200" s="88" t="s">
        <v>61</v>
      </c>
      <c r="B200" s="88"/>
      <c r="C200" s="88"/>
      <c r="D200" s="88"/>
      <c r="E200" s="88"/>
      <c r="F200" s="88"/>
      <c r="G200" s="88"/>
      <c r="H200" s="88"/>
    </row>
    <row r="201" spans="1:20" x14ac:dyDescent="0.3">
      <c r="A201" s="88" t="s">
        <v>62</v>
      </c>
      <c r="B201" s="88"/>
      <c r="C201" s="88"/>
      <c r="D201" s="88"/>
      <c r="E201" s="88"/>
      <c r="F201" s="88"/>
      <c r="G201" s="88"/>
      <c r="H201" s="88"/>
    </row>
    <row r="202" spans="1:20" x14ac:dyDescent="0.3">
      <c r="A202" s="88" t="s">
        <v>126</v>
      </c>
      <c r="B202" s="88"/>
      <c r="C202" s="88"/>
      <c r="D202" s="88"/>
      <c r="E202" s="88"/>
      <c r="F202" s="88"/>
      <c r="G202" s="88"/>
      <c r="H202" s="88"/>
    </row>
    <row r="203" spans="1:20" ht="34.049999999999997" customHeight="1" x14ac:dyDescent="0.3">
      <c r="A203" s="101" t="s">
        <v>127</v>
      </c>
      <c r="B203" s="101"/>
      <c r="C203" s="101"/>
      <c r="D203" s="101"/>
      <c r="E203" s="101"/>
      <c r="F203" s="101"/>
      <c r="G203" s="101"/>
      <c r="H203" s="101"/>
    </row>
    <row r="204" spans="1:20" x14ac:dyDescent="0.3">
      <c r="A204" s="153" t="s">
        <v>74</v>
      </c>
      <c r="B204" s="153"/>
      <c r="C204" s="153" t="s">
        <v>355</v>
      </c>
      <c r="D204" s="153"/>
      <c r="E204" s="153" t="s">
        <v>104</v>
      </c>
      <c r="F204" s="153"/>
      <c r="G204" s="153" t="s">
        <v>354</v>
      </c>
      <c r="H204" s="153"/>
    </row>
    <row r="205" spans="1:20" x14ac:dyDescent="0.3">
      <c r="A205" s="152" t="s">
        <v>76</v>
      </c>
      <c r="B205" s="152"/>
      <c r="C205" s="152"/>
      <c r="D205" s="152"/>
      <c r="E205" s="152"/>
      <c r="F205" s="152"/>
      <c r="G205" s="152"/>
      <c r="H205" s="152"/>
    </row>
    <row r="206" spans="1:20" x14ac:dyDescent="0.3">
      <c r="A206" s="152"/>
      <c r="B206" s="152"/>
      <c r="C206" s="152"/>
      <c r="D206" s="152"/>
      <c r="E206" s="152"/>
      <c r="F206" s="152"/>
      <c r="G206" s="152"/>
      <c r="H206" s="152"/>
    </row>
    <row r="207" spans="1:20" x14ac:dyDescent="0.3">
      <c r="A207" s="152"/>
      <c r="B207" s="152"/>
      <c r="C207" s="152"/>
      <c r="D207" s="152"/>
      <c r="E207" s="152"/>
      <c r="F207" s="152"/>
      <c r="G207" s="152"/>
      <c r="H207" s="152"/>
    </row>
    <row r="208" spans="1:20" x14ac:dyDescent="0.3">
      <c r="A208" s="152"/>
      <c r="B208" s="152"/>
      <c r="C208" s="152"/>
      <c r="D208" s="152"/>
      <c r="E208" s="152"/>
      <c r="F208" s="152"/>
      <c r="G208" s="152"/>
      <c r="H208" s="152"/>
    </row>
    <row r="209" spans="1:8" x14ac:dyDescent="0.3">
      <c r="A209" s="35" t="s">
        <v>63</v>
      </c>
      <c r="B209" s="36"/>
      <c r="C209" s="36"/>
      <c r="D209" s="35" t="str">
        <f>E9</f>
        <v>Gurukrupa Darshanam</v>
      </c>
      <c r="F209" s="36"/>
      <c r="G209" s="36"/>
      <c r="H209" s="36"/>
    </row>
    <row r="210" spans="1:8" x14ac:dyDescent="0.3">
      <c r="A210" s="36"/>
      <c r="B210" s="36"/>
      <c r="C210" s="36"/>
      <c r="D210" s="36"/>
      <c r="E210" s="36"/>
      <c r="F210" s="36"/>
      <c r="G210" s="36"/>
      <c r="H210" s="36"/>
    </row>
    <row r="211" spans="1:8" x14ac:dyDescent="0.3">
      <c r="A211" s="36"/>
      <c r="B211" s="36"/>
      <c r="C211" s="36"/>
      <c r="D211" s="36"/>
      <c r="E211" s="36"/>
      <c r="F211" s="36"/>
      <c r="G211" s="36"/>
      <c r="H211" s="36"/>
    </row>
    <row r="212" spans="1:8" ht="15" customHeight="1" x14ac:dyDescent="0.3"/>
    <row r="251" spans="1:1" x14ac:dyDescent="0.3">
      <c r="A251" s="38" t="s">
        <v>167</v>
      </c>
    </row>
    <row r="293" spans="1:1" x14ac:dyDescent="0.3">
      <c r="A293" s="38" t="s">
        <v>64</v>
      </c>
    </row>
  </sheetData>
  <mergeCells count="381">
    <mergeCell ref="A119:B119"/>
    <mergeCell ref="L119:M119"/>
    <mergeCell ref="A116:B116"/>
    <mergeCell ref="A60:B60"/>
    <mergeCell ref="C60:E60"/>
    <mergeCell ref="D62:H62"/>
    <mergeCell ref="F96:H96"/>
    <mergeCell ref="E101:F101"/>
    <mergeCell ref="A101:B101"/>
    <mergeCell ref="C105:D105"/>
    <mergeCell ref="D70:H70"/>
    <mergeCell ref="A71:C71"/>
    <mergeCell ref="A82:B82"/>
    <mergeCell ref="A113:H113"/>
    <mergeCell ref="G56:H56"/>
    <mergeCell ref="A58:B59"/>
    <mergeCell ref="C58:E58"/>
    <mergeCell ref="G58:H58"/>
    <mergeCell ref="G51:H51"/>
    <mergeCell ref="A52:B53"/>
    <mergeCell ref="I15:P15"/>
    <mergeCell ref="F97:H97"/>
    <mergeCell ref="F95:H95"/>
    <mergeCell ref="A96:E96"/>
    <mergeCell ref="E43:H43"/>
    <mergeCell ref="A43:D43"/>
    <mergeCell ref="A50:B50"/>
    <mergeCell ref="A105:B105"/>
    <mergeCell ref="D123:D124"/>
    <mergeCell ref="E123:E124"/>
    <mergeCell ref="F88:H88"/>
    <mergeCell ref="G102:H102"/>
    <mergeCell ref="F94:H94"/>
    <mergeCell ref="C101:D101"/>
    <mergeCell ref="C107:D107"/>
    <mergeCell ref="A155:H155"/>
    <mergeCell ref="E103:F103"/>
    <mergeCell ref="G103:H103"/>
    <mergeCell ref="A127:H127"/>
    <mergeCell ref="A128:B128"/>
    <mergeCell ref="A133:B133"/>
    <mergeCell ref="A135:B135"/>
    <mergeCell ref="A137:B137"/>
    <mergeCell ref="C147:H147"/>
    <mergeCell ref="A120:B120"/>
    <mergeCell ref="A115:B115"/>
    <mergeCell ref="A108:B108"/>
    <mergeCell ref="C108:D108"/>
    <mergeCell ref="E108:F108"/>
    <mergeCell ref="A110:H110"/>
    <mergeCell ref="G101:H101"/>
    <mergeCell ref="A202:H202"/>
    <mergeCell ref="A199:H199"/>
    <mergeCell ref="F87:H87"/>
    <mergeCell ref="F92:H92"/>
    <mergeCell ref="A156:B156"/>
    <mergeCell ref="A118:B118"/>
    <mergeCell ref="A117:B117"/>
    <mergeCell ref="A93:E93"/>
    <mergeCell ref="F93:H93"/>
    <mergeCell ref="A95:E95"/>
    <mergeCell ref="F90:H90"/>
    <mergeCell ref="A94:E94"/>
    <mergeCell ref="A122:H122"/>
    <mergeCell ref="E105:F105"/>
    <mergeCell ref="A109:H109"/>
    <mergeCell ref="A123:A124"/>
    <mergeCell ref="F123:F124"/>
    <mergeCell ref="A92:E92"/>
    <mergeCell ref="A107:B107"/>
    <mergeCell ref="E107:F107"/>
    <mergeCell ref="A97:E97"/>
    <mergeCell ref="G107:H107"/>
    <mergeCell ref="A103:B103"/>
    <mergeCell ref="C103:D103"/>
    <mergeCell ref="A205:H208"/>
    <mergeCell ref="A204:B204"/>
    <mergeCell ref="E204:F204"/>
    <mergeCell ref="C204:D204"/>
    <mergeCell ref="G204:H204"/>
    <mergeCell ref="A100:H100"/>
    <mergeCell ref="A98:E98"/>
    <mergeCell ref="F98:H98"/>
    <mergeCell ref="A99:E99"/>
    <mergeCell ref="F99:H99"/>
    <mergeCell ref="A160:H160"/>
    <mergeCell ref="A106:B106"/>
    <mergeCell ref="A169:B169"/>
    <mergeCell ref="A102:B102"/>
    <mergeCell ref="A200:H200"/>
    <mergeCell ref="A104:H104"/>
    <mergeCell ref="A203:H203"/>
    <mergeCell ref="A201:H201"/>
    <mergeCell ref="A197:H197"/>
    <mergeCell ref="G105:H105"/>
    <mergeCell ref="A171:B171"/>
    <mergeCell ref="C111:C112"/>
    <mergeCell ref="B123:B124"/>
    <mergeCell ref="A198:H19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28:D28"/>
    <mergeCell ref="E28:H28"/>
    <mergeCell ref="C33:E33"/>
    <mergeCell ref="F36:H36"/>
    <mergeCell ref="F33:H33"/>
    <mergeCell ref="A34:B34"/>
    <mergeCell ref="A33:B33"/>
    <mergeCell ref="C34:E34"/>
    <mergeCell ref="A35:B35"/>
    <mergeCell ref="C35:E35"/>
    <mergeCell ref="F34:H34"/>
    <mergeCell ref="F35:H35"/>
    <mergeCell ref="D65:H65"/>
    <mergeCell ref="C51:E51"/>
    <mergeCell ref="C50:E50"/>
    <mergeCell ref="C53:E53"/>
    <mergeCell ref="G53:H53"/>
    <mergeCell ref="A36:B36"/>
    <mergeCell ref="C36:E36"/>
    <mergeCell ref="A31:D31"/>
    <mergeCell ref="E31:H31"/>
    <mergeCell ref="A32:D32"/>
    <mergeCell ref="E32:H32"/>
    <mergeCell ref="G50:H50"/>
    <mergeCell ref="G52:H52"/>
    <mergeCell ref="A51:B51"/>
    <mergeCell ref="A61:H61"/>
    <mergeCell ref="A62:C62"/>
    <mergeCell ref="A63:C63"/>
    <mergeCell ref="D63:H63"/>
    <mergeCell ref="G60:H60"/>
    <mergeCell ref="A54:B55"/>
    <mergeCell ref="C54:E54"/>
    <mergeCell ref="G54:H54"/>
    <mergeCell ref="A56:B57"/>
    <mergeCell ref="C56:E56"/>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2:E52"/>
    <mergeCell ref="A65:C65"/>
    <mergeCell ref="D71:H71"/>
    <mergeCell ref="A77:B77"/>
    <mergeCell ref="G76:H76"/>
    <mergeCell ref="C59:E59"/>
    <mergeCell ref="G59:H59"/>
    <mergeCell ref="A39:B39"/>
    <mergeCell ref="C39:H39"/>
    <mergeCell ref="A46:D46"/>
    <mergeCell ref="L118:M118"/>
    <mergeCell ref="L117:M117"/>
    <mergeCell ref="L116:M116"/>
    <mergeCell ref="L115:M115"/>
    <mergeCell ref="A84:B84"/>
    <mergeCell ref="C106:D106"/>
    <mergeCell ref="E106:F106"/>
    <mergeCell ref="G106:H106"/>
    <mergeCell ref="A88:E88"/>
    <mergeCell ref="A114:H114"/>
    <mergeCell ref="E111:E112"/>
    <mergeCell ref="A47:D47"/>
    <mergeCell ref="A48:H48"/>
    <mergeCell ref="D64:H64"/>
    <mergeCell ref="A64:C64"/>
    <mergeCell ref="A83:B83"/>
    <mergeCell ref="C75:H75"/>
    <mergeCell ref="A78:B78"/>
    <mergeCell ref="A165:B165"/>
    <mergeCell ref="A162:B162"/>
    <mergeCell ref="A163:B163"/>
    <mergeCell ref="A40:B40"/>
    <mergeCell ref="C40:H40"/>
    <mergeCell ref="F111:F112"/>
    <mergeCell ref="C102:D102"/>
    <mergeCell ref="E102:F102"/>
    <mergeCell ref="B111:B112"/>
    <mergeCell ref="A111:A112"/>
    <mergeCell ref="C123:C124"/>
    <mergeCell ref="G123:G124"/>
    <mergeCell ref="G108:H108"/>
    <mergeCell ref="C55:H55"/>
    <mergeCell ref="A76:B76"/>
    <mergeCell ref="A80:B80"/>
    <mergeCell ref="E76:F76"/>
    <mergeCell ref="A69:C69"/>
    <mergeCell ref="D69:H69"/>
    <mergeCell ref="A72:C72"/>
    <mergeCell ref="D72:H72"/>
    <mergeCell ref="A70:C70"/>
    <mergeCell ref="L120:M120"/>
    <mergeCell ref="A121:B121"/>
    <mergeCell ref="L121:M121"/>
    <mergeCell ref="A125:H125"/>
    <mergeCell ref="A126:H126"/>
    <mergeCell ref="A49:B49"/>
    <mergeCell ref="C49:H49"/>
    <mergeCell ref="B190:H190"/>
    <mergeCell ref="F89:H89"/>
    <mergeCell ref="A89:E89"/>
    <mergeCell ref="D111:D112"/>
    <mergeCell ref="A91:E91"/>
    <mergeCell ref="A90:E90"/>
    <mergeCell ref="A87:E87"/>
    <mergeCell ref="F91:H91"/>
    <mergeCell ref="G111:G112"/>
    <mergeCell ref="A174:B174"/>
    <mergeCell ref="A79:B79"/>
    <mergeCell ref="A75:B75"/>
    <mergeCell ref="A73:B73"/>
    <mergeCell ref="C73:H73"/>
    <mergeCell ref="A81:B81"/>
    <mergeCell ref="A68:C68"/>
    <mergeCell ref="D68:H68"/>
    <mergeCell ref="L135:M135"/>
    <mergeCell ref="A136:B136"/>
    <mergeCell ref="L136:M136"/>
    <mergeCell ref="L128:M128"/>
    <mergeCell ref="A129:B129"/>
    <mergeCell ref="L129:M129"/>
    <mergeCell ref="A130:B130"/>
    <mergeCell ref="L130:M130"/>
    <mergeCell ref="A131:B131"/>
    <mergeCell ref="L131:M131"/>
    <mergeCell ref="A132:B132"/>
    <mergeCell ref="L132:M132"/>
    <mergeCell ref="L133:M133"/>
    <mergeCell ref="C128:H128"/>
    <mergeCell ref="C133:H133"/>
    <mergeCell ref="A134:H134"/>
    <mergeCell ref="L137:M137"/>
    <mergeCell ref="A138:B138"/>
    <mergeCell ref="L138:M138"/>
    <mergeCell ref="A139:B139"/>
    <mergeCell ref="L139:M139"/>
    <mergeCell ref="A140:B140"/>
    <mergeCell ref="L140:M140"/>
    <mergeCell ref="A141:H141"/>
    <mergeCell ref="A184:H184"/>
    <mergeCell ref="A150:B150"/>
    <mergeCell ref="L150:M150"/>
    <mergeCell ref="A142:B142"/>
    <mergeCell ref="C142:H142"/>
    <mergeCell ref="L142:M142"/>
    <mergeCell ref="A143:B143"/>
    <mergeCell ref="L143:M143"/>
    <mergeCell ref="A144:B144"/>
    <mergeCell ref="L144:M144"/>
    <mergeCell ref="A145:B145"/>
    <mergeCell ref="L145:M145"/>
    <mergeCell ref="C149:H149"/>
    <mergeCell ref="A146:B146"/>
    <mergeCell ref="L146:M146"/>
    <mergeCell ref="A147:B147"/>
    <mergeCell ref="B195:H195"/>
    <mergeCell ref="B196:H196"/>
    <mergeCell ref="A151:B151"/>
    <mergeCell ref="L151:M151"/>
    <mergeCell ref="A152:B152"/>
    <mergeCell ref="L152:M152"/>
    <mergeCell ref="A153:B153"/>
    <mergeCell ref="L153:M153"/>
    <mergeCell ref="A154:B154"/>
    <mergeCell ref="L154:M154"/>
    <mergeCell ref="B192:H192"/>
    <mergeCell ref="A175:B175"/>
    <mergeCell ref="A164:B164"/>
    <mergeCell ref="L160:M160"/>
    <mergeCell ref="A173:B173"/>
    <mergeCell ref="L159:M159"/>
    <mergeCell ref="L156:M156"/>
    <mergeCell ref="A170:B170"/>
    <mergeCell ref="A167:B167"/>
    <mergeCell ref="B194:H194"/>
    <mergeCell ref="B193:H193"/>
    <mergeCell ref="B191:H191"/>
    <mergeCell ref="B187:H187"/>
    <mergeCell ref="A181:B181"/>
    <mergeCell ref="L157:M157"/>
    <mergeCell ref="A158:B158"/>
    <mergeCell ref="L158:M158"/>
    <mergeCell ref="A159:B159"/>
    <mergeCell ref="B188:H188"/>
    <mergeCell ref="B189:H189"/>
    <mergeCell ref="L147:M147"/>
    <mergeCell ref="A148:H148"/>
    <mergeCell ref="A149:B149"/>
    <mergeCell ref="L149:M149"/>
    <mergeCell ref="A172:H172"/>
    <mergeCell ref="A166:H166"/>
    <mergeCell ref="A178:H178"/>
    <mergeCell ref="A161:B161"/>
    <mergeCell ref="A179:B179"/>
    <mergeCell ref="A180:B180"/>
    <mergeCell ref="A183:B183"/>
    <mergeCell ref="A182:B182"/>
    <mergeCell ref="B185:H185"/>
    <mergeCell ref="B186:H186"/>
    <mergeCell ref="A176:B176"/>
    <mergeCell ref="A177:B177"/>
    <mergeCell ref="A157:B157"/>
    <mergeCell ref="A168:B168"/>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1:E112" xr:uid="{00000000-0002-0000-0000-000003000000}">
      <formula1>"Attached Loft area,Attached Otla area,Attached Mezzanine area"</formula1>
    </dataValidation>
    <dataValidation type="list" allowBlank="1" showInputMessage="1" showErrorMessage="1" sqref="G204:H204" xr:uid="{00000000-0002-0000-0000-000004000000}">
      <formula1>"Kunal Kadam,Shruti Tathare, Pranita Mhatre,Shruti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B111:B112" xr:uid="{00000000-0002-0000-0000-000007000000}">
      <formula1>"Shop No. (Sale Plan),Sale / Rehab,Sale / Mhada"</formula1>
    </dataValidation>
    <dataValidation type="list" allowBlank="1" showInputMessage="1" showErrorMessage="1" sqref="B123:B12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23:E124" xr:uid="{00000000-0002-0000-0000-00000B000000}">
      <formula1>"Fungible area,Balcony Area,Chajja Area,Cornice Area,AP Area,WS Area"</formula1>
    </dataValidation>
    <dataValidation type="list" allowBlank="1" showInputMessage="1" showErrorMessage="1" sqref="H112 H12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F98:H98" xr:uid="{00000000-0002-0000-0000-000006000000}">
      <formula1>OFFSET($S$87,1,MATCH($G20,$S$87:$W$87,0)-1,15,1)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208" max="16383" man="1"/>
    <brk id="250" max="16383" man="1"/>
    <brk id="29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0" zoomScale="85" zoomScaleNormal="85" workbookViewId="0">
      <selection activeCell="C9" sqref="C9"/>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97" t="s">
        <v>105</v>
      </c>
      <c r="C3" s="197"/>
      <c r="D3" s="197"/>
      <c r="E3" s="197"/>
      <c r="F3" s="197"/>
      <c r="G3" s="197"/>
      <c r="H3" s="197"/>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6"/>
      <c r="C4" s="46" t="s">
        <v>11</v>
      </c>
      <c r="D4" s="47" t="s">
        <v>183</v>
      </c>
      <c r="E4" s="47" t="s">
        <v>193</v>
      </c>
      <c r="F4" s="47" t="s">
        <v>176</v>
      </c>
      <c r="G4" s="47" t="s">
        <v>198</v>
      </c>
      <c r="H4" s="47" t="s">
        <v>216</v>
      </c>
      <c r="J4" t="s">
        <v>198</v>
      </c>
      <c r="K4" t="s">
        <v>214</v>
      </c>
    </row>
    <row r="5" spans="2:11" x14ac:dyDescent="0.3">
      <c r="B5" s="46"/>
      <c r="C5" s="46"/>
      <c r="D5" s="47" t="s">
        <v>184</v>
      </c>
      <c r="E5" s="47" t="s">
        <v>191</v>
      </c>
      <c r="F5" s="47" t="s">
        <v>213</v>
      </c>
      <c r="G5" s="47" t="s">
        <v>199</v>
      </c>
      <c r="H5" s="47" t="s">
        <v>217</v>
      </c>
    </row>
    <row r="6" spans="2:11" x14ac:dyDescent="0.3">
      <c r="B6" s="46"/>
      <c r="C6" s="46"/>
      <c r="D6" s="47" t="s">
        <v>185</v>
      </c>
      <c r="E6" s="47" t="s">
        <v>192</v>
      </c>
      <c r="F6" s="47" t="s">
        <v>214</v>
      </c>
      <c r="G6" s="47" t="s">
        <v>200</v>
      </c>
      <c r="H6" s="47" t="s">
        <v>230</v>
      </c>
    </row>
    <row r="7" spans="2:11" x14ac:dyDescent="0.3">
      <c r="B7" s="46"/>
      <c r="C7" s="46"/>
      <c r="D7" s="47" t="s">
        <v>186</v>
      </c>
      <c r="E7" s="47" t="s">
        <v>194</v>
      </c>
      <c r="F7" s="47" t="s">
        <v>215</v>
      </c>
      <c r="G7" s="47" t="s">
        <v>201</v>
      </c>
      <c r="H7" s="47" t="s">
        <v>218</v>
      </c>
    </row>
    <row r="8" spans="2:11" x14ac:dyDescent="0.3">
      <c r="B8" s="46"/>
      <c r="C8" s="46"/>
      <c r="D8" s="47" t="s">
        <v>187</v>
      </c>
      <c r="E8" s="47" t="s">
        <v>195</v>
      </c>
      <c r="F8" s="47"/>
      <c r="G8" s="47" t="s">
        <v>202</v>
      </c>
      <c r="H8" s="47" t="s">
        <v>219</v>
      </c>
    </row>
    <row r="9" spans="2:11" x14ac:dyDescent="0.3">
      <c r="B9" s="46"/>
      <c r="C9" s="46"/>
      <c r="D9" s="47" t="s">
        <v>188</v>
      </c>
      <c r="E9" s="47" t="s">
        <v>193</v>
      </c>
      <c r="F9" s="47"/>
      <c r="G9" s="47" t="s">
        <v>203</v>
      </c>
      <c r="H9" s="47" t="s">
        <v>220</v>
      </c>
    </row>
    <row r="10" spans="2:11" x14ac:dyDescent="0.3">
      <c r="B10" s="46"/>
      <c r="C10" s="46"/>
      <c r="D10" s="47" t="s">
        <v>189</v>
      </c>
      <c r="E10" s="47" t="s">
        <v>196</v>
      </c>
      <c r="F10" s="47"/>
      <c r="G10" s="47" t="s">
        <v>204</v>
      </c>
      <c r="H10" s="47" t="s">
        <v>221</v>
      </c>
    </row>
    <row r="11" spans="2:11" x14ac:dyDescent="0.3">
      <c r="B11" s="46"/>
      <c r="C11" s="46"/>
      <c r="D11" s="47" t="s">
        <v>190</v>
      </c>
      <c r="E11" s="47" t="s">
        <v>197</v>
      </c>
      <c r="F11" s="47"/>
      <c r="G11" s="47" t="s">
        <v>205</v>
      </c>
      <c r="H11" s="47" t="s">
        <v>222</v>
      </c>
    </row>
    <row r="12" spans="2:11" x14ac:dyDescent="0.3">
      <c r="B12" s="46"/>
      <c r="C12" s="46"/>
      <c r="D12" s="47"/>
      <c r="E12" s="47"/>
      <c r="F12" s="47"/>
      <c r="G12" s="47" t="s">
        <v>206</v>
      </c>
      <c r="H12" s="47" t="s">
        <v>223</v>
      </c>
    </row>
    <row r="13" spans="2:11" x14ac:dyDescent="0.3">
      <c r="B13" s="46"/>
      <c r="C13" s="46"/>
      <c r="D13" s="47"/>
      <c r="E13" s="47"/>
      <c r="F13" s="47"/>
      <c r="G13" s="47" t="s">
        <v>207</v>
      </c>
      <c r="H13" s="47" t="s">
        <v>224</v>
      </c>
    </row>
    <row r="14" spans="2:11" x14ac:dyDescent="0.3">
      <c r="B14" s="46"/>
      <c r="C14" s="46"/>
      <c r="D14" s="47"/>
      <c r="E14" s="47"/>
      <c r="F14" s="47"/>
      <c r="G14" s="47" t="s">
        <v>208</v>
      </c>
      <c r="H14" s="47" t="s">
        <v>225</v>
      </c>
    </row>
    <row r="15" spans="2:11" x14ac:dyDescent="0.3">
      <c r="B15" s="46"/>
      <c r="C15" s="46"/>
      <c r="D15" s="47"/>
      <c r="E15" s="47"/>
      <c r="F15" s="47"/>
      <c r="G15" s="47" t="s">
        <v>209</v>
      </c>
      <c r="H15" s="47" t="s">
        <v>226</v>
      </c>
    </row>
    <row r="16" spans="2:11" x14ac:dyDescent="0.3">
      <c r="B16" s="46"/>
      <c r="C16" s="46"/>
      <c r="D16" s="47"/>
      <c r="E16" s="47"/>
      <c r="F16" s="47"/>
      <c r="G16" s="47" t="s">
        <v>210</v>
      </c>
      <c r="H16" s="47" t="s">
        <v>227</v>
      </c>
    </row>
    <row r="17" spans="2:8" x14ac:dyDescent="0.3">
      <c r="B17" s="46"/>
      <c r="C17" s="46"/>
      <c r="D17" s="47"/>
      <c r="E17" s="47"/>
      <c r="F17" s="47"/>
      <c r="G17" s="47" t="s">
        <v>211</v>
      </c>
      <c r="H17" s="47" t="s">
        <v>228</v>
      </c>
    </row>
    <row r="18" spans="2:8" x14ac:dyDescent="0.3">
      <c r="B18" s="46"/>
      <c r="C18" s="46"/>
      <c r="D18" s="47"/>
      <c r="E18" s="47"/>
      <c r="F18" s="47"/>
      <c r="G18" s="47" t="s">
        <v>212</v>
      </c>
      <c r="H18" s="47" t="s">
        <v>229</v>
      </c>
    </row>
    <row r="24" spans="2:8" x14ac:dyDescent="0.3">
      <c r="C24" t="s">
        <v>173</v>
      </c>
    </row>
    <row r="25" spans="2:8" x14ac:dyDescent="0.3">
      <c r="C25" t="s">
        <v>231</v>
      </c>
    </row>
    <row r="26" spans="2:8" x14ac:dyDescent="0.3">
      <c r="C26" t="s">
        <v>232</v>
      </c>
    </row>
    <row r="27" spans="2:8" x14ac:dyDescent="0.3">
      <c r="C27" t="s">
        <v>233</v>
      </c>
    </row>
    <row r="28" spans="2:8" x14ac:dyDescent="0.3">
      <c r="C28" t="s">
        <v>234</v>
      </c>
    </row>
    <row r="29" spans="2:8" x14ac:dyDescent="0.3">
      <c r="C29" t="s">
        <v>235</v>
      </c>
    </row>
    <row r="30" spans="2:8" x14ac:dyDescent="0.3">
      <c r="C30" t="s">
        <v>173</v>
      </c>
    </row>
    <row r="33" spans="3:11" x14ac:dyDescent="0.3">
      <c r="J33">
        <v>1</v>
      </c>
      <c r="K33">
        <v>2</v>
      </c>
    </row>
    <row r="34" spans="3:11" x14ac:dyDescent="0.3">
      <c r="C34" s="50" t="s">
        <v>241</v>
      </c>
      <c r="D34" s="47" t="s">
        <v>239</v>
      </c>
      <c r="E34" s="47" t="s">
        <v>244</v>
      </c>
      <c r="F34" s="47" t="s">
        <v>242</v>
      </c>
      <c r="G34" s="47" t="s">
        <v>243</v>
      </c>
      <c r="H34" s="47" t="s">
        <v>245</v>
      </c>
      <c r="J34" t="s">
        <v>198</v>
      </c>
      <c r="K34" t="s">
        <v>214</v>
      </c>
    </row>
    <row r="35" spans="3:11" x14ac:dyDescent="0.3">
      <c r="C35" s="46" t="s">
        <v>240</v>
      </c>
      <c r="D35" s="47" t="s">
        <v>174</v>
      </c>
      <c r="E35" s="47" t="s">
        <v>249</v>
      </c>
      <c r="F35" s="47" t="s">
        <v>251</v>
      </c>
      <c r="G35" s="47" t="s">
        <v>253</v>
      </c>
      <c r="H35" s="47"/>
    </row>
    <row r="36" spans="3:11" x14ac:dyDescent="0.3">
      <c r="C36" s="46"/>
      <c r="D36" s="47" t="s">
        <v>246</v>
      </c>
      <c r="E36" s="47" t="s">
        <v>250</v>
      </c>
      <c r="F36" s="47" t="s">
        <v>252</v>
      </c>
      <c r="G36" s="47" t="s">
        <v>254</v>
      </c>
      <c r="H36" s="47"/>
    </row>
    <row r="37" spans="3:11" x14ac:dyDescent="0.3">
      <c r="C37" s="46"/>
      <c r="D37" s="47" t="s">
        <v>247</v>
      </c>
      <c r="E37" s="47"/>
      <c r="F37" s="47"/>
      <c r="G37" s="47" t="s">
        <v>255</v>
      </c>
      <c r="H37" s="47"/>
    </row>
    <row r="38" spans="3:11" x14ac:dyDescent="0.3">
      <c r="C38" s="46"/>
      <c r="D38" s="47" t="s">
        <v>248</v>
      </c>
      <c r="E38" s="47"/>
      <c r="F38" s="47"/>
      <c r="G38" s="47" t="s">
        <v>255</v>
      </c>
      <c r="H38" s="47"/>
    </row>
    <row r="39" spans="3:11" x14ac:dyDescent="0.3">
      <c r="C39" s="46"/>
      <c r="D39" s="47"/>
      <c r="E39" s="47"/>
      <c r="F39" s="47"/>
      <c r="G39" s="47" t="s">
        <v>256</v>
      </c>
      <c r="H39" s="47"/>
    </row>
    <row r="40" spans="3:11" x14ac:dyDescent="0.3">
      <c r="C40" s="46"/>
      <c r="D40" s="47"/>
      <c r="E40" s="47"/>
      <c r="F40" s="47"/>
      <c r="G40" s="47" t="s">
        <v>257</v>
      </c>
      <c r="H40" s="47"/>
    </row>
    <row r="41" spans="3:11" x14ac:dyDescent="0.3">
      <c r="C41" s="46"/>
      <c r="D41" s="47"/>
      <c r="E41" s="47"/>
      <c r="F41" s="47"/>
      <c r="G41" s="47"/>
      <c r="H41" s="47"/>
    </row>
    <row r="43" spans="3:11" x14ac:dyDescent="0.3">
      <c r="C43" t="s">
        <v>258</v>
      </c>
    </row>
    <row r="44" spans="3:11" x14ac:dyDescent="0.3">
      <c r="C44" t="s">
        <v>176</v>
      </c>
      <c r="D44" t="s">
        <v>259</v>
      </c>
    </row>
    <row r="45" spans="3:11" x14ac:dyDescent="0.3">
      <c r="D45" t="s">
        <v>260</v>
      </c>
    </row>
    <row r="46" spans="3:11" x14ac:dyDescent="0.3">
      <c r="D46" t="s">
        <v>261</v>
      </c>
    </row>
    <row r="47" spans="3:11" x14ac:dyDescent="0.3">
      <c r="D47" t="s">
        <v>262</v>
      </c>
    </row>
    <row r="48" spans="3:11" x14ac:dyDescent="0.3">
      <c r="D48" t="s">
        <v>263</v>
      </c>
    </row>
    <row r="49" spans="3:4" x14ac:dyDescent="0.3">
      <c r="C49" t="s">
        <v>183</v>
      </c>
      <c r="D49" t="s">
        <v>264</v>
      </c>
    </row>
    <row r="50" spans="3:4" x14ac:dyDescent="0.3">
      <c r="D50" t="s">
        <v>265</v>
      </c>
    </row>
    <row r="51" spans="3:4" x14ac:dyDescent="0.3">
      <c r="D51" t="s">
        <v>266</v>
      </c>
    </row>
    <row r="52" spans="3:4" x14ac:dyDescent="0.3">
      <c r="D52" t="s">
        <v>269</v>
      </c>
    </row>
    <row r="53" spans="3:4" x14ac:dyDescent="0.3">
      <c r="D53" t="s">
        <v>267</v>
      </c>
    </row>
    <row r="54" spans="3:4" x14ac:dyDescent="0.3">
      <c r="D54" t="s">
        <v>268</v>
      </c>
    </row>
    <row r="55" spans="3:4" x14ac:dyDescent="0.3">
      <c r="D55" t="s">
        <v>270</v>
      </c>
    </row>
    <row r="56" spans="3:4" x14ac:dyDescent="0.3">
      <c r="D56" t="s">
        <v>271</v>
      </c>
    </row>
    <row r="57" spans="3:4" x14ac:dyDescent="0.3">
      <c r="D57" t="s">
        <v>272</v>
      </c>
    </row>
    <row r="58" spans="3:4" x14ac:dyDescent="0.3">
      <c r="D58" t="s">
        <v>274</v>
      </c>
    </row>
    <row r="59" spans="3:4" x14ac:dyDescent="0.3">
      <c r="D59" t="s">
        <v>283</v>
      </c>
    </row>
    <row r="60" spans="3:4" x14ac:dyDescent="0.3">
      <c r="C60" t="s">
        <v>198</v>
      </c>
      <c r="D60" t="s">
        <v>275</v>
      </c>
    </row>
    <row r="61" spans="3:4" x14ac:dyDescent="0.3">
      <c r="D61" t="s">
        <v>273</v>
      </c>
    </row>
    <row r="62" spans="3:4" x14ac:dyDescent="0.3">
      <c r="D62" t="s">
        <v>263</v>
      </c>
    </row>
    <row r="63" spans="3:4" x14ac:dyDescent="0.3">
      <c r="D63" t="s">
        <v>276</v>
      </c>
    </row>
    <row r="64" spans="3:4" x14ac:dyDescent="0.3">
      <c r="D64" t="s">
        <v>277</v>
      </c>
    </row>
    <row r="65" spans="3:4" x14ac:dyDescent="0.3">
      <c r="D65" t="s">
        <v>278</v>
      </c>
    </row>
    <row r="66" spans="3:4" x14ac:dyDescent="0.3">
      <c r="D66" t="s">
        <v>279</v>
      </c>
    </row>
    <row r="67" spans="3:4" x14ac:dyDescent="0.3">
      <c r="C67" t="s">
        <v>193</v>
      </c>
      <c r="D67" t="s">
        <v>280</v>
      </c>
    </row>
    <row r="68" spans="3:4" x14ac:dyDescent="0.3">
      <c r="D68" t="s">
        <v>281</v>
      </c>
    </row>
    <row r="69" spans="3:4" x14ac:dyDescent="0.3">
      <c r="D69" t="s">
        <v>282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1">
        <v>1</v>
      </c>
      <c r="C2" s="53" t="s">
        <v>289</v>
      </c>
    </row>
    <row r="3" spans="2:3" x14ac:dyDescent="0.3">
      <c r="B3" s="51">
        <v>2</v>
      </c>
      <c r="C3" s="52" t="s">
        <v>290</v>
      </c>
    </row>
    <row r="4" spans="2:3" x14ac:dyDescent="0.3">
      <c r="B4" s="51">
        <v>3</v>
      </c>
      <c r="C4" s="51" t="s">
        <v>291</v>
      </c>
    </row>
    <row r="5" spans="2:3" x14ac:dyDescent="0.3">
      <c r="B5" s="51">
        <v>4</v>
      </c>
      <c r="C5" s="52" t="s">
        <v>292</v>
      </c>
    </row>
    <row r="6" spans="2:3" x14ac:dyDescent="0.3">
      <c r="B6" s="51">
        <v>5</v>
      </c>
      <c r="C6" s="51" t="s">
        <v>293</v>
      </c>
    </row>
    <row r="7" spans="2:3" ht="28.8" x14ac:dyDescent="0.3">
      <c r="B7" s="51">
        <v>6</v>
      </c>
      <c r="C7" s="52" t="s">
        <v>294</v>
      </c>
    </row>
    <row r="8" spans="2:3" ht="72" x14ac:dyDescent="0.3">
      <c r="B8" s="51">
        <v>7</v>
      </c>
      <c r="C8" s="52" t="s">
        <v>295</v>
      </c>
    </row>
    <row r="9" spans="2:3" x14ac:dyDescent="0.3">
      <c r="B9" s="51">
        <v>8</v>
      </c>
      <c r="C9" s="51" t="s">
        <v>296</v>
      </c>
    </row>
    <row r="10" spans="2:3" x14ac:dyDescent="0.3">
      <c r="B10" s="51">
        <v>9</v>
      </c>
      <c r="C10" s="51" t="s">
        <v>297</v>
      </c>
    </row>
    <row r="11" spans="2:3" x14ac:dyDescent="0.3">
      <c r="B11" s="51">
        <v>10</v>
      </c>
      <c r="C11" s="51" t="s">
        <v>298</v>
      </c>
    </row>
    <row r="12" spans="2:3" x14ac:dyDescent="0.3">
      <c r="B12" s="51">
        <v>11</v>
      </c>
      <c r="C12" s="51" t="s">
        <v>299</v>
      </c>
    </row>
    <row r="13" spans="2:3" x14ac:dyDescent="0.3">
      <c r="B13" s="51">
        <v>12</v>
      </c>
      <c r="C13" s="51" t="s">
        <v>300</v>
      </c>
    </row>
    <row r="14" spans="2:3" x14ac:dyDescent="0.3">
      <c r="B14" s="51">
        <v>13</v>
      </c>
      <c r="C14" s="51" t="s">
        <v>301</v>
      </c>
    </row>
    <row r="15" spans="2:3" x14ac:dyDescent="0.3">
      <c r="B15" s="51">
        <v>14</v>
      </c>
      <c r="C15" s="51"/>
    </row>
    <row r="16" spans="2:3" x14ac:dyDescent="0.3">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2025-08-20T06:37:06Z</cp:lastPrinted>
  <dcterms:created xsi:type="dcterms:W3CDTF">2019-07-16T09:29:46Z</dcterms:created>
  <dcterms:modified xsi:type="dcterms:W3CDTF">2025-08-20T06:38:20Z</dcterms:modified>
</cp:coreProperties>
</file>