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834B6592-FDF2-4D2C-8F33-45BCCC647BC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E173" i="1"/>
  <c r="E172" i="1"/>
  <c r="D172" i="1"/>
  <c r="D173" i="1"/>
  <c r="D175" i="1"/>
  <c r="F175" i="1" s="1"/>
  <c r="I174" i="1"/>
  <c r="D174" i="1"/>
  <c r="F174" i="1" s="1"/>
  <c r="I172" i="1"/>
  <c r="G171" i="1"/>
  <c r="D171" i="1"/>
  <c r="F171" i="1" s="1"/>
  <c r="E167" i="1"/>
  <c r="D167" i="1"/>
  <c r="D169" i="1"/>
  <c r="D168" i="1"/>
  <c r="D166" i="1"/>
  <c r="D165" i="1"/>
  <c r="F172" i="1" l="1"/>
  <c r="F173" i="1"/>
  <c r="E166" i="1"/>
  <c r="F166" i="1" s="1"/>
  <c r="E165" i="1"/>
  <c r="F165" i="1" s="1"/>
  <c r="E164" i="1"/>
  <c r="D164" i="1"/>
  <c r="D163" i="1"/>
  <c r="F169" i="1"/>
  <c r="I168" i="1"/>
  <c r="F168" i="1"/>
  <c r="A187" i="1" l="1"/>
  <c r="A188" i="1" s="1"/>
  <c r="A189" i="1" s="1"/>
  <c r="A190" i="1" s="1"/>
  <c r="A191" i="1" s="1"/>
  <c r="A192" i="1" s="1"/>
  <c r="A193" i="1" s="1"/>
  <c r="A194" i="1" l="1"/>
  <c r="A198" i="1" s="1"/>
  <c r="C70" i="1"/>
  <c r="H71" i="1"/>
  <c r="J70" i="1" l="1"/>
  <c r="J72" i="1" s="1"/>
  <c r="J73" i="1"/>
  <c r="J74" i="1"/>
  <c r="J75" i="1"/>
  <c r="C74" i="1" s="1"/>
  <c r="D76" i="1"/>
  <c r="J76" i="1"/>
  <c r="D77" i="1"/>
  <c r="D78" i="1"/>
  <c r="J78" i="1"/>
  <c r="D79" i="1"/>
  <c r="J79" i="1"/>
  <c r="D80" i="1"/>
  <c r="J80" i="1"/>
  <c r="D81" i="1"/>
  <c r="J81" i="1"/>
  <c r="D82" i="1"/>
  <c r="D83" i="1"/>
  <c r="E184" i="1"/>
  <c r="E183" i="1"/>
  <c r="D180" i="1"/>
  <c r="D177" i="1"/>
  <c r="E178" i="1"/>
  <c r="E177" i="1"/>
  <c r="I145" i="1"/>
  <c r="E133" i="1"/>
  <c r="E132" i="1"/>
  <c r="E131" i="1"/>
  <c r="J131" i="1"/>
  <c r="D133" i="1"/>
  <c r="I131" i="1"/>
  <c r="J116" i="1"/>
  <c r="J114" i="1"/>
  <c r="I114" i="1"/>
  <c r="I42" i="1"/>
  <c r="J77" i="1" l="1"/>
  <c r="J82" i="1" s="1"/>
  <c r="J83" i="1" s="1"/>
  <c r="D74" i="1"/>
  <c r="D184" i="1"/>
  <c r="D183" i="1"/>
  <c r="D181" i="1"/>
  <c r="D178" i="1"/>
  <c r="D161" i="1"/>
  <c r="D160" i="1"/>
  <c r="D159" i="1"/>
  <c r="D158" i="1"/>
  <c r="D157" i="1"/>
  <c r="D156" i="1"/>
  <c r="D155" i="1"/>
  <c r="D153" i="1"/>
  <c r="D152" i="1"/>
  <c r="D151" i="1"/>
  <c r="D150" i="1"/>
  <c r="D149" i="1"/>
  <c r="D148" i="1"/>
  <c r="D147" i="1"/>
  <c r="D145" i="1"/>
  <c r="D144" i="1"/>
  <c r="D143" i="1"/>
  <c r="D142" i="1"/>
  <c r="D141" i="1"/>
  <c r="D140" i="1"/>
  <c r="D139" i="1"/>
  <c r="D137" i="1"/>
  <c r="D136" i="1"/>
  <c r="D135" i="1"/>
  <c r="D132" i="1"/>
  <c r="D131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C104" i="1" l="1"/>
  <c r="C105" i="1" s="1"/>
  <c r="E104" i="1"/>
  <c r="E105" i="1" s="1"/>
  <c r="E74" i="1"/>
  <c r="D75" i="1"/>
  <c r="I71" i="1" s="1"/>
  <c r="G74" i="1"/>
  <c r="J71" i="1"/>
  <c r="C100" i="1"/>
  <c r="C101" i="1" s="1"/>
  <c r="E100" i="1"/>
  <c r="E101" i="1" s="1"/>
  <c r="C106" i="1" l="1"/>
  <c r="I72" i="1"/>
  <c r="I70" i="1" s="1"/>
  <c r="C72" i="1" s="1"/>
  <c r="I184" i="1"/>
  <c r="G183" i="1"/>
  <c r="F181" i="1"/>
  <c r="G180" i="1"/>
  <c r="F180" i="1"/>
  <c r="J178" i="1"/>
  <c r="I178" i="1"/>
  <c r="J177" i="1"/>
  <c r="G177" i="1"/>
  <c r="F183" i="1" l="1"/>
  <c r="F177" i="1"/>
  <c r="F178" i="1"/>
  <c r="F184" i="1"/>
  <c r="F167" i="1"/>
  <c r="F164" i="1"/>
  <c r="F163" i="1"/>
  <c r="I164" i="1"/>
  <c r="G163" i="1"/>
  <c r="I157" i="1"/>
  <c r="F158" i="1"/>
  <c r="F157" i="1"/>
  <c r="F156" i="1"/>
  <c r="F159" i="1"/>
  <c r="F161" i="1"/>
  <c r="F160" i="1"/>
  <c r="G155" i="1"/>
  <c r="F155" i="1"/>
  <c r="F153" i="1"/>
  <c r="F152" i="1"/>
  <c r="F151" i="1"/>
  <c r="F150" i="1"/>
  <c r="F149" i="1"/>
  <c r="F148" i="1"/>
  <c r="G147" i="1"/>
  <c r="F147" i="1"/>
  <c r="G139" i="1"/>
  <c r="K141" i="1"/>
  <c r="I141" i="1"/>
  <c r="F144" i="1"/>
  <c r="L144" i="1" s="1"/>
  <c r="J133" i="1"/>
  <c r="I133" i="1"/>
  <c r="K133" i="1"/>
  <c r="K131" i="1"/>
  <c r="F126" i="1"/>
  <c r="F125" i="1"/>
  <c r="F124" i="1"/>
  <c r="F123" i="1"/>
  <c r="F122" i="1"/>
  <c r="F121" i="1"/>
  <c r="F120" i="1"/>
  <c r="F119" i="1"/>
  <c r="F118" i="1"/>
  <c r="I118" i="1"/>
  <c r="I123" i="1"/>
  <c r="I115" i="1"/>
  <c r="G50" i="1"/>
  <c r="G52" i="1" s="1"/>
  <c r="F131" i="1" l="1"/>
  <c r="F133" i="1"/>
  <c r="F132" i="1"/>
  <c r="E7" i="1"/>
  <c r="Z12" i="1" l="1"/>
  <c r="I14" i="1"/>
  <c r="F114" i="1" l="1"/>
  <c r="E106" i="1" l="1"/>
  <c r="E43" i="1" l="1"/>
  <c r="E44" i="1" s="1"/>
  <c r="C15" i="1" l="1"/>
  <c r="E30" i="1" l="1"/>
  <c r="A132" i="1" l="1"/>
  <c r="A133" i="1" s="1"/>
  <c r="G131" i="1"/>
  <c r="F97" i="1" l="1"/>
  <c r="F115" i="1" l="1"/>
  <c r="F116" i="1"/>
  <c r="F117" i="1"/>
  <c r="G100" i="1" l="1"/>
  <c r="G101" i="1" s="1"/>
  <c r="B187" i="1"/>
  <c r="F145" i="1" l="1"/>
  <c r="F143" i="1"/>
  <c r="L143" i="1" s="1"/>
  <c r="F142" i="1"/>
  <c r="F141" i="1"/>
  <c r="L141" i="1" s="1"/>
  <c r="F140" i="1"/>
  <c r="L140" i="1" s="1"/>
  <c r="F139" i="1"/>
  <c r="L139" i="1" s="1"/>
  <c r="F136" i="1"/>
  <c r="F135" i="1"/>
  <c r="F137" i="1"/>
  <c r="G104" i="1" l="1"/>
  <c r="G105" i="1" s="1"/>
  <c r="G106" i="1" s="1"/>
  <c r="J142" i="1"/>
  <c r="L142" i="1"/>
  <c r="J145" i="1"/>
  <c r="L145" i="1"/>
  <c r="B18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1" i="1"/>
  <c r="G135" i="1"/>
  <c r="G136" i="1" s="1"/>
  <c r="G137" i="1" s="1"/>
  <c r="A136" i="1"/>
  <c r="A137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G114" i="1"/>
  <c r="D59" i="1"/>
  <c r="C50" i="1"/>
  <c r="E27" i="1"/>
  <c r="E25" i="1"/>
  <c r="E3" i="1"/>
  <c r="D64" i="1" l="1"/>
  <c r="D68" i="1" l="1"/>
  <c r="D69" i="1" s="1"/>
  <c r="F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<sst xmlns="http://schemas.openxmlformats.org/spreadsheetml/2006/main" count="444" uniqueCount="296">
  <si>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</si>
  <si>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</si>
  <si>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</si>
  <si>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</si>
  <si>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</si>
  <si>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</si>
  <si>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</si>
  <si>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</si>
  <si>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</si>
  <si>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</si>
  <si>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</si>
  <si>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</si>
  <si>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</si>
  <si>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</si>
  <si>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</si>
  <si>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</si>
  <si>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</si>
  <si>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</si>
  <si>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</si>
  <si>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</si>
  <si>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</si>
  <si>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</si>
  <si>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</si>
  <si>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</si>
  <si>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</si>
  <si>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</si>
  <si>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</si>
  <si>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</si>
  <si>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</si>
  <si>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</si>
  <si>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</si>
  <si>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</si>
  <si>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</si>
  <si>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</si>
  <si>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</si>
  <si>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</si>
  <si>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</si>
  <si>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</si>
  <si>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</si>
  <si>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</si>
  <si>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</si>
  <si>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</si>
  <si>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</si>
  <si>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</si>
  <si>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</si>
  <si>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</si>
  <si>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</si>
  <si>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</si>
  <si>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</si>
  <si>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</si>
  <si>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</si>
  <si>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</si>
  <si>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</si>
  <si>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</si>
  <si>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</si>
  <si>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</si>
  <si>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</si>
  <si>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</si>
  <si>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</si>
  <si>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</si>
  <si>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</si>
  <si>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</si>
  <si>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</si>
  <si>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</si>
  <si>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</si>
  <si>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</si>
  <si>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</si>
  <si>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</si>
  <si>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</si>
  <si>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</si>
  <si>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</si>
  <si>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</si>
  <si>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</si>
  <si>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</si>
  <si>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</si>
  <si>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</si>
  <si>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</si>
  <si>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</si>
  <si>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</si>
  <si>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</si>
  <si>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</si>
  <si>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</si>
  <si>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</si>
  <si>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</si>
  <si>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</si>
  <si>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</si>
  <si>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</si>
  <si>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</si>
  <si>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</si>
  <si>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</si>
  <si>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</si>
  <si>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</si>
  <si>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</si>
  <si>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</si>
  <si>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</si>
  <si>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</si>
  <si>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</si>
  <si>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</si>
  <si>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</si>
  <si>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</si>
  <si>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</si>
  <si>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</si>
  <si>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</si>
  <si>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</si>
  <si>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</si>
  <si>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</si>
  <si>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</si>
  <si>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</si>
  <si>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</si>
  <si>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</si>
  <si>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</si>
  <si>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</si>
  <si>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</si>
  <si>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</si>
  <si>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</si>
  <si>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</si>
  <si>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</si>
  <si>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</si>
  <si>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</si>
  <si>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</si>
  <si>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</si>
  <si>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</si>
  <si>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</si>
  <si>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</si>
  <si>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</si>
  <si>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</si>
  <si>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</si>
  <si>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</si>
  <si>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</si>
  <si>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</si>
  <si>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</si>
  <si>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</si>
  <si>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</si>
  <si>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</si>
  <si>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</si>
  <si>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</si>
  <si>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</si>
  <si>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</si>
  <si>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</si>
  <si>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</si>
  <si>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</si>
  <si>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</si>
  <si>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</si>
  <si>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</si>
  <si>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</si>
  <si>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</si>
  <si>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</si>
  <si>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</si>
  <si>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</si>
  <si>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</si>
  <si>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</si>
  <si>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</si>
  <si>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</si>
  <si>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</si>
  <si>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</si>
  <si>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</si>
  <si>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</si>
  <si>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</si>
  <si>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</si>
  <si>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</si>
  <si>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</si>
  <si>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</si>
  <si>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</si>
  <si>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</si>
  <si>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</si>
  <si>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</si>
  <si>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</si>
  <si>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</si>
  <si>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</si>
  <si>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</si>
  <si>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</si>
  <si>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</si>
  <si>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</si>
  <si>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</si>
  <si>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</si>
  <si>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</si>
  <si>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</si>
  <si>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</si>
  <si>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</si>
  <si>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</si>
  <si>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</si>
  <si>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</si>
  <si>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</si>
  <si>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</si>
  <si>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</si>
  <si>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</si>
  <si>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</si>
  <si>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</si>
  <si>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</si>
  <si>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</si>
  <si>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</si>
  <si>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</si>
  <si>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</si>
  <si>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</si>
  <si>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</si>
  <si>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</si>
  <si>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</si>
  <si>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</si>
  <si>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</si>
  <si>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</si>
  <si>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</si>
  <si>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</si>
  <si>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</si>
  <si>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</si>
  <si>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</si>
  <si>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</si>
  <si>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</si>
  <si>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</si>
  <si>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</si>
  <si>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</si>
  <si>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</si>
  <si>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</si>
  <si>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</si>
  <si>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</si>
  <si>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</si>
  <si>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</si>
  <si>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</si>
  <si>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</si>
  <si>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</si>
  <si>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</si>
  <si>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</si>
  <si>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</si>
  <si>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</si>
  <si>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</si>
  <si>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</si>
  <si>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</si>
  <si>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</si>
  <si>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</si>
  <si>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</si>
  <si>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</si>
  <si>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</si>
  <si>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Aniruddha Icon</t>
  </si>
  <si>
    <t>Hariom Developers</t>
  </si>
  <si>
    <t>P51700051262</t>
  </si>
  <si>
    <t>Plot No</t>
  </si>
  <si>
    <t>24, Sector-29</t>
  </si>
  <si>
    <t>Nerul</t>
  </si>
  <si>
    <t>Navi Mumbai</t>
  </si>
  <si>
    <t>https://goo.gl/maps/Vfh9USXdH69XUTcA6</t>
  </si>
  <si>
    <t>19.036750,73.018889</t>
  </si>
  <si>
    <t>Jagadguru Chandrasekhara Saraswathi Road</t>
  </si>
  <si>
    <t>Nerul East</t>
  </si>
  <si>
    <t>Platinum Venecia</t>
  </si>
  <si>
    <t>Open Plot</t>
  </si>
  <si>
    <t>Jagadguru Chandrasekhara Saraswathi Road/Manali CHS</t>
  </si>
  <si>
    <t>Other Plot</t>
  </si>
  <si>
    <t>15.00 M Wide Existing Road</t>
  </si>
  <si>
    <t>NRV/A-/16944</t>
  </si>
  <si>
    <t>NMMC/TPO/BP/16944/2023</t>
  </si>
  <si>
    <t>As per RERA - 31/12/2027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</si>
  <si>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</si>
  <si>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https://housing.com/in/buy/projects/page/301053-hariom-aniruddha-icon-by-hariom-developers-in-nerul</t>
  </si>
  <si>
    <t>1B + Gr + 1st to 17th Floor ( Residential + Commercial )</t>
  </si>
  <si>
    <t>1B + Gr + 1st to 17th Floor</t>
  </si>
  <si>
    <t>Shop</t>
  </si>
  <si>
    <t>3BHK</t>
  </si>
  <si>
    <t>2BHK</t>
  </si>
  <si>
    <t>2nd &amp; 3rd Floor ( Part Parking Area )</t>
  </si>
  <si>
    <t>1st Floor For Residential Society Office, Indoor Game &amp; Parking</t>
  </si>
  <si>
    <t>4th, 5th, 6th, 8th, 9th, 10th &amp; 11th Floor</t>
  </si>
  <si>
    <t>7th Floor ( Part Refuge Area )</t>
  </si>
  <si>
    <t>12th Floor Part Refuge Area</t>
  </si>
  <si>
    <t>1.5BHK</t>
  </si>
  <si>
    <t>15th Floor</t>
  </si>
  <si>
    <t>4.5BHK</t>
  </si>
  <si>
    <t>16th Floor</t>
  </si>
  <si>
    <t>17th Floor ( Part Terrace Area )</t>
  </si>
  <si>
    <t>Mr. Arjun Deshmukh 9892611457</t>
  </si>
  <si>
    <t>270M from Nerul Railway Station</t>
  </si>
  <si>
    <t>Railway Track</t>
  </si>
  <si>
    <t>2nd Basement Robotic Level For Pump Room &amp; Parking</t>
  </si>
  <si>
    <t>1st Basement Robotic Level For Pump Room &amp; Parking</t>
  </si>
  <si>
    <t>Ground Floor For Commercial, Entrance Lobby, Fire Control Room, Driver Room, Meter Room, Space For D.G Set &amp; Parking</t>
  </si>
  <si>
    <t>We considered Gross carpet area = Net carpet + Balcony.</t>
  </si>
  <si>
    <t>Meter Room, 24X7 Water Supply, Landscaping &amp; Tree Planting, Closed Car Parking, Fire Sprinklers etc.</t>
  </si>
  <si>
    <t xml:space="preserve">Construction details:  
</t>
  </si>
  <si>
    <t>Approved Plans, CC, Cost Sheet</t>
  </si>
  <si>
    <t>Railway track is around 20m away from the project. Please check railway NOC before Disbursement.</t>
  </si>
  <si>
    <t xml:space="preserve">Railway Noc
Valid Up to: </t>
  </si>
  <si>
    <t xml:space="preserve">Navi Mumbai Municipal Corporation (NMMC)
</t>
  </si>
  <si>
    <t>BB/W/6561/NOC/NEU/1367/DB</t>
  </si>
  <si>
    <t>Approved Floor plan No.  
For 1B + Gr + 1st to 12th &amp; 15th to 17th Floor</t>
  </si>
  <si>
    <t>Approved Floor plan No.  13th &amp; 14th Floor</t>
  </si>
  <si>
    <t>NRV/A-/912</t>
  </si>
  <si>
    <t xml:space="preserve">13th Floor </t>
  </si>
  <si>
    <t>14th Floor  Part Terrace Area &amp; Club House</t>
  </si>
  <si>
    <t>Flats - 90, Shops - 13</t>
  </si>
  <si>
    <t xml:space="preserve">We have updated revised approved floor plan of 13th &amp; 14th Floor only (on 28/06/2024).
</t>
  </si>
  <si>
    <t>Mr. Mangesh : 9892200022</t>
  </si>
  <si>
    <t>NMMC/NRV/BP/912/2024</t>
  </si>
  <si>
    <t>1B + Gr + 1st to 17th Floor ( Residential + Commercial )
Total Proposed Area = 10928.04 Sq.M.
Residential Unit = 91 Nos. &amp; Commercial Shop = 13 Nos.</t>
  </si>
  <si>
    <t>We have updated CC from RERA site on 13/02/2025.</t>
  </si>
  <si>
    <t>Please provide revised approved plans.</t>
  </si>
  <si>
    <t>Pranita Mhatre</t>
  </si>
  <si>
    <t>Mayur Ranvare</t>
  </si>
  <si>
    <t>Construction work is in process at the time of Visit (Internal photo was not Allowed).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</si>
</sst>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0.000"/>
    <numFmt numFmtId="170" formatCode="0.00000000000000"/>
    <numFmt numFmtId="171" formatCode="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9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5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8" xfId="1" applyFont="1" applyBorder="1"/>
    <xf numFmtId="0" fontId="18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24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69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15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>
      <alignment horizontal="center"/>
    </xf>
    <xf numFmtId="0" fontId="25" fillId="2" borderId="11" xfId="0" applyFont="1" applyFill="1" applyBorder="1"/>
    <xf numFmtId="0" fontId="26" fillId="0" borderId="7" xfId="0" applyFont="1" applyBorder="1"/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1" fontId="17" fillId="0" borderId="17" xfId="0" applyNumberFormat="1" applyFont="1" applyBorder="1" applyAlignment="1" applyProtection="1">
      <alignment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7" fillId="0" borderId="0" xfId="10" applyBorder="1" applyAlignment="1">
      <alignment horizontal="center"/>
    </xf>
    <xf numFmtId="0" fontId="7" fillId="0" borderId="0" xfId="1" applyFont="1" applyAlignment="1">
      <alignment horizontal="center"/>
    </xf>
    <xf numFmtId="1" fontId="10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30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8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28" xfId="1" applyFont="1" applyBorder="1" applyAlignment="1" applyProtection="1">
      <alignment horizontal="center" vertical="top" wrapText="1"/>
      <protection locked="0"/>
    </xf>
    <xf numFmtId="0" fontId="7" fillId="0" borderId="29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71" fontId="7" fillId="0" borderId="0" xfId="1" applyNumberFormat="1" applyFont="1" applyAlignment="1">
      <alignment horizontal="center" vertical="center"/>
    </xf>
    <xf numFmtId="1" fontId="8" fillId="0" borderId="6" xfId="0" applyNumberFormat="1" applyFont="1" applyBorder="1" applyAlignment="1" applyProtection="1">
      <alignment horizontal="left" vertical="top" wrapText="1"/>
      <protection locked="0"/>
    </xf>
    <xf numFmtId="1" fontId="8" fillId="0" borderId="17" xfId="0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horizontal="left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0" fillId="0" borderId="6" xfId="1" applyNumberFormat="1" applyFont="1" applyBorder="1" applyAlignment="1" applyProtection="1">
      <alignment horizontal="center" vertical="center" wrapText="1"/>
      <protection locked="0"/>
    </xf>
    <xf numFmtId="1" fontId="10" fillId="0" borderId="17" xfId="1" applyNumberFormat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170" fontId="7" fillId="0" borderId="0" xfId="1" applyNumberFormat="1" applyFont="1" applyAlignment="1">
      <alignment horizontal="center" vertical="center"/>
    </xf>
    <xf numFmtId="0" fontId="10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1" fontId="10" fillId="0" borderId="17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>
      <alignment horizontal="center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10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1" fontId="10" fillId="0" borderId="26" xfId="0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68" fontId="7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7" fillId="0" borderId="14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0" fillId="0" borderId="6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DC2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313760</xdr:colOff>
      <xdr:row>309</xdr:row>
      <xdr:rowOff>46920</xdr:rowOff>
    </xdr:from>
    <xdr:to>
      <xdr:col>6</xdr:col>
      <xdr:colOff>522613</xdr:colOff>
      <xdr:row>326</xdr:row>
      <xdr:rowOff>90916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1789" y="66598655"/>
          <a:ext cx="4680000" cy="3472995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313760</xdr:colOff>
      <xdr:row>291</xdr:row>
      <xdr:rowOff>112056</xdr:rowOff>
    </xdr:from>
    <xdr:to>
      <xdr:col>6</xdr:col>
      <xdr:colOff>522613</xdr:colOff>
      <xdr:row>308</xdr:row>
      <xdr:rowOff>101596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1789" y="63033085"/>
          <a:ext cx="4680000" cy="3418541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3</xdr:col>
      <xdr:colOff>991688</xdr:colOff>
      <xdr:row>314</xdr:row>
      <xdr:rowOff>180329</xdr:rowOff>
    </xdr:from>
    <xdr:to>
      <xdr:col>4</xdr:col>
      <xdr:colOff>610512</xdr:colOff>
      <xdr:row>319</xdr:row>
      <xdr:rowOff>144313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 rot="217248">
          <a:off x="3468636" y="64062823"/>
          <a:ext cx="611217" cy="950102"/>
          <a:chOff x="1278753" y="2335106"/>
          <a:chExt cx="3921773" cy="5493849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21382752" flipH="1">
            <a:off x="4881985" y="2482307"/>
            <a:ext cx="318541" cy="5230382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78753" y="2335106"/>
            <a:ext cx="3733677" cy="5493849"/>
            <a:chOff x="1278753" y="2335106"/>
            <a:chExt cx="3733677" cy="5493849"/>
          </a:xfrm>
        </xdr:grpSpPr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rot="21382752">
              <a:off x="1278753" y="2335106"/>
              <a:ext cx="3733677" cy="250121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 rot="21382752">
              <a:off x="1486476" y="2446070"/>
              <a:ext cx="0" cy="5224967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Straight Connector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/>
          </xdr:nvCxnSpPr>
          <xdr:spPr>
            <a:xfrm rot="21382752">
              <a:off x="1608267" y="7561672"/>
              <a:ext cx="3361575" cy="267283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0</xdr:col>
      <xdr:colOff>773205</xdr:colOff>
      <xdr:row>259</xdr:row>
      <xdr:rowOff>112055</xdr:rowOff>
    </xdr:from>
    <xdr:to>
      <xdr:col>7</xdr:col>
      <xdr:colOff>836</xdr:colOff>
      <xdr:row>277</xdr:row>
      <xdr:rowOff>81349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205" y="54158026"/>
          <a:ext cx="5326432" cy="360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3</xdr:col>
      <xdr:colOff>885264</xdr:colOff>
      <xdr:row>309</xdr:row>
      <xdr:rowOff>78441</xdr:rowOff>
    </xdr:from>
    <xdr:to>
      <xdr:col>3</xdr:col>
      <xdr:colOff>974911</xdr:colOff>
      <xdr:row>326</xdr:row>
      <xdr:rowOff>56030</xdr:rowOff>
    </xdr:to>
    <xdr:sp macro="" textlink="">
      <xdr:nvSpPr>
        <xdr:cNvPr id="18" name="Freefor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485029" y="65117382"/>
          <a:ext cx="89647" cy="3406589"/>
        </a:xfrm>
        <a:custGeom>
          <a:avLst/>
          <a:gdLst>
            <a:gd name="connsiteX0" fmla="*/ 86903 w 86903"/>
            <a:gd name="connsiteY0" fmla="*/ 0 h 3519369"/>
            <a:gd name="connsiteX1" fmla="*/ 8462 w 86903"/>
            <a:gd name="connsiteY1" fmla="*/ 1221442 h 3519369"/>
            <a:gd name="connsiteX2" fmla="*/ 8462 w 86903"/>
            <a:gd name="connsiteY2" fmla="*/ 2409265 h 3519369"/>
            <a:gd name="connsiteX3" fmla="*/ 64492 w 86903"/>
            <a:gd name="connsiteY3" fmla="*/ 2823883 h 3519369"/>
            <a:gd name="connsiteX4" fmla="*/ 53286 w 86903"/>
            <a:gd name="connsiteY4" fmla="*/ 3440206 h 35193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903" h="3519369">
              <a:moveTo>
                <a:pt x="86903" y="0"/>
              </a:moveTo>
              <a:cubicBezTo>
                <a:pt x="54219" y="409949"/>
                <a:pt x="21535" y="819898"/>
                <a:pt x="8462" y="1221442"/>
              </a:cubicBezTo>
              <a:cubicBezTo>
                <a:pt x="-4612" y="1622986"/>
                <a:pt x="-876" y="2142192"/>
                <a:pt x="8462" y="2409265"/>
              </a:cubicBezTo>
              <a:cubicBezTo>
                <a:pt x="17800" y="2676339"/>
                <a:pt x="57021" y="2652060"/>
                <a:pt x="64492" y="2823883"/>
              </a:cubicBezTo>
              <a:cubicBezTo>
                <a:pt x="71963" y="2995706"/>
                <a:pt x="-21420" y="3765177"/>
                <a:pt x="53286" y="3440206"/>
              </a:cubicBezTo>
            </a:path>
          </a:pathLst>
        </a:cu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625844</xdr:colOff>
      <xdr:row>309</xdr:row>
      <xdr:rowOff>44824</xdr:rowOff>
    </xdr:from>
    <xdr:to>
      <xdr:col>3</xdr:col>
      <xdr:colOff>280147</xdr:colOff>
      <xdr:row>326</xdr:row>
      <xdr:rowOff>89647</xdr:rowOff>
    </xdr:to>
    <xdr:sp macro="" textlink="">
      <xdr:nvSpPr>
        <xdr:cNvPr id="19" name="Freefor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306726" y="65083765"/>
          <a:ext cx="573186" cy="3473823"/>
        </a:xfrm>
        <a:custGeom>
          <a:avLst/>
          <a:gdLst>
            <a:gd name="connsiteX0" fmla="*/ 573186 w 573186"/>
            <a:gd name="connsiteY0" fmla="*/ 0 h 3473823"/>
            <a:gd name="connsiteX1" fmla="*/ 438715 w 573186"/>
            <a:gd name="connsiteY1" fmla="*/ 1736911 h 3473823"/>
            <a:gd name="connsiteX2" fmla="*/ 35303 w 573186"/>
            <a:gd name="connsiteY2" fmla="*/ 3473823 h 3473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73186" h="3473823">
              <a:moveTo>
                <a:pt x="573186" y="0"/>
              </a:moveTo>
              <a:cubicBezTo>
                <a:pt x="550774" y="578970"/>
                <a:pt x="528362" y="1157941"/>
                <a:pt x="438715" y="1736911"/>
              </a:cubicBezTo>
              <a:cubicBezTo>
                <a:pt x="349068" y="2315881"/>
                <a:pt x="-132785" y="3333749"/>
                <a:pt x="35303" y="3473823"/>
              </a:cubicBezTo>
            </a:path>
          </a:pathLst>
        </a:cu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274545</xdr:colOff>
      <xdr:row>311</xdr:row>
      <xdr:rowOff>50426</xdr:rowOff>
    </xdr:from>
    <xdr:to>
      <xdr:col>4</xdr:col>
      <xdr:colOff>84045</xdr:colOff>
      <xdr:row>323</xdr:row>
      <xdr:rowOff>5602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16200000">
          <a:off x="2095501" y="66271588"/>
          <a:ext cx="2375647" cy="8180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FF00"/>
              </a:solidFill>
            </a:rPr>
            <a:t>Railway Track</a:t>
          </a:r>
        </a:p>
      </xdr:txBody>
    </xdr:sp>
    <xdr:clientData/>
  </xdr:twoCellAnchor>
  <xdr:twoCellAnchor>
    <xdr:from>
      <xdr:col>8</xdr:col>
      <xdr:colOff>581881</xdr:colOff>
      <xdr:row>220</xdr:row>
      <xdr:rowOff>46053</xdr:rowOff>
    </xdr:from>
    <xdr:to>
      <xdr:col>15</xdr:col>
      <xdr:colOff>795297</xdr:colOff>
      <xdr:row>251</xdr:row>
      <xdr:rowOff>178094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179905" y="46572877"/>
          <a:ext cx="5986686" cy="6245970"/>
          <a:chOff x="279400" y="44684950"/>
          <a:chExt cx="6078276" cy="623273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8786" y="4875768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446849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88035" y="4875768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7284" y="4875768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1801" y="446849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350520</xdr:colOff>
      <xdr:row>211</xdr:row>
      <xdr:rowOff>106680</xdr:rowOff>
    </xdr:from>
    <xdr:to>
      <xdr:col>7</xdr:col>
      <xdr:colOff>373380</xdr:colOff>
      <xdr:row>250</xdr:row>
      <xdr:rowOff>99060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0AF39D3-0372-4FF9-8CA6-32ECA34EFEB3}"/>
            </a:ext>
          </a:extLst>
        </xdr:cNvPr>
        <xdr:cNvGrpSpPr/>
      </xdr:nvGrpSpPr>
      <xdr:grpSpPr>
        <a:xfrm>
          <a:off x="350520" y="44867456"/>
          <a:ext cx="5894742" cy="7675133"/>
          <a:chOff x="222855" y="-387275"/>
          <a:chExt cx="5635721" cy="7636572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BA7DAC0-4C30-E572-7CC3-3C6FAB3584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28247" y="5608367"/>
            <a:ext cx="1234554" cy="16409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F9DCE95-F89B-0541-2CAC-F3BD3213DB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855" y="-387275"/>
            <a:ext cx="2734376" cy="36344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4558FF4-865E-69A6-D579-D5A7949D44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2267" y="5608367"/>
            <a:ext cx="1234554" cy="16409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1D7D4EA-BFC9-C3B4-0B59-E5D255FADF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1382" y="3363008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C2054AE7-FAB0-4821-1187-B4AFACCE65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9037" y="3363008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AC98A3A-50B4-0180-C495-9F311BBDCB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0686" y="3363008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389B2B02-00B5-D765-9BCC-89BB6A7B1F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24200" y="-387275"/>
            <a:ext cx="2734376" cy="36344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25B28C92-4A42-DA5D-0308-DD8DFB2BCF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07356" y="5608368"/>
            <a:ext cx="1229557" cy="16409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01053-hariom-aniruddha-icon-by-hariom-developers-in-nerul" TargetMode="External"/><Relationship Id="rId1" Type="http://schemas.openxmlformats.org/officeDocument/2006/relationships/hyperlink" Target="https://goo.gl/maps/Vfh9USXdH69XUTcA6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91"/>
  <sheetViews>
    <sheetView tabSelected="1" view="pageBreakPreview" zoomScale="85" zoomScaleNormal="100" zoomScaleSheetLayoutView="85" workbookViewId="0">
      <selection activeCell="K18" sqref="K18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6" width="11.77734375" style="38" customWidth="1"/>
    <col min="7" max="7" width="11.44140625" style="38" customWidth="1"/>
    <col min="8" max="8" width="10.5546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26" ht="46.5" customHeight="1" x14ac:dyDescent="0.3">
      <c r="A1" s="164" t="s">
        <v>164</v>
      </c>
      <c r="B1" s="164"/>
      <c r="C1" s="164"/>
      <c r="D1" s="164"/>
      <c r="E1" s="164"/>
      <c r="F1" s="164"/>
      <c r="G1" s="164"/>
      <c r="H1" s="164"/>
    </row>
    <row r="2" spans="1:26" ht="16.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</row>
    <row r="3" spans="1:26" x14ac:dyDescent="0.3">
      <c r="A3" s="146" t="s">
        <v>1</v>
      </c>
      <c r="B3" s="146"/>
      <c r="C3" s="146"/>
      <c r="D3" s="146"/>
      <c r="E3" s="146" t="str">
        <f ca="1">TEXT(TODAY(),"DD/MM/YYYY")</f>
        <v>19/08/2025</v>
      </c>
      <c r="F3" s="146"/>
      <c r="G3" s="146"/>
      <c r="H3" s="146"/>
    </row>
    <row r="4" spans="1:26" ht="15" customHeight="1" x14ac:dyDescent="0.3">
      <c r="A4" s="146" t="s">
        <v>2</v>
      </c>
      <c r="B4" s="146"/>
      <c r="C4" s="146"/>
      <c r="D4" s="146"/>
      <c r="E4" s="123" t="s">
        <v>230</v>
      </c>
      <c r="F4" s="123"/>
      <c r="G4" s="123"/>
      <c r="H4" s="123"/>
    </row>
    <row r="5" spans="1:26" x14ac:dyDescent="0.3">
      <c r="A5" s="146" t="s">
        <v>3</v>
      </c>
      <c r="B5" s="146"/>
      <c r="C5" s="146"/>
      <c r="D5" s="146"/>
      <c r="E5" s="166">
        <v>45882</v>
      </c>
      <c r="F5" s="146"/>
      <c r="G5" s="146"/>
      <c r="H5" s="146"/>
    </row>
    <row r="6" spans="1:26" ht="16.5" customHeight="1" x14ac:dyDescent="0.3">
      <c r="A6" s="146" t="s">
        <v>4</v>
      </c>
      <c r="B6" s="146"/>
      <c r="C6" s="146"/>
      <c r="D6" s="146"/>
      <c r="E6" s="146" t="s">
        <v>232</v>
      </c>
      <c r="F6" s="146"/>
      <c r="G6" s="146"/>
      <c r="H6" s="146"/>
    </row>
    <row r="7" spans="1:26" ht="15" customHeight="1" x14ac:dyDescent="0.3">
      <c r="A7" s="146" t="s">
        <v>5</v>
      </c>
      <c r="B7" s="146"/>
      <c r="C7" s="146"/>
      <c r="D7" s="146"/>
      <c r="E7" s="146" t="str">
        <f>E6</f>
        <v>Hariom Developers</v>
      </c>
      <c r="F7" s="146"/>
      <c r="G7" s="146"/>
      <c r="H7" s="146"/>
    </row>
    <row r="8" spans="1:26" x14ac:dyDescent="0.3">
      <c r="A8" s="146" t="s">
        <v>6</v>
      </c>
      <c r="B8" s="146"/>
      <c r="C8" s="146"/>
      <c r="D8" s="146"/>
      <c r="E8" s="124" t="s">
        <v>231</v>
      </c>
      <c r="F8" s="124"/>
      <c r="G8" s="124"/>
      <c r="H8" s="124"/>
    </row>
    <row r="9" spans="1:26" x14ac:dyDescent="0.3">
      <c r="A9" s="146" t="s">
        <v>167</v>
      </c>
      <c r="B9" s="146"/>
      <c r="C9" s="146"/>
      <c r="D9" s="146"/>
      <c r="E9" s="98" t="s">
        <v>267</v>
      </c>
      <c r="F9" s="146"/>
      <c r="G9" s="146"/>
      <c r="H9" s="146"/>
    </row>
    <row r="10" spans="1:26" x14ac:dyDescent="0.3">
      <c r="A10" s="146" t="s">
        <v>168</v>
      </c>
      <c r="B10" s="146"/>
      <c r="C10" s="146"/>
      <c r="D10" s="146"/>
      <c r="E10" s="146" t="s">
        <v>288</v>
      </c>
      <c r="F10" s="146"/>
      <c r="G10" s="146"/>
      <c r="H10" s="146"/>
    </row>
    <row r="11" spans="1:26" x14ac:dyDescent="0.3">
      <c r="A11" s="146" t="s">
        <v>7</v>
      </c>
      <c r="B11" s="146"/>
      <c r="C11" s="146"/>
      <c r="D11" s="146"/>
      <c r="E11" s="146" t="s">
        <v>121</v>
      </c>
      <c r="F11" s="146"/>
      <c r="G11" s="146"/>
      <c r="H11" s="146"/>
    </row>
    <row r="12" spans="1:26" x14ac:dyDescent="0.3">
      <c r="A12" s="146" t="s">
        <v>170</v>
      </c>
      <c r="B12" s="146"/>
      <c r="C12" s="146"/>
      <c r="D12" s="146"/>
      <c r="E12" s="146" t="s">
        <v>29</v>
      </c>
      <c r="F12" s="146"/>
      <c r="G12" s="146"/>
      <c r="H12" s="146"/>
      <c r="S12" s="52" t="s">
        <v>177</v>
      </c>
      <c r="T12" s="52" t="s">
        <v>187</v>
      </c>
      <c r="U12" s="52" t="s">
        <v>171</v>
      </c>
      <c r="V12" s="52" t="s">
        <v>192</v>
      </c>
      <c r="W12" s="52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3">
      <c r="A13" s="66" t="s">
        <v>8</v>
      </c>
      <c r="B13" s="66"/>
      <c r="C13" s="66"/>
      <c r="D13" s="66"/>
      <c r="E13" s="163" t="s">
        <v>276</v>
      </c>
      <c r="F13" s="163"/>
      <c r="G13" s="163"/>
      <c r="H13" s="163"/>
      <c r="S13" s="52" t="s">
        <v>178</v>
      </c>
      <c r="T13" s="52" t="s">
        <v>185</v>
      </c>
      <c r="U13" s="52" t="s">
        <v>207</v>
      </c>
      <c r="V13" s="52" t="s">
        <v>193</v>
      </c>
      <c r="W13" s="52" t="s">
        <v>211</v>
      </c>
      <c r="X13"/>
      <c r="Y13"/>
      <c r="Z13"/>
    </row>
    <row r="14" spans="1:26" x14ac:dyDescent="0.3">
      <c r="A14" s="66" t="s">
        <v>9</v>
      </c>
      <c r="B14" s="66"/>
      <c r="C14" s="66"/>
      <c r="D14" s="66"/>
      <c r="E14" s="163" t="s">
        <v>233</v>
      </c>
      <c r="F14" s="123"/>
      <c r="G14" s="123"/>
      <c r="H14" s="123"/>
      <c r="I14" s="180" t="e">
        <f ca="1">OFFSET($D$4,1,MATCH($J12,$D$4:$H$4,0)-1,15,1)</f>
        <v>#N/A</v>
      </c>
      <c r="J14" s="89"/>
      <c r="K14" s="89"/>
      <c r="L14" s="89"/>
      <c r="M14" s="89"/>
      <c r="N14" s="89"/>
      <c r="O14" s="89"/>
      <c r="P14" s="89"/>
      <c r="S14" s="52" t="s">
        <v>179</v>
      </c>
      <c r="T14" s="52" t="s">
        <v>186</v>
      </c>
      <c r="U14" s="52" t="s">
        <v>208</v>
      </c>
      <c r="V14" s="52" t="s">
        <v>194</v>
      </c>
      <c r="W14" s="52" t="s">
        <v>224</v>
      </c>
      <c r="X14"/>
      <c r="Y14"/>
      <c r="Z14"/>
    </row>
    <row r="15" spans="1:26" ht="48.75" customHeight="1" x14ac:dyDescent="0.3">
      <c r="A15" s="97" t="s">
        <v>10</v>
      </c>
      <c r="B15" s="97"/>
      <c r="C15" s="9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Aniruddha Icon, Plot No.24, Sector-29, near Platinum Venecia, Jagadguru Chandrasekhara Saraswathi Road, Navi Mumbai, Nerul, Nerul East, Thane, Thane  - 400706.</v>
      </c>
      <c r="D15" s="97"/>
      <c r="E15" s="97"/>
      <c r="F15" s="97"/>
      <c r="G15" s="97"/>
      <c r="H15" s="97"/>
      <c r="J15" s="63" t="e">
        <f ca="1">OFFSET($D$4,1,MATCH($J13,$D$4:$H$4,0)-1,15,1)</f>
        <v>#N/A</v>
      </c>
      <c r="S15" s="52" t="s">
        <v>180</v>
      </c>
      <c r="T15" s="52" t="s">
        <v>188</v>
      </c>
      <c r="U15" s="52" t="s">
        <v>209</v>
      </c>
      <c r="V15" s="52" t="s">
        <v>195</v>
      </c>
      <c r="W15" s="52" t="s">
        <v>212</v>
      </c>
      <c r="X15"/>
      <c r="Y15"/>
      <c r="Z15"/>
    </row>
    <row r="16" spans="1:26" x14ac:dyDescent="0.3">
      <c r="A16" s="163" t="s">
        <v>234</v>
      </c>
      <c r="B16" s="163"/>
      <c r="C16" s="163" t="s">
        <v>235</v>
      </c>
      <c r="D16" s="163"/>
      <c r="E16" s="163"/>
      <c r="F16" s="163"/>
      <c r="G16" s="163"/>
      <c r="H16" s="163"/>
      <c r="S16" s="52" t="s">
        <v>181</v>
      </c>
      <c r="T16" s="52" t="s">
        <v>189</v>
      </c>
      <c r="U16" s="52"/>
      <c r="V16" s="52" t="s">
        <v>196</v>
      </c>
      <c r="W16" s="52" t="s">
        <v>213</v>
      </c>
      <c r="X16"/>
      <c r="Y16"/>
      <c r="Z16"/>
    </row>
    <row r="17" spans="1:26" ht="15.75" customHeight="1" x14ac:dyDescent="0.3">
      <c r="A17" s="98" t="s">
        <v>162</v>
      </c>
      <c r="B17" s="98"/>
      <c r="C17" s="98" t="s">
        <v>237</v>
      </c>
      <c r="D17" s="98"/>
      <c r="E17" s="98"/>
      <c r="F17" s="98"/>
      <c r="G17" s="98"/>
      <c r="H17" s="98"/>
      <c r="S17" s="52" t="s">
        <v>182</v>
      </c>
      <c r="T17" s="52" t="s">
        <v>187</v>
      </c>
      <c r="U17" s="52"/>
      <c r="V17" s="52" t="s">
        <v>197</v>
      </c>
      <c r="W17" s="52" t="s">
        <v>214</v>
      </c>
      <c r="X17"/>
      <c r="Y17"/>
      <c r="Z17"/>
    </row>
    <row r="18" spans="1:26" ht="34.5" customHeight="1" x14ac:dyDescent="0.3">
      <c r="A18" s="97" t="s">
        <v>11</v>
      </c>
      <c r="B18" s="97"/>
      <c r="C18" s="98" t="s">
        <v>240</v>
      </c>
      <c r="D18" s="98"/>
      <c r="E18" s="97" t="s">
        <v>72</v>
      </c>
      <c r="F18" s="97"/>
      <c r="G18" s="98" t="s">
        <v>236</v>
      </c>
      <c r="H18" s="98"/>
      <c r="S18" s="52" t="s">
        <v>183</v>
      </c>
      <c r="T18" s="52" t="s">
        <v>190</v>
      </c>
      <c r="U18" s="52"/>
      <c r="V18" s="52" t="s">
        <v>198</v>
      </c>
      <c r="W18" s="52" t="s">
        <v>215</v>
      </c>
      <c r="X18"/>
      <c r="Y18"/>
      <c r="Z18"/>
    </row>
    <row r="19" spans="1:26" x14ac:dyDescent="0.3">
      <c r="A19" s="66" t="s">
        <v>13</v>
      </c>
      <c r="B19" s="66"/>
      <c r="C19" s="163" t="s">
        <v>241</v>
      </c>
      <c r="D19" s="163"/>
      <c r="E19" s="163" t="s">
        <v>12</v>
      </c>
      <c r="F19" s="163"/>
      <c r="G19" s="184" t="s">
        <v>177</v>
      </c>
      <c r="H19" s="184"/>
      <c r="S19" s="52" t="s">
        <v>184</v>
      </c>
      <c r="T19" s="52" t="s">
        <v>191</v>
      </c>
      <c r="U19" s="52"/>
      <c r="V19" s="52" t="s">
        <v>199</v>
      </c>
      <c r="W19" s="52" t="s">
        <v>216</v>
      </c>
      <c r="X19"/>
      <c r="Y19"/>
      <c r="Z19"/>
    </row>
    <row r="20" spans="1:26" x14ac:dyDescent="0.3">
      <c r="A20" s="66" t="s">
        <v>73</v>
      </c>
      <c r="B20" s="66"/>
      <c r="C20" s="163" t="s">
        <v>178</v>
      </c>
      <c r="D20" s="163"/>
      <c r="E20" s="163" t="s">
        <v>14</v>
      </c>
      <c r="F20" s="163"/>
      <c r="G20" s="163">
        <v>400706</v>
      </c>
      <c r="H20" s="163"/>
      <c r="S20" s="52"/>
      <c r="T20" s="52"/>
      <c r="U20" s="52"/>
      <c r="V20" s="52" t="s">
        <v>200</v>
      </c>
      <c r="W20" s="52" t="s">
        <v>217</v>
      </c>
      <c r="X20"/>
      <c r="Y20"/>
      <c r="Z20"/>
    </row>
    <row r="21" spans="1:26" ht="32.25" customHeight="1" x14ac:dyDescent="0.3">
      <c r="A21" s="66" t="s">
        <v>122</v>
      </c>
      <c r="B21" s="66"/>
      <c r="C21" s="98" t="s">
        <v>242</v>
      </c>
      <c r="D21" s="98"/>
      <c r="E21" s="97" t="s">
        <v>15</v>
      </c>
      <c r="F21" s="97"/>
      <c r="G21" s="163" t="s">
        <v>268</v>
      </c>
      <c r="H21" s="163"/>
      <c r="S21" s="52"/>
      <c r="T21" s="52"/>
      <c r="U21" s="52"/>
      <c r="V21" s="52" t="s">
        <v>201</v>
      </c>
      <c r="W21" s="52" t="s">
        <v>218</v>
      </c>
      <c r="X21"/>
      <c r="Y21"/>
      <c r="Z21"/>
    </row>
    <row r="22" spans="1:26" ht="15" customHeight="1" x14ac:dyDescent="0.3">
      <c r="A22" s="97" t="s">
        <v>75</v>
      </c>
      <c r="B22" s="97"/>
      <c r="C22" s="97"/>
      <c r="D22" s="97"/>
      <c r="E22" s="146" t="s">
        <v>16</v>
      </c>
      <c r="F22" s="146"/>
      <c r="G22" s="146"/>
      <c r="H22" s="146"/>
      <c r="S22" s="52"/>
      <c r="T22" s="52"/>
      <c r="U22" s="52"/>
      <c r="V22" s="52" t="s">
        <v>202</v>
      </c>
      <c r="W22" s="52" t="s">
        <v>219</v>
      </c>
      <c r="X22"/>
      <c r="Y22"/>
      <c r="Z22"/>
    </row>
    <row r="23" spans="1:26" ht="18.75" customHeight="1" x14ac:dyDescent="0.3">
      <c r="A23" s="97"/>
      <c r="B23" s="97"/>
      <c r="C23" s="97"/>
      <c r="D23" s="97"/>
      <c r="E23" s="146"/>
      <c r="F23" s="146"/>
      <c r="G23" s="146"/>
      <c r="H23" s="146"/>
      <c r="S23" s="52"/>
      <c r="T23" s="52"/>
      <c r="U23" s="52"/>
      <c r="V23" s="52" t="s">
        <v>203</v>
      </c>
      <c r="W23" s="52" t="s">
        <v>220</v>
      </c>
      <c r="X23"/>
      <c r="Y23"/>
      <c r="Z23"/>
    </row>
    <row r="24" spans="1:26" ht="15" customHeight="1" x14ac:dyDescent="0.3">
      <c r="A24" s="97" t="s">
        <v>17</v>
      </c>
      <c r="B24" s="97"/>
      <c r="C24" s="97"/>
      <c r="D24" s="97"/>
      <c r="E24" s="98" t="s">
        <v>18</v>
      </c>
      <c r="F24" s="98"/>
      <c r="G24" s="98"/>
      <c r="H24" s="98"/>
      <c r="S24" s="52"/>
      <c r="T24" s="52"/>
      <c r="U24" s="52"/>
      <c r="V24" s="52" t="s">
        <v>204</v>
      </c>
      <c r="W24" s="52" t="s">
        <v>221</v>
      </c>
      <c r="X24"/>
      <c r="Y24"/>
      <c r="Z24"/>
    </row>
    <row r="25" spans="1:26" ht="15" customHeight="1" x14ac:dyDescent="0.3">
      <c r="A25" s="66" t="s">
        <v>19</v>
      </c>
      <c r="B25" s="66"/>
      <c r="C25" s="66"/>
      <c r="D25" s="66"/>
      <c r="E25" s="98" t="str">
        <f>IF(AND(G19="Mumbai"),"Upper Class","Middle Class")</f>
        <v>Middle Class</v>
      </c>
      <c r="F25" s="98"/>
      <c r="G25" s="98"/>
      <c r="H25" s="98"/>
      <c r="S25" s="52"/>
      <c r="T25" s="52"/>
      <c r="U25" s="52"/>
      <c r="V25" s="52" t="s">
        <v>205</v>
      </c>
      <c r="W25" s="52" t="s">
        <v>222</v>
      </c>
      <c r="X25"/>
      <c r="Y25"/>
      <c r="Z25"/>
    </row>
    <row r="26" spans="1:26" x14ac:dyDescent="0.3">
      <c r="A26" s="66" t="s">
        <v>20</v>
      </c>
      <c r="B26" s="66"/>
      <c r="C26" s="66"/>
      <c r="D26" s="66"/>
      <c r="E26" s="98" t="s">
        <v>21</v>
      </c>
      <c r="F26" s="98"/>
      <c r="G26" s="98"/>
      <c r="H26" s="98"/>
      <c r="S26" s="52"/>
      <c r="T26" s="52"/>
      <c r="U26" s="52"/>
      <c r="V26" s="52" t="s">
        <v>206</v>
      </c>
      <c r="W26" s="52" t="s">
        <v>223</v>
      </c>
      <c r="X26"/>
      <c r="Y26"/>
      <c r="Z26"/>
    </row>
    <row r="27" spans="1:26" ht="15.75" customHeight="1" x14ac:dyDescent="0.3">
      <c r="A27" s="66" t="s">
        <v>22</v>
      </c>
      <c r="B27" s="66"/>
      <c r="C27" s="66"/>
      <c r="D27" s="66"/>
      <c r="E27" s="98" t="str">
        <f>IF(AND(G19="Mumbai"),"Developed","Developing")</f>
        <v>Developing</v>
      </c>
      <c r="F27" s="98"/>
      <c r="G27" s="98"/>
      <c r="H27" s="98"/>
    </row>
    <row r="28" spans="1:26" x14ac:dyDescent="0.3">
      <c r="A28" s="66" t="s">
        <v>23</v>
      </c>
      <c r="B28" s="66"/>
      <c r="C28" s="66"/>
      <c r="D28" s="66"/>
      <c r="E28" s="98" t="s">
        <v>24</v>
      </c>
      <c r="F28" s="98"/>
      <c r="G28" s="98"/>
      <c r="H28" s="98"/>
    </row>
    <row r="29" spans="1:26" ht="15.75" customHeight="1" x14ac:dyDescent="0.3">
      <c r="A29" s="66" t="s">
        <v>80</v>
      </c>
      <c r="B29" s="66"/>
      <c r="C29" s="66"/>
      <c r="D29" s="66"/>
      <c r="E29" s="98" t="s">
        <v>81</v>
      </c>
      <c r="F29" s="98"/>
      <c r="G29" s="98"/>
      <c r="H29" s="98"/>
    </row>
    <row r="30" spans="1:26" ht="15" customHeight="1" x14ac:dyDescent="0.3">
      <c r="A30" s="66" t="s">
        <v>32</v>
      </c>
      <c r="B30" s="66"/>
      <c r="C30" s="66"/>
      <c r="D30" s="66"/>
      <c r="E30" s="98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0" s="98"/>
      <c r="G30" s="98"/>
      <c r="H30" s="98"/>
    </row>
    <row r="31" spans="1:26" ht="15.75" customHeight="1" x14ac:dyDescent="0.3">
      <c r="A31" s="66" t="s">
        <v>92</v>
      </c>
      <c r="B31" s="66"/>
      <c r="C31" s="66"/>
      <c r="D31" s="66"/>
      <c r="E31" s="98" t="s">
        <v>33</v>
      </c>
      <c r="F31" s="98"/>
      <c r="G31" s="98"/>
      <c r="H31" s="98"/>
    </row>
    <row r="32" spans="1:26" s="20" customFormat="1" x14ac:dyDescent="0.3">
      <c r="A32" s="161" t="s">
        <v>93</v>
      </c>
      <c r="B32" s="161"/>
      <c r="C32" s="159" t="s">
        <v>172</v>
      </c>
      <c r="D32" s="159"/>
      <c r="E32" s="159"/>
      <c r="F32" s="159" t="s">
        <v>30</v>
      </c>
      <c r="G32" s="159"/>
      <c r="H32" s="159"/>
    </row>
    <row r="33" spans="1:9" s="20" customFormat="1" ht="32.25" customHeight="1" x14ac:dyDescent="0.3">
      <c r="A33" s="160" t="s">
        <v>25</v>
      </c>
      <c r="B33" s="160" t="s">
        <v>29</v>
      </c>
      <c r="C33" s="160" t="s">
        <v>246</v>
      </c>
      <c r="D33" s="160"/>
      <c r="E33" s="160"/>
      <c r="F33" s="162" t="s">
        <v>244</v>
      </c>
      <c r="G33" s="162"/>
      <c r="H33" s="162"/>
    </row>
    <row r="34" spans="1:9" x14ac:dyDescent="0.3">
      <c r="A34" s="151" t="s">
        <v>26</v>
      </c>
      <c r="B34" s="151" t="s">
        <v>29</v>
      </c>
      <c r="C34" s="152" t="s">
        <v>245</v>
      </c>
      <c r="D34" s="152"/>
      <c r="E34" s="152"/>
      <c r="F34" s="152" t="s">
        <v>269</v>
      </c>
      <c r="G34" s="152"/>
      <c r="H34" s="152"/>
    </row>
    <row r="35" spans="1:9" s="20" customFormat="1" x14ac:dyDescent="0.3">
      <c r="A35" s="151" t="s">
        <v>28</v>
      </c>
      <c r="B35" s="151" t="s">
        <v>29</v>
      </c>
      <c r="C35" s="152" t="s">
        <v>245</v>
      </c>
      <c r="D35" s="152"/>
      <c r="E35" s="152"/>
      <c r="F35" s="152" t="s">
        <v>242</v>
      </c>
      <c r="G35" s="152"/>
      <c r="H35" s="152"/>
    </row>
    <row r="36" spans="1:9" x14ac:dyDescent="0.3">
      <c r="A36" s="151" t="s">
        <v>27</v>
      </c>
      <c r="B36" s="151" t="s">
        <v>29</v>
      </c>
      <c r="C36" s="152" t="s">
        <v>245</v>
      </c>
      <c r="D36" s="152"/>
      <c r="E36" s="152"/>
      <c r="F36" s="152" t="s">
        <v>243</v>
      </c>
      <c r="G36" s="152"/>
      <c r="H36" s="152"/>
    </row>
    <row r="37" spans="1:9" x14ac:dyDescent="0.3">
      <c r="A37" s="66" t="s">
        <v>31</v>
      </c>
      <c r="B37" s="66"/>
      <c r="C37" s="66"/>
      <c r="D37" s="66"/>
      <c r="E37" s="66"/>
      <c r="F37" s="66"/>
      <c r="G37" s="66"/>
      <c r="H37" s="66"/>
    </row>
    <row r="38" spans="1:9" ht="15.75" customHeight="1" x14ac:dyDescent="0.3">
      <c r="A38" s="66" t="s">
        <v>165</v>
      </c>
      <c r="B38" s="66"/>
      <c r="C38" s="136" t="s">
        <v>239</v>
      </c>
      <c r="D38" s="136"/>
      <c r="E38" s="136"/>
      <c r="F38" s="136"/>
      <c r="G38" s="136"/>
      <c r="H38" s="136"/>
    </row>
    <row r="39" spans="1:9" x14ac:dyDescent="0.3">
      <c r="A39" s="66" t="s">
        <v>161</v>
      </c>
      <c r="B39" s="66"/>
      <c r="C39" s="157" t="s">
        <v>238</v>
      </c>
      <c r="D39" s="98"/>
      <c r="E39" s="98"/>
      <c r="F39" s="98"/>
      <c r="G39" s="98"/>
      <c r="H39" s="98"/>
    </row>
    <row r="40" spans="1:9" x14ac:dyDescent="0.3">
      <c r="A40" s="147" t="s">
        <v>34</v>
      </c>
      <c r="B40" s="147"/>
      <c r="C40" s="147"/>
      <c r="D40" s="147"/>
      <c r="E40" s="147"/>
      <c r="F40" s="147"/>
      <c r="G40" s="147"/>
      <c r="H40" s="147"/>
    </row>
    <row r="41" spans="1:9" x14ac:dyDescent="0.3">
      <c r="A41" s="66" t="s">
        <v>35</v>
      </c>
      <c r="B41" s="66"/>
      <c r="C41" s="66"/>
      <c r="D41" s="66"/>
      <c r="E41" s="153">
        <v>2263.1799999999998</v>
      </c>
      <c r="F41" s="153"/>
      <c r="G41" s="153"/>
      <c r="H41" s="153"/>
    </row>
    <row r="42" spans="1:9" x14ac:dyDescent="0.3">
      <c r="A42" s="66" t="s">
        <v>36</v>
      </c>
      <c r="B42" s="66"/>
      <c r="C42" s="66"/>
      <c r="D42" s="66"/>
      <c r="E42" s="155">
        <v>1.5</v>
      </c>
      <c r="F42" s="155"/>
      <c r="G42" s="155"/>
      <c r="H42" s="155"/>
      <c r="I42" s="19">
        <f>3394.77/E41</f>
        <v>1.5</v>
      </c>
    </row>
    <row r="43" spans="1:9" x14ac:dyDescent="0.3">
      <c r="A43" s="66" t="s">
        <v>37</v>
      </c>
      <c r="B43" s="66"/>
      <c r="C43" s="66"/>
      <c r="D43" s="66"/>
      <c r="E43" s="155">
        <f>E45/E41-E42</f>
        <v>3.1680648468084733</v>
      </c>
      <c r="F43" s="155"/>
      <c r="G43" s="155"/>
      <c r="H43" s="155"/>
    </row>
    <row r="44" spans="1:9" x14ac:dyDescent="0.3">
      <c r="A44" s="66" t="s">
        <v>38</v>
      </c>
      <c r="B44" s="66"/>
      <c r="C44" s="66"/>
      <c r="D44" s="66"/>
      <c r="E44" s="155">
        <f>E42+E43</f>
        <v>4.6680648468084733</v>
      </c>
      <c r="F44" s="155"/>
      <c r="G44" s="155"/>
      <c r="H44" s="155"/>
    </row>
    <row r="45" spans="1:9" x14ac:dyDescent="0.3">
      <c r="A45" s="66" t="s">
        <v>91</v>
      </c>
      <c r="B45" s="66"/>
      <c r="C45" s="66"/>
      <c r="D45" s="66"/>
      <c r="E45" s="156">
        <v>10564.671</v>
      </c>
      <c r="F45" s="156"/>
      <c r="G45" s="156"/>
      <c r="H45" s="156"/>
    </row>
    <row r="46" spans="1:9" x14ac:dyDescent="0.3">
      <c r="A46" s="146" t="s">
        <v>39</v>
      </c>
      <c r="B46" s="146"/>
      <c r="C46" s="146"/>
      <c r="D46" s="146"/>
      <c r="E46" s="123" t="s">
        <v>121</v>
      </c>
      <c r="F46" s="123"/>
      <c r="G46" s="123"/>
      <c r="H46" s="123"/>
    </row>
    <row r="47" spans="1:9" x14ac:dyDescent="0.3">
      <c r="A47" s="147" t="s">
        <v>40</v>
      </c>
      <c r="B47" s="147"/>
      <c r="C47" s="147"/>
      <c r="D47" s="147"/>
      <c r="E47" s="147"/>
      <c r="F47" s="147"/>
      <c r="G47" s="147"/>
      <c r="H47" s="147"/>
    </row>
    <row r="48" spans="1:9" ht="33.75" customHeight="1" x14ac:dyDescent="0.3">
      <c r="A48" s="117" t="s">
        <v>150</v>
      </c>
      <c r="B48" s="119"/>
      <c r="C48" s="206" t="s">
        <v>279</v>
      </c>
      <c r="D48" s="207"/>
      <c r="E48" s="207"/>
      <c r="F48" s="207"/>
      <c r="G48" s="207"/>
      <c r="H48" s="208"/>
    </row>
    <row r="49" spans="1:14" ht="15.75" customHeight="1" x14ac:dyDescent="0.3">
      <c r="A49" s="117" t="s">
        <v>41</v>
      </c>
      <c r="B49" s="119"/>
      <c r="C49" s="117" t="s">
        <v>247</v>
      </c>
      <c r="D49" s="118"/>
      <c r="E49" s="119"/>
      <c r="F49" s="16" t="s">
        <v>42</v>
      </c>
      <c r="G49" s="179">
        <v>45014</v>
      </c>
      <c r="H49" s="119"/>
    </row>
    <row r="50" spans="1:14" ht="49.05" customHeight="1" x14ac:dyDescent="0.3">
      <c r="A50" s="117" t="s">
        <v>281</v>
      </c>
      <c r="B50" s="119"/>
      <c r="C50" s="117" t="str">
        <f>C49</f>
        <v>NRV/A-/16944</v>
      </c>
      <c r="D50" s="118"/>
      <c r="E50" s="119"/>
      <c r="F50" s="16" t="s">
        <v>42</v>
      </c>
      <c r="G50" s="179">
        <f>G49</f>
        <v>45014</v>
      </c>
      <c r="H50" s="119"/>
    </row>
    <row r="51" spans="1:14" ht="32.25" customHeight="1" x14ac:dyDescent="0.3">
      <c r="A51" s="117" t="s">
        <v>282</v>
      </c>
      <c r="B51" s="119"/>
      <c r="C51" s="117" t="s">
        <v>283</v>
      </c>
      <c r="D51" s="118"/>
      <c r="E51" s="119"/>
      <c r="F51" s="16" t="s">
        <v>42</v>
      </c>
      <c r="G51" s="179">
        <v>45373</v>
      </c>
      <c r="H51" s="119"/>
    </row>
    <row r="52" spans="1:14" s="21" customFormat="1" ht="15.75" customHeight="1" x14ac:dyDescent="0.3">
      <c r="A52" s="202" t="s">
        <v>153</v>
      </c>
      <c r="B52" s="203"/>
      <c r="C52" s="117" t="s">
        <v>248</v>
      </c>
      <c r="D52" s="118"/>
      <c r="E52" s="119"/>
      <c r="F52" s="16" t="s">
        <v>42</v>
      </c>
      <c r="G52" s="179">
        <f>G50</f>
        <v>45014</v>
      </c>
      <c r="H52" s="119"/>
    </row>
    <row r="53" spans="1:14" s="21" customFormat="1" x14ac:dyDescent="0.3">
      <c r="A53" s="204"/>
      <c r="B53" s="205"/>
      <c r="C53" s="117" t="s">
        <v>252</v>
      </c>
      <c r="D53" s="118"/>
      <c r="E53" s="118"/>
      <c r="F53" s="118"/>
      <c r="G53" s="118"/>
      <c r="H53" s="119"/>
    </row>
    <row r="54" spans="1:14" s="21" customFormat="1" ht="15.75" customHeight="1" x14ac:dyDescent="0.3">
      <c r="A54" s="202" t="s">
        <v>153</v>
      </c>
      <c r="B54" s="203"/>
      <c r="C54" s="117" t="s">
        <v>289</v>
      </c>
      <c r="D54" s="118"/>
      <c r="E54" s="119"/>
      <c r="F54" s="16" t="s">
        <v>42</v>
      </c>
      <c r="G54" s="179">
        <v>45373</v>
      </c>
      <c r="H54" s="119"/>
    </row>
    <row r="55" spans="1:14" s="21" customFormat="1" ht="51" customHeight="1" x14ac:dyDescent="0.3">
      <c r="A55" s="204"/>
      <c r="B55" s="205"/>
      <c r="C55" s="117" t="s">
        <v>290</v>
      </c>
      <c r="D55" s="118"/>
      <c r="E55" s="118"/>
      <c r="F55" s="118"/>
      <c r="G55" s="118"/>
      <c r="H55" s="119"/>
    </row>
    <row r="56" spans="1:14" s="21" customFormat="1" ht="15.75" customHeight="1" x14ac:dyDescent="0.3">
      <c r="A56" s="202" t="s">
        <v>278</v>
      </c>
      <c r="B56" s="203"/>
      <c r="C56" s="117" t="s">
        <v>280</v>
      </c>
      <c r="D56" s="118"/>
      <c r="E56" s="119"/>
      <c r="F56" s="16" t="s">
        <v>42</v>
      </c>
      <c r="G56" s="179">
        <v>45253</v>
      </c>
      <c r="H56" s="119"/>
    </row>
    <row r="57" spans="1:14" x14ac:dyDescent="0.3">
      <c r="A57" s="181" t="s">
        <v>43</v>
      </c>
      <c r="B57" s="182"/>
      <c r="C57" s="181" t="s">
        <v>105</v>
      </c>
      <c r="D57" s="183"/>
      <c r="E57" s="182"/>
      <c r="F57" s="44" t="s">
        <v>42</v>
      </c>
      <c r="G57" s="192" t="s">
        <v>29</v>
      </c>
      <c r="H57" s="193"/>
    </row>
    <row r="58" spans="1:14" x14ac:dyDescent="0.3">
      <c r="A58" s="158" t="s">
        <v>45</v>
      </c>
      <c r="B58" s="158"/>
      <c r="C58" s="158"/>
      <c r="D58" s="158"/>
      <c r="E58" s="158"/>
      <c r="F58" s="158"/>
      <c r="G58" s="158"/>
      <c r="H58" s="158"/>
    </row>
    <row r="59" spans="1:14" x14ac:dyDescent="0.3">
      <c r="A59" s="97" t="s">
        <v>90</v>
      </c>
      <c r="B59" s="97"/>
      <c r="C59" s="97"/>
      <c r="D59" s="66">
        <f>E45</f>
        <v>10564.671</v>
      </c>
      <c r="E59" s="66"/>
      <c r="F59" s="66"/>
      <c r="G59" s="66"/>
      <c r="H59" s="66"/>
    </row>
    <row r="60" spans="1:14" x14ac:dyDescent="0.3">
      <c r="A60" s="98" t="s">
        <v>46</v>
      </c>
      <c r="B60" s="146"/>
      <c r="C60" s="146"/>
      <c r="D60" s="123" t="s">
        <v>286</v>
      </c>
      <c r="E60" s="123"/>
      <c r="F60" s="123"/>
      <c r="G60" s="123"/>
      <c r="H60" s="123"/>
      <c r="I60" s="22"/>
    </row>
    <row r="61" spans="1:14" x14ac:dyDescent="0.3">
      <c r="A61" s="199" t="s">
        <v>47</v>
      </c>
      <c r="B61" s="200"/>
      <c r="C61" s="201"/>
      <c r="D61" s="197" t="s">
        <v>253</v>
      </c>
      <c r="E61" s="198"/>
      <c r="F61" s="198"/>
      <c r="G61" s="198"/>
      <c r="H61" s="198"/>
    </row>
    <row r="62" spans="1:14" ht="15.75" customHeight="1" x14ac:dyDescent="0.3">
      <c r="A62" s="209" t="s">
        <v>88</v>
      </c>
      <c r="B62" s="210"/>
      <c r="C62" s="211"/>
      <c r="D62" s="194" t="s">
        <v>253</v>
      </c>
      <c r="E62" s="195"/>
      <c r="F62" s="195"/>
      <c r="G62" s="195"/>
      <c r="H62" s="196"/>
    </row>
    <row r="63" spans="1:14" ht="15.75" customHeight="1" x14ac:dyDescent="0.3">
      <c r="A63" s="66" t="s">
        <v>44</v>
      </c>
      <c r="B63" s="66"/>
      <c r="C63" s="66"/>
      <c r="D63" s="97" t="s">
        <v>249</v>
      </c>
      <c r="E63" s="97"/>
      <c r="F63" s="97"/>
      <c r="G63" s="97"/>
      <c r="H63" s="97"/>
      <c r="J63" s="23"/>
      <c r="K63" s="22"/>
      <c r="N63" s="22"/>
    </row>
    <row r="64" spans="1:14" ht="15.75" customHeight="1" x14ac:dyDescent="0.3">
      <c r="A64" s="66" t="s">
        <v>86</v>
      </c>
      <c r="B64" s="66"/>
      <c r="C64" s="66"/>
      <c r="D64" s="154" t="str">
        <f>(IF(G57="NA","60 Years After Completion",IF(G57&lt;&gt;"NA",""&amp;60-ROUNDDOWN((E3-G57)/360,0)&amp;" Years"," ")))</f>
        <v>60 Years After Completion</v>
      </c>
      <c r="E64" s="154"/>
      <c r="F64" s="154"/>
      <c r="G64" s="154"/>
      <c r="H64" s="154"/>
      <c r="N64" s="22"/>
    </row>
    <row r="65" spans="1:14" ht="15.75" customHeight="1" x14ac:dyDescent="0.3">
      <c r="A65" s="66" t="s">
        <v>87</v>
      </c>
      <c r="B65" s="66"/>
      <c r="C65" s="66"/>
      <c r="D65" s="97" t="s">
        <v>24</v>
      </c>
      <c r="E65" s="97"/>
      <c r="F65" s="97"/>
      <c r="G65" s="97"/>
      <c r="H65" s="97"/>
      <c r="J65" s="24"/>
      <c r="K65" s="24"/>
    </row>
    <row r="66" spans="1:14" ht="33.75" customHeight="1" x14ac:dyDescent="0.3">
      <c r="A66" s="123" t="s">
        <v>250</v>
      </c>
      <c r="B66" s="123"/>
      <c r="C66" s="123"/>
      <c r="D66" s="98" t="s">
        <v>274</v>
      </c>
      <c r="E66" s="97"/>
      <c r="F66" s="97"/>
      <c r="G66" s="97"/>
      <c r="H66" s="97"/>
      <c r="I66" s="88" t="s">
        <v>251</v>
      </c>
      <c r="J66" s="89"/>
      <c r="K66" s="89"/>
    </row>
    <row r="67" spans="1:14" x14ac:dyDescent="0.3">
      <c r="A67" s="97" t="s">
        <v>147</v>
      </c>
      <c r="B67" s="97"/>
      <c r="C67" s="97"/>
      <c r="D67" s="97" t="s">
        <v>29</v>
      </c>
      <c r="E67" s="97"/>
      <c r="F67" s="97"/>
      <c r="G67" s="97"/>
      <c r="H67" s="97"/>
      <c r="I67" s="25"/>
      <c r="J67" s="25"/>
      <c r="K67" s="25"/>
      <c r="L67" s="25"/>
      <c r="M67" s="25"/>
      <c r="N67" s="25"/>
    </row>
    <row r="68" spans="1:14" ht="15.75" customHeight="1" x14ac:dyDescent="0.3">
      <c r="A68" s="66" t="s">
        <v>85</v>
      </c>
      <c r="B68" s="66"/>
      <c r="C68" s="66"/>
      <c r="D68" s="98" t="str">
        <f ca="1">(IF(G74&gt;95%,"Nothing",IF(G74&gt;0%,"Cement, Aggregate, Steel, etc",IF(G74=0%,"Work not yet Started"))))</f>
        <v>Cement, Aggregate, Steel, etc</v>
      </c>
      <c r="E68" s="98"/>
      <c r="F68" s="98"/>
      <c r="G68" s="98"/>
      <c r="H68" s="98"/>
      <c r="J68" s="24"/>
    </row>
    <row r="69" spans="1:14" ht="33.75" customHeight="1" thickBot="1" x14ac:dyDescent="0.35">
      <c r="A69" s="97" t="s">
        <v>118</v>
      </c>
      <c r="B69" s="97"/>
      <c r="C69" s="97"/>
      <c r="D69" s="98" t="str">
        <f ca="1">(IF(D68="Nothing","Yes",IF(D68="Cement, Aggregate, Steel, etc","Under Construction",IF(D68="Work not yet Started","Work not yet Started"))))</f>
        <v>Under Construction</v>
      </c>
      <c r="E69" s="98"/>
      <c r="F69" s="98" t="str">
        <f ca="1">(IF(D68="Nothing","Yes",IF(D68="Cement, Aggregate, Steel, etc","Under Construction",IF(D68="Work not yet Started","Work not yet Started"))))</f>
        <v>Under Construction</v>
      </c>
      <c r="G69" s="98"/>
      <c r="H69" s="98"/>
    </row>
    <row r="70" spans="1:14" x14ac:dyDescent="0.3">
      <c r="A70" s="121" t="s">
        <v>275</v>
      </c>
      <c r="B70" s="121"/>
      <c r="C70" s="121" t="str">
        <f>D62</f>
        <v>1B + Gr + 1st to 17th Floor</v>
      </c>
      <c r="D70" s="121"/>
      <c r="E70" s="121"/>
      <c r="F70" s="121"/>
      <c r="G70" s="121"/>
      <c r="H70" s="121"/>
      <c r="I70" s="64" t="str">
        <f ca="1">IF(D83=100%,"All work Completed. Possession granted to the Building.",IF(D82=100%,"All work Completed, Waiting for OC",I71&amp;""&amp;I72&amp;""&amp;J71&amp;""&amp;J70&amp;" "&amp;J72))</f>
        <v>Excavation, Plinth, RCC Slab, Brickwork Completed, Internal Plaster upto 12 Floor, External Plaster upto 10 Floor, Flooring upto 3 Floor Completed</v>
      </c>
      <c r="J70" s="47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Internal Plaster upto 12 Floor, External Plaster upto 10 Floor, Flooring upto 3 Floor</v>
      </c>
    </row>
    <row r="71" spans="1:14" x14ac:dyDescent="0.3">
      <c r="A71" s="49" t="s">
        <v>141</v>
      </c>
      <c r="B71" s="49">
        <v>1</v>
      </c>
      <c r="C71" s="49" t="s">
        <v>71</v>
      </c>
      <c r="D71" s="49">
        <v>1</v>
      </c>
      <c r="E71" s="49" t="s">
        <v>70</v>
      </c>
      <c r="F71" s="53">
        <v>0</v>
      </c>
      <c r="G71" s="46" t="s">
        <v>79</v>
      </c>
      <c r="H71" s="49">
        <f ca="1">--TRIM(RIGHT(SUBSTITUTE(LEFT(C70,_xlfn.AGGREGATE(16,6,FIND({0,1,2,3,4,5,6,7,8,9},C70,ROW(INDIRECT("1:"&amp;LEN(C70)))),1))," ",REPT(" ",LEN(C70))),LEN(C70)))</f>
        <v>17</v>
      </c>
      <c r="I71" s="65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</v>
      </c>
      <c r="J71" s="48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31.05" customHeight="1" x14ac:dyDescent="0.3">
      <c r="A72" s="124" t="s">
        <v>89</v>
      </c>
      <c r="B72" s="124"/>
      <c r="C72" s="122" t="str">
        <f ca="1">I70</f>
        <v>Excavation, Plinth, RCC Slab, Brickwork Completed, Internal Plaster upto 12 Floor, External Plaster upto 10 Floor, Flooring upto 3 Floor Completed</v>
      </c>
      <c r="D72" s="122"/>
      <c r="E72" s="122"/>
      <c r="F72" s="122"/>
      <c r="G72" s="122"/>
      <c r="H72" s="122"/>
      <c r="I72" s="65" t="str">
        <f ca="1">IF(I71&lt;&gt;""," Completed","")</f>
        <v xml:space="preserve"> Completed</v>
      </c>
      <c r="J72" s="48" t="str">
        <f ca="1">IF(J70&lt;&gt;"","Completed","")</f>
        <v>Completed</v>
      </c>
    </row>
    <row r="73" spans="1:14" ht="15.75" customHeight="1" x14ac:dyDescent="0.3">
      <c r="A73" s="99" t="s">
        <v>48</v>
      </c>
      <c r="B73" s="100"/>
      <c r="C73" s="42" t="s">
        <v>139</v>
      </c>
      <c r="D73" s="42" t="s">
        <v>82</v>
      </c>
      <c r="E73" s="112" t="s">
        <v>84</v>
      </c>
      <c r="F73" s="100"/>
      <c r="G73" s="112" t="s">
        <v>83</v>
      </c>
      <c r="H73" s="113"/>
      <c r="I73" s="14" t="s">
        <v>140</v>
      </c>
      <c r="J73" s="26">
        <f ca="1">H71*25%</f>
        <v>4.25</v>
      </c>
    </row>
    <row r="74" spans="1:14" x14ac:dyDescent="0.3">
      <c r="A74" s="99" t="s">
        <v>128</v>
      </c>
      <c r="B74" s="100"/>
      <c r="C74" s="42">
        <f ca="1">J75</f>
        <v>17</v>
      </c>
      <c r="D74" s="17">
        <f ca="1">((100/H71)*C74)/100</f>
        <v>1</v>
      </c>
      <c r="E74" s="101">
        <f ca="1">(((C75/H71*10)+(40/(D71+F71+H71)*C76)+(7.5/(H71)*C77)+(7.5/(H71)*C78)+(10/H71*C79)+(10/H71*C80)+(5/H71*C81)+(5/H71*C82)+(5/H71*C83))/100)</f>
        <v>0.70441176470588251</v>
      </c>
      <c r="F74" s="102"/>
      <c r="G74" s="101">
        <f ca="1">((((C74/H71)*20)+((C75/H71)*25)+(30/(H71+F71+D71)*C76)+(5/H71*C77)+(5/H71*C78)+(5/H71*C79)+(5/H71*C80)+(0/H71*C81)+(0/H71*C82)+(5/H71*C83))/100)</f>
        <v>0.87352941176470578</v>
      </c>
      <c r="H74" s="107"/>
      <c r="I74" s="14" t="s">
        <v>100</v>
      </c>
      <c r="J74" s="27">
        <f ca="1">H71*50%</f>
        <v>8.5</v>
      </c>
    </row>
    <row r="75" spans="1:14" x14ac:dyDescent="0.3">
      <c r="A75" s="99" t="s">
        <v>49</v>
      </c>
      <c r="B75" s="100"/>
      <c r="C75" s="50">
        <v>17</v>
      </c>
      <c r="D75" s="17">
        <f ca="1">((100/H71)*C75)/100</f>
        <v>1</v>
      </c>
      <c r="E75" s="103"/>
      <c r="F75" s="104"/>
      <c r="G75" s="103"/>
      <c r="H75" s="108"/>
      <c r="I75" s="14" t="s">
        <v>101</v>
      </c>
      <c r="J75" s="27">
        <f ca="1">H71</f>
        <v>17</v>
      </c>
    </row>
    <row r="76" spans="1:14" ht="15.75" customHeight="1" x14ac:dyDescent="0.3">
      <c r="A76" s="99" t="s">
        <v>129</v>
      </c>
      <c r="B76" s="100"/>
      <c r="C76" s="42">
        <v>18</v>
      </c>
      <c r="D76" s="17">
        <f ca="1">((100/(D71+F71+H71))*C76)/100</f>
        <v>1</v>
      </c>
      <c r="E76" s="103"/>
      <c r="F76" s="104"/>
      <c r="G76" s="103"/>
      <c r="H76" s="108"/>
      <c r="I76" s="14" t="s">
        <v>102</v>
      </c>
      <c r="J76" s="28">
        <f ca="1">(IF(B71&gt;1,(H71/(B71+2)),H71/4))</f>
        <v>4.25</v>
      </c>
    </row>
    <row r="77" spans="1:14" ht="15.75" customHeight="1" x14ac:dyDescent="0.3">
      <c r="A77" s="99" t="s">
        <v>136</v>
      </c>
      <c r="B77" s="100"/>
      <c r="C77" s="42">
        <v>17</v>
      </c>
      <c r="D77" s="17">
        <f ca="1">((100/H71)*C77)/100</f>
        <v>1</v>
      </c>
      <c r="E77" s="103"/>
      <c r="F77" s="104"/>
      <c r="G77" s="103"/>
      <c r="H77" s="108"/>
      <c r="I77" s="14" t="s">
        <v>103</v>
      </c>
      <c r="J77" s="28">
        <f ca="1">(IF(B71&gt;1,(H71/(B71+2)+J76),H71/4+J76))</f>
        <v>8.5</v>
      </c>
    </row>
    <row r="78" spans="1:14" ht="15.75" customHeight="1" x14ac:dyDescent="0.3">
      <c r="A78" s="99" t="s">
        <v>137</v>
      </c>
      <c r="B78" s="100" t="s">
        <v>130</v>
      </c>
      <c r="C78" s="42">
        <v>12</v>
      </c>
      <c r="D78" s="17">
        <f ca="1">((100/H71)*C78)/100</f>
        <v>0.70588235294117652</v>
      </c>
      <c r="E78" s="103"/>
      <c r="F78" s="104"/>
      <c r="G78" s="103"/>
      <c r="H78" s="108"/>
      <c r="I78" s="14" t="s">
        <v>145</v>
      </c>
      <c r="J78" s="28">
        <f>(IF(B71&gt;1,(H71/(B71+2)+J77),0))</f>
        <v>0</v>
      </c>
    </row>
    <row r="79" spans="1:14" ht="15" customHeight="1" x14ac:dyDescent="0.3">
      <c r="A79" s="99" t="s">
        <v>135</v>
      </c>
      <c r="B79" s="100" t="s">
        <v>132</v>
      </c>
      <c r="C79" s="42">
        <v>10</v>
      </c>
      <c r="D79" s="17">
        <f ca="1">((100/(H71))*C79)/100</f>
        <v>0.58823529411764708</v>
      </c>
      <c r="E79" s="103"/>
      <c r="F79" s="104"/>
      <c r="G79" s="103"/>
      <c r="H79" s="108"/>
      <c r="I79" s="14" t="s">
        <v>142</v>
      </c>
      <c r="J79" s="28">
        <f>(IF(B71&gt;2,(H71/(B71+2)+J78),0))</f>
        <v>0</v>
      </c>
    </row>
    <row r="80" spans="1:14" ht="15.75" customHeight="1" x14ac:dyDescent="0.3">
      <c r="A80" s="99" t="s">
        <v>131</v>
      </c>
      <c r="B80" s="100" t="s">
        <v>131</v>
      </c>
      <c r="C80" s="42">
        <v>3</v>
      </c>
      <c r="D80" s="17">
        <f ca="1">((100/H71)*C80)/100</f>
        <v>0.17647058823529413</v>
      </c>
      <c r="E80" s="103"/>
      <c r="F80" s="104"/>
      <c r="G80" s="103"/>
      <c r="H80" s="108"/>
      <c r="I80" s="14" t="s">
        <v>143</v>
      </c>
      <c r="J80" s="29">
        <f>(IF(B71&gt;3,(H71/(B71+2)+J79),0))</f>
        <v>0</v>
      </c>
    </row>
    <row r="81" spans="1:10" ht="15.75" customHeight="1" x14ac:dyDescent="0.3">
      <c r="A81" s="99" t="s">
        <v>138</v>
      </c>
      <c r="B81" s="100"/>
      <c r="C81" s="42">
        <v>0</v>
      </c>
      <c r="D81" s="17">
        <f ca="1">((100/H71)*C81)/100</f>
        <v>0</v>
      </c>
      <c r="E81" s="103"/>
      <c r="F81" s="104"/>
      <c r="G81" s="103"/>
      <c r="H81" s="108"/>
      <c r="I81" s="14" t="s">
        <v>144</v>
      </c>
      <c r="J81" s="28">
        <f>(IF(B71&gt;4,(H71/(B71+2)+J80),0))</f>
        <v>0</v>
      </c>
    </row>
    <row r="82" spans="1:10" ht="15.75" customHeight="1" x14ac:dyDescent="0.3">
      <c r="A82" s="58" t="s">
        <v>133</v>
      </c>
      <c r="B82" s="42" t="s">
        <v>133</v>
      </c>
      <c r="C82" s="42">
        <v>0</v>
      </c>
      <c r="D82" s="17">
        <f ca="1">((100/(H71))*C82)/100</f>
        <v>0</v>
      </c>
      <c r="E82" s="103"/>
      <c r="F82" s="104"/>
      <c r="G82" s="103"/>
      <c r="H82" s="108"/>
      <c r="I82" s="14" t="s">
        <v>146</v>
      </c>
      <c r="J82" s="28">
        <f ca="1">(IF(B71=1,(H71/(B71+3)+J77),IF(B71=0,(H71/4+J77),IF(B71&gt;1,0))))</f>
        <v>12.75</v>
      </c>
    </row>
    <row r="83" spans="1:10" ht="16.2" thickBot="1" x14ac:dyDescent="0.35">
      <c r="A83" s="110" t="s">
        <v>134</v>
      </c>
      <c r="B83" s="111"/>
      <c r="C83" s="43">
        <v>0</v>
      </c>
      <c r="D83" s="18">
        <f ca="1">((100/(H71))*C83)/100</f>
        <v>0</v>
      </c>
      <c r="E83" s="105"/>
      <c r="F83" s="106"/>
      <c r="G83" s="105"/>
      <c r="H83" s="109"/>
      <c r="I83" s="15" t="s">
        <v>104</v>
      </c>
      <c r="J83" s="30">
        <f ca="1">(IF(B71&gt;1.5,(H71/(B71+2)+J77+MAX(0,J78-J77)+MAX(0,J79-J78)+MAX(0,J80-J79)+MAX(0,J81-J80)+MAX(0,J82-J81)),IF(B71=1,(H71/(B71+3)+J82),IF(B71=0,H71/4+J82))))</f>
        <v>17</v>
      </c>
    </row>
    <row r="84" spans="1:10" x14ac:dyDescent="0.3">
      <c r="A84" s="115" t="s">
        <v>155</v>
      </c>
      <c r="B84" s="115"/>
      <c r="C84" s="115"/>
      <c r="D84" s="115"/>
      <c r="E84" s="115"/>
      <c r="F84" s="114" t="s">
        <v>159</v>
      </c>
      <c r="G84" s="114"/>
      <c r="H84" s="114"/>
    </row>
    <row r="85" spans="1:10" x14ac:dyDescent="0.3">
      <c r="A85" s="66" t="s">
        <v>157</v>
      </c>
      <c r="B85" s="66"/>
      <c r="C85" s="66"/>
      <c r="D85" s="66"/>
      <c r="E85" s="66"/>
      <c r="F85" s="116">
        <v>15500</v>
      </c>
      <c r="G85" s="116"/>
      <c r="H85" s="116"/>
    </row>
    <row r="86" spans="1:10" x14ac:dyDescent="0.3">
      <c r="A86" s="66" t="s">
        <v>156</v>
      </c>
      <c r="B86" s="66"/>
      <c r="C86" s="66"/>
      <c r="D86" s="66"/>
      <c r="E86" s="66"/>
      <c r="F86" s="116">
        <v>24000</v>
      </c>
      <c r="G86" s="116"/>
      <c r="H86" s="116"/>
    </row>
    <row r="87" spans="1:10" hidden="1" x14ac:dyDescent="0.3">
      <c r="A87" s="66" t="s">
        <v>158</v>
      </c>
      <c r="B87" s="66"/>
      <c r="C87" s="66"/>
      <c r="D87" s="66"/>
      <c r="E87" s="66"/>
      <c r="F87" s="116"/>
      <c r="G87" s="116"/>
      <c r="H87" s="116"/>
    </row>
    <row r="88" spans="1:10" s="31" customFormat="1" hidden="1" x14ac:dyDescent="0.25">
      <c r="A88" s="66" t="s">
        <v>174</v>
      </c>
      <c r="B88" s="66"/>
      <c r="C88" s="66"/>
      <c r="D88" s="66"/>
      <c r="E88" s="66"/>
      <c r="F88" s="116"/>
      <c r="G88" s="116"/>
      <c r="H88" s="116"/>
    </row>
    <row r="89" spans="1:10" s="31" customFormat="1" hidden="1" x14ac:dyDescent="0.25">
      <c r="A89" s="66" t="s">
        <v>94</v>
      </c>
      <c r="B89" s="66"/>
      <c r="C89" s="66"/>
      <c r="D89" s="66"/>
      <c r="E89" s="66"/>
      <c r="F89" s="116"/>
      <c r="G89" s="116"/>
      <c r="H89" s="116"/>
    </row>
    <row r="90" spans="1:10" s="31" customFormat="1" hidden="1" x14ac:dyDescent="0.25">
      <c r="A90" s="66" t="s">
        <v>95</v>
      </c>
      <c r="B90" s="66"/>
      <c r="C90" s="66"/>
      <c r="D90" s="66"/>
      <c r="E90" s="66"/>
      <c r="F90" s="116"/>
      <c r="G90" s="116"/>
      <c r="H90" s="116"/>
    </row>
    <row r="91" spans="1:10" s="31" customFormat="1" hidden="1" x14ac:dyDescent="0.25">
      <c r="A91" s="66" t="s">
        <v>160</v>
      </c>
      <c r="B91" s="66"/>
      <c r="C91" s="66"/>
      <c r="D91" s="66"/>
      <c r="E91" s="66"/>
      <c r="F91" s="116"/>
      <c r="G91" s="116"/>
      <c r="H91" s="116"/>
    </row>
    <row r="92" spans="1:10" s="31" customFormat="1" hidden="1" x14ac:dyDescent="0.25">
      <c r="A92" s="66" t="s">
        <v>96</v>
      </c>
      <c r="B92" s="66"/>
      <c r="C92" s="66"/>
      <c r="D92" s="66"/>
      <c r="E92" s="66"/>
      <c r="F92" s="116"/>
      <c r="G92" s="116"/>
      <c r="H92" s="116"/>
    </row>
    <row r="93" spans="1:10" s="31" customFormat="1" hidden="1" x14ac:dyDescent="0.25">
      <c r="A93" s="66" t="s">
        <v>97</v>
      </c>
      <c r="B93" s="66"/>
      <c r="C93" s="66"/>
      <c r="D93" s="66"/>
      <c r="E93" s="66"/>
      <c r="F93" s="116"/>
      <c r="G93" s="116"/>
      <c r="H93" s="116"/>
    </row>
    <row r="94" spans="1:10" s="31" customFormat="1" hidden="1" x14ac:dyDescent="0.25">
      <c r="A94" s="66" t="s">
        <v>98</v>
      </c>
      <c r="B94" s="66"/>
      <c r="C94" s="66"/>
      <c r="D94" s="66"/>
      <c r="E94" s="66"/>
      <c r="F94" s="116"/>
      <c r="G94" s="116"/>
      <c r="H94" s="116"/>
    </row>
    <row r="95" spans="1:10" s="31" customFormat="1" hidden="1" x14ac:dyDescent="0.25">
      <c r="A95" s="66" t="s">
        <v>99</v>
      </c>
      <c r="B95" s="66"/>
      <c r="C95" s="66"/>
      <c r="D95" s="66"/>
      <c r="E95" s="66"/>
      <c r="F95" s="116"/>
      <c r="G95" s="116"/>
      <c r="H95" s="116"/>
    </row>
    <row r="96" spans="1:10" x14ac:dyDescent="0.3">
      <c r="A96" s="66" t="s">
        <v>50</v>
      </c>
      <c r="B96" s="66"/>
      <c r="C96" s="66"/>
      <c r="D96" s="66"/>
      <c r="E96" s="66"/>
      <c r="F96" s="190">
        <v>700000</v>
      </c>
      <c r="G96" s="190"/>
      <c r="H96" s="190"/>
    </row>
    <row r="97" spans="1:9" s="32" customFormat="1" x14ac:dyDescent="0.3">
      <c r="A97" s="147" t="s">
        <v>51</v>
      </c>
      <c r="B97" s="147"/>
      <c r="C97" s="147"/>
      <c r="D97" s="147"/>
      <c r="E97" s="147"/>
      <c r="F97" s="116">
        <f>F85*0.8</f>
        <v>12400</v>
      </c>
      <c r="G97" s="116"/>
      <c r="H97" s="116"/>
    </row>
    <row r="98" spans="1:9" s="33" customFormat="1" ht="15.75" customHeight="1" x14ac:dyDescent="0.3">
      <c r="A98" s="94" t="s">
        <v>74</v>
      </c>
      <c r="B98" s="94"/>
      <c r="C98" s="94"/>
      <c r="D98" s="94"/>
      <c r="E98" s="94"/>
      <c r="F98" s="94"/>
      <c r="G98" s="94"/>
      <c r="H98" s="94"/>
    </row>
    <row r="99" spans="1:9" s="33" customFormat="1" ht="15.75" customHeight="1" x14ac:dyDescent="0.3">
      <c r="A99" s="150" t="s">
        <v>52</v>
      </c>
      <c r="B99" s="150"/>
      <c r="C99" s="96" t="s">
        <v>77</v>
      </c>
      <c r="D99" s="96"/>
      <c r="E99" s="149" t="s">
        <v>53</v>
      </c>
      <c r="F99" s="149"/>
      <c r="G99" s="150" t="s">
        <v>54</v>
      </c>
      <c r="H99" s="150"/>
    </row>
    <row r="100" spans="1:9" s="33" customFormat="1" x14ac:dyDescent="0.3">
      <c r="A100" s="191" t="s">
        <v>254</v>
      </c>
      <c r="B100" s="191"/>
      <c r="C100" s="137">
        <f>COUNT(D114:D126)</f>
        <v>13</v>
      </c>
      <c r="D100" s="172"/>
      <c r="E100" s="138">
        <f>SUM(D114:D126)</f>
        <v>6207.9647759999989</v>
      </c>
      <c r="F100" s="173"/>
      <c r="G100" s="138">
        <f>SUM(F114:F126)</f>
        <v>9622.3454027999978</v>
      </c>
      <c r="H100" s="173"/>
    </row>
    <row r="101" spans="1:9" s="33" customFormat="1" x14ac:dyDescent="0.3">
      <c r="A101" s="94" t="s">
        <v>149</v>
      </c>
      <c r="B101" s="94"/>
      <c r="C101" s="95">
        <f t="shared" ref="C101:G101" si="0">SUM(C100)</f>
        <v>13</v>
      </c>
      <c r="D101" s="96"/>
      <c r="E101" s="148">
        <f t="shared" si="0"/>
        <v>6207.9647759999989</v>
      </c>
      <c r="F101" s="149"/>
      <c r="G101" s="150">
        <f t="shared" si="0"/>
        <v>9622.3454027999978</v>
      </c>
      <c r="H101" s="150"/>
    </row>
    <row r="102" spans="1:9" s="33" customFormat="1" x14ac:dyDescent="0.3">
      <c r="A102" s="94" t="s">
        <v>69</v>
      </c>
      <c r="B102" s="94"/>
      <c r="C102" s="94"/>
      <c r="D102" s="94"/>
      <c r="E102" s="94"/>
      <c r="F102" s="94"/>
      <c r="G102" s="94"/>
      <c r="H102" s="94"/>
    </row>
    <row r="103" spans="1:9" s="33" customFormat="1" ht="15.75" customHeight="1" x14ac:dyDescent="0.3">
      <c r="A103" s="150" t="s">
        <v>52</v>
      </c>
      <c r="B103" s="150"/>
      <c r="C103" s="96" t="s">
        <v>77</v>
      </c>
      <c r="D103" s="96"/>
      <c r="E103" s="149" t="s">
        <v>53</v>
      </c>
      <c r="F103" s="149"/>
      <c r="G103" s="150" t="s">
        <v>54</v>
      </c>
      <c r="H103" s="150"/>
    </row>
    <row r="104" spans="1:9" s="33" customFormat="1" x14ac:dyDescent="0.3">
      <c r="A104" s="191" t="s">
        <v>68</v>
      </c>
      <c r="B104" s="191"/>
      <c r="C104" s="137">
        <f>COUNT(D131:D133)+COUNT(D135:D137)*2+COUNT(D139:D145)*7+COUNT(D147:D153)+COUNT(D155:D161)+COUNT(D163:D169)+COUNT(D171:D175)+COUNT(D177:D178)+COUNT(D180:D181)+COUNT(D183:D184)</f>
        <v>90</v>
      </c>
      <c r="D104" s="137"/>
      <c r="E104" s="138">
        <f>SUM(D131:D133)+SUM(D135:D137)*2+SUM(D139:D145)*7+SUM(D147:D153)+SUM(D155:D161)+SUM(D163:D169)+SUM(D171:D175)+SUM(D177:D178)+SUM(D180:D181)+SUM(D183:D184)</f>
        <v>81683.271658871992</v>
      </c>
      <c r="F104" s="138"/>
      <c r="G104" s="138">
        <f>SUM(F131:F133)+SUM(F135:F137)*2+SUM(F139:F145)*7+SUM(F147:F153)+SUM(F155:F161)+SUM(F163:F169)+SUM(F171:F175)+SUM(F177:F178)+SUM(F180:F181)+SUM(F183:F184)</f>
        <v>126197.92371310799</v>
      </c>
      <c r="H104" s="138"/>
    </row>
    <row r="105" spans="1:9" s="33" customFormat="1" ht="16.2" thickBot="1" x14ac:dyDescent="0.35">
      <c r="A105" s="91" t="s">
        <v>149</v>
      </c>
      <c r="B105" s="91"/>
      <c r="C105" s="177">
        <f>SUM(C104)</f>
        <v>90</v>
      </c>
      <c r="D105" s="178"/>
      <c r="E105" s="92">
        <f>SUM(E104)</f>
        <v>81683.271658871992</v>
      </c>
      <c r="F105" s="92"/>
      <c r="G105" s="93">
        <f>SUM(G104)</f>
        <v>126197.92371310799</v>
      </c>
      <c r="H105" s="93"/>
    </row>
    <row r="106" spans="1:9" s="33" customFormat="1" ht="16.2" thickBot="1" x14ac:dyDescent="0.35">
      <c r="A106" s="174" t="s">
        <v>166</v>
      </c>
      <c r="B106" s="175"/>
      <c r="C106" s="185">
        <f>C101+C105</f>
        <v>103</v>
      </c>
      <c r="D106" s="186"/>
      <c r="E106" s="187">
        <f>E101+E105</f>
        <v>87891.236434871986</v>
      </c>
      <c r="F106" s="187"/>
      <c r="G106" s="188">
        <f>G101+G105</f>
        <v>135820.26911590798</v>
      </c>
      <c r="H106" s="189"/>
    </row>
    <row r="107" spans="1:9" s="32" customFormat="1" x14ac:dyDescent="0.3">
      <c r="A107" s="114" t="s">
        <v>55</v>
      </c>
      <c r="B107" s="114"/>
      <c r="C107" s="114"/>
      <c r="D107" s="114"/>
      <c r="E107" s="114"/>
      <c r="F107" s="114"/>
      <c r="G107" s="114"/>
      <c r="H107" s="114"/>
    </row>
    <row r="108" spans="1:9" x14ac:dyDescent="0.3">
      <c r="A108" s="165" t="s">
        <v>173</v>
      </c>
      <c r="B108" s="165"/>
      <c r="C108" s="165"/>
      <c r="D108" s="165"/>
      <c r="E108" s="165"/>
      <c r="F108" s="165"/>
      <c r="G108" s="165"/>
      <c r="H108" s="165"/>
    </row>
    <row r="109" spans="1:9" ht="47.25" customHeight="1" x14ac:dyDescent="0.3">
      <c r="A109" s="67" t="s">
        <v>119</v>
      </c>
      <c r="B109" s="67" t="s">
        <v>175</v>
      </c>
      <c r="C109" s="67" t="s">
        <v>56</v>
      </c>
      <c r="D109" s="67" t="s">
        <v>57</v>
      </c>
      <c r="E109" s="140" t="s">
        <v>154</v>
      </c>
      <c r="F109" s="41" t="s">
        <v>148</v>
      </c>
      <c r="G109" s="142" t="s">
        <v>59</v>
      </c>
      <c r="H109" s="143"/>
      <c r="I109" s="60">
        <v>10.763999999999999</v>
      </c>
    </row>
    <row r="110" spans="1:9" s="35" customFormat="1" x14ac:dyDescent="0.3">
      <c r="A110" s="68"/>
      <c r="B110" s="68"/>
      <c r="C110" s="68"/>
      <c r="D110" s="68"/>
      <c r="E110" s="141"/>
      <c r="F110" s="13">
        <v>0.55000000000000004</v>
      </c>
      <c r="G110" s="144"/>
      <c r="H110" s="145"/>
    </row>
    <row r="111" spans="1:9" s="35" customFormat="1" x14ac:dyDescent="0.3">
      <c r="A111" s="90" t="s">
        <v>270</v>
      </c>
      <c r="B111" s="90"/>
      <c r="C111" s="90"/>
      <c r="D111" s="90"/>
      <c r="E111" s="90"/>
      <c r="F111" s="90"/>
      <c r="G111" s="90"/>
      <c r="H111" s="90"/>
    </row>
    <row r="112" spans="1:9" s="35" customFormat="1" x14ac:dyDescent="0.3">
      <c r="A112" s="90" t="s">
        <v>271</v>
      </c>
      <c r="B112" s="90"/>
      <c r="C112" s="90"/>
      <c r="D112" s="90"/>
      <c r="E112" s="90"/>
      <c r="F112" s="90"/>
      <c r="G112" s="90"/>
      <c r="H112" s="90"/>
    </row>
    <row r="113" spans="1:14" s="35" customFormat="1" ht="35.25" customHeight="1" x14ac:dyDescent="0.3">
      <c r="A113" s="139" t="s">
        <v>272</v>
      </c>
      <c r="B113" s="139"/>
      <c r="C113" s="139"/>
      <c r="D113" s="139"/>
      <c r="E113" s="139"/>
      <c r="F113" s="139"/>
      <c r="G113" s="139"/>
      <c r="H113" s="139"/>
      <c r="J113" s="34"/>
    </row>
    <row r="114" spans="1:14" s="35" customFormat="1" ht="15.75" customHeight="1" x14ac:dyDescent="0.3">
      <c r="A114" s="81">
        <v>1</v>
      </c>
      <c r="B114" s="81"/>
      <c r="C114" s="40" t="s">
        <v>254</v>
      </c>
      <c r="D114" s="60">
        <f>(42.63)*10.764</f>
        <v>458.86932000000002</v>
      </c>
      <c r="E114" s="40">
        <v>0</v>
      </c>
      <c r="F114" s="40">
        <f>(D114+E114)*(($F$110)+1)</f>
        <v>711.24744600000008</v>
      </c>
      <c r="G114" s="81" t="str">
        <f>A113</f>
        <v>Ground Floor For Commercial, Entrance Lobby, Fire Control Room, Driver Room, Meter Room, Space For D.G Set &amp; Parking</v>
      </c>
      <c r="H114" s="81"/>
      <c r="I114" s="34">
        <f>3.02*13.601+1.335*1.115</f>
        <v>42.563545000000005</v>
      </c>
      <c r="J114" s="35">
        <f>3.02*14</f>
        <v>42.28</v>
      </c>
      <c r="L114" s="87"/>
      <c r="M114" s="87"/>
      <c r="N114" s="34"/>
    </row>
    <row r="115" spans="1:14" s="35" customFormat="1" ht="15.75" customHeight="1" x14ac:dyDescent="0.3">
      <c r="A115" s="81">
        <f t="shared" ref="A115:A126" si="1">A114+1</f>
        <v>2</v>
      </c>
      <c r="B115" s="81"/>
      <c r="C115" s="40" t="s">
        <v>254</v>
      </c>
      <c r="D115" s="60">
        <f>(43.054)*10.764</f>
        <v>463.43325599999997</v>
      </c>
      <c r="E115" s="40">
        <v>0</v>
      </c>
      <c r="F115" s="40">
        <f t="shared" ref="F115:F117" si="2">(D115+E115)*(($F$110)+1)</f>
        <v>718.32154679999996</v>
      </c>
      <c r="G115" s="81"/>
      <c r="H115" s="81"/>
      <c r="I115" s="34">
        <f>3.02*13+1.335*1.115+1.5*1</f>
        <v>42.248525000000001</v>
      </c>
      <c r="L115" s="87"/>
      <c r="M115" s="87"/>
      <c r="N115" s="34"/>
    </row>
    <row r="116" spans="1:14" s="35" customFormat="1" ht="15.75" customHeight="1" x14ac:dyDescent="0.3">
      <c r="A116" s="81">
        <f t="shared" si="1"/>
        <v>3</v>
      </c>
      <c r="B116" s="81"/>
      <c r="C116" s="40" t="s">
        <v>254</v>
      </c>
      <c r="D116" s="60">
        <f>(40.469)*10.764</f>
        <v>435.608316</v>
      </c>
      <c r="E116" s="40">
        <v>0</v>
      </c>
      <c r="F116" s="40">
        <f t="shared" si="2"/>
        <v>675.19288979999999</v>
      </c>
      <c r="G116" s="81"/>
      <c r="H116" s="81"/>
      <c r="I116" s="34"/>
      <c r="J116" s="35">
        <f>2.75*14.7</f>
        <v>40.424999999999997</v>
      </c>
      <c r="L116" s="87"/>
      <c r="M116" s="87"/>
      <c r="N116" s="34"/>
    </row>
    <row r="117" spans="1:14" s="35" customFormat="1" ht="15.75" customHeight="1" x14ac:dyDescent="0.3">
      <c r="A117" s="81">
        <f t="shared" si="1"/>
        <v>4</v>
      </c>
      <c r="B117" s="81"/>
      <c r="C117" s="40" t="s">
        <v>254</v>
      </c>
      <c r="D117" s="60">
        <f>(49.299)*10.764</f>
        <v>530.65443599999992</v>
      </c>
      <c r="E117" s="40">
        <v>0</v>
      </c>
      <c r="F117" s="40">
        <f t="shared" si="2"/>
        <v>822.51437579999993</v>
      </c>
      <c r="G117" s="81"/>
      <c r="H117" s="81"/>
      <c r="I117" s="34"/>
      <c r="L117" s="87"/>
      <c r="M117" s="87"/>
      <c r="N117" s="34"/>
    </row>
    <row r="118" spans="1:14" s="35" customFormat="1" ht="15.75" customHeight="1" x14ac:dyDescent="0.3">
      <c r="A118" s="81">
        <f t="shared" si="1"/>
        <v>5</v>
      </c>
      <c r="B118" s="81"/>
      <c r="C118" s="40" t="s">
        <v>254</v>
      </c>
      <c r="D118" s="60">
        <f>(16.679)*10.764</f>
        <v>179.53275599999998</v>
      </c>
      <c r="E118" s="40">
        <v>0</v>
      </c>
      <c r="F118" s="40">
        <f t="shared" ref="F118:F120" si="3">(D118+E118)*(($F$110)+1)</f>
        <v>278.27577179999997</v>
      </c>
      <c r="G118" s="81"/>
      <c r="H118" s="81"/>
      <c r="I118" s="34">
        <f>3.35*13.601+1.735*1.115+1.5*1</f>
        <v>48.997875000000008</v>
      </c>
      <c r="L118" s="87"/>
      <c r="M118" s="87"/>
      <c r="N118" s="34"/>
    </row>
    <row r="119" spans="1:14" s="35" customFormat="1" ht="15.75" customHeight="1" x14ac:dyDescent="0.3">
      <c r="A119" s="81">
        <f t="shared" si="1"/>
        <v>6</v>
      </c>
      <c r="B119" s="81"/>
      <c r="C119" s="40" t="s">
        <v>254</v>
      </c>
      <c r="D119" s="60">
        <f>(44.884)*10.764</f>
        <v>483.13137599999999</v>
      </c>
      <c r="E119" s="40">
        <v>0</v>
      </c>
      <c r="F119" s="40">
        <f t="shared" si="3"/>
        <v>748.85363280000001</v>
      </c>
      <c r="G119" s="81"/>
      <c r="H119" s="81"/>
      <c r="I119" s="34"/>
      <c r="L119" s="87"/>
      <c r="M119" s="87"/>
      <c r="N119" s="34"/>
    </row>
    <row r="120" spans="1:14" s="35" customFormat="1" ht="15.75" customHeight="1" x14ac:dyDescent="0.3">
      <c r="A120" s="81">
        <f t="shared" si="1"/>
        <v>7</v>
      </c>
      <c r="B120" s="81"/>
      <c r="C120" s="40" t="s">
        <v>254</v>
      </c>
      <c r="D120" s="60">
        <f>(50.81)*10.764</f>
        <v>546.91884000000005</v>
      </c>
      <c r="E120" s="40">
        <v>0</v>
      </c>
      <c r="F120" s="40">
        <f t="shared" si="3"/>
        <v>847.7242020000001</v>
      </c>
      <c r="G120" s="81"/>
      <c r="H120" s="81"/>
      <c r="I120" s="34"/>
      <c r="L120" s="87"/>
      <c r="M120" s="87"/>
      <c r="N120" s="34"/>
    </row>
    <row r="121" spans="1:14" s="35" customFormat="1" ht="15.75" customHeight="1" x14ac:dyDescent="0.3">
      <c r="A121" s="81">
        <f t="shared" si="1"/>
        <v>8</v>
      </c>
      <c r="B121" s="81"/>
      <c r="C121" s="40" t="s">
        <v>254</v>
      </c>
      <c r="D121" s="60">
        <f>(60.516)*10.764</f>
        <v>651.39422399999989</v>
      </c>
      <c r="E121" s="40">
        <v>0</v>
      </c>
      <c r="F121" s="40">
        <f t="shared" ref="F121:F126" si="4">(D121+E121)*(($F$110)+1)</f>
        <v>1009.6610471999999</v>
      </c>
      <c r="G121" s="81"/>
      <c r="H121" s="81"/>
      <c r="I121" s="34"/>
      <c r="L121" s="87"/>
      <c r="M121" s="87"/>
      <c r="N121" s="34"/>
    </row>
    <row r="122" spans="1:14" s="35" customFormat="1" ht="15.75" customHeight="1" x14ac:dyDescent="0.3">
      <c r="A122" s="81">
        <f t="shared" si="1"/>
        <v>9</v>
      </c>
      <c r="B122" s="81"/>
      <c r="C122" s="40" t="s">
        <v>254</v>
      </c>
      <c r="D122" s="60">
        <f>(49.299)*10.764</f>
        <v>530.65443599999992</v>
      </c>
      <c r="E122" s="40">
        <v>0</v>
      </c>
      <c r="F122" s="40">
        <f t="shared" si="4"/>
        <v>822.51437579999993</v>
      </c>
      <c r="G122" s="81"/>
      <c r="H122" s="81"/>
      <c r="I122" s="34"/>
      <c r="L122" s="87"/>
      <c r="M122" s="87"/>
      <c r="N122" s="34"/>
    </row>
    <row r="123" spans="1:14" s="35" customFormat="1" ht="15.75" customHeight="1" x14ac:dyDescent="0.3">
      <c r="A123" s="81">
        <f t="shared" si="1"/>
        <v>10</v>
      </c>
      <c r="B123" s="81"/>
      <c r="C123" s="40" t="s">
        <v>254</v>
      </c>
      <c r="D123" s="60">
        <f>(49.299)*10.764</f>
        <v>530.65443599999992</v>
      </c>
      <c r="E123" s="40">
        <v>0</v>
      </c>
      <c r="F123" s="40">
        <f t="shared" si="4"/>
        <v>822.51437579999993</v>
      </c>
      <c r="G123" s="81"/>
      <c r="H123" s="81"/>
      <c r="I123" s="34">
        <f>3.35*13.601+1.735*1.115+1.5*1</f>
        <v>48.997875000000008</v>
      </c>
      <c r="L123" s="87"/>
      <c r="M123" s="87"/>
      <c r="N123" s="34"/>
    </row>
    <row r="124" spans="1:14" s="35" customFormat="1" ht="15.75" customHeight="1" x14ac:dyDescent="0.3">
      <c r="A124" s="81">
        <f t="shared" si="1"/>
        <v>11</v>
      </c>
      <c r="B124" s="81"/>
      <c r="C124" s="40" t="s">
        <v>254</v>
      </c>
      <c r="D124" s="60">
        <f>(40.469)*10.764</f>
        <v>435.608316</v>
      </c>
      <c r="E124" s="40">
        <v>0</v>
      </c>
      <c r="F124" s="40">
        <f t="shared" si="4"/>
        <v>675.19288979999999</v>
      </c>
      <c r="G124" s="81"/>
      <c r="H124" s="81"/>
      <c r="I124" s="34"/>
      <c r="L124" s="87"/>
      <c r="M124" s="87"/>
      <c r="N124" s="34"/>
    </row>
    <row r="125" spans="1:14" s="35" customFormat="1" ht="15.75" customHeight="1" x14ac:dyDescent="0.3">
      <c r="A125" s="81">
        <f t="shared" si="1"/>
        <v>12</v>
      </c>
      <c r="B125" s="81"/>
      <c r="C125" s="40" t="s">
        <v>254</v>
      </c>
      <c r="D125" s="60">
        <f>(44.884)*10.764</f>
        <v>483.13137599999999</v>
      </c>
      <c r="E125" s="40">
        <v>0</v>
      </c>
      <c r="F125" s="40">
        <f t="shared" si="4"/>
        <v>748.85363280000001</v>
      </c>
      <c r="G125" s="81"/>
      <c r="H125" s="81"/>
      <c r="I125" s="34"/>
      <c r="L125" s="87"/>
      <c r="M125" s="87"/>
      <c r="N125" s="34"/>
    </row>
    <row r="126" spans="1:14" s="35" customFormat="1" ht="15.75" customHeight="1" x14ac:dyDescent="0.3">
      <c r="A126" s="81">
        <f t="shared" si="1"/>
        <v>13</v>
      </c>
      <c r="B126" s="81"/>
      <c r="C126" s="40" t="s">
        <v>254</v>
      </c>
      <c r="D126" s="60">
        <f>(44.442)*10.764</f>
        <v>478.37368799999996</v>
      </c>
      <c r="E126" s="40">
        <v>0</v>
      </c>
      <c r="F126" s="40">
        <f t="shared" si="4"/>
        <v>741.47921639999993</v>
      </c>
      <c r="G126" s="81"/>
      <c r="H126" s="81"/>
      <c r="I126" s="34"/>
      <c r="L126" s="87"/>
      <c r="M126" s="87"/>
      <c r="N126" s="34"/>
    </row>
    <row r="127" spans="1:14" s="35" customFormat="1" x14ac:dyDescent="0.3">
      <c r="A127" s="85"/>
      <c r="B127" s="120"/>
      <c r="C127" s="120"/>
      <c r="D127" s="120"/>
      <c r="E127" s="120"/>
      <c r="F127" s="120"/>
      <c r="G127" s="120"/>
      <c r="H127" s="86"/>
      <c r="I127" s="34"/>
      <c r="N127" s="34"/>
    </row>
    <row r="128" spans="1:14" ht="47.25" customHeight="1" x14ac:dyDescent="0.3">
      <c r="A128" s="142" t="s">
        <v>120</v>
      </c>
      <c r="B128" s="67" t="s">
        <v>176</v>
      </c>
      <c r="C128" s="67" t="s">
        <v>56</v>
      </c>
      <c r="D128" s="67" t="s">
        <v>57</v>
      </c>
      <c r="E128" s="140" t="s">
        <v>58</v>
      </c>
      <c r="F128" s="41" t="s">
        <v>148</v>
      </c>
      <c r="G128" s="142" t="s">
        <v>59</v>
      </c>
      <c r="H128" s="143"/>
      <c r="I128" s="34"/>
    </row>
    <row r="129" spans="1:14" s="35" customFormat="1" x14ac:dyDescent="0.3">
      <c r="A129" s="144"/>
      <c r="B129" s="68"/>
      <c r="C129" s="68"/>
      <c r="D129" s="68"/>
      <c r="E129" s="141"/>
      <c r="F129" s="13">
        <v>0.5</v>
      </c>
      <c r="G129" s="144"/>
      <c r="H129" s="145"/>
      <c r="I129" s="34"/>
      <c r="J129" s="60">
        <v>10.763999999999999</v>
      </c>
    </row>
    <row r="130" spans="1:14" s="35" customFormat="1" x14ac:dyDescent="0.3">
      <c r="A130" s="82" t="s">
        <v>258</v>
      </c>
      <c r="B130" s="83"/>
      <c r="C130" s="83"/>
      <c r="D130" s="83"/>
      <c r="E130" s="83"/>
      <c r="F130" s="83"/>
      <c r="G130" s="83"/>
      <c r="H130" s="84"/>
      <c r="J130" s="34"/>
    </row>
    <row r="131" spans="1:14" s="35" customFormat="1" ht="15.75" customHeight="1" x14ac:dyDescent="0.3">
      <c r="A131" s="85">
        <v>1</v>
      </c>
      <c r="B131" s="86"/>
      <c r="C131" s="40" t="s">
        <v>255</v>
      </c>
      <c r="D131" s="60">
        <f>(82.559+7.268)*10.764</f>
        <v>966.89782799999989</v>
      </c>
      <c r="E131" s="60">
        <f>(9.3*0.9+1.6*4.7+6.5*5.4)*10.764</f>
        <v>548.85636</v>
      </c>
      <c r="F131" s="40">
        <f t="shared" ref="F131:F133" si="5">(D131+E131)*(($F$110)+1)</f>
        <v>2349.4189913999999</v>
      </c>
      <c r="G131" s="75" t="str">
        <f>A130</f>
        <v>1st Floor For Residential Society Office, Indoor Game &amp; Parking</v>
      </c>
      <c r="H131" s="76"/>
      <c r="I131" s="34">
        <f>3.35*5.265+1.7*1.365+2.68*2.75+2.75*2.45+2.75*3.65+3.05*3.65+3.35*3.65+1.32*2.125+1.25*2.125+1.25*2.125+3.2*0.9</f>
        <v>78.460750000000004</v>
      </c>
      <c r="J131" s="35">
        <f>6.5*5</f>
        <v>32.5</v>
      </c>
      <c r="K131" s="56">
        <f>3.235*1.25+2.415*1.25</f>
        <v>7.0625</v>
      </c>
      <c r="L131" s="135"/>
      <c r="M131" s="87"/>
      <c r="N131" s="34"/>
    </row>
    <row r="132" spans="1:14" s="35" customFormat="1" ht="15.75" customHeight="1" x14ac:dyDescent="0.3">
      <c r="A132" s="85">
        <f t="shared" ref="A132:A133" si="6">A131+1</f>
        <v>2</v>
      </c>
      <c r="B132" s="86"/>
      <c r="C132" s="40" t="s">
        <v>255</v>
      </c>
      <c r="D132" s="60">
        <f>(82.559+7.268)*10.764</f>
        <v>966.89782799999989</v>
      </c>
      <c r="E132" s="60">
        <f t="shared" ref="E132:E133" si="7">(9.3*0.9+1.6*4.7+6.5*5.4)*10.764</f>
        <v>548.85636</v>
      </c>
      <c r="F132" s="40">
        <f t="shared" si="5"/>
        <v>2349.4189913999999</v>
      </c>
      <c r="G132" s="77"/>
      <c r="H132" s="78"/>
      <c r="I132" s="34"/>
      <c r="L132" s="87"/>
      <c r="M132" s="87"/>
      <c r="N132" s="34"/>
    </row>
    <row r="133" spans="1:14" s="35" customFormat="1" ht="15.75" customHeight="1" x14ac:dyDescent="0.3">
      <c r="A133" s="85">
        <f t="shared" si="6"/>
        <v>3</v>
      </c>
      <c r="B133" s="86"/>
      <c r="C133" s="40" t="s">
        <v>256</v>
      </c>
      <c r="D133" s="60">
        <f>(59.808+7.537+(3.45*1.4+2.75*1.4))*10.764</f>
        <v>818.33310000000006</v>
      </c>
      <c r="E133" s="60">
        <f t="shared" si="7"/>
        <v>548.85636</v>
      </c>
      <c r="F133" s="40">
        <f t="shared" si="5"/>
        <v>2119.1436630000003</v>
      </c>
      <c r="G133" s="79"/>
      <c r="H133" s="80"/>
      <c r="I133" s="34">
        <f>3.35*5.265+1.7*1.365+1.64*2.75+2.475*2.75+2.75*2.25+3.45*2.25+2.45*1.25+1.25*2.125+1.3*2.9+1.4*1.3</f>
        <v>56.533250000000002</v>
      </c>
      <c r="J133" s="57">
        <f>3.45*1.4+2.75*1.4</f>
        <v>8.68</v>
      </c>
      <c r="K133" s="56">
        <f>3.235*1.25+2.715*1.25</f>
        <v>7.4375</v>
      </c>
      <c r="L133" s="125"/>
      <c r="M133" s="87"/>
      <c r="N133" s="34"/>
    </row>
    <row r="134" spans="1:14" s="35" customFormat="1" x14ac:dyDescent="0.3">
      <c r="A134" s="139" t="s">
        <v>257</v>
      </c>
      <c r="B134" s="139"/>
      <c r="C134" s="139"/>
      <c r="D134" s="139"/>
      <c r="E134" s="139"/>
      <c r="F134" s="139"/>
      <c r="G134" s="139"/>
      <c r="H134" s="139"/>
      <c r="I134" s="34"/>
      <c r="L134" s="87"/>
      <c r="M134" s="87"/>
    </row>
    <row r="135" spans="1:14" s="35" customFormat="1" ht="15.75" customHeight="1" x14ac:dyDescent="0.3">
      <c r="A135" s="81">
        <v>1</v>
      </c>
      <c r="B135" s="81"/>
      <c r="C135" s="40" t="s">
        <v>255</v>
      </c>
      <c r="D135" s="60">
        <f>(82.559+7.268)*10.764</f>
        <v>966.89782799999989</v>
      </c>
      <c r="E135" s="40">
        <v>0</v>
      </c>
      <c r="F135" s="40">
        <f t="shared" ref="F135:F136" si="8">D135*(($F$129)+1)+(IF(E135&lt;101,E135,IF(E135&lt;201,E135/2,IF(E135&lt;=301,E135/3,E135/4))))</f>
        <v>1450.3467419999997</v>
      </c>
      <c r="G135" s="75" t="str">
        <f>A134</f>
        <v>2nd &amp; 3rd Floor ( Part Parking Area )</v>
      </c>
      <c r="H135" s="76"/>
      <c r="I135" s="34"/>
      <c r="N135" s="34"/>
    </row>
    <row r="136" spans="1:14" s="35" customFormat="1" ht="15.75" customHeight="1" x14ac:dyDescent="0.3">
      <c r="A136" s="81">
        <f>A135+1</f>
        <v>2</v>
      </c>
      <c r="B136" s="81"/>
      <c r="C136" s="40" t="s">
        <v>255</v>
      </c>
      <c r="D136" s="60">
        <f>(82.559+7.268)*10.764</f>
        <v>966.89782799999989</v>
      </c>
      <c r="E136" s="40">
        <v>0</v>
      </c>
      <c r="F136" s="40">
        <f t="shared" si="8"/>
        <v>1450.3467419999997</v>
      </c>
      <c r="G136" s="77" t="str">
        <f>G135</f>
        <v>2nd &amp; 3rd Floor ( Part Parking Area )</v>
      </c>
      <c r="H136" s="78"/>
      <c r="I136" s="34"/>
      <c r="N136" s="34"/>
    </row>
    <row r="137" spans="1:14" s="35" customFormat="1" ht="15.75" customHeight="1" x14ac:dyDescent="0.3">
      <c r="A137" s="81">
        <f>A136+1</f>
        <v>3</v>
      </c>
      <c r="B137" s="81"/>
      <c r="C137" s="40" t="s">
        <v>256</v>
      </c>
      <c r="D137" s="60">
        <f>(59.808+7.537+(3.45*1.4+2.75*1.4))*10.764</f>
        <v>818.33310000000006</v>
      </c>
      <c r="E137" s="40">
        <v>0</v>
      </c>
      <c r="F137" s="40">
        <f>D137*(($F$129)+1)+(IF(E137&lt;101,E137,IF(E137&lt;201,E137/2,IF(E137&lt;=301,E137/3,E137/4))))</f>
        <v>1227.4996500000002</v>
      </c>
      <c r="G137" s="79" t="str">
        <f>G136</f>
        <v>2nd &amp; 3rd Floor ( Part Parking Area )</v>
      </c>
      <c r="H137" s="80"/>
      <c r="I137" s="34"/>
      <c r="N137" s="34"/>
    </row>
    <row r="138" spans="1:14" s="35" customFormat="1" ht="15.75" customHeight="1" x14ac:dyDescent="0.3">
      <c r="A138" s="132" t="s">
        <v>259</v>
      </c>
      <c r="B138" s="133"/>
      <c r="C138" s="133"/>
      <c r="D138" s="133"/>
      <c r="E138" s="133"/>
      <c r="F138" s="133"/>
      <c r="G138" s="133"/>
      <c r="H138" s="134"/>
      <c r="I138" s="34"/>
      <c r="L138" s="35">
        <v>15000</v>
      </c>
      <c r="N138" s="34"/>
    </row>
    <row r="139" spans="1:14" s="35" customFormat="1" ht="15.75" customHeight="1" x14ac:dyDescent="0.3">
      <c r="A139" s="85">
        <v>1</v>
      </c>
      <c r="B139" s="86"/>
      <c r="C139" s="40" t="s">
        <v>255</v>
      </c>
      <c r="D139" s="60">
        <f>(82.559+7.268)*10.764</f>
        <v>966.89782799999989</v>
      </c>
      <c r="E139" s="40">
        <v>0</v>
      </c>
      <c r="F139" s="40">
        <f t="shared" ref="F139:F145" si="9">D139*(($F$129)+1)+(IF(E139&lt;101,E139,IF(E139&lt;201,E139/2,IF(E139&lt;=301,E139/3,E139/4))))</f>
        <v>1450.3467419999997</v>
      </c>
      <c r="G139" s="75" t="str">
        <f>A138</f>
        <v>4th, 5th, 6th, 8th, 9th, 10th &amp; 11th Floor</v>
      </c>
      <c r="H139" s="76"/>
      <c r="I139" s="34"/>
      <c r="L139" s="35">
        <f>L$138*F139</f>
        <v>21755201.129999995</v>
      </c>
    </row>
    <row r="140" spans="1:14" s="35" customFormat="1" ht="15.75" customHeight="1" x14ac:dyDescent="0.3">
      <c r="A140" s="85">
        <v>2</v>
      </c>
      <c r="B140" s="86"/>
      <c r="C140" s="40" t="s">
        <v>255</v>
      </c>
      <c r="D140" s="60">
        <f>(85.373+7.268)*10.764</f>
        <v>997.187724</v>
      </c>
      <c r="E140" s="40">
        <v>0</v>
      </c>
      <c r="F140" s="40">
        <f t="shared" si="9"/>
        <v>1495.7815860000001</v>
      </c>
      <c r="G140" s="77"/>
      <c r="H140" s="78"/>
      <c r="I140" s="34"/>
      <c r="L140" s="35">
        <f t="shared" ref="L140:L145" si="10">L$138*F140</f>
        <v>22436723.789999999</v>
      </c>
    </row>
    <row r="141" spans="1:14" s="35" customFormat="1" ht="15.75" customHeight="1" x14ac:dyDescent="0.3">
      <c r="A141" s="85">
        <v>3</v>
      </c>
      <c r="B141" s="86"/>
      <c r="C141" s="40" t="s">
        <v>256</v>
      </c>
      <c r="D141" s="60">
        <f>(66.735+6.618)*10.764</f>
        <v>789.57169199999987</v>
      </c>
      <c r="E141" s="40">
        <v>0</v>
      </c>
      <c r="F141" s="40">
        <f t="shared" si="9"/>
        <v>1184.3575379999997</v>
      </c>
      <c r="G141" s="77"/>
      <c r="H141" s="78"/>
      <c r="I141" s="34">
        <f>3.35*5.565+1.7*1.365+1.64*3.05+2.75*2.755+3.835*3.65+3.835*3.05+2.375*1.25+2.125*1.25+2.3*0.9</f>
        <v>66.930999999999983</v>
      </c>
      <c r="K141" s="56">
        <f>3.235*1.25+2.715*0.895</f>
        <v>6.4736750000000001</v>
      </c>
      <c r="L141" s="35">
        <f t="shared" si="10"/>
        <v>17765363.069999997</v>
      </c>
    </row>
    <row r="142" spans="1:14" s="35" customFormat="1" ht="15.75" customHeight="1" x14ac:dyDescent="0.3">
      <c r="A142" s="85">
        <v>4</v>
      </c>
      <c r="B142" s="86"/>
      <c r="C142" s="40" t="s">
        <v>256</v>
      </c>
      <c r="D142" s="60">
        <f>(66.735+6.618)*10.764</f>
        <v>789.57169199999987</v>
      </c>
      <c r="E142" s="40">
        <v>0</v>
      </c>
      <c r="F142" s="40">
        <f t="shared" si="9"/>
        <v>1184.3575379999997</v>
      </c>
      <c r="G142" s="77"/>
      <c r="H142" s="78"/>
      <c r="I142" s="34"/>
      <c r="J142" s="35">
        <f>16000*F142</f>
        <v>18949720.607999995</v>
      </c>
      <c r="L142" s="35">
        <f t="shared" si="10"/>
        <v>17765363.069999997</v>
      </c>
    </row>
    <row r="143" spans="1:14" s="35" customFormat="1" ht="15.75" customHeight="1" x14ac:dyDescent="0.3">
      <c r="A143" s="85">
        <v>5</v>
      </c>
      <c r="B143" s="86"/>
      <c r="C143" s="40" t="s">
        <v>255</v>
      </c>
      <c r="D143" s="60">
        <f>(85.373+7.268)*10.764</f>
        <v>997.187724</v>
      </c>
      <c r="E143" s="40">
        <v>0</v>
      </c>
      <c r="F143" s="40">
        <f t="shared" si="9"/>
        <v>1495.7815860000001</v>
      </c>
      <c r="G143" s="77"/>
      <c r="H143" s="78"/>
      <c r="I143" s="34"/>
      <c r="L143" s="35">
        <f t="shared" si="10"/>
        <v>22436723.789999999</v>
      </c>
    </row>
    <row r="144" spans="1:14" s="35" customFormat="1" x14ac:dyDescent="0.3">
      <c r="A144" s="85">
        <v>6</v>
      </c>
      <c r="B144" s="86"/>
      <c r="C144" s="40" t="s">
        <v>255</v>
      </c>
      <c r="D144" s="60">
        <f>(82.559+7.268)*10.764</f>
        <v>966.89782799999989</v>
      </c>
      <c r="E144" s="40">
        <v>0</v>
      </c>
      <c r="F144" s="40">
        <f t="shared" si="9"/>
        <v>1450.3467419999997</v>
      </c>
      <c r="G144" s="77"/>
      <c r="H144" s="78"/>
      <c r="I144" s="34"/>
      <c r="L144" s="35">
        <f t="shared" si="10"/>
        <v>21755201.129999995</v>
      </c>
    </row>
    <row r="145" spans="1:12" s="35" customFormat="1" x14ac:dyDescent="0.3">
      <c r="A145" s="85">
        <v>7</v>
      </c>
      <c r="B145" s="86"/>
      <c r="C145" s="40" t="s">
        <v>256</v>
      </c>
      <c r="D145" s="60">
        <f>(59.808+7.537+(3.45*1.4+2.75*1.4))*10.764</f>
        <v>818.33310000000006</v>
      </c>
      <c r="E145" s="40">
        <v>0</v>
      </c>
      <c r="F145" s="40">
        <f t="shared" si="9"/>
        <v>1227.4996500000002</v>
      </c>
      <c r="G145" s="79"/>
      <c r="H145" s="80"/>
      <c r="I145" s="34">
        <f>3.235*1.25+2.715*1.25</f>
        <v>7.4375</v>
      </c>
      <c r="J145" s="35">
        <f>16000*F145</f>
        <v>19639994.400000002</v>
      </c>
      <c r="L145" s="35">
        <f t="shared" si="10"/>
        <v>18412494.750000004</v>
      </c>
    </row>
    <row r="146" spans="1:12" s="35" customFormat="1" x14ac:dyDescent="0.3">
      <c r="A146" s="82" t="s">
        <v>260</v>
      </c>
      <c r="B146" s="83"/>
      <c r="C146" s="83"/>
      <c r="D146" s="83"/>
      <c r="E146" s="83"/>
      <c r="F146" s="83"/>
      <c r="G146" s="83"/>
      <c r="H146" s="84"/>
      <c r="I146" s="34"/>
    </row>
    <row r="147" spans="1:12" s="35" customFormat="1" ht="15.75" customHeight="1" x14ac:dyDescent="0.3">
      <c r="A147" s="85">
        <v>1</v>
      </c>
      <c r="B147" s="86"/>
      <c r="C147" s="40" t="s">
        <v>255</v>
      </c>
      <c r="D147" s="60">
        <f>(82.559+7.268)*10.764</f>
        <v>966.89782799999989</v>
      </c>
      <c r="E147" s="40">
        <v>0</v>
      </c>
      <c r="F147" s="40">
        <f t="shared" ref="F147:F153" si="11">D147*(($F$129)+1)+(IF(E147&lt;101,E147,IF(E147&lt;201,E147/2,IF(E147&lt;=301,E147/3,E147/4))))</f>
        <v>1450.3467419999997</v>
      </c>
      <c r="G147" s="75" t="str">
        <f>A146</f>
        <v>7th Floor ( Part Refuge Area )</v>
      </c>
      <c r="H147" s="76"/>
      <c r="I147" s="34"/>
    </row>
    <row r="148" spans="1:12" s="35" customFormat="1" x14ac:dyDescent="0.3">
      <c r="A148" s="85">
        <v>2</v>
      </c>
      <c r="B148" s="86"/>
      <c r="C148" s="40" t="s">
        <v>255</v>
      </c>
      <c r="D148" s="60">
        <f>(85.373+7.268)*10.764</f>
        <v>997.187724</v>
      </c>
      <c r="E148" s="40">
        <v>0</v>
      </c>
      <c r="F148" s="40">
        <f t="shared" si="11"/>
        <v>1495.7815860000001</v>
      </c>
      <c r="G148" s="77"/>
      <c r="H148" s="78"/>
      <c r="I148" s="34"/>
    </row>
    <row r="149" spans="1:12" s="35" customFormat="1" ht="15.75" customHeight="1" x14ac:dyDescent="0.3">
      <c r="A149" s="85">
        <v>3</v>
      </c>
      <c r="B149" s="86"/>
      <c r="C149" s="40" t="s">
        <v>256</v>
      </c>
      <c r="D149" s="60">
        <f>(66.735+6.618)*10.764</f>
        <v>789.57169199999987</v>
      </c>
      <c r="E149" s="40">
        <v>0</v>
      </c>
      <c r="F149" s="40">
        <f t="shared" si="11"/>
        <v>1184.3575379999997</v>
      </c>
      <c r="G149" s="77"/>
      <c r="H149" s="78"/>
      <c r="I149" s="34"/>
      <c r="K149" s="56"/>
    </row>
    <row r="150" spans="1:12" s="35" customFormat="1" ht="15.75" customHeight="1" x14ac:dyDescent="0.3">
      <c r="A150" s="85">
        <v>4</v>
      </c>
      <c r="B150" s="86"/>
      <c r="C150" s="40" t="s">
        <v>256</v>
      </c>
      <c r="D150" s="60">
        <f>(66.735+6.618)*10.764</f>
        <v>789.57169199999987</v>
      </c>
      <c r="E150" s="40">
        <v>0</v>
      </c>
      <c r="F150" s="40">
        <f t="shared" si="11"/>
        <v>1184.3575379999997</v>
      </c>
      <c r="G150" s="77"/>
      <c r="H150" s="78"/>
      <c r="I150" s="34"/>
    </row>
    <row r="151" spans="1:12" s="35" customFormat="1" ht="15.75" customHeight="1" x14ac:dyDescent="0.3">
      <c r="A151" s="85">
        <v>5</v>
      </c>
      <c r="B151" s="86"/>
      <c r="C151" s="40" t="s">
        <v>255</v>
      </c>
      <c r="D151" s="60">
        <f>(85.373+7.268)*10.764</f>
        <v>997.187724</v>
      </c>
      <c r="E151" s="40">
        <v>0</v>
      </c>
      <c r="F151" s="40">
        <f t="shared" si="11"/>
        <v>1495.7815860000001</v>
      </c>
      <c r="G151" s="77"/>
      <c r="H151" s="78"/>
      <c r="I151" s="34"/>
    </row>
    <row r="152" spans="1:12" s="35" customFormat="1" x14ac:dyDescent="0.3">
      <c r="A152" s="85">
        <v>6</v>
      </c>
      <c r="B152" s="86"/>
      <c r="C152" s="40" t="s">
        <v>255</v>
      </c>
      <c r="D152" s="60">
        <f>(82.559+7.268)*10.764</f>
        <v>966.89782799999989</v>
      </c>
      <c r="E152" s="40">
        <v>0</v>
      </c>
      <c r="F152" s="40">
        <f t="shared" si="11"/>
        <v>1450.3467419999997</v>
      </c>
      <c r="G152" s="77"/>
      <c r="H152" s="78"/>
      <c r="I152" s="34"/>
    </row>
    <row r="153" spans="1:12" s="35" customFormat="1" x14ac:dyDescent="0.3">
      <c r="A153" s="85">
        <v>7</v>
      </c>
      <c r="B153" s="86"/>
      <c r="C153" s="40" t="s">
        <v>256</v>
      </c>
      <c r="D153" s="60">
        <f>(59.808+7.537+(3.45*1.4+2.75*1.4))*10.764</f>
        <v>818.33310000000006</v>
      </c>
      <c r="E153" s="40">
        <v>0</v>
      </c>
      <c r="F153" s="40">
        <f t="shared" si="11"/>
        <v>1227.4996500000002</v>
      </c>
      <c r="G153" s="79"/>
      <c r="H153" s="80"/>
      <c r="I153" s="34"/>
    </row>
    <row r="154" spans="1:12" s="35" customFormat="1" x14ac:dyDescent="0.3">
      <c r="A154" s="139" t="s">
        <v>261</v>
      </c>
      <c r="B154" s="139"/>
      <c r="C154" s="139"/>
      <c r="D154" s="139"/>
      <c r="E154" s="139"/>
      <c r="F154" s="139"/>
      <c r="G154" s="139"/>
      <c r="H154" s="139"/>
      <c r="I154" s="34"/>
    </row>
    <row r="155" spans="1:12" s="35" customFormat="1" ht="15.75" customHeight="1" x14ac:dyDescent="0.3">
      <c r="A155" s="81">
        <v>1</v>
      </c>
      <c r="B155" s="81"/>
      <c r="C155" s="40" t="s">
        <v>255</v>
      </c>
      <c r="D155" s="60">
        <f>(82.559+7.268)*10.764</f>
        <v>966.89782799999989</v>
      </c>
      <c r="E155" s="40">
        <v>0</v>
      </c>
      <c r="F155" s="40">
        <f t="shared" ref="F155:F161" si="12">D155*(($F$129)+1)+(IF(E155&lt;101,E155,IF(E155&lt;201,E155/2,IF(E155&lt;=301,E155/3,E155/4))))</f>
        <v>1450.3467419999997</v>
      </c>
      <c r="G155" s="81" t="str">
        <f>A154</f>
        <v>12th Floor Part Refuge Area</v>
      </c>
      <c r="H155" s="81"/>
      <c r="I155" s="55"/>
    </row>
    <row r="156" spans="1:12" s="35" customFormat="1" x14ac:dyDescent="0.3">
      <c r="A156" s="81">
        <v>2</v>
      </c>
      <c r="B156" s="81"/>
      <c r="C156" s="40" t="s">
        <v>255</v>
      </c>
      <c r="D156" s="60">
        <f>(80.979+7.268)*10.764</f>
        <v>949.8907079999999</v>
      </c>
      <c r="E156" s="40">
        <v>0</v>
      </c>
      <c r="F156" s="40">
        <f t="shared" si="12"/>
        <v>1424.8360619999999</v>
      </c>
      <c r="G156" s="81"/>
      <c r="H156" s="81"/>
      <c r="I156" s="34"/>
    </row>
    <row r="157" spans="1:12" s="35" customFormat="1" x14ac:dyDescent="0.3">
      <c r="A157" s="81">
        <v>3</v>
      </c>
      <c r="B157" s="81"/>
      <c r="C157" s="40" t="s">
        <v>256</v>
      </c>
      <c r="D157" s="60">
        <f>(63.921+6.618)*10.764</f>
        <v>759.28179599999999</v>
      </c>
      <c r="E157" s="40">
        <v>0</v>
      </c>
      <c r="F157" s="40">
        <f t="shared" si="12"/>
        <v>1138.9226939999999</v>
      </c>
      <c r="G157" s="81"/>
      <c r="H157" s="81"/>
      <c r="I157" s="34">
        <f>3.35*5.265+1.7*1.365+1.64*3.05+2.75*2.455+3.05*3.35+3.835*3.05+2.375*1.25+2.125*1.25+2.3*0.9</f>
        <v>61.320750000000004</v>
      </c>
    </row>
    <row r="158" spans="1:12" s="35" customFormat="1" x14ac:dyDescent="0.3">
      <c r="A158" s="81">
        <v>4</v>
      </c>
      <c r="B158" s="81"/>
      <c r="C158" s="40" t="s">
        <v>256</v>
      </c>
      <c r="D158" s="60">
        <f>(63.921+6.618)*10.764</f>
        <v>759.28179599999999</v>
      </c>
      <c r="E158" s="40">
        <v>0</v>
      </c>
      <c r="F158" s="40">
        <f t="shared" si="12"/>
        <v>1138.9226939999999</v>
      </c>
      <c r="G158" s="81"/>
      <c r="H158" s="81"/>
      <c r="I158" s="34"/>
    </row>
    <row r="159" spans="1:12" s="35" customFormat="1" x14ac:dyDescent="0.3">
      <c r="A159" s="81">
        <v>5</v>
      </c>
      <c r="B159" s="81"/>
      <c r="C159" s="40" t="s">
        <v>255</v>
      </c>
      <c r="D159" s="60">
        <f>(82.559+7.268)*10.764</f>
        <v>966.89782799999989</v>
      </c>
      <c r="E159" s="40">
        <v>0</v>
      </c>
      <c r="F159" s="40">
        <f t="shared" si="12"/>
        <v>1450.3467419999997</v>
      </c>
      <c r="G159" s="81"/>
      <c r="H159" s="81"/>
      <c r="I159" s="34"/>
    </row>
    <row r="160" spans="1:12" s="35" customFormat="1" x14ac:dyDescent="0.3">
      <c r="A160" s="81">
        <v>6</v>
      </c>
      <c r="B160" s="81"/>
      <c r="C160" s="40" t="s">
        <v>255</v>
      </c>
      <c r="D160" s="60">
        <f>(82.559+7.268)*10.764</f>
        <v>966.89782799999989</v>
      </c>
      <c r="E160" s="40">
        <v>0</v>
      </c>
      <c r="F160" s="40">
        <f t="shared" si="12"/>
        <v>1450.3467419999997</v>
      </c>
      <c r="G160" s="81"/>
      <c r="H160" s="81"/>
      <c r="I160" s="34"/>
    </row>
    <row r="161" spans="1:10" s="35" customFormat="1" x14ac:dyDescent="0.3">
      <c r="A161" s="81">
        <v>7</v>
      </c>
      <c r="B161" s="81"/>
      <c r="C161" s="40" t="s">
        <v>256</v>
      </c>
      <c r="D161" s="60">
        <f>(59.808+7.537+(3.45*1.4+2.75*1.4))*10.764</f>
        <v>818.33310000000006</v>
      </c>
      <c r="E161" s="40">
        <v>0</v>
      </c>
      <c r="F161" s="40">
        <f t="shared" si="12"/>
        <v>1227.4996500000002</v>
      </c>
      <c r="G161" s="81"/>
      <c r="H161" s="81"/>
      <c r="I161" s="34"/>
    </row>
    <row r="162" spans="1:10" s="35" customFormat="1" x14ac:dyDescent="0.3">
      <c r="A162" s="82" t="s">
        <v>284</v>
      </c>
      <c r="B162" s="83"/>
      <c r="C162" s="83"/>
      <c r="D162" s="83"/>
      <c r="E162" s="83"/>
      <c r="F162" s="83"/>
      <c r="G162" s="83"/>
      <c r="H162" s="84"/>
      <c r="I162" s="54"/>
    </row>
    <row r="163" spans="1:10" s="35" customFormat="1" ht="15.75" customHeight="1" x14ac:dyDescent="0.3">
      <c r="A163" s="85">
        <v>1</v>
      </c>
      <c r="B163" s="86"/>
      <c r="C163" s="40" t="s">
        <v>255</v>
      </c>
      <c r="D163" s="60">
        <f>(3.35*5.265+1.7*1.365+3.565*2.45+2.68*2.75+2.75*3.65+3.05*3.65+3.35*3.65+1.25*2.125+1.32*2.125+1.25*2.125+1*3.05+(3.235*1.25+2.415*1.25+1.62*1+0.75*2.75+0.75*3.05))*10.764</f>
        <v>1008.15624</v>
      </c>
      <c r="E163" s="40">
        <v>0</v>
      </c>
      <c r="F163" s="40">
        <f>D163*(($F$129)+1)+(IF(E163&lt;101,E163,IF(E163&lt;201,E163/2,IF(E163&lt;=301,E163/3,E163/4))))</f>
        <v>1512.2343599999999</v>
      </c>
      <c r="G163" s="75" t="str">
        <f>A162</f>
        <v xml:space="preserve">13th Floor </v>
      </c>
      <c r="H163" s="76"/>
      <c r="I163" s="34"/>
    </row>
    <row r="164" spans="1:10" s="35" customFormat="1" x14ac:dyDescent="0.3">
      <c r="A164" s="85">
        <v>2</v>
      </c>
      <c r="B164" s="86"/>
      <c r="C164" s="40" t="s">
        <v>256</v>
      </c>
      <c r="D164" s="60">
        <f>(3.35*4.965+1.7*1.365+3.565*2.45+2.68*2.75+3.35*2.605+3.945*3.65+2.125*1.25+2.125*1.5+2.125*1.2+2.415*1.25+3.235*1.55)*10.764</f>
        <v>803.1047309999999</v>
      </c>
      <c r="E164" s="61">
        <f>(16.588)*10.764</f>
        <v>178.55323200000001</v>
      </c>
      <c r="F164" s="40">
        <f>D164*(($F$129)+1)+(IF(E164&lt;101,E164,IF(E164&lt;201,E164/2,IF(E164&lt;=301,E164/3,E164/4))))</f>
        <v>1293.9337125</v>
      </c>
      <c r="G164" s="77"/>
      <c r="H164" s="78"/>
      <c r="I164" s="34">
        <f>3.315*1.55+2.415*1.25</f>
        <v>8.157</v>
      </c>
    </row>
    <row r="165" spans="1:10" s="35" customFormat="1" x14ac:dyDescent="0.3">
      <c r="A165" s="85">
        <v>3</v>
      </c>
      <c r="B165" s="86"/>
      <c r="C165" s="40" t="s">
        <v>262</v>
      </c>
      <c r="D165" s="60">
        <f>(3.35*5.018+1.7*1.365+2.75*1.853+1.64*3.05+3.05*1.853+3.835*3.05+2.125*1.25+2.375*1.25+1*2.125+0.75*1.35)*10.764</f>
        <v>595.6738398</v>
      </c>
      <c r="E165" s="40">
        <f>14.235*10.764</f>
        <v>153.22554</v>
      </c>
      <c r="F165" s="40">
        <f>D165*(($F$129)+1)+(IF(E165&lt;101,E165,IF(E165&lt;201,E165/2,IF(E165&lt;=301,E165/3,E165/4))))</f>
        <v>970.12352969999995</v>
      </c>
      <c r="G165" s="77"/>
      <c r="H165" s="78"/>
      <c r="I165" s="34"/>
    </row>
    <row r="166" spans="1:10" s="35" customFormat="1" x14ac:dyDescent="0.3">
      <c r="A166" s="85">
        <v>4</v>
      </c>
      <c r="B166" s="86"/>
      <c r="C166" s="40" t="s">
        <v>262</v>
      </c>
      <c r="D166" s="60">
        <f>(3.35*5.018+1.7*1.365+2.75*1.853+1.64*3.05+3.05*1.853+3.835*3.05+2.125*1.25+2.375*1.25+1*2.125+0.75*1.35)*10.764</f>
        <v>595.6738398</v>
      </c>
      <c r="E166" s="40">
        <f>14.235*10.764</f>
        <v>153.22554</v>
      </c>
      <c r="F166" s="40">
        <f>D166*(($F$129)+1)+(IF(E166&lt;101,E166,IF(E166&lt;201,E166/2,IF(E166&lt;=301,E166/3,E166/4))))</f>
        <v>970.12352969999995</v>
      </c>
      <c r="G166" s="77"/>
      <c r="H166" s="78"/>
      <c r="I166" s="34"/>
    </row>
    <row r="167" spans="1:10" s="35" customFormat="1" x14ac:dyDescent="0.3">
      <c r="A167" s="85">
        <v>5</v>
      </c>
      <c r="B167" s="86"/>
      <c r="C167" s="40" t="s">
        <v>255</v>
      </c>
      <c r="D167" s="60">
        <f>(3.35*5.265+1.7*1.365+3.565*2.45+2.68*2.75+2.75*3.65+3.05*3.65+3.35*3.65+1.25*2.125+1.32*2.125+1.25*2.125+1*3.05+(3.235*1.25+2.415*1.25+1.62*1))*10.764</f>
        <v>961.33284000000015</v>
      </c>
      <c r="E167" s="40">
        <f>(0.75*2.75+0.75*3.05)*10.764</f>
        <v>46.823399999999992</v>
      </c>
      <c r="F167" s="40">
        <f>D167*(($F$129)+1)+(IF(E167&lt;101,E167,IF(E167&lt;201,E167/2,IF(E167&lt;=301,E167/3,E167/4))))</f>
        <v>1488.8226600000003</v>
      </c>
      <c r="G167" s="77"/>
      <c r="H167" s="78"/>
      <c r="I167" s="34"/>
      <c r="J167" s="34"/>
    </row>
    <row r="168" spans="1:10" s="35" customFormat="1" x14ac:dyDescent="0.3">
      <c r="A168" s="85">
        <v>6</v>
      </c>
      <c r="B168" s="86"/>
      <c r="C168" s="40" t="s">
        <v>255</v>
      </c>
      <c r="D168" s="60">
        <f>(3.35*5.265+1.7*1.365+3.565*2.45+2.68*2.75+2.75*3.65+3.05*3.65+3.35*3.65+1.25*2.125+1.32*2.125+1.25*2.125+1*3.05+(3.235*1.25+2.415*1.25+1.62*1+0.75*2.75+0.75*3.05))*10.764</f>
        <v>1008.15624</v>
      </c>
      <c r="E168" s="40">
        <v>0</v>
      </c>
      <c r="F168" s="40">
        <f t="shared" ref="F168:F169" si="13">D168*(($F$129)+1)+(IF(E168&lt;101,E168,IF(E168&lt;201,E168/2,IF(E168&lt;=301,E168/3,E168/4))))</f>
        <v>1512.2343599999999</v>
      </c>
      <c r="G168" s="77"/>
      <c r="H168" s="78"/>
      <c r="I168" s="34">
        <f>3.35*5.265+1.7*1.365+1.64*3.05+2.75*2.455+3.05*3.35+3.835*3.05+2.375*1.25+2.125*1.25+2.3*0.9</f>
        <v>61.320750000000004</v>
      </c>
    </row>
    <row r="169" spans="1:10" s="35" customFormat="1" x14ac:dyDescent="0.3">
      <c r="A169" s="85">
        <v>7</v>
      </c>
      <c r="B169" s="86"/>
      <c r="C169" s="40" t="s">
        <v>256</v>
      </c>
      <c r="D169" s="60">
        <f>(3.35*5.265+1.7*1.365+1.64*2.75+2.475*2.75+2.75*3.65+3.45*3.65+1.25*2.125+2.45*1.25+2.715*1.25+3.235*1.25+2.75*1+1.25*2.75+0.75*2.75+0.75*3.45)*10.764</f>
        <v>838.49676299999999</v>
      </c>
      <c r="E169" s="40">
        <v>0</v>
      </c>
      <c r="F169" s="40">
        <f t="shared" si="13"/>
        <v>1257.7451444999999</v>
      </c>
      <c r="G169" s="79"/>
      <c r="H169" s="80"/>
      <c r="I169" s="34"/>
    </row>
    <row r="170" spans="1:10" s="35" customFormat="1" x14ac:dyDescent="0.3">
      <c r="A170" s="82" t="s">
        <v>285</v>
      </c>
      <c r="B170" s="83"/>
      <c r="C170" s="83"/>
      <c r="D170" s="83"/>
      <c r="E170" s="83"/>
      <c r="F170" s="83"/>
      <c r="G170" s="83"/>
      <c r="H170" s="84"/>
      <c r="I170" s="54"/>
    </row>
    <row r="171" spans="1:10" s="35" customFormat="1" ht="15.75" customHeight="1" x14ac:dyDescent="0.3">
      <c r="A171" s="85">
        <v>1</v>
      </c>
      <c r="B171" s="86"/>
      <c r="C171" s="40" t="s">
        <v>255</v>
      </c>
      <c r="D171" s="60">
        <f>(3.35*5.265+1.7*1.365+3.565*2.45+2.68*2.75+2.75*3.65+3.05*3.65+3.35*3.65+1.25*2.125+1.32*2.125+1.25*2.125+1*3.05+(3.235*1.25+2.415*1.25+1.62*1+0.75*2.75+0.75*3.05))*10.764</f>
        <v>1008.15624</v>
      </c>
      <c r="E171" s="40">
        <v>0</v>
      </c>
      <c r="F171" s="40">
        <f>D171*(($F$129)+1)+(IF(E171&lt;101,E171,IF(E171&lt;201,E171/2,IF(E171&lt;=301,E171/3,E171/4))))</f>
        <v>1512.2343599999999</v>
      </c>
      <c r="G171" s="75" t="str">
        <f>A170</f>
        <v>14th Floor  Part Terrace Area &amp; Club House</v>
      </c>
      <c r="H171" s="76"/>
      <c r="I171" s="34"/>
    </row>
    <row r="172" spans="1:10" s="35" customFormat="1" x14ac:dyDescent="0.3">
      <c r="A172" s="85">
        <v>2</v>
      </c>
      <c r="B172" s="86"/>
      <c r="C172" s="40" t="s">
        <v>262</v>
      </c>
      <c r="D172" s="60">
        <f>(4.038*3.048+1.7*1.067+3.565*2.452+2.065*3.048+1.25*2.125+1.32*2.125+3.35*3.65+2.685*1.2+2.415*1.25)*10.764</f>
        <v>571.42549713599988</v>
      </c>
      <c r="E172" s="61">
        <f>(17.077)*10.764</f>
        <v>183.81682800000002</v>
      </c>
      <c r="F172" s="40">
        <f>D172*(($F$129)+1)+(IF(E172&lt;101,E172,IF(E172&lt;201,E172/2,IF(E172&lt;=301,E172/3,E172/4))))</f>
        <v>949.04665970399981</v>
      </c>
      <c r="G172" s="77"/>
      <c r="H172" s="78"/>
      <c r="I172" s="34">
        <f>3.315*1.55+2.415*1.25</f>
        <v>8.157</v>
      </c>
    </row>
    <row r="173" spans="1:10" s="35" customFormat="1" x14ac:dyDescent="0.3">
      <c r="A173" s="85">
        <v>3</v>
      </c>
      <c r="B173" s="86"/>
      <c r="C173" s="40" t="s">
        <v>262</v>
      </c>
      <c r="D173" s="60">
        <f>(4.038*3.048+1.7*1.067+3.565*2.452+2.065*3.048+1.25*2.125+1.32*2.125+3.35*3.65+2.685*1.2+2.415*1.25)*10.764</f>
        <v>571.42549713599988</v>
      </c>
      <c r="E173" s="40">
        <f>35.489*10.764</f>
        <v>382.00359599999996</v>
      </c>
      <c r="F173" s="40">
        <f>D173*(($F$129)+1)+(IF(E173&lt;101,E173,IF(E173&lt;201,E173/2,IF(E173&lt;=301,E173/3,E173/4))))</f>
        <v>952.63914470399982</v>
      </c>
      <c r="G173" s="77"/>
      <c r="H173" s="78"/>
      <c r="I173" s="34"/>
    </row>
    <row r="174" spans="1:10" s="35" customFormat="1" x14ac:dyDescent="0.3">
      <c r="A174" s="85">
        <v>4</v>
      </c>
      <c r="B174" s="86"/>
      <c r="C174" s="40" t="s">
        <v>255</v>
      </c>
      <c r="D174" s="60">
        <f>(3.35*5.265+1.7*1.365+3.565*2.45+2.68*2.75+2.75*3.65+3.05*3.65+3.35*3.65+1.25*2.125+1.32*2.125+1.25*2.125+1*3.05+(3.235*1.25+2.415*1.25+1.62*1+0.75*2.75+0.75*3.05))*10.764</f>
        <v>1008.15624</v>
      </c>
      <c r="E174" s="40">
        <v>0</v>
      </c>
      <c r="F174" s="40">
        <f t="shared" ref="F174:F175" si="14">D174*(($F$129)+1)+(IF(E174&lt;101,E174,IF(E174&lt;201,E174/2,IF(E174&lt;=301,E174/3,E174/4))))</f>
        <v>1512.2343599999999</v>
      </c>
      <c r="G174" s="77"/>
      <c r="H174" s="78"/>
      <c r="I174" s="34">
        <f>3.35*5.265+1.7*1.365+1.64*3.05+2.75*2.455+3.05*3.35+3.835*3.05+2.375*1.25+2.125*1.25+2.3*0.9</f>
        <v>61.320750000000004</v>
      </c>
    </row>
    <row r="175" spans="1:10" s="35" customFormat="1" x14ac:dyDescent="0.3">
      <c r="A175" s="85">
        <v>5</v>
      </c>
      <c r="B175" s="86"/>
      <c r="C175" s="40" t="s">
        <v>256</v>
      </c>
      <c r="D175" s="60">
        <f>(3.35*5.265+1.7*1.365+1.64*2.75+2.475*2.75+2.75*3.65+3.45*3.65+1.25*2.125+2.45*1.25+2.715*1.25+3.235*1.25+2.75*1+1.25*2.75+0.75*2.75+0.75*3.45)*10.764</f>
        <v>838.49676299999999</v>
      </c>
      <c r="E175" s="40">
        <v>0</v>
      </c>
      <c r="F175" s="40">
        <f t="shared" si="14"/>
        <v>1257.7451444999999</v>
      </c>
      <c r="G175" s="79"/>
      <c r="H175" s="80"/>
      <c r="I175" s="34"/>
    </row>
    <row r="176" spans="1:10" s="35" customFormat="1" x14ac:dyDescent="0.3">
      <c r="A176" s="82" t="s">
        <v>263</v>
      </c>
      <c r="B176" s="83"/>
      <c r="C176" s="83"/>
      <c r="D176" s="83"/>
      <c r="E176" s="83"/>
      <c r="F176" s="83"/>
      <c r="G176" s="83"/>
      <c r="H176" s="84"/>
      <c r="I176" s="34"/>
    </row>
    <row r="177" spans="1:10" s="35" customFormat="1" x14ac:dyDescent="0.3">
      <c r="A177" s="85">
        <v>1</v>
      </c>
      <c r="B177" s="86"/>
      <c r="C177" s="40" t="s">
        <v>255</v>
      </c>
      <c r="D177" s="60">
        <f>(82.559+7.268)*10.764</f>
        <v>966.89782799999989</v>
      </c>
      <c r="E177" s="40">
        <f>(0.6*1.9+3.73*4.4+2.685*4+0.5*3.8+4*6+1.8*4.9)*10.764</f>
        <v>678.261168</v>
      </c>
      <c r="F177" s="40">
        <f>D177*(($F$129)+1)+(IF(E177&lt;101,E177,IF(E177&lt;201,E177/2,IF(E177&lt;=301,E177/3,E177/4))))</f>
        <v>1619.9120339999997</v>
      </c>
      <c r="G177" s="75" t="str">
        <f>A176</f>
        <v>15th Floor</v>
      </c>
      <c r="H177" s="76"/>
      <c r="I177" s="34"/>
      <c r="J177" s="56">
        <f>3.235*1.25+2.415*1.25</f>
        <v>7.0625</v>
      </c>
    </row>
    <row r="178" spans="1:10" s="35" customFormat="1" x14ac:dyDescent="0.3">
      <c r="A178" s="85">
        <v>2</v>
      </c>
      <c r="B178" s="86"/>
      <c r="C178" s="40" t="s">
        <v>264</v>
      </c>
      <c r="D178" s="60">
        <f>(151.117+14.993)*10.764</f>
        <v>1788.0080399999997</v>
      </c>
      <c r="E178" s="40">
        <f>(0.6*1.9+3.73*4.4+2.685*4+0.5*3.8+4*6+1.8*4.9)*10.764</f>
        <v>678.261168</v>
      </c>
      <c r="F178" s="40">
        <f>D178*(($F$129)+1)+(IF(E178&lt;101,E178,IF(E178&lt;201,E178/2,IF(E178&lt;=301,E178/3,E178/4))))</f>
        <v>2851.5773519999993</v>
      </c>
      <c r="G178" s="77"/>
      <c r="H178" s="78"/>
      <c r="I178" s="59">
        <f>6.85*5.265+3.55*1.365+1.64*2.75+2.475*2.75+2.75*3.65+3.45*3.65+3.35*3.65+5.915*3.65+2.68*2.75+2.45*1.25+1.25*2.125+1.25*2.125+1.32*2.125+1.25*2.125+2.68*2.75+2.6*1.3+1.2*1.5+3.1*0.9+3*2.25</f>
        <v>151.97074999999998</v>
      </c>
      <c r="J178" s="55">
        <f>6.85*1.25+2.715*1.25+2.415*1.25</f>
        <v>14.975000000000001</v>
      </c>
    </row>
    <row r="179" spans="1:10" s="35" customFormat="1" x14ac:dyDescent="0.3">
      <c r="A179" s="82" t="s">
        <v>265</v>
      </c>
      <c r="B179" s="83"/>
      <c r="C179" s="83"/>
      <c r="D179" s="83"/>
      <c r="E179" s="83"/>
      <c r="F179" s="83"/>
      <c r="G179" s="83"/>
      <c r="H179" s="84"/>
      <c r="I179" s="34"/>
    </row>
    <row r="180" spans="1:10" s="35" customFormat="1" x14ac:dyDescent="0.3">
      <c r="A180" s="85">
        <v>1</v>
      </c>
      <c r="B180" s="86"/>
      <c r="C180" s="40" t="s">
        <v>255</v>
      </c>
      <c r="D180" s="60">
        <f>(82.559+7.268)*10.764</f>
        <v>966.89782799999989</v>
      </c>
      <c r="E180" s="40">
        <v>0</v>
      </c>
      <c r="F180" s="40">
        <f>D180*(($F$129)+1)+(IF(E180&lt;101,E180,IF(E180&lt;201,E180/2,IF(E180&lt;=301,E180/3,E180/4))))</f>
        <v>1450.3467419999997</v>
      </c>
      <c r="G180" s="75" t="str">
        <f>A179</f>
        <v>16th Floor</v>
      </c>
      <c r="H180" s="76"/>
      <c r="I180" s="34"/>
    </row>
    <row r="181" spans="1:10" s="35" customFormat="1" x14ac:dyDescent="0.3">
      <c r="A181" s="85">
        <v>2</v>
      </c>
      <c r="B181" s="86"/>
      <c r="C181" s="40" t="s">
        <v>264</v>
      </c>
      <c r="D181" s="60">
        <f>(151.117+14.993)*10.764</f>
        <v>1788.0080399999997</v>
      </c>
      <c r="E181" s="40">
        <v>0</v>
      </c>
      <c r="F181" s="40">
        <f>D181*(($F$129)+1)+(IF(E181&lt;101,E181,IF(E181&lt;201,E181/2,IF(E181&lt;=301,E181/3,E181/4))))</f>
        <v>2682.0120599999996</v>
      </c>
      <c r="G181" s="77"/>
      <c r="H181" s="78"/>
      <c r="I181" s="34"/>
    </row>
    <row r="182" spans="1:10" s="35" customFormat="1" x14ac:dyDescent="0.3">
      <c r="A182" s="82" t="s">
        <v>266</v>
      </c>
      <c r="B182" s="83"/>
      <c r="C182" s="83"/>
      <c r="D182" s="83"/>
      <c r="E182" s="83"/>
      <c r="F182" s="83"/>
      <c r="G182" s="83"/>
      <c r="H182" s="84"/>
      <c r="I182" s="34"/>
    </row>
    <row r="183" spans="1:10" s="35" customFormat="1" ht="15.75" customHeight="1" x14ac:dyDescent="0.3">
      <c r="A183" s="85">
        <v>1</v>
      </c>
      <c r="B183" s="86"/>
      <c r="C183" s="40" t="s">
        <v>256</v>
      </c>
      <c r="D183" s="60">
        <f>(64.832)*10.764</f>
        <v>697.85164799999984</v>
      </c>
      <c r="E183" s="40">
        <f>(3.3*3.5+1.4*3.2)*10.764</f>
        <v>172.54691999999997</v>
      </c>
      <c r="F183" s="40">
        <f>D183*(($F$129)+1)+(IF(E183&lt;101,E183,IF(E183&lt;201,E183/2,IF(E183&lt;=301,E183/3,E183/4))))</f>
        <v>1133.0509319999996</v>
      </c>
      <c r="G183" s="75" t="str">
        <f>A182</f>
        <v>17th Floor ( Part Terrace Area )</v>
      </c>
      <c r="H183" s="76"/>
    </row>
    <row r="184" spans="1:10" s="35" customFormat="1" x14ac:dyDescent="0.3">
      <c r="A184" s="85">
        <v>2</v>
      </c>
      <c r="B184" s="86"/>
      <c r="C184" s="40" t="s">
        <v>256</v>
      </c>
      <c r="D184" s="60">
        <f>(57.442)*10.764</f>
        <v>618.30568799999992</v>
      </c>
      <c r="E184" s="40">
        <f>(3.3*3.5+1.4*3.2+2.6*1.8+0.9*2.1)*10.764</f>
        <v>243.26639999999998</v>
      </c>
      <c r="F184" s="40">
        <f>D184*(($F$129)+1)+(IF(E184&lt;101,E184,IF(E184&lt;201,E184/2,IF(E184&lt;=301,E184/3,E184/4))))</f>
        <v>1008.5473319999999</v>
      </c>
      <c r="G184" s="77"/>
      <c r="H184" s="78"/>
      <c r="I184" s="34">
        <f>3.35*5.265+1.7*1.365+2.75*2.14+3.05*3.65+2.75*3.65+1.25*2.125+1.25*2.125+4.2*1</f>
        <v>56.525750000000002</v>
      </c>
    </row>
    <row r="185" spans="1:10" s="33" customFormat="1" x14ac:dyDescent="0.3">
      <c r="A185" s="126" t="s">
        <v>67</v>
      </c>
      <c r="B185" s="127"/>
      <c r="C185" s="127"/>
      <c r="D185" s="127"/>
      <c r="E185" s="127"/>
      <c r="F185" s="127"/>
      <c r="G185" s="127"/>
      <c r="H185" s="128"/>
    </row>
    <row r="186" spans="1:10" s="33" customFormat="1" x14ac:dyDescent="0.3">
      <c r="A186" s="62">
        <v>1</v>
      </c>
      <c r="B186" s="169" t="s">
        <v>295</v>
      </c>
      <c r="C186" s="170"/>
      <c r="D186" s="170"/>
      <c r="E186" s="170"/>
      <c r="F186" s="170"/>
      <c r="G186" s="170"/>
      <c r="H186" s="171"/>
    </row>
    <row r="187" spans="1:10" s="33" customFormat="1" x14ac:dyDescent="0.3">
      <c r="A187" s="62">
        <f>A186+1</f>
        <v>2</v>
      </c>
      <c r="B187" s="129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187" s="130"/>
      <c r="D187" s="130"/>
      <c r="E187" s="130"/>
      <c r="F187" s="130"/>
      <c r="G187" s="130"/>
      <c r="H187" s="131"/>
    </row>
    <row r="188" spans="1:10" s="33" customFormat="1" x14ac:dyDescent="0.3">
      <c r="A188" s="62">
        <f t="shared" ref="A188:A198" si="15">A187+1</f>
        <v>3</v>
      </c>
      <c r="B188" s="129" t="str">
        <f>(IF(F109="Saleable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8" s="130"/>
      <c r="D188" s="130"/>
      <c r="E188" s="130"/>
      <c r="F188" s="130"/>
      <c r="G188" s="130"/>
      <c r="H188" s="131"/>
    </row>
    <row r="189" spans="1:10" s="33" customFormat="1" x14ac:dyDescent="0.3">
      <c r="A189" s="62">
        <f t="shared" si="15"/>
        <v>4</v>
      </c>
      <c r="B189" s="72" t="s">
        <v>123</v>
      </c>
      <c r="C189" s="73"/>
      <c r="D189" s="73"/>
      <c r="E189" s="73"/>
      <c r="F189" s="73"/>
      <c r="G189" s="73"/>
      <c r="H189" s="74"/>
    </row>
    <row r="190" spans="1:10" s="33" customFormat="1" x14ac:dyDescent="0.3">
      <c r="A190" s="62">
        <f t="shared" si="15"/>
        <v>5</v>
      </c>
      <c r="B190" s="72" t="s">
        <v>273</v>
      </c>
      <c r="C190" s="73"/>
      <c r="D190" s="73"/>
      <c r="E190" s="73"/>
      <c r="F190" s="73"/>
      <c r="G190" s="73"/>
      <c r="H190" s="74"/>
    </row>
    <row r="191" spans="1:10" s="33" customFormat="1" x14ac:dyDescent="0.3">
      <c r="A191" s="62">
        <f t="shared" si="15"/>
        <v>6</v>
      </c>
      <c r="B191" s="72" t="s">
        <v>151</v>
      </c>
      <c r="C191" s="73"/>
      <c r="D191" s="73"/>
      <c r="E191" s="73"/>
      <c r="F191" s="73"/>
      <c r="G191" s="73"/>
      <c r="H191" s="74"/>
    </row>
    <row r="192" spans="1:10" s="33" customFormat="1" x14ac:dyDescent="0.3">
      <c r="A192" s="62">
        <f t="shared" si="15"/>
        <v>7</v>
      </c>
      <c r="B192" s="72" t="s">
        <v>124</v>
      </c>
      <c r="C192" s="73"/>
      <c r="D192" s="73"/>
      <c r="E192" s="73"/>
      <c r="F192" s="73"/>
      <c r="G192" s="73"/>
      <c r="H192" s="74"/>
    </row>
    <row r="193" spans="1:8" s="33" customFormat="1" ht="34.5" customHeight="1" x14ac:dyDescent="0.3">
      <c r="A193" s="62">
        <f t="shared" si="15"/>
        <v>8</v>
      </c>
      <c r="B193" s="72" t="s">
        <v>152</v>
      </c>
      <c r="C193" s="73"/>
      <c r="D193" s="73"/>
      <c r="E193" s="73"/>
      <c r="F193" s="73"/>
      <c r="G193" s="73"/>
      <c r="H193" s="74"/>
    </row>
    <row r="194" spans="1:8" s="33" customFormat="1" x14ac:dyDescent="0.3">
      <c r="A194" s="62">
        <f t="shared" si="15"/>
        <v>9</v>
      </c>
      <c r="B194" s="72" t="s">
        <v>125</v>
      </c>
      <c r="C194" s="73"/>
      <c r="D194" s="73"/>
      <c r="E194" s="73"/>
      <c r="F194" s="73"/>
      <c r="G194" s="73"/>
      <c r="H194" s="74"/>
    </row>
    <row r="195" spans="1:8" s="33" customFormat="1" ht="30.6" customHeight="1" x14ac:dyDescent="0.3">
      <c r="A195" s="62">
        <v>10</v>
      </c>
      <c r="B195" s="169" t="s">
        <v>287</v>
      </c>
      <c r="C195" s="170"/>
      <c r="D195" s="170"/>
      <c r="E195" s="170"/>
      <c r="F195" s="170"/>
      <c r="G195" s="170"/>
      <c r="H195" s="171"/>
    </row>
    <row r="196" spans="1:8" s="33" customFormat="1" x14ac:dyDescent="0.3">
      <c r="A196" s="62">
        <v>11</v>
      </c>
      <c r="B196" s="169" t="s">
        <v>291</v>
      </c>
      <c r="C196" s="170"/>
      <c r="D196" s="170"/>
      <c r="E196" s="170"/>
      <c r="F196" s="170"/>
      <c r="G196" s="170"/>
      <c r="H196" s="171"/>
    </row>
    <row r="197" spans="1:8" s="33" customFormat="1" x14ac:dyDescent="0.3">
      <c r="A197" s="62">
        <v>12</v>
      </c>
      <c r="B197" s="169" t="s">
        <v>292</v>
      </c>
      <c r="C197" s="170"/>
      <c r="D197" s="170"/>
      <c r="E197" s="170"/>
      <c r="F197" s="170"/>
      <c r="G197" s="170"/>
      <c r="H197" s="171"/>
    </row>
    <row r="198" spans="1:8" s="33" customFormat="1" ht="15.6" hidden="1" customHeight="1" x14ac:dyDescent="0.3">
      <c r="A198" s="45">
        <f t="shared" si="15"/>
        <v>13</v>
      </c>
      <c r="B198" s="69" t="s">
        <v>277</v>
      </c>
      <c r="C198" s="70"/>
      <c r="D198" s="70"/>
      <c r="E198" s="70"/>
      <c r="F198" s="70"/>
      <c r="G198" s="70"/>
      <c r="H198" s="71"/>
    </row>
    <row r="199" spans="1:8" x14ac:dyDescent="0.3">
      <c r="A199" s="158" t="s">
        <v>60</v>
      </c>
      <c r="B199" s="158"/>
      <c r="C199" s="158"/>
      <c r="D199" s="158"/>
      <c r="E199" s="158"/>
      <c r="F199" s="158"/>
      <c r="G199" s="158"/>
      <c r="H199" s="158"/>
    </row>
    <row r="200" spans="1:8" x14ac:dyDescent="0.3">
      <c r="A200" s="66" t="s">
        <v>61</v>
      </c>
      <c r="B200" s="66"/>
      <c r="C200" s="66"/>
      <c r="D200" s="66"/>
      <c r="E200" s="66"/>
      <c r="F200" s="66"/>
      <c r="G200" s="66"/>
      <c r="H200" s="66"/>
    </row>
    <row r="201" spans="1:8" ht="15.75" customHeight="1" x14ac:dyDescent="0.3">
      <c r="A201" s="176" t="s">
        <v>62</v>
      </c>
      <c r="B201" s="176"/>
      <c r="C201" s="176"/>
      <c r="D201" s="176"/>
      <c r="E201" s="176"/>
      <c r="F201" s="176"/>
      <c r="G201" s="176"/>
      <c r="H201" s="176"/>
    </row>
    <row r="202" spans="1:8" x14ac:dyDescent="0.3">
      <c r="A202" s="66" t="s">
        <v>63</v>
      </c>
      <c r="B202" s="66"/>
      <c r="C202" s="66"/>
      <c r="D202" s="66"/>
      <c r="E202" s="66"/>
      <c r="F202" s="66"/>
      <c r="G202" s="66"/>
      <c r="H202" s="66"/>
    </row>
    <row r="203" spans="1:8" x14ac:dyDescent="0.3">
      <c r="A203" s="66" t="s">
        <v>64</v>
      </c>
      <c r="B203" s="66"/>
      <c r="C203" s="66"/>
      <c r="D203" s="66"/>
      <c r="E203" s="66"/>
      <c r="F203" s="66"/>
      <c r="G203" s="66"/>
      <c r="H203" s="66"/>
    </row>
    <row r="204" spans="1:8" x14ac:dyDescent="0.3">
      <c r="A204" s="66" t="s">
        <v>126</v>
      </c>
      <c r="B204" s="66"/>
      <c r="C204" s="66"/>
      <c r="D204" s="66"/>
      <c r="E204" s="66"/>
      <c r="F204" s="66"/>
      <c r="G204" s="66"/>
      <c r="H204" s="66"/>
    </row>
    <row r="205" spans="1:8" ht="34.049999999999997" customHeight="1" x14ac:dyDescent="0.3">
      <c r="A205" s="97" t="s">
        <v>127</v>
      </c>
      <c r="B205" s="97"/>
      <c r="C205" s="97"/>
      <c r="D205" s="97"/>
      <c r="E205" s="97"/>
      <c r="F205" s="97"/>
      <c r="G205" s="97"/>
      <c r="H205" s="97"/>
    </row>
    <row r="206" spans="1:8" x14ac:dyDescent="0.3">
      <c r="A206" s="168" t="s">
        <v>76</v>
      </c>
      <c r="B206" s="168"/>
      <c r="C206" s="168" t="s">
        <v>294</v>
      </c>
      <c r="D206" s="168"/>
      <c r="E206" s="168" t="s">
        <v>106</v>
      </c>
      <c r="F206" s="168"/>
      <c r="G206" s="168" t="s">
        <v>293</v>
      </c>
      <c r="H206" s="168"/>
    </row>
    <row r="207" spans="1:8" x14ac:dyDescent="0.3">
      <c r="A207" s="167" t="s">
        <v>78</v>
      </c>
      <c r="B207" s="167"/>
      <c r="C207" s="167"/>
      <c r="D207" s="167"/>
      <c r="E207" s="167"/>
      <c r="F207" s="167"/>
      <c r="G207" s="167"/>
      <c r="H207" s="167"/>
    </row>
    <row r="208" spans="1:8" x14ac:dyDescent="0.3">
      <c r="A208" s="167"/>
      <c r="B208" s="167"/>
      <c r="C208" s="167"/>
      <c r="D208" s="167"/>
      <c r="E208" s="167"/>
      <c r="F208" s="167"/>
      <c r="G208" s="167"/>
      <c r="H208" s="167"/>
    </row>
    <row r="209" spans="1:8" x14ac:dyDescent="0.3">
      <c r="A209" s="167"/>
      <c r="B209" s="167"/>
      <c r="C209" s="167"/>
      <c r="D209" s="167"/>
      <c r="E209" s="167"/>
      <c r="F209" s="167"/>
      <c r="G209" s="167"/>
      <c r="H209" s="167"/>
    </row>
    <row r="210" spans="1:8" x14ac:dyDescent="0.3">
      <c r="A210" s="167"/>
      <c r="B210" s="167"/>
      <c r="C210" s="167"/>
      <c r="D210" s="167"/>
      <c r="E210" s="167"/>
      <c r="F210" s="167"/>
      <c r="G210" s="167"/>
      <c r="H210" s="167"/>
    </row>
    <row r="211" spans="1:8" x14ac:dyDescent="0.3">
      <c r="A211" s="36" t="s">
        <v>65</v>
      </c>
      <c r="B211" s="37"/>
      <c r="C211" s="37"/>
      <c r="D211" s="36" t="str">
        <f>E8</f>
        <v>Aniruddha Icon</v>
      </c>
      <c r="F211" s="37"/>
      <c r="G211" s="37"/>
      <c r="H211" s="37"/>
    </row>
    <row r="212" spans="1:8" x14ac:dyDescent="0.3">
      <c r="A212" s="37"/>
      <c r="B212" s="37"/>
      <c r="C212" s="37"/>
      <c r="D212" s="37"/>
      <c r="E212" s="37"/>
      <c r="F212" s="37"/>
      <c r="G212" s="37"/>
      <c r="H212" s="37"/>
    </row>
    <row r="213" spans="1:8" x14ac:dyDescent="0.3">
      <c r="A213" s="37"/>
      <c r="B213" s="37"/>
      <c r="C213" s="37"/>
      <c r="D213" s="37"/>
      <c r="E213" s="37"/>
      <c r="F213" s="37"/>
      <c r="G213" s="37"/>
      <c r="H213" s="37"/>
    </row>
    <row r="214" spans="1:8" ht="15" customHeight="1" x14ac:dyDescent="0.3"/>
    <row r="253" hidden="1" x14ac:dyDescent="0.3"/>
    <row r="254" hidden="1" x14ac:dyDescent="0.3"/>
    <row r="255" hidden="1" x14ac:dyDescent="0.3"/>
    <row r="256" hidden="1" x14ac:dyDescent="0.3"/>
    <row r="257" spans="1:1" hidden="1" x14ac:dyDescent="0.3"/>
    <row r="258" spans="1:1" hidden="1" x14ac:dyDescent="0.3"/>
    <row r="259" spans="1:1" x14ac:dyDescent="0.3">
      <c r="A259" s="39" t="s">
        <v>163</v>
      </c>
    </row>
    <row r="291" spans="1:1" x14ac:dyDescent="0.3">
      <c r="A291" s="39" t="s">
        <v>66</v>
      </c>
    </row>
  </sheetData>
  <mergeCells count="366">
    <mergeCell ref="A133:B133"/>
    <mergeCell ref="A160:B160"/>
    <mergeCell ref="A173:B173"/>
    <mergeCell ref="A174:B174"/>
    <mergeCell ref="A175:B175"/>
    <mergeCell ref="A150:B150"/>
    <mergeCell ref="A145:B145"/>
    <mergeCell ref="A159:B159"/>
    <mergeCell ref="A155:B155"/>
    <mergeCell ref="A167:B167"/>
    <mergeCell ref="E42:H42"/>
    <mergeCell ref="A42:D42"/>
    <mergeCell ref="A79:B79"/>
    <mergeCell ref="A49:B49"/>
    <mergeCell ref="C49:E49"/>
    <mergeCell ref="G49:H49"/>
    <mergeCell ref="G52:H52"/>
    <mergeCell ref="G57:H57"/>
    <mergeCell ref="C52:E52"/>
    <mergeCell ref="D62:H62"/>
    <mergeCell ref="C50:E50"/>
    <mergeCell ref="D61:H61"/>
    <mergeCell ref="A61:C61"/>
    <mergeCell ref="G50:H50"/>
    <mergeCell ref="A52:B53"/>
    <mergeCell ref="A48:B48"/>
    <mergeCell ref="C48:H48"/>
    <mergeCell ref="A62:C62"/>
    <mergeCell ref="A54:B55"/>
    <mergeCell ref="C54:E54"/>
    <mergeCell ref="G54:H54"/>
    <mergeCell ref="C55:H55"/>
    <mergeCell ref="A56:B56"/>
    <mergeCell ref="C56:E56"/>
    <mergeCell ref="G106:H106"/>
    <mergeCell ref="C128:C129"/>
    <mergeCell ref="A120:B120"/>
    <mergeCell ref="F87:H87"/>
    <mergeCell ref="A92:E92"/>
    <mergeCell ref="G99:H99"/>
    <mergeCell ref="F93:H93"/>
    <mergeCell ref="A108:H108"/>
    <mergeCell ref="A98:H98"/>
    <mergeCell ref="A96:E96"/>
    <mergeCell ref="F96:H96"/>
    <mergeCell ref="A97:E97"/>
    <mergeCell ref="F97:H97"/>
    <mergeCell ref="A104:B104"/>
    <mergeCell ref="A100:B100"/>
    <mergeCell ref="A102:H102"/>
    <mergeCell ref="G103:H103"/>
    <mergeCell ref="C109:C110"/>
    <mergeCell ref="E103:F103"/>
    <mergeCell ref="A117:B117"/>
    <mergeCell ref="A116:B116"/>
    <mergeCell ref="A115:B115"/>
    <mergeCell ref="G56:H56"/>
    <mergeCell ref="A51:B51"/>
    <mergeCell ref="C51:E51"/>
    <mergeCell ref="G51:H51"/>
    <mergeCell ref="D59:H59"/>
    <mergeCell ref="A80:B80"/>
    <mergeCell ref="A73:B73"/>
    <mergeCell ref="A76:B76"/>
    <mergeCell ref="I14:P14"/>
    <mergeCell ref="A57:B57"/>
    <mergeCell ref="C57:E57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A204:H204"/>
    <mergeCell ref="A201:H201"/>
    <mergeCell ref="A135:B135"/>
    <mergeCell ref="A103:B103"/>
    <mergeCell ref="D128:D129"/>
    <mergeCell ref="E128:E129"/>
    <mergeCell ref="G128:H129"/>
    <mergeCell ref="F85:H85"/>
    <mergeCell ref="G100:H100"/>
    <mergeCell ref="F92:H92"/>
    <mergeCell ref="C99:D99"/>
    <mergeCell ref="C105:D105"/>
    <mergeCell ref="A130:H130"/>
    <mergeCell ref="A142:B142"/>
    <mergeCell ref="A139:B139"/>
    <mergeCell ref="A114:B114"/>
    <mergeCell ref="B109:B110"/>
    <mergeCell ref="A109:A110"/>
    <mergeCell ref="B186:H186"/>
    <mergeCell ref="B187:H187"/>
    <mergeCell ref="F94:H94"/>
    <mergeCell ref="E99:F99"/>
    <mergeCell ref="A99:B99"/>
    <mergeCell ref="C103:D103"/>
    <mergeCell ref="F95:H95"/>
    <mergeCell ref="C100:D100"/>
    <mergeCell ref="E100:F100"/>
    <mergeCell ref="G183:H184"/>
    <mergeCell ref="A180:B180"/>
    <mergeCell ref="A179:H179"/>
    <mergeCell ref="A151:B151"/>
    <mergeCell ref="G163:H169"/>
    <mergeCell ref="A170:H170"/>
    <mergeCell ref="G171:H175"/>
    <mergeCell ref="A107:H107"/>
    <mergeCell ref="A156:B156"/>
    <mergeCell ref="A106:B106"/>
    <mergeCell ref="A131:B131"/>
    <mergeCell ref="C106:D106"/>
    <mergeCell ref="E106:F106"/>
    <mergeCell ref="A128:A129"/>
    <mergeCell ref="A207:H210"/>
    <mergeCell ref="A206:B206"/>
    <mergeCell ref="E206:F206"/>
    <mergeCell ref="C206:D206"/>
    <mergeCell ref="G206:H206"/>
    <mergeCell ref="A134:H134"/>
    <mergeCell ref="A141:B141"/>
    <mergeCell ref="A202:H202"/>
    <mergeCell ref="A205:H205"/>
    <mergeCell ref="A203:H203"/>
    <mergeCell ref="A199:H199"/>
    <mergeCell ref="A143:B143"/>
    <mergeCell ref="B128:B129"/>
    <mergeCell ref="A154:H154"/>
    <mergeCell ref="A200:H200"/>
    <mergeCell ref="B195:H195"/>
    <mergeCell ref="B196:H196"/>
    <mergeCell ref="A168:B168"/>
    <mergeCell ref="A169:B169"/>
    <mergeCell ref="B197:H197"/>
    <mergeCell ref="B192:H192"/>
    <mergeCell ref="A171:B171"/>
    <mergeCell ref="A172:B17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63:C63"/>
    <mergeCell ref="A64:C64"/>
    <mergeCell ref="D63:H63"/>
    <mergeCell ref="D64:H64"/>
    <mergeCell ref="A43:D43"/>
    <mergeCell ref="E43:H43"/>
    <mergeCell ref="E44:H44"/>
    <mergeCell ref="E45:H45"/>
    <mergeCell ref="E46:H46"/>
    <mergeCell ref="A44:D44"/>
    <mergeCell ref="A39:B39"/>
    <mergeCell ref="C39:H39"/>
    <mergeCell ref="F36:H36"/>
    <mergeCell ref="A50:B50"/>
    <mergeCell ref="A58:H58"/>
    <mergeCell ref="A59:C59"/>
    <mergeCell ref="A60:C60"/>
    <mergeCell ref="D60:H60"/>
    <mergeCell ref="L131:M131"/>
    <mergeCell ref="A132:B132"/>
    <mergeCell ref="A38:B38"/>
    <mergeCell ref="C38:H38"/>
    <mergeCell ref="A45:D45"/>
    <mergeCell ref="L117:M117"/>
    <mergeCell ref="L116:M116"/>
    <mergeCell ref="L115:M115"/>
    <mergeCell ref="L114:M114"/>
    <mergeCell ref="A81:B81"/>
    <mergeCell ref="C104:D104"/>
    <mergeCell ref="E104:F104"/>
    <mergeCell ref="G104:H104"/>
    <mergeCell ref="F91:H91"/>
    <mergeCell ref="A85:E85"/>
    <mergeCell ref="A113:H113"/>
    <mergeCell ref="E109:E110"/>
    <mergeCell ref="G109:H110"/>
    <mergeCell ref="A46:D46"/>
    <mergeCell ref="A47:H47"/>
    <mergeCell ref="E101:F101"/>
    <mergeCell ref="G101:H101"/>
    <mergeCell ref="L132:M132"/>
    <mergeCell ref="F86:H86"/>
    <mergeCell ref="L133:M133"/>
    <mergeCell ref="B189:H189"/>
    <mergeCell ref="B190:H190"/>
    <mergeCell ref="A185:H185"/>
    <mergeCell ref="A148:B148"/>
    <mergeCell ref="A149:B149"/>
    <mergeCell ref="A147:B147"/>
    <mergeCell ref="L134:M134"/>
    <mergeCell ref="A136:B136"/>
    <mergeCell ref="A137:B137"/>
    <mergeCell ref="A140:B140"/>
    <mergeCell ref="A181:B181"/>
    <mergeCell ref="A182:H182"/>
    <mergeCell ref="A183:B183"/>
    <mergeCell ref="A184:B184"/>
    <mergeCell ref="A176:H176"/>
    <mergeCell ref="A177:B177"/>
    <mergeCell ref="B188:H188"/>
    <mergeCell ref="A153:B153"/>
    <mergeCell ref="A152:B152"/>
    <mergeCell ref="A161:B161"/>
    <mergeCell ref="A138:H138"/>
    <mergeCell ref="A144:B144"/>
    <mergeCell ref="A146:H146"/>
    <mergeCell ref="A84:E84"/>
    <mergeCell ref="F88:H88"/>
    <mergeCell ref="C53:H53"/>
    <mergeCell ref="A127:H127"/>
    <mergeCell ref="A124:B124"/>
    <mergeCell ref="C70:H70"/>
    <mergeCell ref="A78:B78"/>
    <mergeCell ref="A65:C65"/>
    <mergeCell ref="D65:H65"/>
    <mergeCell ref="C72:H72"/>
    <mergeCell ref="A75:B75"/>
    <mergeCell ref="E73:F73"/>
    <mergeCell ref="A66:C66"/>
    <mergeCell ref="D66:H66"/>
    <mergeCell ref="A72:B72"/>
    <mergeCell ref="A70:B70"/>
    <mergeCell ref="F89:H89"/>
    <mergeCell ref="D67:H67"/>
    <mergeCell ref="A68:C68"/>
    <mergeCell ref="A77:B77"/>
    <mergeCell ref="A90:E90"/>
    <mergeCell ref="F90:H90"/>
    <mergeCell ref="A91:E91"/>
    <mergeCell ref="A93:E93"/>
    <mergeCell ref="I66:K66"/>
    <mergeCell ref="A111:H111"/>
    <mergeCell ref="A112:H112"/>
    <mergeCell ref="A118:B118"/>
    <mergeCell ref="L118:M118"/>
    <mergeCell ref="A119:B119"/>
    <mergeCell ref="L119:M119"/>
    <mergeCell ref="A89:E89"/>
    <mergeCell ref="A105:B105"/>
    <mergeCell ref="E105:F105"/>
    <mergeCell ref="A95:E95"/>
    <mergeCell ref="G105:H105"/>
    <mergeCell ref="A101:B101"/>
    <mergeCell ref="C101:D101"/>
    <mergeCell ref="A69:C69"/>
    <mergeCell ref="D69:H69"/>
    <mergeCell ref="A67:C67"/>
    <mergeCell ref="D68:H68"/>
    <mergeCell ref="A74:B74"/>
    <mergeCell ref="E74:F83"/>
    <mergeCell ref="G74:H83"/>
    <mergeCell ref="A83:B83"/>
    <mergeCell ref="G73:H73"/>
    <mergeCell ref="F84:H84"/>
    <mergeCell ref="L124:M124"/>
    <mergeCell ref="A125:B125"/>
    <mergeCell ref="L125:M125"/>
    <mergeCell ref="A126:B126"/>
    <mergeCell ref="L126:M126"/>
    <mergeCell ref="G114:H126"/>
    <mergeCell ref="L120:M120"/>
    <mergeCell ref="A121:B121"/>
    <mergeCell ref="L121:M121"/>
    <mergeCell ref="A122:B122"/>
    <mergeCell ref="L122:M122"/>
    <mergeCell ref="A123:B123"/>
    <mergeCell ref="L123:M123"/>
    <mergeCell ref="A86:E86"/>
    <mergeCell ref="D109:D110"/>
    <mergeCell ref="A88:E88"/>
    <mergeCell ref="A87:E87"/>
    <mergeCell ref="B198:H198"/>
    <mergeCell ref="B194:H194"/>
    <mergeCell ref="G131:H133"/>
    <mergeCell ref="G135:H137"/>
    <mergeCell ref="G139:H145"/>
    <mergeCell ref="G147:H153"/>
    <mergeCell ref="G155:H161"/>
    <mergeCell ref="A162:H162"/>
    <mergeCell ref="A163:B163"/>
    <mergeCell ref="A164:B164"/>
    <mergeCell ref="A165:B165"/>
    <mergeCell ref="A166:B166"/>
    <mergeCell ref="B193:H193"/>
    <mergeCell ref="G180:H181"/>
    <mergeCell ref="B191:H191"/>
    <mergeCell ref="A157:B157"/>
    <mergeCell ref="A158:B158"/>
    <mergeCell ref="A178:B178"/>
    <mergeCell ref="G177:H178"/>
    <mergeCell ref="A94:E94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9:E110" xr:uid="{00000000-0002-0000-0000-000003000000}">
      <formula1>"Attached Loft area,Attached Terrace area,Attached Mezzanine area"</formula1>
    </dataValidation>
    <dataValidation type="list" allowBlank="1" showInputMessage="1" showErrorMessage="1" sqref="F129 F110" xr:uid="{00000000-0002-0000-0000-000004000000}">
      <formula1>"45%,50%,55%,60%"</formula1>
    </dataValidation>
    <dataValidation type="list" allowBlank="1" showInputMessage="1" showErrorMessage="1" sqref="G206:H206" xr:uid="{00000000-0002-0000-0000-000005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84:H84" xr:uid="{00000000-0002-0000-0000-000006000000}">
      <formula1>"On Saleable Area,On Builtup Area,On Carpet Area,On Plot Area"</formula1>
    </dataValidation>
    <dataValidation type="list" allowBlank="1" showInputMessage="1" showErrorMessage="1" sqref="F96:H96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9 F128" xr:uid="{00000000-0002-0000-0000-000008000000}">
      <formula1>"Saleable area Loading :,Builder Saleable area"</formula1>
    </dataValidation>
    <dataValidation type="list" allowBlank="1" showInputMessage="1" showErrorMessage="1" sqref="B109:B110" xr:uid="{00000000-0002-0000-0000-000009000000}">
      <formula1>"Shop No. (Sale Plan),Sale / Rehab,Sale / Mhada"</formula1>
    </dataValidation>
    <dataValidation type="list" allowBlank="1" showInputMessage="1" showErrorMessage="1" sqref="B128:B129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I66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184" max="7" man="1"/>
    <brk id="210" max="16383" man="1"/>
    <brk id="258" max="16383" man="1"/>
    <brk id="290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2" t="s">
        <v>107</v>
      </c>
      <c r="C3" s="212"/>
      <c r="D3" s="212"/>
      <c r="E3" s="212"/>
      <c r="F3" s="212"/>
      <c r="G3" s="212"/>
      <c r="H3" s="212"/>
    </row>
    <row r="4" spans="1:9" x14ac:dyDescent="0.3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1"/>
      <c r="C4" s="51" t="s">
        <v>12</v>
      </c>
      <c r="D4" s="52" t="s">
        <v>177</v>
      </c>
      <c r="E4" s="52" t="s">
        <v>187</v>
      </c>
      <c r="F4" s="52" t="s">
        <v>171</v>
      </c>
      <c r="G4" s="52" t="s">
        <v>192</v>
      </c>
      <c r="H4" s="52" t="s">
        <v>210</v>
      </c>
      <c r="J4" t="s">
        <v>192</v>
      </c>
      <c r="K4" t="s">
        <v>208</v>
      </c>
    </row>
    <row r="5" spans="2:11" x14ac:dyDescent="0.3">
      <c r="B5" s="51"/>
      <c r="C5" s="51"/>
      <c r="D5" s="52" t="s">
        <v>178</v>
      </c>
      <c r="E5" s="52" t="s">
        <v>185</v>
      </c>
      <c r="F5" s="52" t="s">
        <v>207</v>
      </c>
      <c r="G5" s="52" t="s">
        <v>193</v>
      </c>
      <c r="H5" s="52" t="s">
        <v>211</v>
      </c>
    </row>
    <row r="6" spans="2:11" x14ac:dyDescent="0.3">
      <c r="B6" s="51"/>
      <c r="C6" s="51"/>
      <c r="D6" s="52" t="s">
        <v>179</v>
      </c>
      <c r="E6" s="52" t="s">
        <v>186</v>
      </c>
      <c r="F6" s="52" t="s">
        <v>208</v>
      </c>
      <c r="G6" s="52" t="s">
        <v>194</v>
      </c>
      <c r="H6" s="52" t="s">
        <v>224</v>
      </c>
    </row>
    <row r="7" spans="2:11" x14ac:dyDescent="0.3">
      <c r="B7" s="51"/>
      <c r="C7" s="51"/>
      <c r="D7" s="52" t="s">
        <v>180</v>
      </c>
      <c r="E7" s="52" t="s">
        <v>188</v>
      </c>
      <c r="F7" s="52" t="s">
        <v>209</v>
      </c>
      <c r="G7" s="52" t="s">
        <v>195</v>
      </c>
      <c r="H7" s="52" t="s">
        <v>212</v>
      </c>
    </row>
    <row r="8" spans="2:11" x14ac:dyDescent="0.3">
      <c r="B8" s="51"/>
      <c r="C8" s="51"/>
      <c r="D8" s="52" t="s">
        <v>181</v>
      </c>
      <c r="E8" s="52" t="s">
        <v>189</v>
      </c>
      <c r="F8" s="52"/>
      <c r="G8" s="52" t="s">
        <v>196</v>
      </c>
      <c r="H8" s="52" t="s">
        <v>213</v>
      </c>
    </row>
    <row r="9" spans="2:11" x14ac:dyDescent="0.3">
      <c r="B9" s="51"/>
      <c r="C9" s="51"/>
      <c r="D9" s="52" t="s">
        <v>182</v>
      </c>
      <c r="E9" s="52" t="s">
        <v>187</v>
      </c>
      <c r="F9" s="52"/>
      <c r="G9" s="52" t="s">
        <v>197</v>
      </c>
      <c r="H9" s="52" t="s">
        <v>214</v>
      </c>
    </row>
    <row r="10" spans="2:11" x14ac:dyDescent="0.3">
      <c r="B10" s="51"/>
      <c r="C10" s="51"/>
      <c r="D10" s="52" t="s">
        <v>183</v>
      </c>
      <c r="E10" s="52" t="s">
        <v>190</v>
      </c>
      <c r="F10" s="52"/>
      <c r="G10" s="52" t="s">
        <v>198</v>
      </c>
      <c r="H10" s="52" t="s">
        <v>215</v>
      </c>
    </row>
    <row r="11" spans="2:11" x14ac:dyDescent="0.3">
      <c r="B11" s="51"/>
      <c r="C11" s="51"/>
      <c r="D11" s="52" t="s">
        <v>184</v>
      </c>
      <c r="E11" s="52" t="s">
        <v>191</v>
      </c>
      <c r="F11" s="52"/>
      <c r="G11" s="52" t="s">
        <v>199</v>
      </c>
      <c r="H11" s="52" t="s">
        <v>216</v>
      </c>
    </row>
    <row r="12" spans="2:11" x14ac:dyDescent="0.3">
      <c r="B12" s="51"/>
      <c r="C12" s="51"/>
      <c r="D12" s="52"/>
      <c r="E12" s="52"/>
      <c r="F12" s="52"/>
      <c r="G12" s="52" t="s">
        <v>200</v>
      </c>
      <c r="H12" s="52" t="s">
        <v>217</v>
      </c>
    </row>
    <row r="13" spans="2:11" x14ac:dyDescent="0.3">
      <c r="B13" s="51"/>
      <c r="C13" s="51"/>
      <c r="D13" s="52"/>
      <c r="E13" s="52"/>
      <c r="F13" s="52"/>
      <c r="G13" s="52" t="s">
        <v>201</v>
      </c>
      <c r="H13" s="52" t="s">
        <v>218</v>
      </c>
    </row>
    <row r="14" spans="2:11" x14ac:dyDescent="0.3">
      <c r="B14" s="51"/>
      <c r="C14" s="51"/>
      <c r="D14" s="52"/>
      <c r="E14" s="52"/>
      <c r="F14" s="52"/>
      <c r="G14" s="52" t="s">
        <v>202</v>
      </c>
      <c r="H14" s="52" t="s">
        <v>219</v>
      </c>
    </row>
    <row r="15" spans="2:11" x14ac:dyDescent="0.3">
      <c r="B15" s="51"/>
      <c r="C15" s="51"/>
      <c r="D15" s="52"/>
      <c r="E15" s="52"/>
      <c r="F15" s="52"/>
      <c r="G15" s="52" t="s">
        <v>203</v>
      </c>
      <c r="H15" s="52" t="s">
        <v>220</v>
      </c>
    </row>
    <row r="16" spans="2:11" x14ac:dyDescent="0.3">
      <c r="B16" s="51"/>
      <c r="C16" s="51"/>
      <c r="D16" s="52"/>
      <c r="E16" s="52"/>
      <c r="F16" s="52"/>
      <c r="G16" s="52" t="s">
        <v>204</v>
      </c>
      <c r="H16" s="52" t="s">
        <v>221</v>
      </c>
    </row>
    <row r="17" spans="2:8" x14ac:dyDescent="0.3">
      <c r="B17" s="51"/>
      <c r="C17" s="51"/>
      <c r="D17" s="52"/>
      <c r="E17" s="52"/>
      <c r="F17" s="52"/>
      <c r="G17" s="52" t="s">
        <v>205</v>
      </c>
      <c r="H17" s="52" t="s">
        <v>222</v>
      </c>
    </row>
    <row r="18" spans="2:8" x14ac:dyDescent="0.3">
      <c r="B18" s="51"/>
      <c r="C18" s="51"/>
      <c r="D18" s="52"/>
      <c r="E18" s="52"/>
      <c r="F18" s="52"/>
      <c r="G18" s="52" t="s">
        <v>206</v>
      </c>
      <c r="H18" s="52" t="s">
        <v>223</v>
      </c>
    </row>
    <row r="24" spans="2:8" x14ac:dyDescent="0.3">
      <c r="C24" t="s">
        <v>169</v>
      </c>
    </row>
    <row r="25" spans="2:8" x14ac:dyDescent="0.3">
      <c r="C25" t="s">
        <v>225</v>
      </c>
    </row>
    <row r="26" spans="2:8" x14ac:dyDescent="0.3">
      <c r="C26" t="s">
        <v>226</v>
      </c>
    </row>
    <row r="27" spans="2:8" x14ac:dyDescent="0.3">
      <c r="C27" t="s">
        <v>227</v>
      </c>
    </row>
    <row r="28" spans="2:8" x14ac:dyDescent="0.3">
      <c r="C28" t="s">
        <v>228</v>
      </c>
    </row>
    <row r="29" spans="2:8" x14ac:dyDescent="0.3">
      <c r="C29" t="s">
        <v>229</v>
      </c>
    </row>
    <row r="30" spans="2:8" x14ac:dyDescent="0.3">
      <c r="C30" t="s">
        <v>169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2025-08-19T08:12:52Z</cp:lastPrinted>
  <dcterms:created xsi:type="dcterms:W3CDTF">2019-07-16T09:29:46Z</dcterms:created>
  <dcterms:modified xsi:type="dcterms:W3CDTF">2025-08-19T08:16:29Z</dcterms:modified>
</cp:coreProperties>
</file>