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dump August Miraroad\"/>
    </mc:Choice>
  </mc:AlternateContent>
  <xr:revisionPtr revIDLastSave="0" documentId="13_ncr:1_{1C08D1D4-A038-4F78-A579-27BAF3A4298A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P228" i="1" l="1"/>
  <c r="A228" i="1" s="1"/>
  <c r="P227" i="1"/>
  <c r="A227" i="1" s="1"/>
  <c r="P226" i="1"/>
  <c r="A226" i="1" s="1"/>
  <c r="P225" i="1"/>
  <c r="A225" i="1" s="1"/>
  <c r="P224" i="1"/>
  <c r="A224" i="1" s="1"/>
  <c r="P223" i="1"/>
  <c r="A223" i="1" s="1"/>
  <c r="P222" i="1"/>
  <c r="A222" i="1" s="1"/>
  <c r="P221" i="1"/>
  <c r="A221" i="1" s="1"/>
  <c r="P218" i="1"/>
  <c r="A218" i="1" s="1"/>
  <c r="P217" i="1"/>
  <c r="A217" i="1" s="1"/>
  <c r="P216" i="1"/>
  <c r="A216" i="1" s="1"/>
  <c r="P215" i="1"/>
  <c r="A215" i="1" s="1"/>
  <c r="P214" i="1"/>
  <c r="A214" i="1" s="1"/>
  <c r="P213" i="1"/>
  <c r="A213" i="1" s="1"/>
  <c r="P210" i="1"/>
  <c r="A210" i="1" s="1"/>
  <c r="P209" i="1"/>
  <c r="A209" i="1" s="1"/>
  <c r="P208" i="1"/>
  <c r="A208" i="1" s="1"/>
  <c r="P207" i="1"/>
  <c r="A207" i="1" s="1"/>
  <c r="P206" i="1"/>
  <c r="A206" i="1" s="1"/>
  <c r="P205" i="1"/>
  <c r="A205" i="1" s="1"/>
  <c r="P193" i="1"/>
  <c r="A193" i="1" s="1"/>
  <c r="P194" i="1"/>
  <c r="A194" i="1" s="1"/>
  <c r="P195" i="1"/>
  <c r="A195" i="1" s="1"/>
  <c r="P196" i="1"/>
  <c r="A196" i="1" s="1"/>
  <c r="P197" i="1"/>
  <c r="A197" i="1" s="1"/>
  <c r="P198" i="1"/>
  <c r="A198" i="1" s="1"/>
  <c r="P199" i="1"/>
  <c r="A199" i="1" s="1"/>
  <c r="P200" i="1"/>
  <c r="A200" i="1" s="1"/>
  <c r="P201" i="1"/>
  <c r="A201" i="1" s="1"/>
  <c r="P192" i="1"/>
  <c r="A192" i="1" s="1"/>
  <c r="D185" i="1" l="1"/>
  <c r="F185" i="1" s="1"/>
  <c r="D184" i="1"/>
  <c r="F184" i="1" s="1"/>
  <c r="D183" i="1"/>
  <c r="F183" i="1" s="1"/>
  <c r="D182" i="1"/>
  <c r="F182" i="1" s="1"/>
  <c r="D181" i="1"/>
  <c r="F181" i="1" s="1"/>
  <c r="D180" i="1"/>
  <c r="F180" i="1" s="1"/>
  <c r="D179" i="1"/>
  <c r="F179" i="1" s="1"/>
  <c r="D178" i="1"/>
  <c r="F178" i="1" s="1"/>
  <c r="D177" i="1"/>
  <c r="F177" i="1" s="1"/>
  <c r="D176" i="1"/>
  <c r="D228" i="1"/>
  <c r="F228" i="1" s="1"/>
  <c r="D227" i="1"/>
  <c r="F227" i="1" s="1"/>
  <c r="D226" i="1"/>
  <c r="F226" i="1" s="1"/>
  <c r="D225" i="1"/>
  <c r="F225" i="1" s="1"/>
  <c r="D224" i="1"/>
  <c r="F224" i="1" s="1"/>
  <c r="D223" i="1"/>
  <c r="F223" i="1" s="1"/>
  <c r="D222" i="1"/>
  <c r="F222" i="1" s="1"/>
  <c r="D221" i="1"/>
  <c r="G221" i="1"/>
  <c r="G222" i="1" s="1"/>
  <c r="G223" i="1" s="1"/>
  <c r="G224" i="1" s="1"/>
  <c r="G225" i="1" s="1"/>
  <c r="G226" i="1" s="1"/>
  <c r="G227" i="1" s="1"/>
  <c r="G228" i="1" s="1"/>
  <c r="I178" i="1"/>
  <c r="G176" i="1"/>
  <c r="G177" i="1" s="1"/>
  <c r="G178" i="1" s="1"/>
  <c r="G179" i="1" s="1"/>
  <c r="G180" i="1" s="1"/>
  <c r="G181" i="1" s="1"/>
  <c r="G182" i="1" s="1"/>
  <c r="G183" i="1" s="1"/>
  <c r="G184" i="1" s="1"/>
  <c r="G185" i="1" s="1"/>
  <c r="D218" i="1"/>
  <c r="F218" i="1" s="1"/>
  <c r="D217" i="1"/>
  <c r="F217" i="1" s="1"/>
  <c r="D216" i="1"/>
  <c r="F216" i="1" s="1"/>
  <c r="I216" i="1" s="1"/>
  <c r="D215" i="1"/>
  <c r="F215" i="1" s="1"/>
  <c r="I215" i="1" s="1"/>
  <c r="D214" i="1"/>
  <c r="F214" i="1" s="1"/>
  <c r="I214" i="1" s="1"/>
  <c r="D213" i="1"/>
  <c r="D210" i="1"/>
  <c r="F210" i="1" s="1"/>
  <c r="D209" i="1"/>
  <c r="F209" i="1" s="1"/>
  <c r="I209" i="1" s="1"/>
  <c r="D208" i="1"/>
  <c r="F208" i="1" s="1"/>
  <c r="D207" i="1"/>
  <c r="F207" i="1" s="1"/>
  <c r="D206" i="1"/>
  <c r="F206" i="1" s="1"/>
  <c r="I206" i="1" s="1"/>
  <c r="D205" i="1"/>
  <c r="I213" i="1"/>
  <c r="G213" i="1"/>
  <c r="G214" i="1" s="1"/>
  <c r="G215" i="1" s="1"/>
  <c r="G216" i="1" s="1"/>
  <c r="G217" i="1" s="1"/>
  <c r="G218" i="1" s="1"/>
  <c r="I205" i="1"/>
  <c r="G205" i="1"/>
  <c r="D201" i="1"/>
  <c r="F201" i="1" s="1"/>
  <c r="I201" i="1" s="1"/>
  <c r="D200" i="1"/>
  <c r="F200" i="1" s="1"/>
  <c r="D199" i="1"/>
  <c r="F199" i="1" s="1"/>
  <c r="I199" i="1" s="1"/>
  <c r="D198" i="1"/>
  <c r="F198" i="1" s="1"/>
  <c r="D197" i="1"/>
  <c r="F197" i="1" s="1"/>
  <c r="I197" i="1" s="1"/>
  <c r="D196" i="1"/>
  <c r="F196" i="1" s="1"/>
  <c r="J196" i="1" s="1"/>
  <c r="D195" i="1"/>
  <c r="D194" i="1"/>
  <c r="D193" i="1"/>
  <c r="D192" i="1"/>
  <c r="D173" i="1"/>
  <c r="F173" i="1" s="1"/>
  <c r="D172" i="1"/>
  <c r="F172" i="1" s="1"/>
  <c r="D171" i="1"/>
  <c r="F171" i="1" s="1"/>
  <c r="D170" i="1"/>
  <c r="F170" i="1" s="1"/>
  <c r="D169" i="1"/>
  <c r="F169" i="1" s="1"/>
  <c r="D168" i="1"/>
  <c r="F168" i="1" s="1"/>
  <c r="D167" i="1"/>
  <c r="F167" i="1" s="1"/>
  <c r="D166" i="1"/>
  <c r="F166" i="1" s="1"/>
  <c r="D165" i="1"/>
  <c r="F165" i="1" s="1"/>
  <c r="D164" i="1"/>
  <c r="F164" i="1" s="1"/>
  <c r="D163" i="1"/>
  <c r="F163" i="1" s="1"/>
  <c r="D162" i="1"/>
  <c r="D158" i="1"/>
  <c r="F158" i="1" s="1"/>
  <c r="D157" i="1"/>
  <c r="F157" i="1" s="1"/>
  <c r="D156" i="1"/>
  <c r="F156" i="1" s="1"/>
  <c r="D155" i="1"/>
  <c r="F155" i="1" s="1"/>
  <c r="D154" i="1"/>
  <c r="F154" i="1" s="1"/>
  <c r="D153" i="1"/>
  <c r="F153" i="1" s="1"/>
  <c r="D152" i="1"/>
  <c r="F152" i="1" s="1"/>
  <c r="D151" i="1"/>
  <c r="F151" i="1" s="1"/>
  <c r="D150" i="1"/>
  <c r="F150" i="1" s="1"/>
  <c r="D149" i="1"/>
  <c r="F149" i="1" s="1"/>
  <c r="D148" i="1"/>
  <c r="D147" i="1"/>
  <c r="D146" i="1"/>
  <c r="D145" i="1"/>
  <c r="I168" i="1"/>
  <c r="I166" i="1"/>
  <c r="I162" i="1"/>
  <c r="G162" i="1"/>
  <c r="I196" i="1"/>
  <c r="I192" i="1"/>
  <c r="I145" i="1"/>
  <c r="C128" i="1" l="1"/>
  <c r="E128" i="1"/>
  <c r="C133" i="1"/>
  <c r="E133" i="1"/>
  <c r="F205" i="1"/>
  <c r="G134" i="1" s="1"/>
  <c r="E134" i="1"/>
  <c r="C134" i="1"/>
  <c r="F221" i="1"/>
  <c r="G136" i="1" s="1"/>
  <c r="E136" i="1"/>
  <c r="C136" i="1"/>
  <c r="F176" i="1"/>
  <c r="G129" i="1" s="1"/>
  <c r="E129" i="1"/>
  <c r="C129" i="1"/>
  <c r="F213" i="1"/>
  <c r="J213" i="1" s="1"/>
  <c r="C135" i="1"/>
  <c r="E135" i="1"/>
  <c r="E127" i="1"/>
  <c r="C127" i="1"/>
  <c r="C130" i="1" s="1"/>
  <c r="F162" i="1"/>
  <c r="G128" i="1" s="1"/>
  <c r="C14" i="1"/>
  <c r="E130" i="1" l="1"/>
  <c r="G135" i="1"/>
  <c r="C137" i="1"/>
  <c r="E137" i="1"/>
  <c r="E29" i="1"/>
  <c r="M131" i="1" l="1"/>
  <c r="F193" i="1"/>
  <c r="F194" i="1"/>
  <c r="F195" i="1"/>
  <c r="F192" i="1"/>
  <c r="J192" i="1" s="1"/>
  <c r="G192" i="1"/>
  <c r="G133" i="1" l="1"/>
  <c r="G137" i="1" s="1"/>
  <c r="F124" i="1"/>
  <c r="F146" i="1" l="1"/>
  <c r="F147" i="1"/>
  <c r="F148" i="1"/>
  <c r="F145" i="1"/>
  <c r="G127" i="1" l="1"/>
  <c r="G130" i="1" s="1"/>
  <c r="M130" i="1" s="1"/>
  <c r="B231" i="1"/>
  <c r="B232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57" i="1"/>
  <c r="A148" i="1"/>
  <c r="A149" i="1" s="1"/>
  <c r="A150" i="1" s="1"/>
  <c r="A151" i="1" s="1"/>
  <c r="A152" i="1" s="1"/>
  <c r="A153" i="1" s="1"/>
  <c r="G145" i="1"/>
  <c r="J108" i="1"/>
  <c r="J107" i="1"/>
  <c r="J106" i="1"/>
  <c r="J105" i="1"/>
  <c r="C97" i="1"/>
  <c r="J94" i="1"/>
  <c r="J93" i="1"/>
  <c r="J92" i="1"/>
  <c r="J91" i="1"/>
  <c r="C83" i="1"/>
  <c r="J80" i="1"/>
  <c r="J79" i="1"/>
  <c r="J78" i="1"/>
  <c r="J77" i="1"/>
  <c r="C69" i="1"/>
  <c r="D56" i="1"/>
  <c r="G49" i="1"/>
  <c r="G50" i="1" s="1"/>
  <c r="C49" i="1"/>
  <c r="C50" i="1" s="1"/>
  <c r="E42" i="1"/>
  <c r="E43" i="1" s="1"/>
  <c r="E26" i="1"/>
  <c r="E24" i="1"/>
  <c r="E7" i="1"/>
  <c r="H84" i="1"/>
  <c r="H70" i="1"/>
  <c r="H98" i="1"/>
  <c r="D63" i="1" l="1"/>
  <c r="D94" i="1"/>
  <c r="D95" i="1"/>
  <c r="D96" i="1"/>
  <c r="D90" i="1"/>
  <c r="D91" i="1"/>
  <c r="D92" i="1"/>
  <c r="D93" i="1"/>
  <c r="J83" i="1"/>
  <c r="J85" i="1" s="1"/>
  <c r="D82" i="1"/>
  <c r="D80" i="1"/>
  <c r="D79" i="1"/>
  <c r="D78" i="1"/>
  <c r="D76" i="1"/>
  <c r="J69" i="1"/>
  <c r="D81" i="1"/>
  <c r="D77" i="1"/>
  <c r="J73" i="1"/>
  <c r="J74" i="1"/>
  <c r="J72" i="1"/>
  <c r="J75" i="1"/>
  <c r="J76" i="1" s="1"/>
  <c r="J81" i="1" s="1"/>
  <c r="J82" i="1" s="1"/>
  <c r="J97" i="1"/>
  <c r="J99" i="1" s="1"/>
  <c r="J101" i="1"/>
  <c r="D110" i="1"/>
  <c r="D108" i="1"/>
  <c r="D106" i="1"/>
  <c r="D104" i="1"/>
  <c r="J102" i="1"/>
  <c r="J100" i="1"/>
  <c r="J103" i="1"/>
  <c r="J104" i="1" s="1"/>
  <c r="J109" i="1" s="1"/>
  <c r="J110" i="1" s="1"/>
  <c r="D109" i="1"/>
  <c r="D107" i="1"/>
  <c r="D105" i="1"/>
  <c r="J89" i="1"/>
  <c r="J90" i="1" s="1"/>
  <c r="J95" i="1" s="1"/>
  <c r="J96" i="1" s="1"/>
  <c r="C88" i="1" s="1"/>
  <c r="J87" i="1"/>
  <c r="J88" i="1"/>
  <c r="C87" i="1" s="1"/>
  <c r="J86" i="1"/>
  <c r="D103" i="1" l="1"/>
  <c r="D101" i="1"/>
  <c r="D89" i="1"/>
  <c r="D75" i="1"/>
  <c r="J71" i="1"/>
  <c r="E73" i="1"/>
  <c r="D74" i="1"/>
  <c r="G73" i="1"/>
  <c r="D73" i="1"/>
  <c r="E87" i="1"/>
  <c r="D88" i="1"/>
  <c r="G87" i="1"/>
  <c r="D67" i="1" s="1"/>
  <c r="D87" i="1"/>
  <c r="J84" i="1" s="1"/>
  <c r="E101" i="1"/>
  <c r="D102" i="1"/>
  <c r="G101" i="1"/>
  <c r="D68" i="1" l="1"/>
  <c r="I70" i="1"/>
  <c r="J70" i="1"/>
  <c r="I98" i="1"/>
  <c r="J98" i="1"/>
  <c r="I84" i="1"/>
  <c r="F68" i="1"/>
  <c r="I71" i="1" l="1"/>
  <c r="I69" i="1" s="1"/>
  <c r="C71" i="1" s="1"/>
  <c r="I99" i="1"/>
  <c r="I97" i="1" s="1"/>
  <c r="C99" i="1" s="1"/>
  <c r="I85" i="1"/>
  <c r="I83" i="1" s="1"/>
  <c r="C85" i="1" s="1"/>
</calcChain>
</file>

<file path=xl/sharedStrings.xml><?xml version="1.0" encoding="utf-8"?>
<sst xmlns="http://schemas.openxmlformats.org/spreadsheetml/2006/main" count="445" uniqueCount="244">
  <si>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</si>
  <si>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</si>
  <si>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</si>
  <si>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</si>
  <si>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</si>
  <si>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</si>
  <si>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</si>
  <si>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</si>
  <si>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</si>
  <si>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</si>
  <si>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</si>
  <si>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</si>
  <si>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</si>
  <si>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</si>
  <si>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</si>
  <si>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</si>
  <si>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</si>
  <si>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</si>
  <si>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</si>
  <si>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</si>
  <si>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</si>
  <si>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</si>
  <si>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</si>
  <si>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</si>
  <si>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</si>
  <si>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</si>
  <si>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</si>
  <si>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</si>
  <si>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</si>
  <si>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</si>
  <si>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</si>
  <si>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</si>
  <si>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</si>
  <si>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</si>
  <si>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</si>
  <si>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</si>
  <si>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</si>
  <si>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</si>
  <si>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</si>
  <si>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</si>
  <si>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</si>
  <si>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</si>
  <si>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</si>
  <si>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</si>
  <si>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</si>
  <si>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</si>
  <si>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</si>
  <si>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</si>
  <si>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</si>
  <si>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</si>
  <si>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</si>
  <si>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</si>
  <si>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</si>
  <si>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</si>
  <si>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</si>
  <si>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</si>
  <si>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</si>
  <si>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</si>
  <si>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</si>
  <si>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</si>
  <si>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</si>
  <si>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</si>
  <si>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</si>
  <si>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</si>
  <si>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</si>
  <si>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</si>
  <si>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</si>
  <si>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</si>
  <si>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</si>
  <si>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</si>
  <si>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</si>
  <si>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</si>
  <si>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</si>
  <si>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</si>
  <si>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</si>
  <si>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</si>
  <si>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</si>
  <si>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</si>
  <si>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</si>
  <si>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</si>
  <si>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</si>
  <si>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</si>
  <si>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</si>
  <si>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</si>
  <si>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</si>
  <si>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</si>
  <si>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</si>
  <si>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</si>
  <si>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</si>
  <si>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</si>
  <si>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</si>
  <si>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</si>
  <si>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</si>
  <si>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</si>
  <si>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</si>
  <si>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</si>
  <si>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</si>
  <si>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</si>
  <si>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</si>
  <si>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</si>
  <si>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</si>
  <si>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</si>
  <si>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</si>
  <si>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</si>
  <si>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</si>
  <si>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</si>
  <si>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</si>
  <si>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</si>
  <si>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</si>
  <si>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</si>
  <si>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</si>
  <si>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</si>
  <si>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</si>
  <si>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</si>
  <si>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</si>
  <si>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</si>
  <si>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</si>
  <si>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</si>
  <si>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</si>
  <si>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</si>
  <si>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</si>
  <si>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</si>
  <si>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</si>
  <si>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</si>
  <si>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</si>
  <si>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</si>
  <si>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</si>
  <si>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</si>
  <si>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</si>
  <si>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</si>
  <si>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</si>
  <si>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</si>
  <si>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</si>
  <si>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</si>
  <si>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</si>
  <si>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</si>
  <si>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</si>
  <si>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</si>
  <si>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</si>
  <si>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</si>
  <si>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</si>
  <si>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</si>
  <si>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</si>
  <si>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</si>
  <si>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</si>
  <si>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</si>
  <si>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</si>
  <si>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</si>
  <si>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</si>
  <si>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</si>
  <si>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</si>
  <si>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</si>
  <si>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</si>
  <si>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</si>
  <si>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</si>
  <si>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</si>
  <si>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</si>
  <si>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</si>
  <si>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</si>
  <si>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</si>
  <si>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</si>
  <si>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</si>
  <si>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</si>
  <si>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</si>
  <si>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</si>
  <si>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</si>
  <si>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</si>
  <si>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</si>
  <si>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</si>
  <si>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</si>
  <si>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</si>
  <si>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</si>
  <si>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</si>
  <si>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Axis Badlapur</t>
  </si>
  <si>
    <t>Thane</t>
  </si>
  <si>
    <t>Bhiwandi</t>
  </si>
  <si>
    <t>Pimplas Road</t>
  </si>
  <si>
    <t>SROT/BSNA/2501/BP/Pimpalas-05/668/2018</t>
  </si>
  <si>
    <t>Approved Plans, CC, Sale Plans, Cost Sheet</t>
  </si>
  <si>
    <t>https://goo.gl/maps/U81D51QKUnUB8Nyc9</t>
  </si>
  <si>
    <t>Survey No</t>
  </si>
  <si>
    <t>Pimpalas</t>
  </si>
  <si>
    <t>Aashirwad Palace</t>
  </si>
  <si>
    <t>4.2 KM from Bhiwandi Railway Station</t>
  </si>
  <si>
    <t xml:space="preserve">Commencement-CC No   
Valid Up to: </t>
  </si>
  <si>
    <t>Open Plot</t>
  </si>
  <si>
    <t>1A</t>
  </si>
  <si>
    <t>1B</t>
  </si>
  <si>
    <t>9A</t>
  </si>
  <si>
    <t>9B</t>
  </si>
  <si>
    <t>11A</t>
  </si>
  <si>
    <t>11B</t>
  </si>
  <si>
    <t>Shop</t>
  </si>
  <si>
    <t>Ground Floor For Commercial &amp; Parking</t>
  </si>
  <si>
    <t>1st to 7th Floor For Residential</t>
  </si>
  <si>
    <t>1BHK</t>
  </si>
  <si>
    <t>1RK</t>
  </si>
  <si>
    <t>D Wing</t>
  </si>
  <si>
    <t>1st &amp; 2nd Floor For Residential</t>
  </si>
  <si>
    <t>We considered Gross carpet area = Net carpet + Enclose balcony.</t>
  </si>
  <si>
    <t>D Wing = G + 1st to 2nd Floor</t>
  </si>
  <si>
    <t>Flats -170, Shops -36</t>
  </si>
  <si>
    <t>Commercial Building Dimensions are not mension in the approved floor plan, so commercial building areas are not drafted.</t>
  </si>
  <si>
    <t>Society Formation Charges &amp; Other Legal Charges</t>
  </si>
  <si>
    <t>Advance Maintenance Charges (For 24 months)</t>
  </si>
  <si>
    <t>Anantam Phase I &amp; II</t>
  </si>
  <si>
    <t>Oyster Living LLP</t>
  </si>
  <si>
    <t>Saud Shaikh - 8291040036 / 9819666272</t>
  </si>
  <si>
    <t>12, H. No. 41, S. No.13, H. No. 2 &amp; S. No. 18, H. No. 2 (Old S. No. 246, H. No. 41, Old S. No.245, H. No. 12, S. No. 247, H. No. 2)</t>
  </si>
  <si>
    <t xml:space="preserve">Bhiwandi </t>
  </si>
  <si>
    <t>Mumbai Metropolitan Region Development Authority (MMRDA)</t>
  </si>
  <si>
    <t>Layout Plan :</t>
  </si>
  <si>
    <t>rate sheet</t>
  </si>
  <si>
    <t>shop</t>
  </si>
  <si>
    <t>flat</t>
  </si>
  <si>
    <t>builder</t>
  </si>
  <si>
    <t>market</t>
  </si>
  <si>
    <t>Phase I (Wing B &amp; C) : P51700017123
Phase II (Wing A) : P51700017195</t>
  </si>
  <si>
    <t>3 Building</t>
  </si>
  <si>
    <t>Wing A to C = Up to Plinth Level Only</t>
  </si>
  <si>
    <t>Wing A</t>
  </si>
  <si>
    <t>Wing B &amp; C</t>
  </si>
  <si>
    <t>Wing B</t>
  </si>
  <si>
    <t>Wing C</t>
  </si>
  <si>
    <t>The provided approved floor plans and sale plans are mismatched.</t>
  </si>
  <si>
    <t>In the approved layout plan, Wing A to D and the commercial building are mentioned. In RERA, Wing A to C are mentioned. So, Wings A to C are drafted for APF.</t>
  </si>
  <si>
    <t>Mangesh Laxman Bapardekar</t>
  </si>
  <si>
    <t xml:space="preserve">Office No. 1031, Wing J, Akshar Business Park, Plot No. 03 Sector 25, Near APMC Market, Vashi, 
Navi Mumbai, Maharashtra 400703 TEL: 022-46090378/79/8
E mail : vsjcapf@gmail.com. Web site : www.vsjadon.com
</t>
  </si>
  <si>
    <t xml:space="preserve">Wing B &amp; C  = Gr(Pt)/St(Pt) + 1st to 7th Floor </t>
  </si>
  <si>
    <t>SROT/BSNA/2501/BP/Revised CC/Pimpalas-05/552/2023</t>
  </si>
  <si>
    <t xml:space="preserve">As per RERA - 
Phase I (Wing B &amp; C) = 31/08/2024
Phase II (Wing A)  = 30/06/2023
</t>
  </si>
  <si>
    <t>Phase I (Wing B &amp; C) = G + 1st to 7th Floor
Phase II (Wing A) = G + 1st to 7th Floor
D Wing = G + 1st to 2nd Floor</t>
  </si>
  <si>
    <t>Phase I (Wing B &amp; C) = G + 1st to 7th Floor</t>
  </si>
  <si>
    <t>Phase II (Wing A) = G + 1st to 7th Floor</t>
  </si>
  <si>
    <t>Phase II</t>
  </si>
  <si>
    <t>Phase I</t>
  </si>
  <si>
    <t xml:space="preserve">Phase I </t>
  </si>
  <si>
    <t>We have updated revised approved CC of Phase I (Wing B &amp; C) on 14/02/2024.</t>
  </si>
  <si>
    <t>A to C Wing &amp; Commercial Building</t>
  </si>
  <si>
    <t>Since Wing A have received CC on 23/04/2018, but as of construction work is not started.</t>
  </si>
  <si>
    <t>As per RERA, the completion period of project Phase I (Wing B &amp; C) &amp; Anantam Phase II (Wing A) has expired on 31/08/2024 &amp; 30/06/2023 but but still project is under construction.</t>
  </si>
  <si>
    <t>Mr. Saud Shaikh 8291040036 
Mr. Rajiv  9819666272</t>
  </si>
  <si>
    <t>Pranita Mhatre</t>
  </si>
  <si>
    <t>Wing A = Work not yet started.
Wing B &amp; C = Construction Stage has incresed as compare to last visited date 09/05/2025 but at the time of visit no labour or no active work found on site.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</si>
</sst>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0.0"/>
    <numFmt numFmtId="166" formatCode="_(* #,##0.00_);_(* \(#,##0.00\);_(* &quot;-&quot;??_);_(@_)"/>
    <numFmt numFmtId="167" formatCode="_(* #,##0_);_(* \(#,##0\);_(* &quot;-&quot;??_);_(@_)"/>
    <numFmt numFmtId="168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6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203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7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8" fillId="0" borderId="0" xfId="0" applyFont="1" applyProtection="1">
      <protection hidden="1"/>
    </xf>
    <xf numFmtId="0" fontId="15" fillId="0" borderId="1" xfId="1" applyFont="1" applyBorder="1" applyAlignment="1" applyProtection="1">
      <alignment horizontal="center" vertical="top"/>
      <protection locked="0"/>
    </xf>
    <xf numFmtId="0" fontId="18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9" xfId="1" applyFont="1" applyBorder="1"/>
    <xf numFmtId="0" fontId="18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0" fontId="25" fillId="2" borderId="29" xfId="0" applyFont="1" applyFill="1" applyBorder="1"/>
    <xf numFmtId="0" fontId="26" fillId="0" borderId="30" xfId="0" applyFont="1" applyBorder="1"/>
    <xf numFmtId="0" fontId="26" fillId="0" borderId="1" xfId="0" applyFont="1" applyBorder="1"/>
    <xf numFmtId="0" fontId="26" fillId="0" borderId="4" xfId="0" applyFont="1" applyBorder="1"/>
    <xf numFmtId="1" fontId="7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" fontId="7" fillId="0" borderId="0" xfId="0" applyNumberFormat="1" applyFont="1" applyAlignment="1">
      <alignment horizontal="center" vertical="center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0" fontId="25" fillId="2" borderId="14" xfId="0" applyFont="1" applyFill="1" applyBorder="1"/>
    <xf numFmtId="0" fontId="26" fillId="0" borderId="8" xfId="0" applyFont="1" applyBorder="1"/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32" xfId="1" applyFont="1" applyBorder="1" applyAlignment="1" applyProtection="1">
      <alignment horizontal="left" vertical="top" wrapText="1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13" fillId="0" borderId="31" xfId="1" applyFont="1" applyBorder="1" applyAlignment="1" applyProtection="1">
      <alignment horizontal="left" vertical="top" wrapText="1"/>
      <protection locked="0"/>
    </xf>
    <xf numFmtId="0" fontId="13" fillId="0" borderId="33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8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31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15" fillId="0" borderId="19" xfId="1" applyFont="1" applyBorder="1" applyAlignment="1" applyProtection="1">
      <alignment horizontal="left" vertical="top"/>
      <protection locked="0"/>
    </xf>
    <xf numFmtId="0" fontId="15" fillId="0" borderId="15" xfId="1" applyFont="1" applyBorder="1" applyAlignment="1" applyProtection="1">
      <alignment horizontal="left" vertical="top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17" fillId="0" borderId="1" xfId="0" applyNumberFormat="1" applyFont="1" applyBorder="1" applyAlignment="1" applyProtection="1">
      <alignment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9" fontId="12" fillId="0" borderId="1" xfId="8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17" fillId="0" borderId="12" xfId="1" applyFont="1" applyBorder="1" applyAlignment="1" applyProtection="1">
      <alignment horizontal="left" vertical="top" wrapText="1"/>
      <protection locked="0"/>
    </xf>
    <xf numFmtId="0" fontId="17" fillId="0" borderId="13" xfId="1" applyFont="1" applyBorder="1" applyAlignment="1" applyProtection="1">
      <alignment horizontal="left" vertical="top" wrapText="1"/>
      <protection locked="0"/>
    </xf>
    <xf numFmtId="0" fontId="17" fillId="0" borderId="22" xfId="1" applyFont="1" applyBorder="1" applyAlignment="1" applyProtection="1">
      <alignment horizontal="left" vertical="top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  <xf numFmtId="0" fontId="10" fillId="0" borderId="0" xfId="1" applyFont="1"/>
    <xf numFmtId="0" fontId="7" fillId="0" borderId="2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colors>
    <mruColors>
      <color rgb="FFA10DE3"/>
      <color rgb="FFFF0066"/>
      <color rgb="FF383D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852207</xdr:colOff>
      <xdr:row>263</xdr:row>
      <xdr:rowOff>67236</xdr:rowOff>
    </xdr:from>
    <xdr:to>
      <xdr:col>10</xdr:col>
      <xdr:colOff>429185</xdr:colOff>
      <xdr:row>268</xdr:row>
      <xdr:rowOff>29135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867089" y="45955324"/>
          <a:ext cx="1638861" cy="9704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400" b="1">
              <a:ln>
                <a:noFill/>
              </a:ln>
              <a:solidFill>
                <a:srgbClr val="FFFF00"/>
              </a:solidFill>
            </a:rPr>
            <a:t>Wing B &amp; C</a:t>
          </a:r>
        </a:p>
      </xdr:txBody>
    </xdr:sp>
    <xdr:clientData/>
  </xdr:twoCellAnchor>
  <xdr:twoCellAnchor editAs="oneCell">
    <xdr:from>
      <xdr:col>0</xdr:col>
      <xdr:colOff>714375</xdr:colOff>
      <xdr:row>335</xdr:row>
      <xdr:rowOff>28575</xdr:rowOff>
    </xdr:from>
    <xdr:to>
      <xdr:col>7</xdr:col>
      <xdr:colOff>105208</xdr:colOff>
      <xdr:row>353</xdr:row>
      <xdr:rowOff>28991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14375" y="70408800"/>
          <a:ext cx="5505883" cy="360086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723199</xdr:colOff>
      <xdr:row>354</xdr:row>
      <xdr:rowOff>58229</xdr:rowOff>
    </xdr:from>
    <xdr:to>
      <xdr:col>7</xdr:col>
      <xdr:colOff>105208</xdr:colOff>
      <xdr:row>372</xdr:row>
      <xdr:rowOff>57779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3199" y="74238929"/>
          <a:ext cx="5497059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190500</xdr:colOff>
      <xdr:row>303</xdr:row>
      <xdr:rowOff>19050</xdr:rowOff>
    </xdr:from>
    <xdr:to>
      <xdr:col>6</xdr:col>
      <xdr:colOff>669943</xdr:colOff>
      <xdr:row>324</xdr:row>
      <xdr:rowOff>138524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9650" y="60950475"/>
          <a:ext cx="4937143" cy="43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266700</xdr:colOff>
      <xdr:row>309</xdr:row>
      <xdr:rowOff>142875</xdr:rowOff>
    </xdr:from>
    <xdr:to>
      <xdr:col>4</xdr:col>
      <xdr:colOff>266700</xdr:colOff>
      <xdr:row>312</xdr:row>
      <xdr:rowOff>85725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857500" y="62274450"/>
          <a:ext cx="1009650" cy="5429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ln>
              <a:noFill/>
            </a:ln>
            <a:noFill/>
          </a:endParaRPr>
        </a:p>
      </xdr:txBody>
    </xdr:sp>
    <xdr:clientData/>
  </xdr:twoCellAnchor>
  <xdr:twoCellAnchor>
    <xdr:from>
      <xdr:col>1</xdr:col>
      <xdr:colOff>762000</xdr:colOff>
      <xdr:row>309</xdr:row>
      <xdr:rowOff>9525</xdr:rowOff>
    </xdr:from>
    <xdr:to>
      <xdr:col>3</xdr:col>
      <xdr:colOff>190500</xdr:colOff>
      <xdr:row>312</xdr:row>
      <xdr:rowOff>38100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581150" y="62141100"/>
          <a:ext cx="1200150" cy="628650"/>
        </a:xfrm>
        <a:prstGeom prst="rect">
          <a:avLst/>
        </a:prstGeom>
        <a:noFill/>
        <a:ln>
          <a:solidFill>
            <a:srgbClr val="A10DE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ln>
              <a:noFill/>
            </a:ln>
            <a:noFill/>
          </a:endParaRPr>
        </a:p>
      </xdr:txBody>
    </xdr:sp>
    <xdr:clientData/>
  </xdr:twoCellAnchor>
  <xdr:twoCellAnchor>
    <xdr:from>
      <xdr:col>3</xdr:col>
      <xdr:colOff>609599</xdr:colOff>
      <xdr:row>315</xdr:row>
      <xdr:rowOff>28575</xdr:rowOff>
    </xdr:from>
    <xdr:to>
      <xdr:col>4</xdr:col>
      <xdr:colOff>314324</xdr:colOff>
      <xdr:row>321</xdr:row>
      <xdr:rowOff>38100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3200399" y="63360300"/>
          <a:ext cx="714375" cy="1209675"/>
        </a:xfrm>
        <a:prstGeom prst="rect">
          <a:avLst/>
        </a:prstGeom>
        <a:noFill/>
        <a:ln>
          <a:solidFill>
            <a:srgbClr val="383DF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ln>
              <a:noFill/>
            </a:ln>
            <a:noFill/>
          </a:endParaRPr>
        </a:p>
      </xdr:txBody>
    </xdr:sp>
    <xdr:clientData/>
  </xdr:twoCellAnchor>
  <xdr:twoCellAnchor>
    <xdr:from>
      <xdr:col>5</xdr:col>
      <xdr:colOff>95250</xdr:colOff>
      <xdr:row>318</xdr:row>
      <xdr:rowOff>152400</xdr:rowOff>
    </xdr:from>
    <xdr:to>
      <xdr:col>6</xdr:col>
      <xdr:colOff>266700</xdr:colOff>
      <xdr:row>321</xdr:row>
      <xdr:rowOff>95250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533900" y="64084200"/>
          <a:ext cx="1009650" cy="542925"/>
        </a:xfrm>
        <a:prstGeom prst="rect">
          <a:avLst/>
        </a:prstGeom>
        <a:noFill/>
        <a:ln>
          <a:solidFill>
            <a:srgbClr val="FF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ln>
              <a:noFill/>
            </a:ln>
            <a:noFill/>
          </a:endParaRPr>
        </a:p>
      </xdr:txBody>
    </xdr:sp>
    <xdr:clientData/>
  </xdr:twoCellAnchor>
  <xdr:twoCellAnchor>
    <xdr:from>
      <xdr:col>1</xdr:col>
      <xdr:colOff>323850</xdr:colOff>
      <xdr:row>316</xdr:row>
      <xdr:rowOff>190499</xdr:rowOff>
    </xdr:from>
    <xdr:to>
      <xdr:col>4</xdr:col>
      <xdr:colOff>0</xdr:colOff>
      <xdr:row>319</xdr:row>
      <xdr:rowOff>28575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143000" y="64369949"/>
          <a:ext cx="2457450" cy="4381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400" b="1">
              <a:ln>
                <a:noFill/>
              </a:ln>
              <a:solidFill>
                <a:srgbClr val="FF0066"/>
              </a:solidFill>
            </a:rPr>
            <a:t>B &amp; C Wing</a:t>
          </a:r>
        </a:p>
      </xdr:txBody>
    </xdr:sp>
    <xdr:clientData/>
  </xdr:twoCellAnchor>
  <xdr:twoCellAnchor>
    <xdr:from>
      <xdr:col>3</xdr:col>
      <xdr:colOff>152400</xdr:colOff>
      <xdr:row>318</xdr:row>
      <xdr:rowOff>66676</xdr:rowOff>
    </xdr:from>
    <xdr:to>
      <xdr:col>3</xdr:col>
      <xdr:colOff>733425</xdr:colOff>
      <xdr:row>318</xdr:row>
      <xdr:rowOff>95250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2743200" y="63998476"/>
          <a:ext cx="581025" cy="28574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1004888</xdr:colOff>
      <xdr:row>322</xdr:row>
      <xdr:rowOff>52387</xdr:rowOff>
    </xdr:from>
    <xdr:to>
      <xdr:col>5</xdr:col>
      <xdr:colOff>785813</xdr:colOff>
      <xdr:row>324</xdr:row>
      <xdr:rowOff>90488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3595688" y="64784287"/>
          <a:ext cx="1628775" cy="4381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400" b="1">
              <a:ln>
                <a:noFill/>
              </a:ln>
              <a:solidFill>
                <a:srgbClr val="A10DE3"/>
              </a:solidFill>
            </a:rPr>
            <a:t>A Wing</a:t>
          </a:r>
        </a:p>
      </xdr:txBody>
    </xdr:sp>
    <xdr:clientData/>
  </xdr:twoCellAnchor>
  <xdr:twoCellAnchor>
    <xdr:from>
      <xdr:col>5</xdr:col>
      <xdr:colOff>66675</xdr:colOff>
      <xdr:row>320</xdr:row>
      <xdr:rowOff>104775</xdr:rowOff>
    </xdr:from>
    <xdr:to>
      <xdr:col>5</xdr:col>
      <xdr:colOff>552450</xdr:colOff>
      <xdr:row>322</xdr:row>
      <xdr:rowOff>152400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 flipV="1">
          <a:off x="4505325" y="65084325"/>
          <a:ext cx="485775" cy="447675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123825</xdr:colOff>
      <xdr:row>305</xdr:row>
      <xdr:rowOff>142875</xdr:rowOff>
    </xdr:from>
    <xdr:to>
      <xdr:col>4</xdr:col>
      <xdr:colOff>742950</xdr:colOff>
      <xdr:row>307</xdr:row>
      <xdr:rowOff>180976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2714625" y="61474350"/>
          <a:ext cx="1628775" cy="4381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400" b="1">
              <a:ln>
                <a:noFill/>
              </a:ln>
              <a:solidFill>
                <a:srgbClr val="A10DE3"/>
              </a:solidFill>
            </a:rPr>
            <a:t>D Wing</a:t>
          </a:r>
        </a:p>
      </xdr:txBody>
    </xdr:sp>
    <xdr:clientData/>
  </xdr:twoCellAnchor>
  <xdr:twoCellAnchor>
    <xdr:from>
      <xdr:col>3</xdr:col>
      <xdr:colOff>733425</xdr:colOff>
      <xdr:row>307</xdr:row>
      <xdr:rowOff>114300</xdr:rowOff>
    </xdr:from>
    <xdr:to>
      <xdr:col>3</xdr:col>
      <xdr:colOff>838200</xdr:colOff>
      <xdr:row>311</xdr:row>
      <xdr:rowOff>47625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3324225" y="62493525"/>
          <a:ext cx="104775" cy="733425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647700</xdr:colOff>
      <xdr:row>304</xdr:row>
      <xdr:rowOff>133350</xdr:rowOff>
    </xdr:from>
    <xdr:to>
      <xdr:col>3</xdr:col>
      <xdr:colOff>685800</xdr:colOff>
      <xdr:row>309</xdr:row>
      <xdr:rowOff>28575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466850" y="61264800"/>
          <a:ext cx="1809750" cy="8953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600" b="1">
              <a:ln>
                <a:noFill/>
              </a:ln>
              <a:solidFill>
                <a:srgbClr val="FF0000"/>
              </a:solidFill>
            </a:rPr>
            <a:t>Commercial Building </a:t>
          </a:r>
        </a:p>
      </xdr:txBody>
    </xdr:sp>
    <xdr:clientData/>
  </xdr:twoCellAnchor>
  <xdr:twoCellAnchor>
    <xdr:from>
      <xdr:col>2</xdr:col>
      <xdr:colOff>704850</xdr:colOff>
      <xdr:row>306</xdr:row>
      <xdr:rowOff>142875</xdr:rowOff>
    </xdr:from>
    <xdr:to>
      <xdr:col>2</xdr:col>
      <xdr:colOff>752475</xdr:colOff>
      <xdr:row>310</xdr:row>
      <xdr:rowOff>47625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>
          <a:off x="2381250" y="62322075"/>
          <a:ext cx="47625" cy="704850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256</xdr:row>
      <xdr:rowOff>0</xdr:rowOff>
    </xdr:from>
    <xdr:to>
      <xdr:col>10</xdr:col>
      <xdr:colOff>101122</xdr:colOff>
      <xdr:row>257</xdr:row>
      <xdr:rowOff>167023</xdr:rowOff>
    </xdr:to>
    <xdr:sp macro="" textlink="">
      <xdr:nvSpPr>
        <xdr:cNvPr id="38" name="TextBox 407">
          <a:extLst>
            <a:ext uri="{FF2B5EF4-FFF2-40B4-BE49-F238E27FC236}">
              <a16:creationId xmlns:a16="http://schemas.microsoft.com/office/drawing/2014/main" id="{AE5FB28C-247D-4D0D-A45C-2552773FF70C}"/>
            </a:ext>
          </a:extLst>
        </xdr:cNvPr>
        <xdr:cNvSpPr txBox="1"/>
      </xdr:nvSpPr>
      <xdr:spPr>
        <a:xfrm>
          <a:off x="8661400" y="46272450"/>
          <a:ext cx="901222" cy="363873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Wing B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508486</xdr:colOff>
      <xdr:row>258</xdr:row>
      <xdr:rowOff>120267</xdr:rowOff>
    </xdr:from>
    <xdr:to>
      <xdr:col>12</xdr:col>
      <xdr:colOff>622123</xdr:colOff>
      <xdr:row>260</xdr:row>
      <xdr:rowOff>107058</xdr:rowOff>
    </xdr:to>
    <xdr:sp macro="" textlink="">
      <xdr:nvSpPr>
        <xdr:cNvPr id="47" name="TextBox 219">
          <a:extLst>
            <a:ext uri="{FF2B5EF4-FFF2-40B4-BE49-F238E27FC236}">
              <a16:creationId xmlns:a16="http://schemas.microsoft.com/office/drawing/2014/main" id="{966AC432-E2E0-4B9F-A312-36F4C74EB138}"/>
            </a:ext>
          </a:extLst>
        </xdr:cNvPr>
        <xdr:cNvSpPr txBox="1"/>
      </xdr:nvSpPr>
      <xdr:spPr>
        <a:xfrm>
          <a:off x="10706586" y="46786417"/>
          <a:ext cx="850237" cy="37414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Wing C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628105</xdr:colOff>
      <xdr:row>259</xdr:row>
      <xdr:rowOff>112487</xdr:rowOff>
    </xdr:from>
    <xdr:to>
      <xdr:col>15</xdr:col>
      <xdr:colOff>519217</xdr:colOff>
      <xdr:row>293</xdr:row>
      <xdr:rowOff>45326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943305" y="47535391"/>
          <a:ext cx="5655808" cy="6684822"/>
          <a:chOff x="762000" y="46609000"/>
          <a:chExt cx="5755428" cy="6611769"/>
        </a:xfrm>
      </xdr:grpSpPr>
      <xdr:pic>
        <xdr:nvPicPr>
          <xdr:cNvPr id="48" name="Picture 4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91785" y="51060769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01868" y="51060769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762000" y="46609000"/>
            <a:ext cx="5755428" cy="43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1" name="TextBox 407">
            <a:extLst>
              <a:ext uri="{FF2B5EF4-FFF2-40B4-BE49-F238E27FC236}">
                <a16:creationId xmlns:a16="http://schemas.microsoft.com/office/drawing/2014/main" id="{AE5FB28C-247D-4D0D-A45C-2552773FF70C}"/>
              </a:ext>
            </a:extLst>
          </xdr:cNvPr>
          <xdr:cNvSpPr txBox="1"/>
        </xdr:nvSpPr>
        <xdr:spPr>
          <a:xfrm>
            <a:off x="2330450" y="46666150"/>
            <a:ext cx="901222" cy="363873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52" name="TextBox 219">
            <a:extLst>
              <a:ext uri="{FF2B5EF4-FFF2-40B4-BE49-F238E27FC236}">
                <a16:creationId xmlns:a16="http://schemas.microsoft.com/office/drawing/2014/main" id="{966AC432-E2E0-4B9F-A312-36F4C74EB138}"/>
              </a:ext>
            </a:extLst>
          </xdr:cNvPr>
          <xdr:cNvSpPr txBox="1"/>
        </xdr:nvSpPr>
        <xdr:spPr>
          <a:xfrm>
            <a:off x="5023336" y="47078517"/>
            <a:ext cx="850237" cy="374141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C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32" name="TextBox 407">
            <a:extLst>
              <a:ext uri="{FF2B5EF4-FFF2-40B4-BE49-F238E27FC236}">
                <a16:creationId xmlns:a16="http://schemas.microsoft.com/office/drawing/2014/main" id="{6A6F2641-2248-7CAE-F68B-2139384EAED0}"/>
              </a:ext>
            </a:extLst>
          </xdr:cNvPr>
          <xdr:cNvSpPr txBox="1"/>
        </xdr:nvSpPr>
        <xdr:spPr>
          <a:xfrm>
            <a:off x="2330450" y="46753459"/>
            <a:ext cx="901222" cy="363873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0</xdr:col>
      <xdr:colOff>339636</xdr:colOff>
      <xdr:row>257</xdr:row>
      <xdr:rowOff>174173</xdr:rowOff>
    </xdr:from>
    <xdr:to>
      <xdr:col>7</xdr:col>
      <xdr:colOff>1031185</xdr:colOff>
      <xdr:row>296</xdr:row>
      <xdr:rowOff>43543</xdr:rowOff>
    </xdr:to>
    <xdr:grpSp>
      <xdr:nvGrpSpPr>
        <xdr:cNvPr id="41" name="Group 40">
          <a:extLst>
            <a:ext uri="{FF2B5EF4-FFF2-40B4-BE49-F238E27FC236}">
              <a16:creationId xmlns:a16="http://schemas.microsoft.com/office/drawing/2014/main" id="{4205C9C3-15AB-D90D-5B52-BE79C104F2EE}"/>
            </a:ext>
          </a:extLst>
        </xdr:cNvPr>
        <xdr:cNvGrpSpPr/>
      </xdr:nvGrpSpPr>
      <xdr:grpSpPr>
        <a:xfrm>
          <a:off x="339636" y="47199512"/>
          <a:ext cx="6568888" cy="7615266"/>
          <a:chOff x="339636" y="46514659"/>
          <a:chExt cx="6580720" cy="7511141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3CE26C53-5236-4DA0-F869-F9A45FC90CAF}"/>
              </a:ext>
            </a:extLst>
          </xdr:cNvPr>
          <xdr:cNvGrpSpPr/>
        </xdr:nvGrpSpPr>
        <xdr:grpSpPr>
          <a:xfrm>
            <a:off x="1422136" y="51619192"/>
            <a:ext cx="4006576" cy="2406608"/>
            <a:chOff x="1910236" y="4325359"/>
            <a:chExt cx="3373159" cy="2184714"/>
          </a:xfrm>
        </xdr:grpSpPr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13A4D584-5558-AE39-FD44-128E7FAB0229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664895" y="4350073"/>
              <a:ext cx="1618500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39BE8695-C931-DA7D-45B0-4E135E805B05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910236" y="4325359"/>
              <a:ext cx="1618500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93F34EF3-6B58-694C-DACA-1A65B49EB17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9636" y="46514659"/>
            <a:ext cx="6580720" cy="488387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3" name="TextBox 407">
            <a:extLst>
              <a:ext uri="{FF2B5EF4-FFF2-40B4-BE49-F238E27FC236}">
                <a16:creationId xmlns:a16="http://schemas.microsoft.com/office/drawing/2014/main" id="{E9238BF1-0F6C-4BEC-A852-E13664627F06}"/>
              </a:ext>
            </a:extLst>
          </xdr:cNvPr>
          <xdr:cNvSpPr txBox="1"/>
        </xdr:nvSpPr>
        <xdr:spPr>
          <a:xfrm>
            <a:off x="1014551" y="46863002"/>
            <a:ext cx="888068" cy="362944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34" name="TextBox 407">
            <a:extLst>
              <a:ext uri="{FF2B5EF4-FFF2-40B4-BE49-F238E27FC236}">
                <a16:creationId xmlns:a16="http://schemas.microsoft.com/office/drawing/2014/main" id="{86687C67-4747-718D-85D0-F26B82C11E26}"/>
              </a:ext>
            </a:extLst>
          </xdr:cNvPr>
          <xdr:cNvSpPr txBox="1"/>
        </xdr:nvSpPr>
        <xdr:spPr>
          <a:xfrm>
            <a:off x="4781009" y="47646774"/>
            <a:ext cx="888068" cy="362944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C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U81D51QKUnUB8Nyc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333"/>
  <sheetViews>
    <sheetView tabSelected="1" view="pageBreakPreview" zoomScale="115" zoomScaleNormal="100" zoomScaleSheetLayoutView="115" zoomScalePageLayoutView="85" workbookViewId="0">
      <selection activeCell="K9" sqref="K9"/>
    </sheetView>
  </sheetViews>
  <sheetFormatPr defaultColWidth="9.21875" defaultRowHeight="15.6" x14ac:dyDescent="0.3"/>
  <cols>
    <col min="1" max="1" width="11.44140625" style="39" customWidth="1"/>
    <col min="2" max="2" width="12" style="39" customWidth="1"/>
    <col min="3" max="3" width="12.77734375" style="39" customWidth="1"/>
    <col min="4" max="4" width="14.21875" style="39" customWidth="1"/>
    <col min="5" max="7" width="11.77734375" style="39" customWidth="1"/>
    <col min="8" max="8" width="21" style="39" customWidth="1"/>
    <col min="9" max="9" width="17.44140625" style="21" customWidth="1"/>
    <col min="10" max="10" width="11.44140625" style="21" customWidth="1"/>
    <col min="11" max="11" width="10.5546875" style="21" bestFit="1" customWidth="1"/>
    <col min="12" max="12" width="10.5546875" style="21" customWidth="1"/>
    <col min="13" max="13" width="11.77734375" style="21" customWidth="1"/>
    <col min="14" max="14" width="12.5546875" style="21" customWidth="1"/>
    <col min="15" max="15" width="9.77734375" style="21" customWidth="1"/>
    <col min="16" max="16" width="11.77734375" style="21" customWidth="1"/>
    <col min="17" max="247" width="9.21875" style="21"/>
    <col min="248" max="248" width="8.77734375" style="21" customWidth="1"/>
    <col min="249" max="249" width="9.77734375" style="21" customWidth="1"/>
    <col min="250" max="250" width="14.44140625" style="21" customWidth="1"/>
    <col min="251" max="251" width="7.21875" style="21" customWidth="1"/>
    <col min="252" max="252" width="5.5546875" style="21" customWidth="1"/>
    <col min="253" max="253" width="9" style="21" customWidth="1"/>
    <col min="254" max="255" width="9.77734375" style="21" customWidth="1"/>
    <col min="256" max="256" width="11.21875" style="21" customWidth="1"/>
    <col min="257" max="257" width="2.77734375" style="21" customWidth="1"/>
    <col min="258" max="258" width="3.5546875" style="21" customWidth="1"/>
    <col min="259" max="503" width="9.21875" style="21"/>
    <col min="504" max="504" width="8.77734375" style="21" customWidth="1"/>
    <col min="505" max="505" width="9.77734375" style="21" customWidth="1"/>
    <col min="506" max="506" width="14.44140625" style="21" customWidth="1"/>
    <col min="507" max="507" width="7.21875" style="21" customWidth="1"/>
    <col min="508" max="508" width="5.5546875" style="21" customWidth="1"/>
    <col min="509" max="509" width="9" style="21" customWidth="1"/>
    <col min="510" max="511" width="9.77734375" style="21" customWidth="1"/>
    <col min="512" max="512" width="11.21875" style="21" customWidth="1"/>
    <col min="513" max="513" width="2.77734375" style="21" customWidth="1"/>
    <col min="514" max="514" width="3.5546875" style="21" customWidth="1"/>
    <col min="515" max="759" width="9.21875" style="21"/>
    <col min="760" max="760" width="8.77734375" style="21" customWidth="1"/>
    <col min="761" max="761" width="9.77734375" style="21" customWidth="1"/>
    <col min="762" max="762" width="14.44140625" style="21" customWidth="1"/>
    <col min="763" max="763" width="7.21875" style="21" customWidth="1"/>
    <col min="764" max="764" width="5.5546875" style="21" customWidth="1"/>
    <col min="765" max="765" width="9" style="21" customWidth="1"/>
    <col min="766" max="767" width="9.77734375" style="21" customWidth="1"/>
    <col min="768" max="768" width="11.21875" style="21" customWidth="1"/>
    <col min="769" max="769" width="2.77734375" style="21" customWidth="1"/>
    <col min="770" max="770" width="3.5546875" style="21" customWidth="1"/>
    <col min="771" max="1015" width="9.21875" style="21"/>
    <col min="1016" max="1016" width="8.77734375" style="21" customWidth="1"/>
    <col min="1017" max="1017" width="9.77734375" style="21" customWidth="1"/>
    <col min="1018" max="1018" width="14.44140625" style="21" customWidth="1"/>
    <col min="1019" max="1019" width="7.21875" style="21" customWidth="1"/>
    <col min="1020" max="1020" width="5.5546875" style="21" customWidth="1"/>
    <col min="1021" max="1021" width="9" style="21" customWidth="1"/>
    <col min="1022" max="1023" width="9.77734375" style="21" customWidth="1"/>
    <col min="1024" max="1024" width="11.21875" style="21" customWidth="1"/>
    <col min="1025" max="1025" width="2.77734375" style="21" customWidth="1"/>
    <col min="1026" max="1026" width="3.5546875" style="21" customWidth="1"/>
    <col min="1027" max="1271" width="9.21875" style="21"/>
    <col min="1272" max="1272" width="8.77734375" style="21" customWidth="1"/>
    <col min="1273" max="1273" width="9.77734375" style="21" customWidth="1"/>
    <col min="1274" max="1274" width="14.44140625" style="21" customWidth="1"/>
    <col min="1275" max="1275" width="7.21875" style="21" customWidth="1"/>
    <col min="1276" max="1276" width="5.5546875" style="21" customWidth="1"/>
    <col min="1277" max="1277" width="9" style="21" customWidth="1"/>
    <col min="1278" max="1279" width="9.77734375" style="21" customWidth="1"/>
    <col min="1280" max="1280" width="11.21875" style="21" customWidth="1"/>
    <col min="1281" max="1281" width="2.77734375" style="21" customWidth="1"/>
    <col min="1282" max="1282" width="3.5546875" style="21" customWidth="1"/>
    <col min="1283" max="1527" width="9.21875" style="21"/>
    <col min="1528" max="1528" width="8.77734375" style="21" customWidth="1"/>
    <col min="1529" max="1529" width="9.77734375" style="21" customWidth="1"/>
    <col min="1530" max="1530" width="14.44140625" style="21" customWidth="1"/>
    <col min="1531" max="1531" width="7.21875" style="21" customWidth="1"/>
    <col min="1532" max="1532" width="5.5546875" style="21" customWidth="1"/>
    <col min="1533" max="1533" width="9" style="21" customWidth="1"/>
    <col min="1534" max="1535" width="9.77734375" style="21" customWidth="1"/>
    <col min="1536" max="1536" width="11.21875" style="21" customWidth="1"/>
    <col min="1537" max="1537" width="2.77734375" style="21" customWidth="1"/>
    <col min="1538" max="1538" width="3.5546875" style="21" customWidth="1"/>
    <col min="1539" max="1783" width="9.21875" style="21"/>
    <col min="1784" max="1784" width="8.77734375" style="21" customWidth="1"/>
    <col min="1785" max="1785" width="9.77734375" style="21" customWidth="1"/>
    <col min="1786" max="1786" width="14.44140625" style="21" customWidth="1"/>
    <col min="1787" max="1787" width="7.21875" style="21" customWidth="1"/>
    <col min="1788" max="1788" width="5.5546875" style="21" customWidth="1"/>
    <col min="1789" max="1789" width="9" style="21" customWidth="1"/>
    <col min="1790" max="1791" width="9.77734375" style="21" customWidth="1"/>
    <col min="1792" max="1792" width="11.21875" style="21" customWidth="1"/>
    <col min="1793" max="1793" width="2.77734375" style="21" customWidth="1"/>
    <col min="1794" max="1794" width="3.5546875" style="21" customWidth="1"/>
    <col min="1795" max="2039" width="9.21875" style="21"/>
    <col min="2040" max="2040" width="8.77734375" style="21" customWidth="1"/>
    <col min="2041" max="2041" width="9.77734375" style="21" customWidth="1"/>
    <col min="2042" max="2042" width="14.44140625" style="21" customWidth="1"/>
    <col min="2043" max="2043" width="7.21875" style="21" customWidth="1"/>
    <col min="2044" max="2044" width="5.5546875" style="21" customWidth="1"/>
    <col min="2045" max="2045" width="9" style="21" customWidth="1"/>
    <col min="2046" max="2047" width="9.77734375" style="21" customWidth="1"/>
    <col min="2048" max="2048" width="11.21875" style="21" customWidth="1"/>
    <col min="2049" max="2049" width="2.77734375" style="21" customWidth="1"/>
    <col min="2050" max="2050" width="3.5546875" style="21" customWidth="1"/>
    <col min="2051" max="2295" width="9.21875" style="21"/>
    <col min="2296" max="2296" width="8.77734375" style="21" customWidth="1"/>
    <col min="2297" max="2297" width="9.77734375" style="21" customWidth="1"/>
    <col min="2298" max="2298" width="14.44140625" style="21" customWidth="1"/>
    <col min="2299" max="2299" width="7.21875" style="21" customWidth="1"/>
    <col min="2300" max="2300" width="5.5546875" style="21" customWidth="1"/>
    <col min="2301" max="2301" width="9" style="21" customWidth="1"/>
    <col min="2302" max="2303" width="9.77734375" style="21" customWidth="1"/>
    <col min="2304" max="2304" width="11.21875" style="21" customWidth="1"/>
    <col min="2305" max="2305" width="2.77734375" style="21" customWidth="1"/>
    <col min="2306" max="2306" width="3.5546875" style="21" customWidth="1"/>
    <col min="2307" max="2551" width="9.21875" style="21"/>
    <col min="2552" max="2552" width="8.77734375" style="21" customWidth="1"/>
    <col min="2553" max="2553" width="9.77734375" style="21" customWidth="1"/>
    <col min="2554" max="2554" width="14.44140625" style="21" customWidth="1"/>
    <col min="2555" max="2555" width="7.21875" style="21" customWidth="1"/>
    <col min="2556" max="2556" width="5.5546875" style="21" customWidth="1"/>
    <col min="2557" max="2557" width="9" style="21" customWidth="1"/>
    <col min="2558" max="2559" width="9.77734375" style="21" customWidth="1"/>
    <col min="2560" max="2560" width="11.21875" style="21" customWidth="1"/>
    <col min="2561" max="2561" width="2.77734375" style="21" customWidth="1"/>
    <col min="2562" max="2562" width="3.5546875" style="21" customWidth="1"/>
    <col min="2563" max="2807" width="9.21875" style="21"/>
    <col min="2808" max="2808" width="8.77734375" style="21" customWidth="1"/>
    <col min="2809" max="2809" width="9.77734375" style="21" customWidth="1"/>
    <col min="2810" max="2810" width="14.44140625" style="21" customWidth="1"/>
    <col min="2811" max="2811" width="7.21875" style="21" customWidth="1"/>
    <col min="2812" max="2812" width="5.5546875" style="21" customWidth="1"/>
    <col min="2813" max="2813" width="9" style="21" customWidth="1"/>
    <col min="2814" max="2815" width="9.77734375" style="21" customWidth="1"/>
    <col min="2816" max="2816" width="11.21875" style="21" customWidth="1"/>
    <col min="2817" max="2817" width="2.77734375" style="21" customWidth="1"/>
    <col min="2818" max="2818" width="3.5546875" style="21" customWidth="1"/>
    <col min="2819" max="3063" width="9.21875" style="21"/>
    <col min="3064" max="3064" width="8.77734375" style="21" customWidth="1"/>
    <col min="3065" max="3065" width="9.77734375" style="21" customWidth="1"/>
    <col min="3066" max="3066" width="14.44140625" style="21" customWidth="1"/>
    <col min="3067" max="3067" width="7.21875" style="21" customWidth="1"/>
    <col min="3068" max="3068" width="5.5546875" style="21" customWidth="1"/>
    <col min="3069" max="3069" width="9" style="21" customWidth="1"/>
    <col min="3070" max="3071" width="9.77734375" style="21" customWidth="1"/>
    <col min="3072" max="3072" width="11.21875" style="21" customWidth="1"/>
    <col min="3073" max="3073" width="2.77734375" style="21" customWidth="1"/>
    <col min="3074" max="3074" width="3.5546875" style="21" customWidth="1"/>
    <col min="3075" max="3319" width="9.21875" style="21"/>
    <col min="3320" max="3320" width="8.77734375" style="21" customWidth="1"/>
    <col min="3321" max="3321" width="9.77734375" style="21" customWidth="1"/>
    <col min="3322" max="3322" width="14.44140625" style="21" customWidth="1"/>
    <col min="3323" max="3323" width="7.21875" style="21" customWidth="1"/>
    <col min="3324" max="3324" width="5.5546875" style="21" customWidth="1"/>
    <col min="3325" max="3325" width="9" style="21" customWidth="1"/>
    <col min="3326" max="3327" width="9.77734375" style="21" customWidth="1"/>
    <col min="3328" max="3328" width="11.21875" style="21" customWidth="1"/>
    <col min="3329" max="3329" width="2.77734375" style="21" customWidth="1"/>
    <col min="3330" max="3330" width="3.5546875" style="21" customWidth="1"/>
    <col min="3331" max="3575" width="9.21875" style="21"/>
    <col min="3576" max="3576" width="8.77734375" style="21" customWidth="1"/>
    <col min="3577" max="3577" width="9.77734375" style="21" customWidth="1"/>
    <col min="3578" max="3578" width="14.44140625" style="21" customWidth="1"/>
    <col min="3579" max="3579" width="7.21875" style="21" customWidth="1"/>
    <col min="3580" max="3580" width="5.5546875" style="21" customWidth="1"/>
    <col min="3581" max="3581" width="9" style="21" customWidth="1"/>
    <col min="3582" max="3583" width="9.77734375" style="21" customWidth="1"/>
    <col min="3584" max="3584" width="11.21875" style="21" customWidth="1"/>
    <col min="3585" max="3585" width="2.77734375" style="21" customWidth="1"/>
    <col min="3586" max="3586" width="3.5546875" style="21" customWidth="1"/>
    <col min="3587" max="3831" width="9.21875" style="21"/>
    <col min="3832" max="3832" width="8.77734375" style="21" customWidth="1"/>
    <col min="3833" max="3833" width="9.77734375" style="21" customWidth="1"/>
    <col min="3834" max="3834" width="14.44140625" style="21" customWidth="1"/>
    <col min="3835" max="3835" width="7.21875" style="21" customWidth="1"/>
    <col min="3836" max="3836" width="5.5546875" style="21" customWidth="1"/>
    <col min="3837" max="3837" width="9" style="21" customWidth="1"/>
    <col min="3838" max="3839" width="9.77734375" style="21" customWidth="1"/>
    <col min="3840" max="3840" width="11.21875" style="21" customWidth="1"/>
    <col min="3841" max="3841" width="2.77734375" style="21" customWidth="1"/>
    <col min="3842" max="3842" width="3.5546875" style="21" customWidth="1"/>
    <col min="3843" max="4087" width="9.21875" style="21"/>
    <col min="4088" max="4088" width="8.77734375" style="21" customWidth="1"/>
    <col min="4089" max="4089" width="9.77734375" style="21" customWidth="1"/>
    <col min="4090" max="4090" width="14.44140625" style="21" customWidth="1"/>
    <col min="4091" max="4091" width="7.21875" style="21" customWidth="1"/>
    <col min="4092" max="4092" width="5.5546875" style="21" customWidth="1"/>
    <col min="4093" max="4093" width="9" style="21" customWidth="1"/>
    <col min="4094" max="4095" width="9.77734375" style="21" customWidth="1"/>
    <col min="4096" max="4096" width="11.21875" style="21" customWidth="1"/>
    <col min="4097" max="4097" width="2.77734375" style="21" customWidth="1"/>
    <col min="4098" max="4098" width="3.5546875" style="21" customWidth="1"/>
    <col min="4099" max="4343" width="9.21875" style="21"/>
    <col min="4344" max="4344" width="8.77734375" style="21" customWidth="1"/>
    <col min="4345" max="4345" width="9.77734375" style="21" customWidth="1"/>
    <col min="4346" max="4346" width="14.44140625" style="21" customWidth="1"/>
    <col min="4347" max="4347" width="7.21875" style="21" customWidth="1"/>
    <col min="4348" max="4348" width="5.5546875" style="21" customWidth="1"/>
    <col min="4349" max="4349" width="9" style="21" customWidth="1"/>
    <col min="4350" max="4351" width="9.77734375" style="21" customWidth="1"/>
    <col min="4352" max="4352" width="11.21875" style="21" customWidth="1"/>
    <col min="4353" max="4353" width="2.77734375" style="21" customWidth="1"/>
    <col min="4354" max="4354" width="3.5546875" style="21" customWidth="1"/>
    <col min="4355" max="4599" width="9.21875" style="21"/>
    <col min="4600" max="4600" width="8.77734375" style="21" customWidth="1"/>
    <col min="4601" max="4601" width="9.77734375" style="21" customWidth="1"/>
    <col min="4602" max="4602" width="14.44140625" style="21" customWidth="1"/>
    <col min="4603" max="4603" width="7.21875" style="21" customWidth="1"/>
    <col min="4604" max="4604" width="5.5546875" style="21" customWidth="1"/>
    <col min="4605" max="4605" width="9" style="21" customWidth="1"/>
    <col min="4606" max="4607" width="9.77734375" style="21" customWidth="1"/>
    <col min="4608" max="4608" width="11.21875" style="21" customWidth="1"/>
    <col min="4609" max="4609" width="2.77734375" style="21" customWidth="1"/>
    <col min="4610" max="4610" width="3.5546875" style="21" customWidth="1"/>
    <col min="4611" max="4855" width="9.21875" style="21"/>
    <col min="4856" max="4856" width="8.77734375" style="21" customWidth="1"/>
    <col min="4857" max="4857" width="9.77734375" style="21" customWidth="1"/>
    <col min="4858" max="4858" width="14.44140625" style="21" customWidth="1"/>
    <col min="4859" max="4859" width="7.21875" style="21" customWidth="1"/>
    <col min="4860" max="4860" width="5.5546875" style="21" customWidth="1"/>
    <col min="4861" max="4861" width="9" style="21" customWidth="1"/>
    <col min="4862" max="4863" width="9.77734375" style="21" customWidth="1"/>
    <col min="4864" max="4864" width="11.21875" style="21" customWidth="1"/>
    <col min="4865" max="4865" width="2.77734375" style="21" customWidth="1"/>
    <col min="4866" max="4866" width="3.5546875" style="21" customWidth="1"/>
    <col min="4867" max="5111" width="9.21875" style="21"/>
    <col min="5112" max="5112" width="8.77734375" style="21" customWidth="1"/>
    <col min="5113" max="5113" width="9.77734375" style="21" customWidth="1"/>
    <col min="5114" max="5114" width="14.44140625" style="21" customWidth="1"/>
    <col min="5115" max="5115" width="7.21875" style="21" customWidth="1"/>
    <col min="5116" max="5116" width="5.5546875" style="21" customWidth="1"/>
    <col min="5117" max="5117" width="9" style="21" customWidth="1"/>
    <col min="5118" max="5119" width="9.77734375" style="21" customWidth="1"/>
    <col min="5120" max="5120" width="11.21875" style="21" customWidth="1"/>
    <col min="5121" max="5121" width="2.77734375" style="21" customWidth="1"/>
    <col min="5122" max="5122" width="3.5546875" style="21" customWidth="1"/>
    <col min="5123" max="5367" width="9.21875" style="21"/>
    <col min="5368" max="5368" width="8.77734375" style="21" customWidth="1"/>
    <col min="5369" max="5369" width="9.77734375" style="21" customWidth="1"/>
    <col min="5370" max="5370" width="14.44140625" style="21" customWidth="1"/>
    <col min="5371" max="5371" width="7.21875" style="21" customWidth="1"/>
    <col min="5372" max="5372" width="5.5546875" style="21" customWidth="1"/>
    <col min="5373" max="5373" width="9" style="21" customWidth="1"/>
    <col min="5374" max="5375" width="9.77734375" style="21" customWidth="1"/>
    <col min="5376" max="5376" width="11.21875" style="21" customWidth="1"/>
    <col min="5377" max="5377" width="2.77734375" style="21" customWidth="1"/>
    <col min="5378" max="5378" width="3.5546875" style="21" customWidth="1"/>
    <col min="5379" max="5623" width="9.21875" style="21"/>
    <col min="5624" max="5624" width="8.77734375" style="21" customWidth="1"/>
    <col min="5625" max="5625" width="9.77734375" style="21" customWidth="1"/>
    <col min="5626" max="5626" width="14.44140625" style="21" customWidth="1"/>
    <col min="5627" max="5627" width="7.21875" style="21" customWidth="1"/>
    <col min="5628" max="5628" width="5.5546875" style="21" customWidth="1"/>
    <col min="5629" max="5629" width="9" style="21" customWidth="1"/>
    <col min="5630" max="5631" width="9.77734375" style="21" customWidth="1"/>
    <col min="5632" max="5632" width="11.21875" style="21" customWidth="1"/>
    <col min="5633" max="5633" width="2.77734375" style="21" customWidth="1"/>
    <col min="5634" max="5634" width="3.5546875" style="21" customWidth="1"/>
    <col min="5635" max="5879" width="9.21875" style="21"/>
    <col min="5880" max="5880" width="8.77734375" style="21" customWidth="1"/>
    <col min="5881" max="5881" width="9.77734375" style="21" customWidth="1"/>
    <col min="5882" max="5882" width="14.44140625" style="21" customWidth="1"/>
    <col min="5883" max="5883" width="7.21875" style="21" customWidth="1"/>
    <col min="5884" max="5884" width="5.5546875" style="21" customWidth="1"/>
    <col min="5885" max="5885" width="9" style="21" customWidth="1"/>
    <col min="5886" max="5887" width="9.77734375" style="21" customWidth="1"/>
    <col min="5888" max="5888" width="11.21875" style="21" customWidth="1"/>
    <col min="5889" max="5889" width="2.77734375" style="21" customWidth="1"/>
    <col min="5890" max="5890" width="3.5546875" style="21" customWidth="1"/>
    <col min="5891" max="6135" width="9.21875" style="21"/>
    <col min="6136" max="6136" width="8.77734375" style="21" customWidth="1"/>
    <col min="6137" max="6137" width="9.77734375" style="21" customWidth="1"/>
    <col min="6138" max="6138" width="14.44140625" style="21" customWidth="1"/>
    <col min="6139" max="6139" width="7.21875" style="21" customWidth="1"/>
    <col min="6140" max="6140" width="5.5546875" style="21" customWidth="1"/>
    <col min="6141" max="6141" width="9" style="21" customWidth="1"/>
    <col min="6142" max="6143" width="9.77734375" style="21" customWidth="1"/>
    <col min="6144" max="6144" width="11.21875" style="21" customWidth="1"/>
    <col min="6145" max="6145" width="2.77734375" style="21" customWidth="1"/>
    <col min="6146" max="6146" width="3.5546875" style="21" customWidth="1"/>
    <col min="6147" max="6391" width="9.21875" style="21"/>
    <col min="6392" max="6392" width="8.77734375" style="21" customWidth="1"/>
    <col min="6393" max="6393" width="9.77734375" style="21" customWidth="1"/>
    <col min="6394" max="6394" width="14.44140625" style="21" customWidth="1"/>
    <col min="6395" max="6395" width="7.21875" style="21" customWidth="1"/>
    <col min="6396" max="6396" width="5.5546875" style="21" customWidth="1"/>
    <col min="6397" max="6397" width="9" style="21" customWidth="1"/>
    <col min="6398" max="6399" width="9.77734375" style="21" customWidth="1"/>
    <col min="6400" max="6400" width="11.21875" style="21" customWidth="1"/>
    <col min="6401" max="6401" width="2.77734375" style="21" customWidth="1"/>
    <col min="6402" max="6402" width="3.5546875" style="21" customWidth="1"/>
    <col min="6403" max="6647" width="9.21875" style="21"/>
    <col min="6648" max="6648" width="8.77734375" style="21" customWidth="1"/>
    <col min="6649" max="6649" width="9.77734375" style="21" customWidth="1"/>
    <col min="6650" max="6650" width="14.44140625" style="21" customWidth="1"/>
    <col min="6651" max="6651" width="7.21875" style="21" customWidth="1"/>
    <col min="6652" max="6652" width="5.5546875" style="21" customWidth="1"/>
    <col min="6653" max="6653" width="9" style="21" customWidth="1"/>
    <col min="6654" max="6655" width="9.77734375" style="21" customWidth="1"/>
    <col min="6656" max="6656" width="11.21875" style="21" customWidth="1"/>
    <col min="6657" max="6657" width="2.77734375" style="21" customWidth="1"/>
    <col min="6658" max="6658" width="3.5546875" style="21" customWidth="1"/>
    <col min="6659" max="6903" width="9.21875" style="21"/>
    <col min="6904" max="6904" width="8.77734375" style="21" customWidth="1"/>
    <col min="6905" max="6905" width="9.77734375" style="21" customWidth="1"/>
    <col min="6906" max="6906" width="14.44140625" style="21" customWidth="1"/>
    <col min="6907" max="6907" width="7.21875" style="21" customWidth="1"/>
    <col min="6908" max="6908" width="5.5546875" style="21" customWidth="1"/>
    <col min="6909" max="6909" width="9" style="21" customWidth="1"/>
    <col min="6910" max="6911" width="9.77734375" style="21" customWidth="1"/>
    <col min="6912" max="6912" width="11.21875" style="21" customWidth="1"/>
    <col min="6913" max="6913" width="2.77734375" style="21" customWidth="1"/>
    <col min="6914" max="6914" width="3.5546875" style="21" customWidth="1"/>
    <col min="6915" max="7159" width="9.21875" style="21"/>
    <col min="7160" max="7160" width="8.77734375" style="21" customWidth="1"/>
    <col min="7161" max="7161" width="9.77734375" style="21" customWidth="1"/>
    <col min="7162" max="7162" width="14.44140625" style="21" customWidth="1"/>
    <col min="7163" max="7163" width="7.21875" style="21" customWidth="1"/>
    <col min="7164" max="7164" width="5.5546875" style="21" customWidth="1"/>
    <col min="7165" max="7165" width="9" style="21" customWidth="1"/>
    <col min="7166" max="7167" width="9.77734375" style="21" customWidth="1"/>
    <col min="7168" max="7168" width="11.21875" style="21" customWidth="1"/>
    <col min="7169" max="7169" width="2.77734375" style="21" customWidth="1"/>
    <col min="7170" max="7170" width="3.5546875" style="21" customWidth="1"/>
    <col min="7171" max="7415" width="9.21875" style="21"/>
    <col min="7416" max="7416" width="8.77734375" style="21" customWidth="1"/>
    <col min="7417" max="7417" width="9.77734375" style="21" customWidth="1"/>
    <col min="7418" max="7418" width="14.44140625" style="21" customWidth="1"/>
    <col min="7419" max="7419" width="7.21875" style="21" customWidth="1"/>
    <col min="7420" max="7420" width="5.5546875" style="21" customWidth="1"/>
    <col min="7421" max="7421" width="9" style="21" customWidth="1"/>
    <col min="7422" max="7423" width="9.77734375" style="21" customWidth="1"/>
    <col min="7424" max="7424" width="11.21875" style="21" customWidth="1"/>
    <col min="7425" max="7425" width="2.77734375" style="21" customWidth="1"/>
    <col min="7426" max="7426" width="3.5546875" style="21" customWidth="1"/>
    <col min="7427" max="7671" width="9.21875" style="21"/>
    <col min="7672" max="7672" width="8.77734375" style="21" customWidth="1"/>
    <col min="7673" max="7673" width="9.77734375" style="21" customWidth="1"/>
    <col min="7674" max="7674" width="14.44140625" style="21" customWidth="1"/>
    <col min="7675" max="7675" width="7.21875" style="21" customWidth="1"/>
    <col min="7676" max="7676" width="5.5546875" style="21" customWidth="1"/>
    <col min="7677" max="7677" width="9" style="21" customWidth="1"/>
    <col min="7678" max="7679" width="9.77734375" style="21" customWidth="1"/>
    <col min="7680" max="7680" width="11.21875" style="21" customWidth="1"/>
    <col min="7681" max="7681" width="2.77734375" style="21" customWidth="1"/>
    <col min="7682" max="7682" width="3.5546875" style="21" customWidth="1"/>
    <col min="7683" max="7927" width="9.21875" style="21"/>
    <col min="7928" max="7928" width="8.77734375" style="21" customWidth="1"/>
    <col min="7929" max="7929" width="9.77734375" style="21" customWidth="1"/>
    <col min="7930" max="7930" width="14.44140625" style="21" customWidth="1"/>
    <col min="7931" max="7931" width="7.21875" style="21" customWidth="1"/>
    <col min="7932" max="7932" width="5.5546875" style="21" customWidth="1"/>
    <col min="7933" max="7933" width="9" style="21" customWidth="1"/>
    <col min="7934" max="7935" width="9.77734375" style="21" customWidth="1"/>
    <col min="7936" max="7936" width="11.21875" style="21" customWidth="1"/>
    <col min="7937" max="7937" width="2.77734375" style="21" customWidth="1"/>
    <col min="7938" max="7938" width="3.5546875" style="21" customWidth="1"/>
    <col min="7939" max="8183" width="9.21875" style="21"/>
    <col min="8184" max="8184" width="8.77734375" style="21" customWidth="1"/>
    <col min="8185" max="8185" width="9.77734375" style="21" customWidth="1"/>
    <col min="8186" max="8186" width="14.44140625" style="21" customWidth="1"/>
    <col min="8187" max="8187" width="7.21875" style="21" customWidth="1"/>
    <col min="8188" max="8188" width="5.5546875" style="21" customWidth="1"/>
    <col min="8189" max="8189" width="9" style="21" customWidth="1"/>
    <col min="8190" max="8191" width="9.77734375" style="21" customWidth="1"/>
    <col min="8192" max="8192" width="11.21875" style="21" customWidth="1"/>
    <col min="8193" max="8193" width="2.77734375" style="21" customWidth="1"/>
    <col min="8194" max="8194" width="3.5546875" style="21" customWidth="1"/>
    <col min="8195" max="8439" width="9.21875" style="21"/>
    <col min="8440" max="8440" width="8.77734375" style="21" customWidth="1"/>
    <col min="8441" max="8441" width="9.77734375" style="21" customWidth="1"/>
    <col min="8442" max="8442" width="14.44140625" style="21" customWidth="1"/>
    <col min="8443" max="8443" width="7.21875" style="21" customWidth="1"/>
    <col min="8444" max="8444" width="5.5546875" style="21" customWidth="1"/>
    <col min="8445" max="8445" width="9" style="21" customWidth="1"/>
    <col min="8446" max="8447" width="9.77734375" style="21" customWidth="1"/>
    <col min="8448" max="8448" width="11.21875" style="21" customWidth="1"/>
    <col min="8449" max="8449" width="2.77734375" style="21" customWidth="1"/>
    <col min="8450" max="8450" width="3.5546875" style="21" customWidth="1"/>
    <col min="8451" max="8695" width="9.21875" style="21"/>
    <col min="8696" max="8696" width="8.77734375" style="21" customWidth="1"/>
    <col min="8697" max="8697" width="9.77734375" style="21" customWidth="1"/>
    <col min="8698" max="8698" width="14.44140625" style="21" customWidth="1"/>
    <col min="8699" max="8699" width="7.21875" style="21" customWidth="1"/>
    <col min="8700" max="8700" width="5.5546875" style="21" customWidth="1"/>
    <col min="8701" max="8701" width="9" style="21" customWidth="1"/>
    <col min="8702" max="8703" width="9.77734375" style="21" customWidth="1"/>
    <col min="8704" max="8704" width="11.21875" style="21" customWidth="1"/>
    <col min="8705" max="8705" width="2.77734375" style="21" customWidth="1"/>
    <col min="8706" max="8706" width="3.5546875" style="21" customWidth="1"/>
    <col min="8707" max="8951" width="9.21875" style="21"/>
    <col min="8952" max="8952" width="8.77734375" style="21" customWidth="1"/>
    <col min="8953" max="8953" width="9.77734375" style="21" customWidth="1"/>
    <col min="8954" max="8954" width="14.44140625" style="21" customWidth="1"/>
    <col min="8955" max="8955" width="7.21875" style="21" customWidth="1"/>
    <col min="8956" max="8956" width="5.5546875" style="21" customWidth="1"/>
    <col min="8957" max="8957" width="9" style="21" customWidth="1"/>
    <col min="8958" max="8959" width="9.77734375" style="21" customWidth="1"/>
    <col min="8960" max="8960" width="11.21875" style="21" customWidth="1"/>
    <col min="8961" max="8961" width="2.77734375" style="21" customWidth="1"/>
    <col min="8962" max="8962" width="3.5546875" style="21" customWidth="1"/>
    <col min="8963" max="9207" width="9.21875" style="21"/>
    <col min="9208" max="9208" width="8.77734375" style="21" customWidth="1"/>
    <col min="9209" max="9209" width="9.77734375" style="21" customWidth="1"/>
    <col min="9210" max="9210" width="14.44140625" style="21" customWidth="1"/>
    <col min="9211" max="9211" width="7.21875" style="21" customWidth="1"/>
    <col min="9212" max="9212" width="5.5546875" style="21" customWidth="1"/>
    <col min="9213" max="9213" width="9" style="21" customWidth="1"/>
    <col min="9214" max="9215" width="9.77734375" style="21" customWidth="1"/>
    <col min="9216" max="9216" width="11.21875" style="21" customWidth="1"/>
    <col min="9217" max="9217" width="2.77734375" style="21" customWidth="1"/>
    <col min="9218" max="9218" width="3.5546875" style="21" customWidth="1"/>
    <col min="9219" max="9463" width="9.21875" style="21"/>
    <col min="9464" max="9464" width="8.77734375" style="21" customWidth="1"/>
    <col min="9465" max="9465" width="9.77734375" style="21" customWidth="1"/>
    <col min="9466" max="9466" width="14.44140625" style="21" customWidth="1"/>
    <col min="9467" max="9467" width="7.21875" style="21" customWidth="1"/>
    <col min="9468" max="9468" width="5.5546875" style="21" customWidth="1"/>
    <col min="9469" max="9469" width="9" style="21" customWidth="1"/>
    <col min="9470" max="9471" width="9.77734375" style="21" customWidth="1"/>
    <col min="9472" max="9472" width="11.21875" style="21" customWidth="1"/>
    <col min="9473" max="9473" width="2.77734375" style="21" customWidth="1"/>
    <col min="9474" max="9474" width="3.5546875" style="21" customWidth="1"/>
    <col min="9475" max="9719" width="9.21875" style="21"/>
    <col min="9720" max="9720" width="8.77734375" style="21" customWidth="1"/>
    <col min="9721" max="9721" width="9.77734375" style="21" customWidth="1"/>
    <col min="9722" max="9722" width="14.44140625" style="21" customWidth="1"/>
    <col min="9723" max="9723" width="7.21875" style="21" customWidth="1"/>
    <col min="9724" max="9724" width="5.5546875" style="21" customWidth="1"/>
    <col min="9725" max="9725" width="9" style="21" customWidth="1"/>
    <col min="9726" max="9727" width="9.77734375" style="21" customWidth="1"/>
    <col min="9728" max="9728" width="11.21875" style="21" customWidth="1"/>
    <col min="9729" max="9729" width="2.77734375" style="21" customWidth="1"/>
    <col min="9730" max="9730" width="3.5546875" style="21" customWidth="1"/>
    <col min="9731" max="9975" width="9.21875" style="21"/>
    <col min="9976" max="9976" width="8.77734375" style="21" customWidth="1"/>
    <col min="9977" max="9977" width="9.77734375" style="21" customWidth="1"/>
    <col min="9978" max="9978" width="14.44140625" style="21" customWidth="1"/>
    <col min="9979" max="9979" width="7.21875" style="21" customWidth="1"/>
    <col min="9980" max="9980" width="5.5546875" style="21" customWidth="1"/>
    <col min="9981" max="9981" width="9" style="21" customWidth="1"/>
    <col min="9982" max="9983" width="9.77734375" style="21" customWidth="1"/>
    <col min="9984" max="9984" width="11.21875" style="21" customWidth="1"/>
    <col min="9985" max="9985" width="2.77734375" style="21" customWidth="1"/>
    <col min="9986" max="9986" width="3.5546875" style="21" customWidth="1"/>
    <col min="9987" max="10231" width="9.21875" style="21"/>
    <col min="10232" max="10232" width="8.77734375" style="21" customWidth="1"/>
    <col min="10233" max="10233" width="9.77734375" style="21" customWidth="1"/>
    <col min="10234" max="10234" width="14.44140625" style="21" customWidth="1"/>
    <col min="10235" max="10235" width="7.21875" style="21" customWidth="1"/>
    <col min="10236" max="10236" width="5.5546875" style="21" customWidth="1"/>
    <col min="10237" max="10237" width="9" style="21" customWidth="1"/>
    <col min="10238" max="10239" width="9.77734375" style="21" customWidth="1"/>
    <col min="10240" max="10240" width="11.21875" style="21" customWidth="1"/>
    <col min="10241" max="10241" width="2.77734375" style="21" customWidth="1"/>
    <col min="10242" max="10242" width="3.5546875" style="21" customWidth="1"/>
    <col min="10243" max="10487" width="9.21875" style="21"/>
    <col min="10488" max="10488" width="8.77734375" style="21" customWidth="1"/>
    <col min="10489" max="10489" width="9.77734375" style="21" customWidth="1"/>
    <col min="10490" max="10490" width="14.44140625" style="21" customWidth="1"/>
    <col min="10491" max="10491" width="7.21875" style="21" customWidth="1"/>
    <col min="10492" max="10492" width="5.5546875" style="21" customWidth="1"/>
    <col min="10493" max="10493" width="9" style="21" customWidth="1"/>
    <col min="10494" max="10495" width="9.77734375" style="21" customWidth="1"/>
    <col min="10496" max="10496" width="11.21875" style="21" customWidth="1"/>
    <col min="10497" max="10497" width="2.77734375" style="21" customWidth="1"/>
    <col min="10498" max="10498" width="3.5546875" style="21" customWidth="1"/>
    <col min="10499" max="10743" width="9.21875" style="21"/>
    <col min="10744" max="10744" width="8.77734375" style="21" customWidth="1"/>
    <col min="10745" max="10745" width="9.77734375" style="21" customWidth="1"/>
    <col min="10746" max="10746" width="14.44140625" style="21" customWidth="1"/>
    <col min="10747" max="10747" width="7.21875" style="21" customWidth="1"/>
    <col min="10748" max="10748" width="5.5546875" style="21" customWidth="1"/>
    <col min="10749" max="10749" width="9" style="21" customWidth="1"/>
    <col min="10750" max="10751" width="9.77734375" style="21" customWidth="1"/>
    <col min="10752" max="10752" width="11.21875" style="21" customWidth="1"/>
    <col min="10753" max="10753" width="2.77734375" style="21" customWidth="1"/>
    <col min="10754" max="10754" width="3.5546875" style="21" customWidth="1"/>
    <col min="10755" max="10999" width="9.21875" style="21"/>
    <col min="11000" max="11000" width="8.77734375" style="21" customWidth="1"/>
    <col min="11001" max="11001" width="9.77734375" style="21" customWidth="1"/>
    <col min="11002" max="11002" width="14.44140625" style="21" customWidth="1"/>
    <col min="11003" max="11003" width="7.21875" style="21" customWidth="1"/>
    <col min="11004" max="11004" width="5.5546875" style="21" customWidth="1"/>
    <col min="11005" max="11005" width="9" style="21" customWidth="1"/>
    <col min="11006" max="11007" width="9.77734375" style="21" customWidth="1"/>
    <col min="11008" max="11008" width="11.21875" style="21" customWidth="1"/>
    <col min="11009" max="11009" width="2.77734375" style="21" customWidth="1"/>
    <col min="11010" max="11010" width="3.5546875" style="21" customWidth="1"/>
    <col min="11011" max="11255" width="9.21875" style="21"/>
    <col min="11256" max="11256" width="8.77734375" style="21" customWidth="1"/>
    <col min="11257" max="11257" width="9.77734375" style="21" customWidth="1"/>
    <col min="11258" max="11258" width="14.44140625" style="21" customWidth="1"/>
    <col min="11259" max="11259" width="7.21875" style="21" customWidth="1"/>
    <col min="11260" max="11260" width="5.5546875" style="21" customWidth="1"/>
    <col min="11261" max="11261" width="9" style="21" customWidth="1"/>
    <col min="11262" max="11263" width="9.77734375" style="21" customWidth="1"/>
    <col min="11264" max="11264" width="11.21875" style="21" customWidth="1"/>
    <col min="11265" max="11265" width="2.77734375" style="21" customWidth="1"/>
    <col min="11266" max="11266" width="3.5546875" style="21" customWidth="1"/>
    <col min="11267" max="11511" width="9.21875" style="21"/>
    <col min="11512" max="11512" width="8.77734375" style="21" customWidth="1"/>
    <col min="11513" max="11513" width="9.77734375" style="21" customWidth="1"/>
    <col min="11514" max="11514" width="14.44140625" style="21" customWidth="1"/>
    <col min="11515" max="11515" width="7.21875" style="21" customWidth="1"/>
    <col min="11516" max="11516" width="5.5546875" style="21" customWidth="1"/>
    <col min="11517" max="11517" width="9" style="21" customWidth="1"/>
    <col min="11518" max="11519" width="9.77734375" style="21" customWidth="1"/>
    <col min="11520" max="11520" width="11.21875" style="21" customWidth="1"/>
    <col min="11521" max="11521" width="2.77734375" style="21" customWidth="1"/>
    <col min="11522" max="11522" width="3.5546875" style="21" customWidth="1"/>
    <col min="11523" max="11767" width="9.21875" style="21"/>
    <col min="11768" max="11768" width="8.77734375" style="21" customWidth="1"/>
    <col min="11769" max="11769" width="9.77734375" style="21" customWidth="1"/>
    <col min="11770" max="11770" width="14.44140625" style="21" customWidth="1"/>
    <col min="11771" max="11771" width="7.21875" style="21" customWidth="1"/>
    <col min="11772" max="11772" width="5.5546875" style="21" customWidth="1"/>
    <col min="11773" max="11773" width="9" style="21" customWidth="1"/>
    <col min="11774" max="11775" width="9.77734375" style="21" customWidth="1"/>
    <col min="11776" max="11776" width="11.21875" style="21" customWidth="1"/>
    <col min="11777" max="11777" width="2.77734375" style="21" customWidth="1"/>
    <col min="11778" max="11778" width="3.5546875" style="21" customWidth="1"/>
    <col min="11779" max="12023" width="9.21875" style="21"/>
    <col min="12024" max="12024" width="8.77734375" style="21" customWidth="1"/>
    <col min="12025" max="12025" width="9.77734375" style="21" customWidth="1"/>
    <col min="12026" max="12026" width="14.44140625" style="21" customWidth="1"/>
    <col min="12027" max="12027" width="7.21875" style="21" customWidth="1"/>
    <col min="12028" max="12028" width="5.5546875" style="21" customWidth="1"/>
    <col min="12029" max="12029" width="9" style="21" customWidth="1"/>
    <col min="12030" max="12031" width="9.77734375" style="21" customWidth="1"/>
    <col min="12032" max="12032" width="11.21875" style="21" customWidth="1"/>
    <col min="12033" max="12033" width="2.77734375" style="21" customWidth="1"/>
    <col min="12034" max="12034" width="3.5546875" style="21" customWidth="1"/>
    <col min="12035" max="12279" width="9.21875" style="21"/>
    <col min="12280" max="12280" width="8.77734375" style="21" customWidth="1"/>
    <col min="12281" max="12281" width="9.77734375" style="21" customWidth="1"/>
    <col min="12282" max="12282" width="14.44140625" style="21" customWidth="1"/>
    <col min="12283" max="12283" width="7.21875" style="21" customWidth="1"/>
    <col min="12284" max="12284" width="5.5546875" style="21" customWidth="1"/>
    <col min="12285" max="12285" width="9" style="21" customWidth="1"/>
    <col min="12286" max="12287" width="9.77734375" style="21" customWidth="1"/>
    <col min="12288" max="12288" width="11.21875" style="21" customWidth="1"/>
    <col min="12289" max="12289" width="2.77734375" style="21" customWidth="1"/>
    <col min="12290" max="12290" width="3.5546875" style="21" customWidth="1"/>
    <col min="12291" max="12535" width="9.21875" style="21"/>
    <col min="12536" max="12536" width="8.77734375" style="21" customWidth="1"/>
    <col min="12537" max="12537" width="9.77734375" style="21" customWidth="1"/>
    <col min="12538" max="12538" width="14.44140625" style="21" customWidth="1"/>
    <col min="12539" max="12539" width="7.21875" style="21" customWidth="1"/>
    <col min="12540" max="12540" width="5.5546875" style="21" customWidth="1"/>
    <col min="12541" max="12541" width="9" style="21" customWidth="1"/>
    <col min="12542" max="12543" width="9.77734375" style="21" customWidth="1"/>
    <col min="12544" max="12544" width="11.21875" style="21" customWidth="1"/>
    <col min="12545" max="12545" width="2.77734375" style="21" customWidth="1"/>
    <col min="12546" max="12546" width="3.5546875" style="21" customWidth="1"/>
    <col min="12547" max="12791" width="9.21875" style="21"/>
    <col min="12792" max="12792" width="8.77734375" style="21" customWidth="1"/>
    <col min="12793" max="12793" width="9.77734375" style="21" customWidth="1"/>
    <col min="12794" max="12794" width="14.44140625" style="21" customWidth="1"/>
    <col min="12795" max="12795" width="7.21875" style="21" customWidth="1"/>
    <col min="12796" max="12796" width="5.5546875" style="21" customWidth="1"/>
    <col min="12797" max="12797" width="9" style="21" customWidth="1"/>
    <col min="12798" max="12799" width="9.77734375" style="21" customWidth="1"/>
    <col min="12800" max="12800" width="11.21875" style="21" customWidth="1"/>
    <col min="12801" max="12801" width="2.77734375" style="21" customWidth="1"/>
    <col min="12802" max="12802" width="3.5546875" style="21" customWidth="1"/>
    <col min="12803" max="13047" width="9.21875" style="21"/>
    <col min="13048" max="13048" width="8.77734375" style="21" customWidth="1"/>
    <col min="13049" max="13049" width="9.77734375" style="21" customWidth="1"/>
    <col min="13050" max="13050" width="14.44140625" style="21" customWidth="1"/>
    <col min="13051" max="13051" width="7.21875" style="21" customWidth="1"/>
    <col min="13052" max="13052" width="5.5546875" style="21" customWidth="1"/>
    <col min="13053" max="13053" width="9" style="21" customWidth="1"/>
    <col min="13054" max="13055" width="9.77734375" style="21" customWidth="1"/>
    <col min="13056" max="13056" width="11.21875" style="21" customWidth="1"/>
    <col min="13057" max="13057" width="2.77734375" style="21" customWidth="1"/>
    <col min="13058" max="13058" width="3.5546875" style="21" customWidth="1"/>
    <col min="13059" max="13303" width="9.21875" style="21"/>
    <col min="13304" max="13304" width="8.77734375" style="21" customWidth="1"/>
    <col min="13305" max="13305" width="9.77734375" style="21" customWidth="1"/>
    <col min="13306" max="13306" width="14.44140625" style="21" customWidth="1"/>
    <col min="13307" max="13307" width="7.21875" style="21" customWidth="1"/>
    <col min="13308" max="13308" width="5.5546875" style="21" customWidth="1"/>
    <col min="13309" max="13309" width="9" style="21" customWidth="1"/>
    <col min="13310" max="13311" width="9.77734375" style="21" customWidth="1"/>
    <col min="13312" max="13312" width="11.21875" style="21" customWidth="1"/>
    <col min="13313" max="13313" width="2.77734375" style="21" customWidth="1"/>
    <col min="13314" max="13314" width="3.5546875" style="21" customWidth="1"/>
    <col min="13315" max="13559" width="9.21875" style="21"/>
    <col min="13560" max="13560" width="8.77734375" style="21" customWidth="1"/>
    <col min="13561" max="13561" width="9.77734375" style="21" customWidth="1"/>
    <col min="13562" max="13562" width="14.44140625" style="21" customWidth="1"/>
    <col min="13563" max="13563" width="7.21875" style="21" customWidth="1"/>
    <col min="13564" max="13564" width="5.5546875" style="21" customWidth="1"/>
    <col min="13565" max="13565" width="9" style="21" customWidth="1"/>
    <col min="13566" max="13567" width="9.77734375" style="21" customWidth="1"/>
    <col min="13568" max="13568" width="11.21875" style="21" customWidth="1"/>
    <col min="13569" max="13569" width="2.77734375" style="21" customWidth="1"/>
    <col min="13570" max="13570" width="3.5546875" style="21" customWidth="1"/>
    <col min="13571" max="13815" width="9.21875" style="21"/>
    <col min="13816" max="13816" width="8.77734375" style="21" customWidth="1"/>
    <col min="13817" max="13817" width="9.77734375" style="21" customWidth="1"/>
    <col min="13818" max="13818" width="14.44140625" style="21" customWidth="1"/>
    <col min="13819" max="13819" width="7.21875" style="21" customWidth="1"/>
    <col min="13820" max="13820" width="5.5546875" style="21" customWidth="1"/>
    <col min="13821" max="13821" width="9" style="21" customWidth="1"/>
    <col min="13822" max="13823" width="9.77734375" style="21" customWidth="1"/>
    <col min="13824" max="13824" width="11.21875" style="21" customWidth="1"/>
    <col min="13825" max="13825" width="2.77734375" style="21" customWidth="1"/>
    <col min="13826" max="13826" width="3.5546875" style="21" customWidth="1"/>
    <col min="13827" max="14071" width="9.21875" style="21"/>
    <col min="14072" max="14072" width="8.77734375" style="21" customWidth="1"/>
    <col min="14073" max="14073" width="9.77734375" style="21" customWidth="1"/>
    <col min="14074" max="14074" width="14.44140625" style="21" customWidth="1"/>
    <col min="14075" max="14075" width="7.21875" style="21" customWidth="1"/>
    <col min="14076" max="14076" width="5.5546875" style="21" customWidth="1"/>
    <col min="14077" max="14077" width="9" style="21" customWidth="1"/>
    <col min="14078" max="14079" width="9.77734375" style="21" customWidth="1"/>
    <col min="14080" max="14080" width="11.21875" style="21" customWidth="1"/>
    <col min="14081" max="14081" width="2.77734375" style="21" customWidth="1"/>
    <col min="14082" max="14082" width="3.5546875" style="21" customWidth="1"/>
    <col min="14083" max="14327" width="9.21875" style="21"/>
    <col min="14328" max="14328" width="8.77734375" style="21" customWidth="1"/>
    <col min="14329" max="14329" width="9.77734375" style="21" customWidth="1"/>
    <col min="14330" max="14330" width="14.44140625" style="21" customWidth="1"/>
    <col min="14331" max="14331" width="7.21875" style="21" customWidth="1"/>
    <col min="14332" max="14332" width="5.5546875" style="21" customWidth="1"/>
    <col min="14333" max="14333" width="9" style="21" customWidth="1"/>
    <col min="14334" max="14335" width="9.77734375" style="21" customWidth="1"/>
    <col min="14336" max="14336" width="11.21875" style="21" customWidth="1"/>
    <col min="14337" max="14337" width="2.77734375" style="21" customWidth="1"/>
    <col min="14338" max="14338" width="3.5546875" style="21" customWidth="1"/>
    <col min="14339" max="14583" width="9.21875" style="21"/>
    <col min="14584" max="14584" width="8.77734375" style="21" customWidth="1"/>
    <col min="14585" max="14585" width="9.77734375" style="21" customWidth="1"/>
    <col min="14586" max="14586" width="14.44140625" style="21" customWidth="1"/>
    <col min="14587" max="14587" width="7.21875" style="21" customWidth="1"/>
    <col min="14588" max="14588" width="5.5546875" style="21" customWidth="1"/>
    <col min="14589" max="14589" width="9" style="21" customWidth="1"/>
    <col min="14590" max="14591" width="9.77734375" style="21" customWidth="1"/>
    <col min="14592" max="14592" width="11.21875" style="21" customWidth="1"/>
    <col min="14593" max="14593" width="2.77734375" style="21" customWidth="1"/>
    <col min="14594" max="14594" width="3.5546875" style="21" customWidth="1"/>
    <col min="14595" max="14839" width="9.21875" style="21"/>
    <col min="14840" max="14840" width="8.77734375" style="21" customWidth="1"/>
    <col min="14841" max="14841" width="9.77734375" style="21" customWidth="1"/>
    <col min="14842" max="14842" width="14.44140625" style="21" customWidth="1"/>
    <col min="14843" max="14843" width="7.21875" style="21" customWidth="1"/>
    <col min="14844" max="14844" width="5.5546875" style="21" customWidth="1"/>
    <col min="14845" max="14845" width="9" style="21" customWidth="1"/>
    <col min="14846" max="14847" width="9.77734375" style="21" customWidth="1"/>
    <col min="14848" max="14848" width="11.21875" style="21" customWidth="1"/>
    <col min="14849" max="14849" width="2.77734375" style="21" customWidth="1"/>
    <col min="14850" max="14850" width="3.5546875" style="21" customWidth="1"/>
    <col min="14851" max="15095" width="9.21875" style="21"/>
    <col min="15096" max="15096" width="8.77734375" style="21" customWidth="1"/>
    <col min="15097" max="15097" width="9.77734375" style="21" customWidth="1"/>
    <col min="15098" max="15098" width="14.44140625" style="21" customWidth="1"/>
    <col min="15099" max="15099" width="7.21875" style="21" customWidth="1"/>
    <col min="15100" max="15100" width="5.5546875" style="21" customWidth="1"/>
    <col min="15101" max="15101" width="9" style="21" customWidth="1"/>
    <col min="15102" max="15103" width="9.77734375" style="21" customWidth="1"/>
    <col min="15104" max="15104" width="11.21875" style="21" customWidth="1"/>
    <col min="15105" max="15105" width="2.77734375" style="21" customWidth="1"/>
    <col min="15106" max="15106" width="3.5546875" style="21" customWidth="1"/>
    <col min="15107" max="15351" width="9.21875" style="21"/>
    <col min="15352" max="15352" width="8.77734375" style="21" customWidth="1"/>
    <col min="15353" max="15353" width="9.77734375" style="21" customWidth="1"/>
    <col min="15354" max="15354" width="14.44140625" style="21" customWidth="1"/>
    <col min="15355" max="15355" width="7.21875" style="21" customWidth="1"/>
    <col min="15356" max="15356" width="5.5546875" style="21" customWidth="1"/>
    <col min="15357" max="15357" width="9" style="21" customWidth="1"/>
    <col min="15358" max="15359" width="9.77734375" style="21" customWidth="1"/>
    <col min="15360" max="15360" width="11.21875" style="21" customWidth="1"/>
    <col min="15361" max="15361" width="2.77734375" style="21" customWidth="1"/>
    <col min="15362" max="15362" width="3.5546875" style="21" customWidth="1"/>
    <col min="15363" max="15607" width="9.21875" style="21"/>
    <col min="15608" max="15608" width="8.77734375" style="21" customWidth="1"/>
    <col min="15609" max="15609" width="9.77734375" style="21" customWidth="1"/>
    <col min="15610" max="15610" width="14.44140625" style="21" customWidth="1"/>
    <col min="15611" max="15611" width="7.21875" style="21" customWidth="1"/>
    <col min="15612" max="15612" width="5.5546875" style="21" customWidth="1"/>
    <col min="15613" max="15613" width="9" style="21" customWidth="1"/>
    <col min="15614" max="15615" width="9.77734375" style="21" customWidth="1"/>
    <col min="15616" max="15616" width="11.21875" style="21" customWidth="1"/>
    <col min="15617" max="15617" width="2.77734375" style="21" customWidth="1"/>
    <col min="15618" max="15618" width="3.5546875" style="21" customWidth="1"/>
    <col min="15619" max="15863" width="9.21875" style="21"/>
    <col min="15864" max="15864" width="8.77734375" style="21" customWidth="1"/>
    <col min="15865" max="15865" width="9.77734375" style="21" customWidth="1"/>
    <col min="15866" max="15866" width="14.44140625" style="21" customWidth="1"/>
    <col min="15867" max="15867" width="7.21875" style="21" customWidth="1"/>
    <col min="15868" max="15868" width="5.5546875" style="21" customWidth="1"/>
    <col min="15869" max="15869" width="9" style="21" customWidth="1"/>
    <col min="15870" max="15871" width="9.77734375" style="21" customWidth="1"/>
    <col min="15872" max="15872" width="11.21875" style="21" customWidth="1"/>
    <col min="15873" max="15873" width="2.77734375" style="21" customWidth="1"/>
    <col min="15874" max="15874" width="3.5546875" style="21" customWidth="1"/>
    <col min="15875" max="16119" width="9.21875" style="21"/>
    <col min="16120" max="16120" width="8.77734375" style="21" customWidth="1"/>
    <col min="16121" max="16121" width="9.77734375" style="21" customWidth="1"/>
    <col min="16122" max="16122" width="14.44140625" style="21" customWidth="1"/>
    <col min="16123" max="16123" width="7.21875" style="21" customWidth="1"/>
    <col min="16124" max="16124" width="5.5546875" style="21" customWidth="1"/>
    <col min="16125" max="16125" width="9" style="21" customWidth="1"/>
    <col min="16126" max="16127" width="9.77734375" style="21" customWidth="1"/>
    <col min="16128" max="16128" width="11.21875" style="21" customWidth="1"/>
    <col min="16129" max="16129" width="2.77734375" style="21" customWidth="1"/>
    <col min="16130" max="16130" width="3.5546875" style="21" customWidth="1"/>
    <col min="16131" max="16384" width="9.21875" style="21"/>
  </cols>
  <sheetData>
    <row r="1" spans="1:8" ht="46.5" customHeight="1" x14ac:dyDescent="0.3">
      <c r="A1" s="141" t="s">
        <v>227</v>
      </c>
      <c r="B1" s="141"/>
      <c r="C1" s="141"/>
      <c r="D1" s="141"/>
      <c r="E1" s="141"/>
      <c r="F1" s="141"/>
      <c r="G1" s="141"/>
      <c r="H1" s="141"/>
    </row>
    <row r="2" spans="1:8" ht="16.5" customHeight="1" x14ac:dyDescent="0.3">
      <c r="A2" s="142" t="s">
        <v>0</v>
      </c>
      <c r="B2" s="142"/>
      <c r="C2" s="142"/>
      <c r="D2" s="142"/>
      <c r="E2" s="142"/>
      <c r="F2" s="142"/>
      <c r="G2" s="142"/>
      <c r="H2" s="142"/>
    </row>
    <row r="3" spans="1:8" x14ac:dyDescent="0.3">
      <c r="A3" s="128" t="s">
        <v>1</v>
      </c>
      <c r="B3" s="128"/>
      <c r="C3" s="128"/>
      <c r="D3" s="128"/>
      <c r="E3" s="128" t="str">
        <f ca="1">TEXT(TODAY(),"DD/MM/YYYY")</f>
        <v>13/08/2025</v>
      </c>
      <c r="F3" s="128"/>
      <c r="G3" s="128"/>
      <c r="H3" s="128"/>
    </row>
    <row r="4" spans="1:8" ht="15" customHeight="1" x14ac:dyDescent="0.3">
      <c r="A4" s="128" t="s">
        <v>2</v>
      </c>
      <c r="B4" s="128"/>
      <c r="C4" s="128"/>
      <c r="D4" s="128"/>
      <c r="E4" s="128" t="s">
        <v>173</v>
      </c>
      <c r="F4" s="128"/>
      <c r="G4" s="128"/>
      <c r="H4" s="128"/>
    </row>
    <row r="5" spans="1:8" x14ac:dyDescent="0.3">
      <c r="A5" s="128" t="s">
        <v>3</v>
      </c>
      <c r="B5" s="128"/>
      <c r="C5" s="128"/>
      <c r="D5" s="128"/>
      <c r="E5" s="144">
        <v>45881</v>
      </c>
      <c r="F5" s="128"/>
      <c r="G5" s="128"/>
      <c r="H5" s="128"/>
    </row>
    <row r="6" spans="1:8" ht="16.5" customHeight="1" x14ac:dyDescent="0.3">
      <c r="A6" s="128" t="s">
        <v>4</v>
      </c>
      <c r="B6" s="128"/>
      <c r="C6" s="128"/>
      <c r="D6" s="128"/>
      <c r="E6" s="128" t="s">
        <v>206</v>
      </c>
      <c r="F6" s="128"/>
      <c r="G6" s="128"/>
      <c r="H6" s="128"/>
    </row>
    <row r="7" spans="1:8" ht="15" customHeight="1" x14ac:dyDescent="0.3">
      <c r="A7" s="128" t="s">
        <v>5</v>
      </c>
      <c r="B7" s="128"/>
      <c r="C7" s="128"/>
      <c r="D7" s="128"/>
      <c r="E7" s="128" t="str">
        <f>E6</f>
        <v>Oyster Living LLP</v>
      </c>
      <c r="F7" s="128"/>
      <c r="G7" s="128"/>
      <c r="H7" s="128"/>
    </row>
    <row r="8" spans="1:8" x14ac:dyDescent="0.3">
      <c r="A8" s="128" t="s">
        <v>6</v>
      </c>
      <c r="B8" s="128"/>
      <c r="C8" s="128"/>
      <c r="D8" s="128"/>
      <c r="E8" s="143" t="s">
        <v>205</v>
      </c>
      <c r="F8" s="143"/>
      <c r="G8" s="143"/>
      <c r="H8" s="143"/>
    </row>
    <row r="9" spans="1:8" x14ac:dyDescent="0.3">
      <c r="A9" s="128" t="s">
        <v>171</v>
      </c>
      <c r="B9" s="128"/>
      <c r="C9" s="128"/>
      <c r="D9" s="128"/>
      <c r="E9" s="128" t="s">
        <v>207</v>
      </c>
      <c r="F9" s="128"/>
      <c r="G9" s="128"/>
      <c r="H9" s="128"/>
    </row>
    <row r="10" spans="1:8" ht="33.75" customHeight="1" x14ac:dyDescent="0.3">
      <c r="A10" s="128" t="s">
        <v>172</v>
      </c>
      <c r="B10" s="128"/>
      <c r="C10" s="128"/>
      <c r="D10" s="128"/>
      <c r="E10" s="65" t="s">
        <v>241</v>
      </c>
      <c r="F10" s="128"/>
      <c r="G10" s="128"/>
      <c r="H10" s="128"/>
    </row>
    <row r="11" spans="1:8" x14ac:dyDescent="0.3">
      <c r="A11" s="128" t="s">
        <v>7</v>
      </c>
      <c r="B11" s="128"/>
      <c r="C11" s="128"/>
      <c r="D11" s="128"/>
      <c r="E11" s="128" t="s">
        <v>238</v>
      </c>
      <c r="F11" s="128"/>
      <c r="G11" s="128"/>
      <c r="H11" s="128"/>
    </row>
    <row r="12" spans="1:8" x14ac:dyDescent="0.3">
      <c r="A12" s="63" t="s">
        <v>8</v>
      </c>
      <c r="B12" s="63"/>
      <c r="C12" s="63"/>
      <c r="D12" s="63"/>
      <c r="E12" s="65" t="s">
        <v>178</v>
      </c>
      <c r="F12" s="65"/>
      <c r="G12" s="65"/>
      <c r="H12" s="65"/>
    </row>
    <row r="13" spans="1:8" ht="34.5" customHeight="1" x14ac:dyDescent="0.3">
      <c r="A13" s="63" t="s">
        <v>9</v>
      </c>
      <c r="B13" s="63"/>
      <c r="C13" s="63"/>
      <c r="D13" s="63"/>
      <c r="E13" s="65" t="s">
        <v>217</v>
      </c>
      <c r="F13" s="128"/>
      <c r="G13" s="128"/>
      <c r="H13" s="128"/>
    </row>
    <row r="14" spans="1:8" ht="49.5" customHeight="1" x14ac:dyDescent="0.3">
      <c r="A14" s="127" t="s">
        <v>10</v>
      </c>
      <c r="B14" s="127"/>
      <c r="C14" s="127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Anantam Phase I &amp; II, Survey No.12, H. No. 41, S. No.13, H. No. 2 &amp; S. No. 18, H. No. 2 (Old S. No. 246, H. No. 41, Old S. No.245, H. No. 12, S. No. 247, H. No. 2), near Aashirwad Palace, Pimplas Road, Pimpalas, Pimpalas, Bhiwandi , Bhiwandi, Thane - 421302.</v>
      </c>
      <c r="D14" s="127"/>
      <c r="E14" s="127"/>
      <c r="F14" s="127"/>
      <c r="G14" s="127"/>
      <c r="H14" s="127"/>
    </row>
    <row r="15" spans="1:8" ht="33.75" customHeight="1" x14ac:dyDescent="0.3">
      <c r="A15" s="65" t="s">
        <v>180</v>
      </c>
      <c r="B15" s="65"/>
      <c r="C15" s="65" t="s">
        <v>208</v>
      </c>
      <c r="D15" s="65"/>
      <c r="E15" s="65"/>
      <c r="F15" s="65"/>
      <c r="G15" s="65"/>
      <c r="H15" s="65"/>
    </row>
    <row r="16" spans="1:8" ht="15.75" customHeight="1" x14ac:dyDescent="0.3">
      <c r="A16" s="65" t="s">
        <v>170</v>
      </c>
      <c r="B16" s="65"/>
      <c r="C16" s="65" t="s">
        <v>181</v>
      </c>
      <c r="D16" s="65"/>
      <c r="E16" s="65"/>
      <c r="F16" s="65"/>
      <c r="G16" s="65"/>
      <c r="H16" s="65"/>
    </row>
    <row r="17" spans="1:8" ht="15.75" customHeight="1" x14ac:dyDescent="0.3">
      <c r="A17" s="127" t="s">
        <v>11</v>
      </c>
      <c r="B17" s="127"/>
      <c r="C17" s="128" t="s">
        <v>176</v>
      </c>
      <c r="D17" s="128"/>
      <c r="E17" s="127" t="s">
        <v>77</v>
      </c>
      <c r="F17" s="127"/>
      <c r="G17" s="65" t="s">
        <v>181</v>
      </c>
      <c r="H17" s="65"/>
    </row>
    <row r="18" spans="1:8" x14ac:dyDescent="0.3">
      <c r="A18" s="63" t="s">
        <v>13</v>
      </c>
      <c r="B18" s="63"/>
      <c r="C18" s="65" t="s">
        <v>209</v>
      </c>
      <c r="D18" s="65"/>
      <c r="E18" s="127" t="s">
        <v>12</v>
      </c>
      <c r="F18" s="127"/>
      <c r="G18" s="145" t="s">
        <v>174</v>
      </c>
      <c r="H18" s="145"/>
    </row>
    <row r="19" spans="1:8" x14ac:dyDescent="0.3">
      <c r="A19" s="63" t="s">
        <v>78</v>
      </c>
      <c r="B19" s="63"/>
      <c r="C19" s="65" t="s">
        <v>175</v>
      </c>
      <c r="D19" s="65"/>
      <c r="E19" s="127" t="s">
        <v>14</v>
      </c>
      <c r="F19" s="127"/>
      <c r="G19" s="65">
        <v>421302</v>
      </c>
      <c r="H19" s="65"/>
    </row>
    <row r="20" spans="1:8" ht="32.25" customHeight="1" x14ac:dyDescent="0.3">
      <c r="A20" s="63" t="s">
        <v>127</v>
      </c>
      <c r="B20" s="63"/>
      <c r="C20" s="65" t="s">
        <v>182</v>
      </c>
      <c r="D20" s="65"/>
      <c r="E20" s="127" t="s">
        <v>15</v>
      </c>
      <c r="F20" s="127"/>
      <c r="G20" s="65" t="s">
        <v>183</v>
      </c>
      <c r="H20" s="65"/>
    </row>
    <row r="21" spans="1:8" ht="15" customHeight="1" x14ac:dyDescent="0.3">
      <c r="A21" s="127" t="s">
        <v>81</v>
      </c>
      <c r="B21" s="127"/>
      <c r="C21" s="127"/>
      <c r="D21" s="127"/>
      <c r="E21" s="128" t="s">
        <v>16</v>
      </c>
      <c r="F21" s="128"/>
      <c r="G21" s="128"/>
      <c r="H21" s="128"/>
    </row>
    <row r="22" spans="1:8" ht="18.75" customHeight="1" x14ac:dyDescent="0.3">
      <c r="A22" s="127"/>
      <c r="B22" s="127"/>
      <c r="C22" s="127"/>
      <c r="D22" s="127"/>
      <c r="E22" s="128"/>
      <c r="F22" s="128"/>
      <c r="G22" s="128"/>
      <c r="H22" s="128"/>
    </row>
    <row r="23" spans="1:8" ht="15" customHeight="1" x14ac:dyDescent="0.3">
      <c r="A23" s="127" t="s">
        <v>17</v>
      </c>
      <c r="B23" s="127"/>
      <c r="C23" s="127"/>
      <c r="D23" s="127"/>
      <c r="E23" s="65" t="s">
        <v>18</v>
      </c>
      <c r="F23" s="65"/>
      <c r="G23" s="65"/>
      <c r="H23" s="65"/>
    </row>
    <row r="24" spans="1:8" ht="15" customHeight="1" x14ac:dyDescent="0.3">
      <c r="A24" s="63" t="s">
        <v>19</v>
      </c>
      <c r="B24" s="63"/>
      <c r="C24" s="63"/>
      <c r="D24" s="63"/>
      <c r="E24" s="65" t="str">
        <f>IF(AND(G18="Mumbai"),"Upper Class","Middle Class")</f>
        <v>Middle Class</v>
      </c>
      <c r="F24" s="65"/>
      <c r="G24" s="65"/>
      <c r="H24" s="65"/>
    </row>
    <row r="25" spans="1:8" x14ac:dyDescent="0.3">
      <c r="A25" s="63" t="s">
        <v>20</v>
      </c>
      <c r="B25" s="63"/>
      <c r="C25" s="63"/>
      <c r="D25" s="63"/>
      <c r="E25" s="65" t="s">
        <v>21</v>
      </c>
      <c r="F25" s="65"/>
      <c r="G25" s="65"/>
      <c r="H25" s="65"/>
    </row>
    <row r="26" spans="1:8" ht="15.75" customHeight="1" x14ac:dyDescent="0.3">
      <c r="A26" s="63" t="s">
        <v>22</v>
      </c>
      <c r="B26" s="63"/>
      <c r="C26" s="63"/>
      <c r="D26" s="63"/>
      <c r="E26" s="65" t="str">
        <f>IF(AND(G18="Mumbai"),"Developed","Developing")</f>
        <v>Developing</v>
      </c>
      <c r="F26" s="65"/>
      <c r="G26" s="65"/>
      <c r="H26" s="65"/>
    </row>
    <row r="27" spans="1:8" x14ac:dyDescent="0.3">
      <c r="A27" s="63" t="s">
        <v>23</v>
      </c>
      <c r="B27" s="63"/>
      <c r="C27" s="63"/>
      <c r="D27" s="63"/>
      <c r="E27" s="65" t="s">
        <v>24</v>
      </c>
      <c r="F27" s="65"/>
      <c r="G27" s="65"/>
      <c r="H27" s="65"/>
    </row>
    <row r="28" spans="1:8" ht="15.75" customHeight="1" x14ac:dyDescent="0.3">
      <c r="A28" s="63" t="s">
        <v>86</v>
      </c>
      <c r="B28" s="63"/>
      <c r="C28" s="63"/>
      <c r="D28" s="63"/>
      <c r="E28" s="65" t="s">
        <v>87</v>
      </c>
      <c r="F28" s="65"/>
      <c r="G28" s="65"/>
      <c r="H28" s="65"/>
    </row>
    <row r="29" spans="1:8" ht="15" customHeight="1" x14ac:dyDescent="0.3">
      <c r="A29" s="63" t="s">
        <v>35</v>
      </c>
      <c r="B29" s="63"/>
      <c r="C29" s="63"/>
      <c r="D29" s="63"/>
      <c r="E29" s="65" t="str">
        <f>IF(AND(ISNUMBER(SEARCH("Flat",D57)),ISNUMBER(SEARCH("Shop",D57)),ISNUMBER(SEARCH("Office",D57))),"Residential + Commercial",IF(AND(ISNUMBER(SEARCH("Flat",D57)),ISNUMBER(SEARCH("Shop",D57))),"Residential + Commercial",IF(AND(ISNUMBER(SEARCH("Flat",D57)),ISNUMBER(SEARCH("Office",D57))),"Residential + Commercial",IF(AND(ISNUMBER(SEARCH("Shop",D57)),ISNUMBER(SEARCH("Office",D57))),"Commercial",IF(ISNUMBER(SEARCH("Shop",D57)),"Commercial",IF(ISNUMBER(SEARCH("Office",D57)),"Commercial",IF(ISNUMBER(SEARCH("Flat",D57)),"Residential")))))))</f>
        <v>Residential + Commercial</v>
      </c>
      <c r="F29" s="65"/>
      <c r="G29" s="65"/>
      <c r="H29" s="65"/>
    </row>
    <row r="30" spans="1:8" ht="15.75" customHeight="1" x14ac:dyDescent="0.3">
      <c r="A30" s="63" t="s">
        <v>98</v>
      </c>
      <c r="B30" s="63"/>
      <c r="C30" s="63"/>
      <c r="D30" s="63"/>
      <c r="E30" s="65" t="s">
        <v>36</v>
      </c>
      <c r="F30" s="65"/>
      <c r="G30" s="65"/>
      <c r="H30" s="65"/>
    </row>
    <row r="31" spans="1:8" s="22" customFormat="1" x14ac:dyDescent="0.3">
      <c r="A31" s="149" t="s">
        <v>99</v>
      </c>
      <c r="B31" s="149"/>
      <c r="C31" s="148" t="s">
        <v>29</v>
      </c>
      <c r="D31" s="148"/>
      <c r="E31" s="148"/>
      <c r="F31" s="148" t="s">
        <v>31</v>
      </c>
      <c r="G31" s="148"/>
      <c r="H31" s="148"/>
    </row>
    <row r="32" spans="1:8" s="22" customFormat="1" x14ac:dyDescent="0.3">
      <c r="A32" s="146" t="s">
        <v>25</v>
      </c>
      <c r="B32" s="146" t="s">
        <v>30</v>
      </c>
      <c r="C32" s="147" t="s">
        <v>30</v>
      </c>
      <c r="D32" s="147"/>
      <c r="E32" s="147"/>
      <c r="F32" s="147" t="s">
        <v>185</v>
      </c>
      <c r="G32" s="147"/>
      <c r="H32" s="147"/>
    </row>
    <row r="33" spans="1:8" x14ac:dyDescent="0.3">
      <c r="A33" s="146" t="s">
        <v>26</v>
      </c>
      <c r="B33" s="146" t="s">
        <v>30</v>
      </c>
      <c r="C33" s="147" t="s">
        <v>30</v>
      </c>
      <c r="D33" s="147"/>
      <c r="E33" s="147"/>
      <c r="F33" s="147" t="s">
        <v>185</v>
      </c>
      <c r="G33" s="147"/>
      <c r="H33" s="147"/>
    </row>
    <row r="34" spans="1:8" s="22" customFormat="1" x14ac:dyDescent="0.3">
      <c r="A34" s="146" t="s">
        <v>28</v>
      </c>
      <c r="B34" s="146" t="s">
        <v>30</v>
      </c>
      <c r="C34" s="147" t="s">
        <v>30</v>
      </c>
      <c r="D34" s="147"/>
      <c r="E34" s="147"/>
      <c r="F34" s="147" t="s">
        <v>182</v>
      </c>
      <c r="G34" s="147"/>
      <c r="H34" s="147"/>
    </row>
    <row r="35" spans="1:8" x14ac:dyDescent="0.3">
      <c r="A35" s="146" t="s">
        <v>27</v>
      </c>
      <c r="B35" s="146" t="s">
        <v>30</v>
      </c>
      <c r="C35" s="147" t="s">
        <v>30</v>
      </c>
      <c r="D35" s="147"/>
      <c r="E35" s="147"/>
      <c r="F35" s="147" t="s">
        <v>185</v>
      </c>
      <c r="G35" s="147"/>
      <c r="H35" s="147"/>
    </row>
    <row r="36" spans="1:8" x14ac:dyDescent="0.3">
      <c r="A36" s="63" t="s">
        <v>32</v>
      </c>
      <c r="B36" s="63"/>
      <c r="C36" s="63"/>
      <c r="D36" s="63"/>
      <c r="E36" s="63"/>
      <c r="F36" s="63"/>
      <c r="G36" s="63"/>
      <c r="H36" s="63"/>
    </row>
    <row r="37" spans="1:8" ht="15.75" customHeight="1" x14ac:dyDescent="0.3">
      <c r="A37" s="142" t="s">
        <v>33</v>
      </c>
      <c r="B37" s="142"/>
      <c r="C37" s="152">
        <v>19.250156199999999</v>
      </c>
      <c r="D37" s="152"/>
      <c r="E37" s="142" t="s">
        <v>34</v>
      </c>
      <c r="F37" s="142"/>
      <c r="G37" s="153">
        <v>73.071726299999995</v>
      </c>
      <c r="H37" s="153"/>
    </row>
    <row r="38" spans="1:8" x14ac:dyDescent="0.3">
      <c r="A38" s="142" t="s">
        <v>169</v>
      </c>
      <c r="B38" s="142"/>
      <c r="C38" s="185" t="s">
        <v>179</v>
      </c>
      <c r="D38" s="65"/>
      <c r="E38" s="65"/>
      <c r="F38" s="65"/>
      <c r="G38" s="65"/>
      <c r="H38" s="65"/>
    </row>
    <row r="39" spans="1:8" x14ac:dyDescent="0.3">
      <c r="A39" s="151" t="s">
        <v>37</v>
      </c>
      <c r="B39" s="151"/>
      <c r="C39" s="151"/>
      <c r="D39" s="151"/>
      <c r="E39" s="151"/>
      <c r="F39" s="151"/>
      <c r="G39" s="151"/>
      <c r="H39" s="151"/>
    </row>
    <row r="40" spans="1:8" x14ac:dyDescent="0.3">
      <c r="A40" s="63" t="s">
        <v>38</v>
      </c>
      <c r="B40" s="63"/>
      <c r="C40" s="63"/>
      <c r="D40" s="63"/>
      <c r="E40" s="150">
        <v>12130</v>
      </c>
      <c r="F40" s="150"/>
      <c r="G40" s="150"/>
      <c r="H40" s="150"/>
    </row>
    <row r="41" spans="1:8" x14ac:dyDescent="0.3">
      <c r="A41" s="63" t="s">
        <v>39</v>
      </c>
      <c r="B41" s="63"/>
      <c r="C41" s="63"/>
      <c r="D41" s="63"/>
      <c r="E41" s="66">
        <v>0.95</v>
      </c>
      <c r="F41" s="66"/>
      <c r="G41" s="66"/>
      <c r="H41" s="66"/>
    </row>
    <row r="42" spans="1:8" x14ac:dyDescent="0.3">
      <c r="A42" s="63" t="s">
        <v>40</v>
      </c>
      <c r="B42" s="63"/>
      <c r="C42" s="63"/>
      <c r="D42" s="63"/>
      <c r="E42" s="66">
        <f>E44/E40-E41</f>
        <v>0</v>
      </c>
      <c r="F42" s="66"/>
      <c r="G42" s="66"/>
      <c r="H42" s="66"/>
    </row>
    <row r="43" spans="1:8" x14ac:dyDescent="0.3">
      <c r="A43" s="63" t="s">
        <v>41</v>
      </c>
      <c r="B43" s="63"/>
      <c r="C43" s="63"/>
      <c r="D43" s="63"/>
      <c r="E43" s="66">
        <f>E41+E42</f>
        <v>0.95</v>
      </c>
      <c r="F43" s="66"/>
      <c r="G43" s="66"/>
      <c r="H43" s="66"/>
    </row>
    <row r="44" spans="1:8" x14ac:dyDescent="0.3">
      <c r="A44" s="63" t="s">
        <v>97</v>
      </c>
      <c r="B44" s="63"/>
      <c r="C44" s="63"/>
      <c r="D44" s="63"/>
      <c r="E44" s="160">
        <v>11523.5</v>
      </c>
      <c r="F44" s="160"/>
      <c r="G44" s="160"/>
      <c r="H44" s="160"/>
    </row>
    <row r="45" spans="1:8" x14ac:dyDescent="0.3">
      <c r="A45" s="128" t="s">
        <v>42</v>
      </c>
      <c r="B45" s="128"/>
      <c r="C45" s="128"/>
      <c r="D45" s="128"/>
      <c r="E45" s="128" t="s">
        <v>218</v>
      </c>
      <c r="F45" s="128"/>
      <c r="G45" s="128"/>
      <c r="H45" s="128"/>
    </row>
    <row r="46" spans="1:8" x14ac:dyDescent="0.3">
      <c r="A46" s="151" t="s">
        <v>43</v>
      </c>
      <c r="B46" s="151"/>
      <c r="C46" s="151"/>
      <c r="D46" s="151"/>
      <c r="E46" s="151"/>
      <c r="F46" s="151"/>
      <c r="G46" s="151"/>
      <c r="H46" s="151"/>
    </row>
    <row r="47" spans="1:8" ht="33.75" customHeight="1" x14ac:dyDescent="0.3">
      <c r="A47" s="84" t="s">
        <v>157</v>
      </c>
      <c r="B47" s="85"/>
      <c r="C47" s="186" t="s">
        <v>210</v>
      </c>
      <c r="D47" s="187"/>
      <c r="E47" s="187"/>
      <c r="F47" s="187"/>
      <c r="G47" s="187"/>
      <c r="H47" s="188"/>
    </row>
    <row r="48" spans="1:8" ht="30.75" customHeight="1" x14ac:dyDescent="0.3">
      <c r="A48" s="84" t="s">
        <v>44</v>
      </c>
      <c r="B48" s="85"/>
      <c r="C48" s="84" t="s">
        <v>177</v>
      </c>
      <c r="D48" s="86"/>
      <c r="E48" s="85"/>
      <c r="F48" s="18" t="s">
        <v>45</v>
      </c>
      <c r="G48" s="133">
        <v>43213</v>
      </c>
      <c r="H48" s="85"/>
    </row>
    <row r="49" spans="1:14" ht="30.75" customHeight="1" x14ac:dyDescent="0.3">
      <c r="A49" s="84" t="s">
        <v>46</v>
      </c>
      <c r="B49" s="85"/>
      <c r="C49" s="84" t="str">
        <f>C48</f>
        <v>SROT/BSNA/2501/BP/Pimpalas-05/668/2018</v>
      </c>
      <c r="D49" s="86"/>
      <c r="E49" s="85"/>
      <c r="F49" s="18" t="s">
        <v>45</v>
      </c>
      <c r="G49" s="133">
        <f>G48</f>
        <v>43213</v>
      </c>
      <c r="H49" s="134"/>
    </row>
    <row r="50" spans="1:14" s="23" customFormat="1" ht="30.75" customHeight="1" x14ac:dyDescent="0.3">
      <c r="A50" s="90" t="s">
        <v>184</v>
      </c>
      <c r="B50" s="91"/>
      <c r="C50" s="84" t="str">
        <f>C49</f>
        <v>SROT/BSNA/2501/BP/Pimpalas-05/668/2018</v>
      </c>
      <c r="D50" s="86"/>
      <c r="E50" s="85"/>
      <c r="F50" s="18" t="s">
        <v>45</v>
      </c>
      <c r="G50" s="133">
        <f>G49</f>
        <v>43213</v>
      </c>
      <c r="H50" s="134"/>
    </row>
    <row r="51" spans="1:14" s="23" customFormat="1" ht="15.75" customHeight="1" x14ac:dyDescent="0.3">
      <c r="A51" s="92"/>
      <c r="B51" s="93"/>
      <c r="C51" s="84" t="s">
        <v>219</v>
      </c>
      <c r="D51" s="86"/>
      <c r="E51" s="86"/>
      <c r="F51" s="86"/>
      <c r="G51" s="86"/>
      <c r="H51" s="85"/>
    </row>
    <row r="52" spans="1:14" s="23" customFormat="1" ht="30.75" customHeight="1" x14ac:dyDescent="0.3">
      <c r="A52" s="90" t="s">
        <v>184</v>
      </c>
      <c r="B52" s="91"/>
      <c r="C52" s="84" t="s">
        <v>229</v>
      </c>
      <c r="D52" s="86"/>
      <c r="E52" s="85"/>
      <c r="F52" s="18" t="s">
        <v>45</v>
      </c>
      <c r="G52" s="133">
        <v>45027</v>
      </c>
      <c r="H52" s="134"/>
    </row>
    <row r="53" spans="1:14" s="23" customFormat="1" ht="15.75" customHeight="1" x14ac:dyDescent="0.3">
      <c r="A53" s="92"/>
      <c r="B53" s="93"/>
      <c r="C53" s="84" t="s">
        <v>228</v>
      </c>
      <c r="D53" s="86"/>
      <c r="E53" s="86"/>
      <c r="F53" s="86"/>
      <c r="G53" s="86"/>
      <c r="H53" s="85"/>
    </row>
    <row r="54" spans="1:14" x14ac:dyDescent="0.3">
      <c r="A54" s="123" t="s">
        <v>47</v>
      </c>
      <c r="B54" s="124"/>
      <c r="C54" s="123" t="s">
        <v>109</v>
      </c>
      <c r="D54" s="125"/>
      <c r="E54" s="124"/>
      <c r="F54" s="44" t="s">
        <v>45</v>
      </c>
      <c r="G54" s="129" t="s">
        <v>30</v>
      </c>
      <c r="H54" s="130"/>
    </row>
    <row r="55" spans="1:14" x14ac:dyDescent="0.3">
      <c r="A55" s="126" t="s">
        <v>49</v>
      </c>
      <c r="B55" s="126"/>
      <c r="C55" s="126"/>
      <c r="D55" s="126"/>
      <c r="E55" s="126"/>
      <c r="F55" s="126"/>
      <c r="G55" s="126"/>
      <c r="H55" s="126"/>
    </row>
    <row r="56" spans="1:14" x14ac:dyDescent="0.3">
      <c r="A56" s="127" t="s">
        <v>96</v>
      </c>
      <c r="B56" s="127"/>
      <c r="C56" s="127"/>
      <c r="D56" s="63">
        <f>E44</f>
        <v>11523.5</v>
      </c>
      <c r="E56" s="63"/>
      <c r="F56" s="63"/>
      <c r="G56" s="63"/>
      <c r="H56" s="63"/>
    </row>
    <row r="57" spans="1:14" x14ac:dyDescent="0.3">
      <c r="A57" s="65" t="s">
        <v>50</v>
      </c>
      <c r="B57" s="128"/>
      <c r="C57" s="128"/>
      <c r="D57" s="128" t="s">
        <v>201</v>
      </c>
      <c r="E57" s="128"/>
      <c r="F57" s="128"/>
      <c r="G57" s="128"/>
      <c r="H57" s="128"/>
      <c r="I57" s="24"/>
    </row>
    <row r="58" spans="1:14" ht="31.5" customHeight="1" x14ac:dyDescent="0.3">
      <c r="A58" s="154" t="s">
        <v>51</v>
      </c>
      <c r="B58" s="155"/>
      <c r="C58" s="156"/>
      <c r="D58" s="140" t="s">
        <v>231</v>
      </c>
      <c r="E58" s="120"/>
      <c r="F58" s="120"/>
      <c r="G58" s="120"/>
      <c r="H58" s="120"/>
    </row>
    <row r="59" spans="1:14" x14ac:dyDescent="0.3">
      <c r="A59" s="65" t="s">
        <v>94</v>
      </c>
      <c r="B59" s="65"/>
      <c r="C59" s="65"/>
      <c r="D59" s="119" t="s">
        <v>233</v>
      </c>
      <c r="E59" s="120"/>
      <c r="F59" s="120"/>
      <c r="G59" s="120"/>
      <c r="H59" s="120"/>
    </row>
    <row r="60" spans="1:14" ht="15.75" customHeight="1" x14ac:dyDescent="0.3">
      <c r="A60" s="65"/>
      <c r="B60" s="65"/>
      <c r="C60" s="65"/>
      <c r="D60" s="121" t="s">
        <v>232</v>
      </c>
      <c r="E60" s="122"/>
      <c r="F60" s="122"/>
      <c r="G60" s="122"/>
      <c r="H60" s="122"/>
    </row>
    <row r="61" spans="1:14" ht="15.75" hidden="1" customHeight="1" x14ac:dyDescent="0.3">
      <c r="A61" s="65"/>
      <c r="B61" s="65"/>
      <c r="C61" s="65"/>
      <c r="D61" s="131" t="s">
        <v>200</v>
      </c>
      <c r="E61" s="132"/>
      <c r="F61" s="132"/>
      <c r="G61" s="132"/>
      <c r="H61" s="132"/>
    </row>
    <row r="62" spans="1:14" ht="50.25" customHeight="1" x14ac:dyDescent="0.3">
      <c r="A62" s="63" t="s">
        <v>48</v>
      </c>
      <c r="B62" s="63"/>
      <c r="C62" s="63"/>
      <c r="D62" s="157" t="s">
        <v>230</v>
      </c>
      <c r="E62" s="157"/>
      <c r="F62" s="157"/>
      <c r="G62" s="157"/>
      <c r="H62" s="157"/>
      <c r="J62" s="25"/>
      <c r="K62" s="24"/>
      <c r="N62" s="24"/>
    </row>
    <row r="63" spans="1:14" ht="15.75" customHeight="1" x14ac:dyDescent="0.3">
      <c r="A63" s="63" t="s">
        <v>92</v>
      </c>
      <c r="B63" s="63"/>
      <c r="C63" s="63"/>
      <c r="D63" s="159" t="str">
        <f>(IF(G54="NA","60 Years After Completion",IF(G54&lt;&gt;"NA",""&amp;60-ROUNDDOWN((E3-G54)/360,0)&amp;" Years"," ")))</f>
        <v>60 Years After Completion</v>
      </c>
      <c r="E63" s="159"/>
      <c r="F63" s="159"/>
      <c r="G63" s="159"/>
      <c r="H63" s="159"/>
      <c r="N63" s="24"/>
    </row>
    <row r="64" spans="1:14" ht="15.75" customHeight="1" x14ac:dyDescent="0.3">
      <c r="A64" s="63" t="s">
        <v>93</v>
      </c>
      <c r="B64" s="63"/>
      <c r="C64" s="63"/>
      <c r="D64" s="127" t="s">
        <v>24</v>
      </c>
      <c r="E64" s="127"/>
      <c r="F64" s="127"/>
      <c r="G64" s="127"/>
      <c r="H64" s="127"/>
      <c r="J64" s="26"/>
      <c r="K64" s="26"/>
    </row>
    <row r="65" spans="1:14" ht="15" hidden="1" customHeight="1" x14ac:dyDescent="0.3">
      <c r="A65" s="63" t="s">
        <v>79</v>
      </c>
      <c r="B65" s="63"/>
      <c r="C65" s="63"/>
      <c r="D65" s="65" t="s">
        <v>153</v>
      </c>
      <c r="E65" s="127"/>
      <c r="F65" s="127"/>
      <c r="G65" s="127"/>
      <c r="H65" s="127"/>
    </row>
    <row r="66" spans="1:14" x14ac:dyDescent="0.3">
      <c r="A66" s="127" t="s">
        <v>154</v>
      </c>
      <c r="B66" s="127"/>
      <c r="C66" s="127"/>
      <c r="D66" s="127" t="s">
        <v>30</v>
      </c>
      <c r="E66" s="127"/>
      <c r="F66" s="127"/>
      <c r="G66" s="127"/>
      <c r="H66" s="127"/>
      <c r="I66" s="27"/>
      <c r="J66" s="27"/>
      <c r="K66" s="27"/>
      <c r="L66" s="27"/>
      <c r="M66" s="27"/>
      <c r="N66" s="27"/>
    </row>
    <row r="67" spans="1:14" ht="15.75" customHeight="1" x14ac:dyDescent="0.3">
      <c r="A67" s="139" t="s">
        <v>91</v>
      </c>
      <c r="B67" s="139"/>
      <c r="C67" s="139"/>
      <c r="D67" s="140" t="str">
        <f ca="1">(IF(G87&gt;95%,"Nothing",IF(G87&gt;0%,"Cement, Aggregate, Steel, etc",IF(G87=0%,"Work not yet Started"))))</f>
        <v>Cement, Aggregate, Steel, etc</v>
      </c>
      <c r="E67" s="140"/>
      <c r="F67" s="140"/>
      <c r="G67" s="140"/>
      <c r="H67" s="140"/>
      <c r="J67" s="26"/>
    </row>
    <row r="68" spans="1:14" ht="33.75" customHeight="1" thickBot="1" x14ac:dyDescent="0.35">
      <c r="A68" s="127" t="s">
        <v>122</v>
      </c>
      <c r="B68" s="127"/>
      <c r="C68" s="127"/>
      <c r="D68" s="65" t="str">
        <f ca="1">(IF(D67="Nothing","Yes",IF(D67="Cement, Aggregate, Steel, etc","Under Construction",IF(D67="Work not yet Started","Work not yet Started"))))</f>
        <v>Under Construction</v>
      </c>
      <c r="E68" s="65"/>
      <c r="F68" s="65" t="str">
        <f ca="1">(IF(D67="Nothing","Yes",IF(D67="Cement, Aggregate, Steel, etc","Under Construction",IF(D67="Work not yet Started","Work not yet Started"))))</f>
        <v>Under Construction</v>
      </c>
      <c r="G68" s="65"/>
      <c r="H68" s="65"/>
    </row>
    <row r="69" spans="1:14" ht="15.75" customHeight="1" x14ac:dyDescent="0.3">
      <c r="A69" s="161" t="s">
        <v>145</v>
      </c>
      <c r="B69" s="161"/>
      <c r="C69" s="161" t="str">
        <f>D59</f>
        <v>Phase II (Wing A) = G + 1st to 7th Floor</v>
      </c>
      <c r="D69" s="161"/>
      <c r="E69" s="161"/>
      <c r="F69" s="161"/>
      <c r="G69" s="161"/>
      <c r="H69" s="161"/>
      <c r="I69" s="61" t="str">
        <f ca="1">IF(D82=100%,"All work Completed. Possession granted to the Building.",IF(D81=100%,"All work Completed, Waiting for OC",I70&amp;""&amp;I71&amp;""&amp;J70&amp;""&amp;J69&amp;" "&amp;J71))</f>
        <v xml:space="preserve">Work not yet Started. </v>
      </c>
      <c r="J69" s="50" t="str">
        <f ca="1">(IF(C75=(D70+F70+H70),"",IF(C75&gt;0,", RCC upto "&amp;C75&amp;" Slab","")))&amp;(IF(C76=H70,"",IF(C76&gt;0,", Brickwork upto "&amp;C76&amp;" Floor","")))&amp;(IF(C77=H70,"",IF(C77&gt;0,", Internal Plaster upto "&amp;C77&amp;" Floor","")))&amp;(IF(C78=H70,"",IF(C78&gt;0,", External Plaster upto "&amp;C78&amp;" Floor","")))&amp;(IF(C79=H70,"",IF(C79&gt;0,", Flooring upto "&amp;C79&amp;" Floor","")))&amp;(IF(C80=H70,"",IF(C80&gt;0,", Painting upto "&amp;C80&amp;" Floor","")))&amp;(IF(C81=H70,"",IF(C81&gt;0,", Finishing upto "&amp;C81&amp;" Floor","")))&amp;(IF(C82=H70,"",IF(C82&gt;0,", Possession upto "&amp;C82&amp;" Floor","")))</f>
        <v/>
      </c>
    </row>
    <row r="70" spans="1:14" x14ac:dyDescent="0.3">
      <c r="A70" s="46" t="s">
        <v>147</v>
      </c>
      <c r="B70" s="46">
        <v>0</v>
      </c>
      <c r="C70" s="46" t="s">
        <v>76</v>
      </c>
      <c r="D70" s="46">
        <v>1</v>
      </c>
      <c r="E70" s="46" t="s">
        <v>75</v>
      </c>
      <c r="F70" s="46">
        <v>0</v>
      </c>
      <c r="G70" s="46" t="s">
        <v>85</v>
      </c>
      <c r="H70" s="46">
        <f ca="1">--TRIM(RIGHT(SUBSTITUTE(LEFT(C69,_xlfn.AGGREGATE(16,6,FIND({0,1,2,3,4,5,6,7,8,9},C69,ROW(INDIRECT("1:"&amp;LEN(C69)))),1))," ",REPT(" ",LEN(C69))),LEN(C69)))</f>
        <v>7</v>
      </c>
      <c r="I70" s="62" t="str">
        <f ca="1">IF(D73=100%,"Excavation","")&amp;IF(D74=100%,", Plinth","")&amp;IF(D75=100%,", RCC Slab","")&amp;IF(D76=100%,", Brickwork","")&amp;IF(D77=100%,", Internal Plaster","")&amp;IF(D78=100%,", External Plaster","")&amp;IF(D79=100%,", Flooring","")&amp;IF(D80=100%,", Painting","")&amp;IF(D81=100%,", Building common Amenities","")</f>
        <v/>
      </c>
      <c r="J70" s="52" t="str">
        <f>(IF(C73=0,"Work not yet Started.",IF(D73=25%,"Piling work in process",IF(D73=50%,"Excavation work in process",IF(D73=100%,"","0")))))&amp;(IF(C74=0%,"",IF(C74=J75,", Footing work is process",IF(C74=J76,", Footing work Completed",IF(C74=J77,", 1st Basement Completed",IF(C74=J78,", 1st &amp; 2nd Basement Completed",IF(C74=J79,", 1st to 3rd Basement Completed",IF(C74=J80,", 1st to 4th Basement Completed",IF(C74=J81,", Plinth work is process",IF(C74=J82,"","0"))))))))))</f>
        <v>Work not yet Started.</v>
      </c>
    </row>
    <row r="71" spans="1:14" x14ac:dyDescent="0.3">
      <c r="A71" s="143" t="s">
        <v>95</v>
      </c>
      <c r="B71" s="143"/>
      <c r="C71" s="161" t="str">
        <f ca="1">I69</f>
        <v xml:space="preserve">Work not yet Started. </v>
      </c>
      <c r="D71" s="161"/>
      <c r="E71" s="161"/>
      <c r="F71" s="161"/>
      <c r="G71" s="161"/>
      <c r="H71" s="161"/>
      <c r="I71" s="62" t="str">
        <f ca="1">IF(I70&lt;&gt;""," Completed","")</f>
        <v/>
      </c>
      <c r="J71" s="52" t="str">
        <f ca="1">IF(J69&lt;&gt;"","Completed","")</f>
        <v/>
      </c>
    </row>
    <row r="72" spans="1:14" ht="15.75" customHeight="1" x14ac:dyDescent="0.3">
      <c r="A72" s="71" t="s">
        <v>52</v>
      </c>
      <c r="B72" s="71"/>
      <c r="C72" s="54" t="s">
        <v>144</v>
      </c>
      <c r="D72" s="54" t="s">
        <v>88</v>
      </c>
      <c r="E72" s="71" t="s">
        <v>90</v>
      </c>
      <c r="F72" s="71"/>
      <c r="G72" s="71" t="s">
        <v>89</v>
      </c>
      <c r="H72" s="71"/>
      <c r="I72" s="13" t="s">
        <v>146</v>
      </c>
      <c r="J72" s="28">
        <f ca="1">H70*25%</f>
        <v>1.75</v>
      </c>
    </row>
    <row r="73" spans="1:14" x14ac:dyDescent="0.3">
      <c r="A73" s="71" t="s">
        <v>133</v>
      </c>
      <c r="B73" s="71"/>
      <c r="C73" s="54">
        <v>0</v>
      </c>
      <c r="D73" s="55">
        <f ca="1">((100/H70)*C73)/100</f>
        <v>0</v>
      </c>
      <c r="E73" s="158">
        <f ca="1">(((C74/H70*10)+(40/(D70+F70+H70)*C75)+(7.5/(H70)*C76)+(7.5/(H70)*C77)+(10/H70*C78)+(10/H70*C79)+(5/H70*C80)+(5/H70*C81)+(5/H70*C82))/100)</f>
        <v>0</v>
      </c>
      <c r="F73" s="158"/>
      <c r="G73" s="158">
        <f ca="1">((((C73/H70)*20)+((C74/H70)*25)+(30/(H70+F70+D70)*C75)+(5/H70*C76)+(5/H70*C77)+(5/H70*C78)+(5/H70*C79)+(0/H70*C80)+(0/H70*C81)+(5/H70*C82))/100)</f>
        <v>0</v>
      </c>
      <c r="H73" s="158"/>
      <c r="I73" s="13" t="s">
        <v>104</v>
      </c>
      <c r="J73" s="29">
        <f ca="1">H70*50%</f>
        <v>3.5</v>
      </c>
    </row>
    <row r="74" spans="1:14" x14ac:dyDescent="0.3">
      <c r="A74" s="71" t="s">
        <v>53</v>
      </c>
      <c r="B74" s="71"/>
      <c r="C74" s="54">
        <v>0</v>
      </c>
      <c r="D74" s="55">
        <f ca="1">((100/H70)*C74)/100</f>
        <v>0</v>
      </c>
      <c r="E74" s="158"/>
      <c r="F74" s="158"/>
      <c r="G74" s="158"/>
      <c r="H74" s="158"/>
      <c r="I74" s="13" t="s">
        <v>105</v>
      </c>
      <c r="J74" s="29">
        <f ca="1">H70</f>
        <v>7</v>
      </c>
    </row>
    <row r="75" spans="1:14" ht="15.75" customHeight="1" x14ac:dyDescent="0.3">
      <c r="A75" s="71" t="s">
        <v>134</v>
      </c>
      <c r="B75" s="71"/>
      <c r="C75" s="54">
        <v>0</v>
      </c>
      <c r="D75" s="55">
        <f ca="1">((100/(D70+F70+H70))*C75)/100</f>
        <v>0</v>
      </c>
      <c r="E75" s="158"/>
      <c r="F75" s="158"/>
      <c r="G75" s="158"/>
      <c r="H75" s="158"/>
      <c r="I75" s="13" t="s">
        <v>106</v>
      </c>
      <c r="J75" s="30">
        <f ca="1">(IF(B70&gt;1,(H70/(B70+2)),H70/4))</f>
        <v>1.75</v>
      </c>
    </row>
    <row r="76" spans="1:14" ht="15.75" customHeight="1" x14ac:dyDescent="0.3">
      <c r="A76" s="71" t="s">
        <v>141</v>
      </c>
      <c r="B76" s="71" t="s">
        <v>135</v>
      </c>
      <c r="C76" s="54">
        <v>0</v>
      </c>
      <c r="D76" s="55">
        <f ca="1">((100/H70)*C76)/100</f>
        <v>0</v>
      </c>
      <c r="E76" s="158"/>
      <c r="F76" s="158"/>
      <c r="G76" s="158"/>
      <c r="H76" s="158"/>
      <c r="I76" s="13" t="s">
        <v>107</v>
      </c>
      <c r="J76" s="30">
        <f ca="1">(IF(B70&gt;1,(H70/(B70+2)+J75),H70/4+J75))</f>
        <v>3.5</v>
      </c>
    </row>
    <row r="77" spans="1:14" ht="15.75" customHeight="1" x14ac:dyDescent="0.3">
      <c r="A77" s="71" t="s">
        <v>142</v>
      </c>
      <c r="B77" s="71" t="s">
        <v>135</v>
      </c>
      <c r="C77" s="54">
        <v>0</v>
      </c>
      <c r="D77" s="55">
        <f ca="1">((100/H70)*C77)/100</f>
        <v>0</v>
      </c>
      <c r="E77" s="158"/>
      <c r="F77" s="158"/>
      <c r="G77" s="158"/>
      <c r="H77" s="158"/>
      <c r="I77" s="13" t="s">
        <v>151</v>
      </c>
      <c r="J77" s="30">
        <f>(IF(B70&gt;1,(H70/(B70+2)+J76),0))</f>
        <v>0</v>
      </c>
    </row>
    <row r="78" spans="1:14" ht="15" customHeight="1" x14ac:dyDescent="0.3">
      <c r="A78" s="71" t="s">
        <v>140</v>
      </c>
      <c r="B78" s="71" t="s">
        <v>137</v>
      </c>
      <c r="C78" s="54">
        <v>0</v>
      </c>
      <c r="D78" s="55">
        <f ca="1">((100/(H70))*C78)/100</f>
        <v>0</v>
      </c>
      <c r="E78" s="158"/>
      <c r="F78" s="158"/>
      <c r="G78" s="158"/>
      <c r="H78" s="158"/>
      <c r="I78" s="13" t="s">
        <v>148</v>
      </c>
      <c r="J78" s="30">
        <f>(IF(B70&gt;2,(H70/(B70+2)+J77),0))</f>
        <v>0</v>
      </c>
    </row>
    <row r="79" spans="1:14" ht="15.75" customHeight="1" x14ac:dyDescent="0.3">
      <c r="A79" s="71" t="s">
        <v>136</v>
      </c>
      <c r="B79" s="71" t="s">
        <v>136</v>
      </c>
      <c r="C79" s="54">
        <v>0</v>
      </c>
      <c r="D79" s="55">
        <f ca="1">((100/H70)*C79)/100</f>
        <v>0</v>
      </c>
      <c r="E79" s="158"/>
      <c r="F79" s="158"/>
      <c r="G79" s="158"/>
      <c r="H79" s="158"/>
      <c r="I79" s="13" t="s">
        <v>149</v>
      </c>
      <c r="J79" s="31">
        <f>(IF(B70&gt;3,(H70/(B70+2)+J78),0))</f>
        <v>0</v>
      </c>
    </row>
    <row r="80" spans="1:14" ht="15.75" customHeight="1" x14ac:dyDescent="0.3">
      <c r="A80" s="71" t="s">
        <v>143</v>
      </c>
      <c r="B80" s="71"/>
      <c r="C80" s="54">
        <v>0</v>
      </c>
      <c r="D80" s="55">
        <f ca="1">((100/H70)*C80)/100</f>
        <v>0</v>
      </c>
      <c r="E80" s="158"/>
      <c r="F80" s="158"/>
      <c r="G80" s="158"/>
      <c r="H80" s="158"/>
      <c r="I80" s="13" t="s">
        <v>150</v>
      </c>
      <c r="J80" s="30">
        <f>(IF(B70&gt;4,(H70/(B70+2)+J79),0))</f>
        <v>0</v>
      </c>
    </row>
    <row r="81" spans="1:10" ht="15.75" customHeight="1" x14ac:dyDescent="0.3">
      <c r="A81" s="71" t="s">
        <v>138</v>
      </c>
      <c r="B81" s="71" t="s">
        <v>138</v>
      </c>
      <c r="C81" s="54">
        <v>0</v>
      </c>
      <c r="D81" s="55">
        <f ca="1">((100/(H70))*C81)/100</f>
        <v>0</v>
      </c>
      <c r="E81" s="158"/>
      <c r="F81" s="158"/>
      <c r="G81" s="158"/>
      <c r="H81" s="158"/>
      <c r="I81" s="13" t="s">
        <v>152</v>
      </c>
      <c r="J81" s="30">
        <f ca="1">(IF(B70=1,(H70/(B70+3)+J76),IF(B70=0,(H70/4+J76),IF(B70&gt;1,0))))</f>
        <v>5.25</v>
      </c>
    </row>
    <row r="82" spans="1:10" ht="16.2" thickBot="1" x14ac:dyDescent="0.35">
      <c r="A82" s="71" t="s">
        <v>139</v>
      </c>
      <c r="B82" s="71"/>
      <c r="C82" s="54">
        <v>0</v>
      </c>
      <c r="D82" s="55">
        <f ca="1">((100/(H70))*C82)/100</f>
        <v>0</v>
      </c>
      <c r="E82" s="158"/>
      <c r="F82" s="158"/>
      <c r="G82" s="158"/>
      <c r="H82" s="158"/>
      <c r="I82" s="15" t="s">
        <v>108</v>
      </c>
      <c r="J82" s="32">
        <f ca="1">(IF(B70&gt;1.5,(H70/(B70+2)+J76+MAX(0,J77-J76)+MAX(0,J78-J77)+MAX(0,J79-J78)+MAX(0,J80-J79)+MAX(0,J81-J80)),IF(B70=1,(H70/(B70+3)+J81),IF(B70=0,H70/4+J81))))</f>
        <v>7</v>
      </c>
    </row>
    <row r="83" spans="1:10" ht="15.75" customHeight="1" x14ac:dyDescent="0.3">
      <c r="A83" s="72" t="s">
        <v>145</v>
      </c>
      <c r="B83" s="73"/>
      <c r="C83" s="74" t="str">
        <f>D60</f>
        <v>Phase I (Wing B &amp; C) = G + 1st to 7th Floor</v>
      </c>
      <c r="D83" s="75"/>
      <c r="E83" s="75"/>
      <c r="F83" s="75"/>
      <c r="G83" s="75"/>
      <c r="H83" s="76"/>
      <c r="I83" s="49" t="str">
        <f ca="1">IF(D96=100%,"All work Completed. Possession granted to the Building.",IF(D95=100%,"All work Completed, Waiting for OC",I84&amp;""&amp;I85&amp;""&amp;J84&amp;""&amp;J83&amp;" "&amp;J85))</f>
        <v>Excavation, Plinth Completed, RCC upto 5 Slab Completed</v>
      </c>
      <c r="J83" s="50" t="str">
        <f ca="1">(IF(C89=(D84+F84+H84),"",IF(C89&gt;0,", RCC upto "&amp;C89&amp;" Slab","")))&amp;(IF(C90=H84,"",IF(C90&gt;0,", Brickwork upto "&amp;C90&amp;" Floor","")))&amp;(IF(C91=H84,"",IF(C91&gt;0,", Internal Plaster upto "&amp;C91&amp;" Floor","")))&amp;(IF(C92=H84,"",IF(C92&gt;0,", External Plaster upto "&amp;C92&amp;" Floor","")))&amp;(IF(C93=H84,"",IF(C93&gt;0,", Flooring upto "&amp;C93&amp;" Floor","")))&amp;(IF(C94=H84,"",IF(C94&gt;0,", Painting upto "&amp;C94&amp;" Floor","")))&amp;(IF(C95=H84,"",IF(C95&gt;0,", Finishing upto "&amp;C95&amp;" Floor","")))&amp;(IF(C96=H84,"",IF(C96&gt;0,", Possession upto "&amp;C96&amp;" Floor","")))</f>
        <v>, RCC upto 5 Slab</v>
      </c>
    </row>
    <row r="84" spans="1:10" x14ac:dyDescent="0.3">
      <c r="A84" s="16" t="s">
        <v>147</v>
      </c>
      <c r="B84" s="46">
        <v>0</v>
      </c>
      <c r="C84" s="46" t="s">
        <v>76</v>
      </c>
      <c r="D84" s="46">
        <v>1</v>
      </c>
      <c r="E84" s="46" t="s">
        <v>75</v>
      </c>
      <c r="F84" s="46">
        <v>0</v>
      </c>
      <c r="G84" s="46" t="s">
        <v>85</v>
      </c>
      <c r="H84" s="17">
        <f ca="1">--TRIM(RIGHT(SUBSTITUTE(LEFT(C83,_xlfn.AGGREGATE(16,6,FIND({0,1,2,3,4,5,6,7,8,9},C83,ROW(INDIRECT("1:"&amp;LEN(C83)))),1))," ",REPT(" ",LEN(C83))),LEN(C83)))</f>
        <v>7</v>
      </c>
      <c r="I84" s="51" t="str">
        <f ca="1">IF(D87=100%,"Excavation","")&amp;IF(D88=100%,", Plinth","")&amp;IF(D89=100%,", RCC Slab","")&amp;IF(D90=100%,", Brickwork","")&amp;IF(D91=100%,", Internal Plaster","")&amp;IF(D92=100%,", External Plaster","")&amp;IF(D93=100%,", Flooring","")&amp;IF(D94=100%,", Painting","")&amp;IF(D95=100%,", Building common Amenities","")</f>
        <v>Excavation, Plinth</v>
      </c>
      <c r="J84" s="52" t="str">
        <f ca="1">(IF(C87=0,"Work not yet Started.",IF(D87=25%,"Piling work in process",IF(D87=50%,"Excavation work in process",IF(D87=100%,"","0")))))&amp;(IF(C88=0%,"",IF(C88=J89,", Footing work is process",IF(C88=J90,", Footing work Completed",IF(C88=J91,", 1st Basement Completed",IF(C88=J92,", 1st &amp; 2nd Basement Completed",IF(C88=J93,", 1st to 3rd Basement Completed",IF(C88=J94,", 1st to 4th Basement Completed",IF(C88=J95,", Plinth work is process",IF(C88=J96,"","0"))))))))))</f>
        <v/>
      </c>
    </row>
    <row r="85" spans="1:10" x14ac:dyDescent="0.3">
      <c r="A85" s="183" t="s">
        <v>95</v>
      </c>
      <c r="B85" s="143"/>
      <c r="C85" s="161" t="str">
        <f ca="1">(IF($G$54="NA",I83,"All work Completed. OC Received."))</f>
        <v>Excavation, Plinth Completed, RCC upto 5 Slab Completed</v>
      </c>
      <c r="D85" s="161"/>
      <c r="E85" s="161"/>
      <c r="F85" s="161"/>
      <c r="G85" s="161"/>
      <c r="H85" s="184"/>
      <c r="I85" s="51" t="str">
        <f ca="1">IF(I84&lt;&gt;""," Completed","")</f>
        <v xml:space="preserve"> Completed</v>
      </c>
      <c r="J85" s="52" t="str">
        <f ca="1">IF(J83&lt;&gt;"","Completed","")</f>
        <v>Completed</v>
      </c>
    </row>
    <row r="86" spans="1:10" ht="15.75" customHeight="1" x14ac:dyDescent="0.3">
      <c r="A86" s="70" t="s">
        <v>52</v>
      </c>
      <c r="B86" s="71"/>
      <c r="C86" s="54" t="s">
        <v>144</v>
      </c>
      <c r="D86" s="54" t="s">
        <v>88</v>
      </c>
      <c r="E86" s="71" t="s">
        <v>90</v>
      </c>
      <c r="F86" s="71"/>
      <c r="G86" s="71" t="s">
        <v>89</v>
      </c>
      <c r="H86" s="192"/>
      <c r="I86" s="13" t="s">
        <v>146</v>
      </c>
      <c r="J86" s="28">
        <f ca="1">H84*25%</f>
        <v>1.75</v>
      </c>
    </row>
    <row r="87" spans="1:10" x14ac:dyDescent="0.3">
      <c r="A87" s="70" t="s">
        <v>133</v>
      </c>
      <c r="B87" s="71"/>
      <c r="C87" s="54">
        <f ca="1">J88</f>
        <v>7</v>
      </c>
      <c r="D87" s="55">
        <f ca="1">((100/H84)*C87)/100</f>
        <v>1</v>
      </c>
      <c r="E87" s="167">
        <f ca="1">(((C88/H84*10)+(40/(D84+F84+H84)*C89)+(7.5/(H84)*C90)+(7.5/(H84)*C91)+(10/H84*C92)+(10/H84*C93)+(5/H84*C94)+(5/H84*C95)+(5/H84*C96))/100)</f>
        <v>0.35</v>
      </c>
      <c r="F87" s="168"/>
      <c r="G87" s="167">
        <f ca="1">((((C87/H84)*20)+((C88/H84)*25)+(30/(H84+F84+D84)*C89)+(5/H84*C90)+(5/H84*C91)+(5/H84*C92)+(5/H84*C93)+(0/H84*C94)+(0/H84*C95)+(5/H84*C96))/100)</f>
        <v>0.63749999999999996</v>
      </c>
      <c r="H87" s="189"/>
      <c r="I87" s="13" t="s">
        <v>104</v>
      </c>
      <c r="J87" s="29">
        <f ca="1">H84*50%</f>
        <v>3.5</v>
      </c>
    </row>
    <row r="88" spans="1:10" x14ac:dyDescent="0.3">
      <c r="A88" s="70" t="s">
        <v>53</v>
      </c>
      <c r="B88" s="71"/>
      <c r="C88" s="54">
        <f ca="1">J96</f>
        <v>7</v>
      </c>
      <c r="D88" s="55">
        <f ca="1">((100/H84)*C88)/100</f>
        <v>1</v>
      </c>
      <c r="E88" s="169"/>
      <c r="F88" s="170"/>
      <c r="G88" s="169"/>
      <c r="H88" s="190"/>
      <c r="I88" s="13" t="s">
        <v>105</v>
      </c>
      <c r="J88" s="29">
        <f ca="1">H84</f>
        <v>7</v>
      </c>
    </row>
    <row r="89" spans="1:10" ht="15.75" customHeight="1" x14ac:dyDescent="0.3">
      <c r="A89" s="70" t="s">
        <v>134</v>
      </c>
      <c r="B89" s="71"/>
      <c r="C89" s="54">
        <v>5</v>
      </c>
      <c r="D89" s="55">
        <f ca="1">((100/(D84+F84+H84))*C89)/100</f>
        <v>0.625</v>
      </c>
      <c r="E89" s="169"/>
      <c r="F89" s="170"/>
      <c r="G89" s="169"/>
      <c r="H89" s="190"/>
      <c r="I89" s="13" t="s">
        <v>106</v>
      </c>
      <c r="J89" s="30">
        <f ca="1">(IF(B84&gt;1,(H84/(B84+2)),H84/4))</f>
        <v>1.75</v>
      </c>
    </row>
    <row r="90" spans="1:10" ht="15.75" customHeight="1" x14ac:dyDescent="0.3">
      <c r="A90" s="70" t="s">
        <v>141</v>
      </c>
      <c r="B90" s="71" t="s">
        <v>135</v>
      </c>
      <c r="C90" s="54">
        <v>0</v>
      </c>
      <c r="D90" s="55">
        <f ca="1">((100/H84)*C90)/100</f>
        <v>0</v>
      </c>
      <c r="E90" s="169"/>
      <c r="F90" s="170"/>
      <c r="G90" s="169"/>
      <c r="H90" s="190"/>
      <c r="I90" s="13" t="s">
        <v>107</v>
      </c>
      <c r="J90" s="30">
        <f ca="1">(IF(B84&gt;1,(H84/(B84+2)+J89),H84/4+J89))</f>
        <v>3.5</v>
      </c>
    </row>
    <row r="91" spans="1:10" ht="15.75" customHeight="1" x14ac:dyDescent="0.3">
      <c r="A91" s="70" t="s">
        <v>142</v>
      </c>
      <c r="B91" s="71" t="s">
        <v>135</v>
      </c>
      <c r="C91" s="54">
        <v>0</v>
      </c>
      <c r="D91" s="55">
        <f ca="1">((100/H84)*C91)/100</f>
        <v>0</v>
      </c>
      <c r="E91" s="169"/>
      <c r="F91" s="170"/>
      <c r="G91" s="169"/>
      <c r="H91" s="190"/>
      <c r="I91" s="13" t="s">
        <v>151</v>
      </c>
      <c r="J91" s="30">
        <f>(IF(B84&gt;1,(H84/(B84+2)+J90),0))</f>
        <v>0</v>
      </c>
    </row>
    <row r="92" spans="1:10" ht="15" customHeight="1" x14ac:dyDescent="0.3">
      <c r="A92" s="70" t="s">
        <v>140</v>
      </c>
      <c r="B92" s="71" t="s">
        <v>137</v>
      </c>
      <c r="C92" s="54">
        <v>0</v>
      </c>
      <c r="D92" s="55">
        <f ca="1">((100/(H84))*C92)/100</f>
        <v>0</v>
      </c>
      <c r="E92" s="169"/>
      <c r="F92" s="170"/>
      <c r="G92" s="169"/>
      <c r="H92" s="190"/>
      <c r="I92" s="13" t="s">
        <v>148</v>
      </c>
      <c r="J92" s="30">
        <f>(IF(B84&gt;2,(H84/(B84+2)+J91),0))</f>
        <v>0</v>
      </c>
    </row>
    <row r="93" spans="1:10" ht="15.75" customHeight="1" x14ac:dyDescent="0.3">
      <c r="A93" s="70" t="s">
        <v>136</v>
      </c>
      <c r="B93" s="71" t="s">
        <v>136</v>
      </c>
      <c r="C93" s="54">
        <v>0</v>
      </c>
      <c r="D93" s="55">
        <f ca="1">((100/H84)*C93)/100</f>
        <v>0</v>
      </c>
      <c r="E93" s="169"/>
      <c r="F93" s="170"/>
      <c r="G93" s="169"/>
      <c r="H93" s="190"/>
      <c r="I93" s="13" t="s">
        <v>149</v>
      </c>
      <c r="J93" s="31">
        <f>(IF(B84&gt;3,(H84/(B84+2)+J92),0))</f>
        <v>0</v>
      </c>
    </row>
    <row r="94" spans="1:10" ht="15.75" customHeight="1" x14ac:dyDescent="0.3">
      <c r="A94" s="70" t="s">
        <v>143</v>
      </c>
      <c r="B94" s="71"/>
      <c r="C94" s="54">
        <v>0</v>
      </c>
      <c r="D94" s="55">
        <f ca="1">((100/H84)*C94)/100</f>
        <v>0</v>
      </c>
      <c r="E94" s="169"/>
      <c r="F94" s="170"/>
      <c r="G94" s="169"/>
      <c r="H94" s="190"/>
      <c r="I94" s="13" t="s">
        <v>150</v>
      </c>
      <c r="J94" s="30">
        <f>(IF(B84&gt;4,(H84/(B84+2)+J93),0))</f>
        <v>0</v>
      </c>
    </row>
    <row r="95" spans="1:10" ht="15.75" customHeight="1" x14ac:dyDescent="0.3">
      <c r="A95" s="70" t="s">
        <v>138</v>
      </c>
      <c r="B95" s="71" t="s">
        <v>138</v>
      </c>
      <c r="C95" s="54">
        <v>0</v>
      </c>
      <c r="D95" s="55">
        <f ca="1">((100/(H84))*C95)/100</f>
        <v>0</v>
      </c>
      <c r="E95" s="169"/>
      <c r="F95" s="170"/>
      <c r="G95" s="169"/>
      <c r="H95" s="190"/>
      <c r="I95" s="13" t="s">
        <v>152</v>
      </c>
      <c r="J95" s="30">
        <f ca="1">(IF(B84=1,(H84/(B84+3)+J90),IF(B84=0,(H84/4+J90),IF(B84&gt;1,0))))</f>
        <v>5.25</v>
      </c>
    </row>
    <row r="96" spans="1:10" ht="16.2" thickBot="1" x14ac:dyDescent="0.35">
      <c r="A96" s="173" t="s">
        <v>139</v>
      </c>
      <c r="B96" s="174"/>
      <c r="C96" s="56">
        <v>0</v>
      </c>
      <c r="D96" s="57">
        <f ca="1">((100/(H84))*C96)/100</f>
        <v>0</v>
      </c>
      <c r="E96" s="171"/>
      <c r="F96" s="172"/>
      <c r="G96" s="171"/>
      <c r="H96" s="191"/>
      <c r="I96" s="15" t="s">
        <v>108</v>
      </c>
      <c r="J96" s="32">
        <f ca="1">(IF(B84&gt;1.5,(H84/(B84+2)+J90+MAX(0,J91-J90)+MAX(0,J92-J91)+MAX(0,J93-J92)+MAX(0,J94-J93)+MAX(0,J95-J94)),IF(B84=1,(H84/(B84+3)+J95),IF(B84=0,H84/4+J95))))</f>
        <v>7</v>
      </c>
    </row>
    <row r="97" spans="1:10" ht="15.75" hidden="1" customHeight="1" x14ac:dyDescent="0.3">
      <c r="A97" s="162" t="s">
        <v>145</v>
      </c>
      <c r="B97" s="163"/>
      <c r="C97" s="164" t="str">
        <f>D61</f>
        <v>D Wing = G + 1st to 2nd Floor</v>
      </c>
      <c r="D97" s="165"/>
      <c r="E97" s="165"/>
      <c r="F97" s="165"/>
      <c r="G97" s="165"/>
      <c r="H97" s="166"/>
      <c r="I97" s="49" t="str">
        <f ca="1">IF(D110=100%,"All work Completed. Possession granted to the Building.",IF(D109=100%,"All work Completed, Waiting for OC",I98&amp;""&amp;I99&amp;""&amp;J98&amp;""&amp;J97&amp;" "&amp;J99))</f>
        <v xml:space="preserve">Work not yet Started. </v>
      </c>
      <c r="J97" s="50" t="str">
        <f ca="1">(IF(C103=(D98+F98+H98),"",IF(C103&gt;0,", RCC upto "&amp;C103&amp;" Slab","")))&amp;(IF(C104=H98,"",IF(C104&gt;0,", Brickwork upto "&amp;C104&amp;" Floor","")))&amp;(IF(C105=H98,"",IF(C105&gt;0,", Internal Plaster upto "&amp;C105&amp;" Floor","")))&amp;(IF(C106=H98,"",IF(C106&gt;0,", External Plaster upto "&amp;C106&amp;" Floor","")))&amp;(IF(C107=H98,"",IF(C107&gt;0,", Flooring upto "&amp;C107&amp;" Floor","")))&amp;(IF(C108=H98,"",IF(C108&gt;0,", Painting upto "&amp;C108&amp;" Floor","")))&amp;(IF(C109=H98,"",IF(C109&gt;0,", Finishing upto "&amp;C109&amp;" Floor","")))&amp;(IF(C110=H98,"",IF(C110&gt;0,", Possession upto "&amp;C110&amp;" Floor","")))</f>
        <v/>
      </c>
    </row>
    <row r="98" spans="1:10" hidden="1" x14ac:dyDescent="0.3">
      <c r="A98" s="16" t="s">
        <v>147</v>
      </c>
      <c r="B98" s="14">
        <v>0</v>
      </c>
      <c r="C98" s="46" t="s">
        <v>76</v>
      </c>
      <c r="D98" s="46">
        <v>1</v>
      </c>
      <c r="E98" s="46" t="s">
        <v>75</v>
      </c>
      <c r="F98" s="14">
        <v>0</v>
      </c>
      <c r="G98" s="47" t="s">
        <v>85</v>
      </c>
      <c r="H98" s="17">
        <f ca="1">--TRIM(RIGHT(SUBSTITUTE(LEFT(C97,_xlfn.AGGREGATE(16,6,FIND({0,1,2,3,4,5,6,7,8,9},C97,ROW(INDIRECT("1:"&amp;LEN(C97)))),1))," ",REPT(" ",LEN(C97))),LEN(C97)))</f>
        <v>2</v>
      </c>
      <c r="I98" s="51" t="str">
        <f ca="1">IF(D101=100%,"Excavation","")&amp;IF(D102=100%,", Plinth","")&amp;IF(D103=100%,", RCC Slab","")&amp;IF(D104=100%,", Brickwork","")&amp;IF(D105=100%,", Internal Plaster","")&amp;IF(D106=100%,", External Plaster","")&amp;IF(D107=100%,", Flooring","")&amp;IF(D108=100%,", Painting","")&amp;IF(D109=100%,", Building common Amenities","")</f>
        <v/>
      </c>
      <c r="J98" s="52" t="str">
        <f>(IF(C101=0,"Work not yet Started.",IF(D101=25%,"Piling work in process",IF(D101=50%,"Excavation work in process",IF(D101=100%,"","0")))))&amp;(IF(C102=0%,"",IF(C102=J103,", Footing work is process",IF(C102=J104,", Footing work Completed",IF(C102=J105,", 1st Basement Completed",IF(C102=J106,", 1st &amp; 2nd Basement Completed",IF(C102=J107,", 1st to 3rd Basement Completed",IF(C102=J108,", 1st to 4th Basement Completed",IF(C102=J109,", Plinth work is process",IF(C102=J110,"","0"))))))))))</f>
        <v>Work not yet Started.</v>
      </c>
    </row>
    <row r="99" spans="1:10" hidden="1" x14ac:dyDescent="0.3">
      <c r="A99" s="183" t="s">
        <v>95</v>
      </c>
      <c r="B99" s="143"/>
      <c r="C99" s="161" t="str">
        <f ca="1">(IF($G$54="NA",I97,"All work Completed. OC Received."))</f>
        <v xml:space="preserve">Work not yet Started. </v>
      </c>
      <c r="D99" s="161"/>
      <c r="E99" s="161"/>
      <c r="F99" s="161"/>
      <c r="G99" s="161"/>
      <c r="H99" s="184"/>
      <c r="I99" s="51" t="str">
        <f ca="1">IF(I98&lt;&gt;""," Completed","")</f>
        <v/>
      </c>
      <c r="J99" s="52" t="str">
        <f ca="1">IF(J97&lt;&gt;"","Completed","")</f>
        <v/>
      </c>
    </row>
    <row r="100" spans="1:10" ht="15.75" hidden="1" customHeight="1" x14ac:dyDescent="0.3">
      <c r="A100" s="77" t="s">
        <v>52</v>
      </c>
      <c r="B100" s="78"/>
      <c r="C100" s="42" t="s">
        <v>144</v>
      </c>
      <c r="D100" s="42" t="s">
        <v>88</v>
      </c>
      <c r="E100" s="78" t="s">
        <v>90</v>
      </c>
      <c r="F100" s="78"/>
      <c r="G100" s="78" t="s">
        <v>89</v>
      </c>
      <c r="H100" s="182"/>
      <c r="I100" s="13" t="s">
        <v>146</v>
      </c>
      <c r="J100" s="28">
        <f ca="1">H98*25%</f>
        <v>0.5</v>
      </c>
    </row>
    <row r="101" spans="1:10" hidden="1" x14ac:dyDescent="0.3">
      <c r="A101" s="77" t="s">
        <v>133</v>
      </c>
      <c r="B101" s="78"/>
      <c r="C101" s="42">
        <v>0</v>
      </c>
      <c r="D101" s="19">
        <f ca="1">((100/H98)*C101)/100</f>
        <v>0</v>
      </c>
      <c r="E101" s="175">
        <f ca="1">(((C102/H98*10)+(40/(D98+F98+H98)*C103)+(7.5/(H98)*C104)+(7.5/(H98)*C105)+(10/H98*C106)+(10/H98*C107)+(5/H98*C108)+(5/H98*C109)+(5/H98*C110))/100)</f>
        <v>0</v>
      </c>
      <c r="F101" s="176"/>
      <c r="G101" s="175">
        <f ca="1">((((C101/H98)*20)+((C102/H98)*25)+(30/(H98+F98+D98)*C103)+(5/H98*C104)+(5/H98*C105)+(5/H98*C106)+(5/H98*C107)+(0/H98*C108)+(0/H98*C109)+(5/H98*C110))/100)</f>
        <v>0</v>
      </c>
      <c r="H101" s="195"/>
      <c r="I101" s="13" t="s">
        <v>104</v>
      </c>
      <c r="J101" s="29">
        <f ca="1">H98*50%</f>
        <v>1</v>
      </c>
    </row>
    <row r="102" spans="1:10" hidden="1" x14ac:dyDescent="0.3">
      <c r="A102" s="77" t="s">
        <v>53</v>
      </c>
      <c r="B102" s="78"/>
      <c r="C102" s="42">
        <v>0</v>
      </c>
      <c r="D102" s="19">
        <f ca="1">((100/H98)*C102)/100</f>
        <v>0</v>
      </c>
      <c r="E102" s="177"/>
      <c r="F102" s="178"/>
      <c r="G102" s="177"/>
      <c r="H102" s="196"/>
      <c r="I102" s="13" t="s">
        <v>105</v>
      </c>
      <c r="J102" s="29">
        <f ca="1">H98</f>
        <v>2</v>
      </c>
    </row>
    <row r="103" spans="1:10" ht="15.75" hidden="1" customHeight="1" x14ac:dyDescent="0.3">
      <c r="A103" s="77" t="s">
        <v>134</v>
      </c>
      <c r="B103" s="78"/>
      <c r="C103" s="42">
        <v>0</v>
      </c>
      <c r="D103" s="19">
        <f ca="1">((100/(D98+F98+H98))*C103)/100</f>
        <v>0</v>
      </c>
      <c r="E103" s="177"/>
      <c r="F103" s="178"/>
      <c r="G103" s="177"/>
      <c r="H103" s="196"/>
      <c r="I103" s="13" t="s">
        <v>106</v>
      </c>
      <c r="J103" s="30">
        <f ca="1">(IF(B98&gt;1,(H98/(B98+2)),H98/4))</f>
        <v>0.5</v>
      </c>
    </row>
    <row r="104" spans="1:10" ht="15.75" hidden="1" customHeight="1" x14ac:dyDescent="0.3">
      <c r="A104" s="77" t="s">
        <v>141</v>
      </c>
      <c r="B104" s="78" t="s">
        <v>135</v>
      </c>
      <c r="C104" s="42">
        <v>0</v>
      </c>
      <c r="D104" s="19">
        <f ca="1">((100/H98)*C104)/100</f>
        <v>0</v>
      </c>
      <c r="E104" s="177"/>
      <c r="F104" s="178"/>
      <c r="G104" s="177"/>
      <c r="H104" s="196"/>
      <c r="I104" s="13" t="s">
        <v>107</v>
      </c>
      <c r="J104" s="30">
        <f ca="1">(IF(B98&gt;1,(H98/(B98+2)+J103),H98/4+J103))</f>
        <v>1</v>
      </c>
    </row>
    <row r="105" spans="1:10" ht="15.75" hidden="1" customHeight="1" x14ac:dyDescent="0.3">
      <c r="A105" s="77" t="s">
        <v>142</v>
      </c>
      <c r="B105" s="78" t="s">
        <v>135</v>
      </c>
      <c r="C105" s="42">
        <v>0</v>
      </c>
      <c r="D105" s="19">
        <f ca="1">((100/H98)*C105)/100</f>
        <v>0</v>
      </c>
      <c r="E105" s="177"/>
      <c r="F105" s="178"/>
      <c r="G105" s="177"/>
      <c r="H105" s="196"/>
      <c r="I105" s="13" t="s">
        <v>151</v>
      </c>
      <c r="J105" s="30">
        <f>(IF(B98&gt;1,(H98/(B98+2)+J104),0))</f>
        <v>0</v>
      </c>
    </row>
    <row r="106" spans="1:10" ht="15" hidden="1" customHeight="1" x14ac:dyDescent="0.3">
      <c r="A106" s="77" t="s">
        <v>140</v>
      </c>
      <c r="B106" s="78" t="s">
        <v>137</v>
      </c>
      <c r="C106" s="42">
        <v>0</v>
      </c>
      <c r="D106" s="19">
        <f ca="1">((100/(H98))*C106)/100</f>
        <v>0</v>
      </c>
      <c r="E106" s="177"/>
      <c r="F106" s="178"/>
      <c r="G106" s="177"/>
      <c r="H106" s="196"/>
      <c r="I106" s="13" t="s">
        <v>148</v>
      </c>
      <c r="J106" s="30">
        <f>(IF(B98&gt;2,(H98/(B98+2)+J105),0))</f>
        <v>0</v>
      </c>
    </row>
    <row r="107" spans="1:10" ht="15.75" hidden="1" customHeight="1" x14ac:dyDescent="0.3">
      <c r="A107" s="77" t="s">
        <v>136</v>
      </c>
      <c r="B107" s="78" t="s">
        <v>136</v>
      </c>
      <c r="C107" s="42">
        <v>0</v>
      </c>
      <c r="D107" s="19">
        <f ca="1">((100/H98)*C107)/100</f>
        <v>0</v>
      </c>
      <c r="E107" s="177"/>
      <c r="F107" s="178"/>
      <c r="G107" s="177"/>
      <c r="H107" s="196"/>
      <c r="I107" s="13" t="s">
        <v>149</v>
      </c>
      <c r="J107" s="31">
        <f>(IF(B98&gt;3,(H98/(B98+2)+J106),0))</f>
        <v>0</v>
      </c>
    </row>
    <row r="108" spans="1:10" ht="15.75" hidden="1" customHeight="1" x14ac:dyDescent="0.3">
      <c r="A108" s="77" t="s">
        <v>143</v>
      </c>
      <c r="B108" s="78"/>
      <c r="C108" s="42">
        <v>0</v>
      </c>
      <c r="D108" s="19">
        <f ca="1">((100/H98)*C108)/100</f>
        <v>0</v>
      </c>
      <c r="E108" s="177"/>
      <c r="F108" s="178"/>
      <c r="G108" s="177"/>
      <c r="H108" s="196"/>
      <c r="I108" s="13" t="s">
        <v>150</v>
      </c>
      <c r="J108" s="30">
        <f>(IF(B98&gt;4,(H98/(B98+2)+J107),0))</f>
        <v>0</v>
      </c>
    </row>
    <row r="109" spans="1:10" ht="15.75" hidden="1" customHeight="1" x14ac:dyDescent="0.3">
      <c r="A109" s="77" t="s">
        <v>138</v>
      </c>
      <c r="B109" s="78" t="s">
        <v>138</v>
      </c>
      <c r="C109" s="42">
        <v>0</v>
      </c>
      <c r="D109" s="19">
        <f ca="1">((100/(H98))*C109)/100</f>
        <v>0</v>
      </c>
      <c r="E109" s="177"/>
      <c r="F109" s="178"/>
      <c r="G109" s="177"/>
      <c r="H109" s="196"/>
      <c r="I109" s="13" t="s">
        <v>152</v>
      </c>
      <c r="J109" s="30">
        <f ca="1">(IF(B98=1,(H98/(B98+3)+J104),IF(B98=0,(H98/4+J104),IF(B98&gt;1,0))))</f>
        <v>1.5</v>
      </c>
    </row>
    <row r="110" spans="1:10" ht="16.2" hidden="1" thickBot="1" x14ac:dyDescent="0.35">
      <c r="A110" s="82" t="s">
        <v>139</v>
      </c>
      <c r="B110" s="83"/>
      <c r="C110" s="43">
        <v>0</v>
      </c>
      <c r="D110" s="20">
        <f ca="1">((100/(H98))*C110)/100</f>
        <v>0</v>
      </c>
      <c r="E110" s="179"/>
      <c r="F110" s="180"/>
      <c r="G110" s="179"/>
      <c r="H110" s="197"/>
      <c r="I110" s="15" t="s">
        <v>108</v>
      </c>
      <c r="J110" s="32">
        <f ca="1">(IF(B98&gt;1.5,(H98/(B98+2)+J104+MAX(0,J105-J104)+MAX(0,J106-J105)+MAX(0,J107-J106)+MAX(0,J108-J107)+MAX(0,J109-J108)),IF(B98=1,(H98/(B98+3)+J109),IF(B98=0,H98/4+J109))))</f>
        <v>2</v>
      </c>
    </row>
    <row r="111" spans="1:10" x14ac:dyDescent="0.3">
      <c r="A111" s="198" t="s">
        <v>162</v>
      </c>
      <c r="B111" s="198"/>
      <c r="C111" s="198"/>
      <c r="D111" s="198"/>
      <c r="E111" s="198"/>
      <c r="F111" s="181" t="s">
        <v>167</v>
      </c>
      <c r="G111" s="181"/>
      <c r="H111" s="181"/>
    </row>
    <row r="112" spans="1:10" x14ac:dyDescent="0.3">
      <c r="A112" s="63" t="s">
        <v>165</v>
      </c>
      <c r="B112" s="63"/>
      <c r="C112" s="63"/>
      <c r="D112" s="63"/>
      <c r="E112" s="63"/>
      <c r="F112" s="79">
        <v>4000</v>
      </c>
      <c r="G112" s="79"/>
      <c r="H112" s="79"/>
    </row>
    <row r="113" spans="1:10" x14ac:dyDescent="0.3">
      <c r="A113" s="63" t="s">
        <v>164</v>
      </c>
      <c r="B113" s="63"/>
      <c r="C113" s="63"/>
      <c r="D113" s="63"/>
      <c r="E113" s="63"/>
      <c r="F113" s="79">
        <v>6500</v>
      </c>
      <c r="G113" s="79"/>
      <c r="H113" s="79"/>
    </row>
    <row r="114" spans="1:10" hidden="1" x14ac:dyDescent="0.3">
      <c r="A114" s="63" t="s">
        <v>166</v>
      </c>
      <c r="B114" s="63"/>
      <c r="C114" s="63"/>
      <c r="D114" s="63"/>
      <c r="E114" s="63"/>
      <c r="F114" s="79"/>
      <c r="G114" s="79"/>
      <c r="H114" s="79"/>
    </row>
    <row r="115" spans="1:10" s="33" customFormat="1" hidden="1" x14ac:dyDescent="0.25">
      <c r="A115" s="63" t="s">
        <v>163</v>
      </c>
      <c r="B115" s="63"/>
      <c r="C115" s="63"/>
      <c r="D115" s="63"/>
      <c r="E115" s="63"/>
      <c r="F115" s="79"/>
      <c r="G115" s="79"/>
      <c r="H115" s="79"/>
    </row>
    <row r="116" spans="1:10" s="33" customFormat="1" hidden="1" x14ac:dyDescent="0.25">
      <c r="A116" s="63" t="s">
        <v>100</v>
      </c>
      <c r="B116" s="63"/>
      <c r="C116" s="63"/>
      <c r="D116" s="63"/>
      <c r="E116" s="63"/>
      <c r="F116" s="79"/>
      <c r="G116" s="79"/>
      <c r="H116" s="79"/>
    </row>
    <row r="117" spans="1:10" s="33" customFormat="1" hidden="1" x14ac:dyDescent="0.25">
      <c r="A117" s="63" t="s">
        <v>101</v>
      </c>
      <c r="B117" s="63"/>
      <c r="C117" s="63"/>
      <c r="D117" s="63"/>
      <c r="E117" s="63"/>
      <c r="F117" s="79"/>
      <c r="G117" s="79"/>
      <c r="H117" s="79"/>
    </row>
    <row r="118" spans="1:10" s="33" customFormat="1" hidden="1" x14ac:dyDescent="0.25">
      <c r="A118" s="63" t="s">
        <v>168</v>
      </c>
      <c r="B118" s="63"/>
      <c r="C118" s="63"/>
      <c r="D118" s="63"/>
      <c r="E118" s="63"/>
      <c r="F118" s="79"/>
      <c r="G118" s="79"/>
      <c r="H118" s="79"/>
    </row>
    <row r="119" spans="1:10" s="33" customFormat="1" hidden="1" x14ac:dyDescent="0.25">
      <c r="A119" s="63" t="s">
        <v>102</v>
      </c>
      <c r="B119" s="63"/>
      <c r="C119" s="63"/>
      <c r="D119" s="63"/>
      <c r="E119" s="63"/>
      <c r="F119" s="79"/>
      <c r="G119" s="79"/>
      <c r="H119" s="79"/>
    </row>
    <row r="120" spans="1:10" s="33" customFormat="1" hidden="1" x14ac:dyDescent="0.25">
      <c r="A120" s="63" t="s">
        <v>103</v>
      </c>
      <c r="B120" s="63"/>
      <c r="C120" s="63"/>
      <c r="D120" s="63"/>
      <c r="E120" s="63"/>
      <c r="F120" s="79"/>
      <c r="G120" s="79"/>
      <c r="H120" s="79"/>
    </row>
    <row r="121" spans="1:10" s="33" customFormat="1" x14ac:dyDescent="0.25">
      <c r="A121" s="63" t="s">
        <v>203</v>
      </c>
      <c r="B121" s="63"/>
      <c r="C121" s="63"/>
      <c r="D121" s="63"/>
      <c r="E121" s="63"/>
      <c r="F121" s="79">
        <v>120000</v>
      </c>
      <c r="G121" s="79"/>
      <c r="H121" s="79"/>
    </row>
    <row r="122" spans="1:10" s="33" customFormat="1" x14ac:dyDescent="0.25">
      <c r="A122" s="63" t="s">
        <v>204</v>
      </c>
      <c r="B122" s="63"/>
      <c r="C122" s="63"/>
      <c r="D122" s="63"/>
      <c r="E122" s="63"/>
      <c r="F122" s="79">
        <v>35000</v>
      </c>
      <c r="G122" s="79"/>
      <c r="H122" s="79"/>
    </row>
    <row r="123" spans="1:10" x14ac:dyDescent="0.3">
      <c r="A123" s="63" t="s">
        <v>54</v>
      </c>
      <c r="B123" s="63"/>
      <c r="C123" s="63"/>
      <c r="D123" s="63"/>
      <c r="E123" s="63"/>
      <c r="F123" s="79">
        <v>100000</v>
      </c>
      <c r="G123" s="79"/>
      <c r="H123" s="79"/>
    </row>
    <row r="124" spans="1:10" s="34" customFormat="1" x14ac:dyDescent="0.3">
      <c r="A124" s="151" t="s">
        <v>55</v>
      </c>
      <c r="B124" s="151"/>
      <c r="C124" s="151"/>
      <c r="D124" s="151"/>
      <c r="E124" s="151"/>
      <c r="F124" s="79">
        <f>F112*0.8</f>
        <v>3200</v>
      </c>
      <c r="G124" s="79"/>
      <c r="H124" s="79"/>
    </row>
    <row r="125" spans="1:10" s="35" customFormat="1" ht="15.75" customHeight="1" x14ac:dyDescent="0.3">
      <c r="A125" s="100" t="s">
        <v>80</v>
      </c>
      <c r="B125" s="100"/>
      <c r="C125" s="100"/>
      <c r="D125" s="100"/>
      <c r="E125" s="100"/>
      <c r="F125" s="100"/>
      <c r="G125" s="100"/>
      <c r="H125" s="100"/>
    </row>
    <row r="126" spans="1:10" s="35" customFormat="1" ht="15.75" customHeight="1" x14ac:dyDescent="0.3">
      <c r="A126" s="64" t="s">
        <v>56</v>
      </c>
      <c r="B126" s="64"/>
      <c r="C126" s="194" t="s">
        <v>83</v>
      </c>
      <c r="D126" s="194"/>
      <c r="E126" s="99" t="s">
        <v>57</v>
      </c>
      <c r="F126" s="99"/>
      <c r="G126" s="64" t="s">
        <v>58</v>
      </c>
      <c r="H126" s="64"/>
    </row>
    <row r="127" spans="1:10" s="35" customFormat="1" x14ac:dyDescent="0.3">
      <c r="A127" s="101" t="s">
        <v>220</v>
      </c>
      <c r="B127" s="101"/>
      <c r="C127" s="94">
        <f>COUNT(D145:D158)</f>
        <v>14</v>
      </c>
      <c r="D127" s="95"/>
      <c r="E127" s="80">
        <f>SUM(D145:D158)</f>
        <v>1844.4114000000002</v>
      </c>
      <c r="F127" s="81"/>
      <c r="G127" s="80">
        <f>SUM(F145:F158)</f>
        <v>2766.6170999999995</v>
      </c>
      <c r="H127" s="81"/>
    </row>
    <row r="128" spans="1:10" s="35" customFormat="1" x14ac:dyDescent="0.3">
      <c r="A128" s="101" t="s">
        <v>221</v>
      </c>
      <c r="B128" s="101"/>
      <c r="C128" s="94">
        <f>COUNT(D162:D173)</f>
        <v>12</v>
      </c>
      <c r="D128" s="95"/>
      <c r="E128" s="80">
        <f>SUM(D162:D173)</f>
        <v>1531.1789999999996</v>
      </c>
      <c r="F128" s="81"/>
      <c r="G128" s="80">
        <f>SUM(F162:F173)</f>
        <v>2296.7684999999997</v>
      </c>
      <c r="H128" s="81"/>
      <c r="J128" s="35" t="s">
        <v>212</v>
      </c>
    </row>
    <row r="129" spans="1:13" s="35" customFormat="1" hidden="1" x14ac:dyDescent="0.3">
      <c r="A129" s="101" t="s">
        <v>197</v>
      </c>
      <c r="B129" s="101"/>
      <c r="C129" s="94">
        <f>COUNT(D176:D185)</f>
        <v>10</v>
      </c>
      <c r="D129" s="95"/>
      <c r="E129" s="80">
        <f>SUM(D176:D185)</f>
        <v>1046.69136</v>
      </c>
      <c r="F129" s="81"/>
      <c r="G129" s="80">
        <f>SUM(F176:F185)</f>
        <v>1570.0370399999999</v>
      </c>
      <c r="H129" s="81"/>
      <c r="J129" s="35" t="s">
        <v>215</v>
      </c>
      <c r="K129" s="35" t="s">
        <v>216</v>
      </c>
    </row>
    <row r="130" spans="1:13" s="35" customFormat="1" x14ac:dyDescent="0.3">
      <c r="A130" s="100" t="s">
        <v>156</v>
      </c>
      <c r="B130" s="100"/>
      <c r="C130" s="96">
        <f>SUM(C127:D128)</f>
        <v>26</v>
      </c>
      <c r="D130" s="97"/>
      <c r="E130" s="98">
        <f>SUM(E127:F128)</f>
        <v>3375.5904</v>
      </c>
      <c r="F130" s="99"/>
      <c r="G130" s="64">
        <f>SUM(G127:H128)</f>
        <v>5063.3855999999996</v>
      </c>
      <c r="H130" s="64"/>
      <c r="I130" s="35" t="s">
        <v>213</v>
      </c>
      <c r="M130" s="58">
        <f>G130+G137</f>
        <v>75681.188855999979</v>
      </c>
    </row>
    <row r="131" spans="1:13" s="35" customFormat="1" x14ac:dyDescent="0.3">
      <c r="A131" s="100" t="s">
        <v>74</v>
      </c>
      <c r="B131" s="100"/>
      <c r="C131" s="100"/>
      <c r="D131" s="100"/>
      <c r="E131" s="100"/>
      <c r="F131" s="100"/>
      <c r="G131" s="100"/>
      <c r="H131" s="100"/>
      <c r="I131" s="35" t="s">
        <v>214</v>
      </c>
      <c r="J131" s="35">
        <v>3000</v>
      </c>
      <c r="K131" s="35">
        <v>4000</v>
      </c>
      <c r="M131" s="58">
        <f>E130+E137</f>
        <v>52077.523679999991</v>
      </c>
    </row>
    <row r="132" spans="1:13" s="35" customFormat="1" ht="15.75" customHeight="1" x14ac:dyDescent="0.3">
      <c r="A132" s="64" t="s">
        <v>56</v>
      </c>
      <c r="B132" s="64"/>
      <c r="C132" s="194" t="s">
        <v>83</v>
      </c>
      <c r="D132" s="194"/>
      <c r="E132" s="99" t="s">
        <v>57</v>
      </c>
      <c r="F132" s="99"/>
      <c r="G132" s="64" t="s">
        <v>58</v>
      </c>
      <c r="H132" s="64"/>
    </row>
    <row r="133" spans="1:13" s="35" customFormat="1" x14ac:dyDescent="0.3">
      <c r="A133" s="101" t="s">
        <v>220</v>
      </c>
      <c r="B133" s="101"/>
      <c r="C133" s="94">
        <f>COUNT(D192:D201)*7</f>
        <v>70</v>
      </c>
      <c r="D133" s="94"/>
      <c r="E133" s="80">
        <f>SUM(D192:D201)*7</f>
        <v>22137.242399999996</v>
      </c>
      <c r="F133" s="81"/>
      <c r="G133" s="80">
        <f>SUM(F192:F201)*7</f>
        <v>32099.001479999995</v>
      </c>
      <c r="H133" s="81"/>
    </row>
    <row r="134" spans="1:13" s="35" customFormat="1" x14ac:dyDescent="0.3">
      <c r="A134" s="101" t="s">
        <v>222</v>
      </c>
      <c r="B134" s="101"/>
      <c r="C134" s="94">
        <f>COUNT(D205:D210)*7</f>
        <v>42</v>
      </c>
      <c r="D134" s="94"/>
      <c r="E134" s="80">
        <f>SUM(D205:D210)*7</f>
        <v>11238.907679999998</v>
      </c>
      <c r="F134" s="80"/>
      <c r="G134" s="80">
        <f>SUM(F205:F210)*7</f>
        <v>16296.416135999996</v>
      </c>
      <c r="H134" s="80"/>
    </row>
    <row r="135" spans="1:13" s="35" customFormat="1" x14ac:dyDescent="0.3">
      <c r="A135" s="101" t="s">
        <v>223</v>
      </c>
      <c r="B135" s="101"/>
      <c r="C135" s="94">
        <f>COUNT(D213:D218)*7</f>
        <v>42</v>
      </c>
      <c r="D135" s="94"/>
      <c r="E135" s="80">
        <f>SUM(D213:D218)*7</f>
        <v>15325.783199999998</v>
      </c>
      <c r="F135" s="80"/>
      <c r="G135" s="80">
        <f>SUM(F213:F218)*7</f>
        <v>22222.385639999993</v>
      </c>
      <c r="H135" s="80"/>
    </row>
    <row r="136" spans="1:13" s="35" customFormat="1" hidden="1" x14ac:dyDescent="0.3">
      <c r="A136" s="101" t="s">
        <v>197</v>
      </c>
      <c r="B136" s="101"/>
      <c r="C136" s="94">
        <f>COUNT(D221:D228)*2</f>
        <v>16</v>
      </c>
      <c r="D136" s="94"/>
      <c r="E136" s="80">
        <f>SUM(D221:D228)*2</f>
        <v>5838.3935999999994</v>
      </c>
      <c r="F136" s="80"/>
      <c r="G136" s="80">
        <f>SUM(F221:F228)*2</f>
        <v>8465.6707199999964</v>
      </c>
      <c r="H136" s="80"/>
    </row>
    <row r="137" spans="1:13" s="35" customFormat="1" x14ac:dyDescent="0.3">
      <c r="A137" s="100" t="s">
        <v>156</v>
      </c>
      <c r="B137" s="100"/>
      <c r="C137" s="96">
        <f>SUM(C133:D135)</f>
        <v>154</v>
      </c>
      <c r="D137" s="97"/>
      <c r="E137" s="98">
        <f>SUM(E133:F135)</f>
        <v>48701.93327999999</v>
      </c>
      <c r="F137" s="99"/>
      <c r="G137" s="64">
        <f>SUM(G133:H135)</f>
        <v>70617.803255999985</v>
      </c>
      <c r="H137" s="64"/>
    </row>
    <row r="138" spans="1:13" s="34" customFormat="1" x14ac:dyDescent="0.3">
      <c r="A138" s="142" t="s">
        <v>59</v>
      </c>
      <c r="B138" s="142"/>
      <c r="C138" s="142"/>
      <c r="D138" s="142"/>
      <c r="E138" s="142"/>
      <c r="F138" s="142"/>
      <c r="G138" s="142"/>
      <c r="H138" s="142"/>
    </row>
    <row r="139" spans="1:13" x14ac:dyDescent="0.3">
      <c r="A139" s="142" t="s">
        <v>60</v>
      </c>
      <c r="B139" s="142"/>
      <c r="C139" s="142"/>
      <c r="D139" s="142"/>
      <c r="E139" s="142"/>
      <c r="F139" s="142"/>
      <c r="G139" s="142"/>
      <c r="H139" s="142"/>
    </row>
    <row r="140" spans="1:13" ht="47.25" customHeight="1" x14ac:dyDescent="0.3">
      <c r="A140" s="68" t="s">
        <v>124</v>
      </c>
      <c r="B140" s="68" t="s">
        <v>123</v>
      </c>
      <c r="C140" s="68" t="s">
        <v>61</v>
      </c>
      <c r="D140" s="68" t="s">
        <v>62</v>
      </c>
      <c r="E140" s="69" t="s">
        <v>161</v>
      </c>
      <c r="F140" s="59" t="s">
        <v>155</v>
      </c>
      <c r="G140" s="68" t="s">
        <v>64</v>
      </c>
      <c r="H140" s="68"/>
    </row>
    <row r="141" spans="1:13" s="48" customFormat="1" x14ac:dyDescent="0.3">
      <c r="A141" s="68"/>
      <c r="B141" s="68"/>
      <c r="C141" s="68"/>
      <c r="D141" s="68"/>
      <c r="E141" s="69"/>
      <c r="F141" s="60">
        <v>0.5</v>
      </c>
      <c r="G141" s="68"/>
      <c r="H141" s="68"/>
    </row>
    <row r="142" spans="1:13" s="48" customFormat="1" x14ac:dyDescent="0.3">
      <c r="A142" s="110" t="s">
        <v>234</v>
      </c>
      <c r="B142" s="111"/>
      <c r="C142" s="111"/>
      <c r="D142" s="111"/>
      <c r="E142" s="111"/>
      <c r="F142" s="111"/>
      <c r="G142" s="111"/>
      <c r="H142" s="112"/>
      <c r="J142" s="36"/>
    </row>
    <row r="143" spans="1:13" s="48" customFormat="1" x14ac:dyDescent="0.3">
      <c r="A143" s="110" t="s">
        <v>220</v>
      </c>
      <c r="B143" s="111"/>
      <c r="C143" s="111"/>
      <c r="D143" s="111"/>
      <c r="E143" s="111"/>
      <c r="F143" s="111"/>
      <c r="G143" s="111"/>
      <c r="H143" s="112"/>
      <c r="J143" s="36"/>
    </row>
    <row r="144" spans="1:13" s="48" customFormat="1" x14ac:dyDescent="0.3">
      <c r="A144" s="110" t="s">
        <v>193</v>
      </c>
      <c r="B144" s="111"/>
      <c r="C144" s="111"/>
      <c r="D144" s="111"/>
      <c r="E144" s="111"/>
      <c r="F144" s="111"/>
      <c r="G144" s="111"/>
      <c r="H144" s="112"/>
      <c r="J144" s="36"/>
    </row>
    <row r="145" spans="1:14" s="48" customFormat="1" ht="15.75" customHeight="1" x14ac:dyDescent="0.3">
      <c r="A145" s="117" t="s">
        <v>186</v>
      </c>
      <c r="B145" s="118"/>
      <c r="C145" s="41" t="s">
        <v>192</v>
      </c>
      <c r="D145" s="53">
        <f>(11.82)*10.764</f>
        <v>127.23048</v>
      </c>
      <c r="E145" s="41">
        <v>0</v>
      </c>
      <c r="F145" s="41">
        <f>(D145+E145)*(($F$141)+1)</f>
        <v>190.84572</v>
      </c>
      <c r="G145" s="103" t="str">
        <f>A144</f>
        <v>Ground Floor For Commercial &amp; Parking</v>
      </c>
      <c r="H145" s="104"/>
      <c r="I145" s="36">
        <f>5.55*2.13</f>
        <v>11.821499999999999</v>
      </c>
      <c r="J145" s="53">
        <v>10.763999999999999</v>
      </c>
      <c r="L145" s="193"/>
      <c r="M145" s="193"/>
      <c r="N145" s="36"/>
    </row>
    <row r="146" spans="1:14" s="48" customFormat="1" ht="15.75" customHeight="1" x14ac:dyDescent="0.3">
      <c r="A146" s="117" t="s">
        <v>187</v>
      </c>
      <c r="B146" s="118"/>
      <c r="C146" s="41" t="s">
        <v>192</v>
      </c>
      <c r="D146" s="53">
        <f>(12.87)*10.764</f>
        <v>138.53267999999997</v>
      </c>
      <c r="E146" s="41">
        <v>0</v>
      </c>
      <c r="F146" s="41">
        <f>(D146+E146)*(($F$141)+1)</f>
        <v>207.79901999999996</v>
      </c>
      <c r="G146" s="105"/>
      <c r="H146" s="106"/>
      <c r="I146" s="36"/>
      <c r="L146" s="193"/>
      <c r="M146" s="193"/>
      <c r="N146" s="36"/>
    </row>
    <row r="147" spans="1:14" s="48" customFormat="1" ht="15.75" customHeight="1" x14ac:dyDescent="0.3">
      <c r="A147" s="117">
        <v>2</v>
      </c>
      <c r="B147" s="118"/>
      <c r="C147" s="41" t="s">
        <v>192</v>
      </c>
      <c r="D147" s="53">
        <f>(12.75)*10.764</f>
        <v>137.24099999999999</v>
      </c>
      <c r="E147" s="41">
        <v>0</v>
      </c>
      <c r="F147" s="41">
        <f>(D147+E147)*(($F$141)+1)</f>
        <v>205.86149999999998</v>
      </c>
      <c r="G147" s="105"/>
      <c r="H147" s="106"/>
      <c r="I147" s="36"/>
      <c r="L147" s="193"/>
      <c r="M147" s="193"/>
      <c r="N147" s="36"/>
    </row>
    <row r="148" spans="1:14" s="48" customFormat="1" ht="15.75" customHeight="1" x14ac:dyDescent="0.3">
      <c r="A148" s="117">
        <f t="shared" ref="A148:A153" si="0">A147+1</f>
        <v>3</v>
      </c>
      <c r="B148" s="118"/>
      <c r="C148" s="41" t="s">
        <v>192</v>
      </c>
      <c r="D148" s="53">
        <f>(14)*10.764</f>
        <v>150.696</v>
      </c>
      <c r="E148" s="41">
        <v>0</v>
      </c>
      <c r="F148" s="41">
        <f>(D148+E148)*(($F$141)+1)</f>
        <v>226.04399999999998</v>
      </c>
      <c r="G148" s="105"/>
      <c r="H148" s="106"/>
      <c r="I148" s="36"/>
      <c r="L148" s="193"/>
      <c r="M148" s="193"/>
      <c r="N148" s="36"/>
    </row>
    <row r="149" spans="1:14" s="48" customFormat="1" ht="15.75" customHeight="1" x14ac:dyDescent="0.3">
      <c r="A149" s="117">
        <f t="shared" si="0"/>
        <v>4</v>
      </c>
      <c r="B149" s="118"/>
      <c r="C149" s="41" t="s">
        <v>192</v>
      </c>
      <c r="D149" s="53">
        <f>(6)*10.764</f>
        <v>64.584000000000003</v>
      </c>
      <c r="E149" s="41">
        <v>0</v>
      </c>
      <c r="F149" s="41">
        <f t="shared" ref="F149:F154" si="1">(D149+E149)*(($F$141)+1)</f>
        <v>96.876000000000005</v>
      </c>
      <c r="G149" s="105"/>
      <c r="H149" s="106"/>
      <c r="I149" s="36"/>
      <c r="L149" s="193"/>
      <c r="M149" s="193"/>
      <c r="N149" s="36"/>
    </row>
    <row r="150" spans="1:14" s="48" customFormat="1" ht="15.75" customHeight="1" x14ac:dyDescent="0.3">
      <c r="A150" s="117">
        <f t="shared" si="0"/>
        <v>5</v>
      </c>
      <c r="B150" s="118"/>
      <c r="C150" s="41" t="s">
        <v>192</v>
      </c>
      <c r="D150" s="53">
        <f>(6)*10.764</f>
        <v>64.584000000000003</v>
      </c>
      <c r="E150" s="41">
        <v>0</v>
      </c>
      <c r="F150" s="41">
        <f t="shared" si="1"/>
        <v>96.876000000000005</v>
      </c>
      <c r="G150" s="105"/>
      <c r="H150" s="106"/>
      <c r="I150" s="36"/>
      <c r="L150" s="193"/>
      <c r="M150" s="193"/>
      <c r="N150" s="36"/>
    </row>
    <row r="151" spans="1:14" s="48" customFormat="1" ht="15.75" customHeight="1" x14ac:dyDescent="0.3">
      <c r="A151" s="117">
        <f t="shared" si="0"/>
        <v>6</v>
      </c>
      <c r="B151" s="118"/>
      <c r="C151" s="41" t="s">
        <v>192</v>
      </c>
      <c r="D151" s="53">
        <f>(14)*10.764</f>
        <v>150.696</v>
      </c>
      <c r="E151" s="41">
        <v>0</v>
      </c>
      <c r="F151" s="41">
        <f t="shared" si="1"/>
        <v>226.04399999999998</v>
      </c>
      <c r="G151" s="105"/>
      <c r="H151" s="106"/>
      <c r="I151" s="36"/>
      <c r="L151" s="193"/>
      <c r="M151" s="193"/>
      <c r="N151" s="36"/>
    </row>
    <row r="152" spans="1:14" s="48" customFormat="1" ht="15.75" customHeight="1" x14ac:dyDescent="0.3">
      <c r="A152" s="117">
        <f t="shared" si="0"/>
        <v>7</v>
      </c>
      <c r="B152" s="118"/>
      <c r="C152" s="41" t="s">
        <v>192</v>
      </c>
      <c r="D152" s="53">
        <f>(14)*10.764</f>
        <v>150.696</v>
      </c>
      <c r="E152" s="41">
        <v>0</v>
      </c>
      <c r="F152" s="41">
        <f t="shared" si="1"/>
        <v>226.04399999999998</v>
      </c>
      <c r="G152" s="105"/>
      <c r="H152" s="106"/>
      <c r="I152" s="36"/>
      <c r="L152" s="193"/>
      <c r="M152" s="193"/>
      <c r="N152" s="36"/>
    </row>
    <row r="153" spans="1:14" s="48" customFormat="1" ht="15.75" customHeight="1" x14ac:dyDescent="0.3">
      <c r="A153" s="117">
        <f t="shared" si="0"/>
        <v>8</v>
      </c>
      <c r="B153" s="118"/>
      <c r="C153" s="41" t="s">
        <v>192</v>
      </c>
      <c r="D153" s="53">
        <f>(14.95)*10.764</f>
        <v>160.92179999999999</v>
      </c>
      <c r="E153" s="41">
        <v>0</v>
      </c>
      <c r="F153" s="41">
        <f t="shared" si="1"/>
        <v>241.3827</v>
      </c>
      <c r="G153" s="105"/>
      <c r="H153" s="106"/>
      <c r="I153" s="36"/>
      <c r="L153" s="193"/>
      <c r="M153" s="193"/>
      <c r="N153" s="36"/>
    </row>
    <row r="154" spans="1:14" s="48" customFormat="1" ht="15.75" customHeight="1" x14ac:dyDescent="0.3">
      <c r="A154" s="117" t="s">
        <v>188</v>
      </c>
      <c r="B154" s="118"/>
      <c r="C154" s="41" t="s">
        <v>192</v>
      </c>
      <c r="D154" s="53">
        <f>(10.6)*10.764</f>
        <v>114.09839999999998</v>
      </c>
      <c r="E154" s="41">
        <v>0</v>
      </c>
      <c r="F154" s="41">
        <f t="shared" si="1"/>
        <v>171.14759999999998</v>
      </c>
      <c r="G154" s="105"/>
      <c r="H154" s="106"/>
      <c r="I154" s="36"/>
      <c r="L154" s="193"/>
      <c r="M154" s="193"/>
      <c r="N154" s="36"/>
    </row>
    <row r="155" spans="1:14" s="48" customFormat="1" ht="15.75" customHeight="1" x14ac:dyDescent="0.3">
      <c r="A155" s="117" t="s">
        <v>189</v>
      </c>
      <c r="B155" s="118"/>
      <c r="C155" s="41" t="s">
        <v>192</v>
      </c>
      <c r="D155" s="53">
        <f>(11.36)*10.764</f>
        <v>122.27903999999998</v>
      </c>
      <c r="E155" s="41">
        <v>0</v>
      </c>
      <c r="F155" s="41">
        <f>(D155+E155)*(($F$141)+1)</f>
        <v>183.41855999999996</v>
      </c>
      <c r="G155" s="105"/>
      <c r="H155" s="106"/>
      <c r="I155" s="36"/>
      <c r="L155" s="193"/>
      <c r="M155" s="193"/>
      <c r="N155" s="36"/>
    </row>
    <row r="156" spans="1:14" s="48" customFormat="1" ht="15.75" customHeight="1" x14ac:dyDescent="0.3">
      <c r="A156" s="117">
        <v>10</v>
      </c>
      <c r="B156" s="118"/>
      <c r="C156" s="41" t="s">
        <v>192</v>
      </c>
      <c r="D156" s="53">
        <f>(17.5)*10.764</f>
        <v>188.36999999999998</v>
      </c>
      <c r="E156" s="41">
        <v>0</v>
      </c>
      <c r="F156" s="41">
        <f>(D156+E156)*(($F$141)+1)</f>
        <v>282.55499999999995</v>
      </c>
      <c r="G156" s="105"/>
      <c r="H156" s="106"/>
      <c r="I156" s="36"/>
      <c r="L156" s="193"/>
      <c r="M156" s="193"/>
      <c r="N156" s="36"/>
    </row>
    <row r="157" spans="1:14" s="48" customFormat="1" ht="15.75" customHeight="1" x14ac:dyDescent="0.3">
      <c r="A157" s="117" t="s">
        <v>190</v>
      </c>
      <c r="B157" s="118"/>
      <c r="C157" s="41" t="s">
        <v>192</v>
      </c>
      <c r="D157" s="53">
        <f>(14.9)*10.764</f>
        <v>160.3836</v>
      </c>
      <c r="E157" s="41">
        <v>0</v>
      </c>
      <c r="F157" s="41">
        <f>(D157+E157)*(($F$141)+1)</f>
        <v>240.5754</v>
      </c>
      <c r="G157" s="105"/>
      <c r="H157" s="106"/>
      <c r="I157" s="36"/>
      <c r="L157" s="193"/>
      <c r="M157" s="193"/>
      <c r="N157" s="36"/>
    </row>
    <row r="158" spans="1:14" s="48" customFormat="1" ht="15.75" customHeight="1" x14ac:dyDescent="0.3">
      <c r="A158" s="117" t="s">
        <v>191</v>
      </c>
      <c r="B158" s="118"/>
      <c r="C158" s="41" t="s">
        <v>192</v>
      </c>
      <c r="D158" s="53">
        <f>(10.6)*10.764</f>
        <v>114.09839999999998</v>
      </c>
      <c r="E158" s="41">
        <v>0</v>
      </c>
      <c r="F158" s="41">
        <f>(D158+E158)*(($F$141)+1)</f>
        <v>171.14759999999998</v>
      </c>
      <c r="G158" s="107"/>
      <c r="H158" s="108"/>
      <c r="I158" s="36"/>
      <c r="L158" s="193"/>
      <c r="M158" s="193"/>
      <c r="N158" s="36"/>
    </row>
    <row r="159" spans="1:14" s="48" customFormat="1" x14ac:dyDescent="0.3">
      <c r="A159" s="110" t="s">
        <v>235</v>
      </c>
      <c r="B159" s="111"/>
      <c r="C159" s="111"/>
      <c r="D159" s="111"/>
      <c r="E159" s="111"/>
      <c r="F159" s="111"/>
      <c r="G159" s="111"/>
      <c r="H159" s="112"/>
      <c r="J159" s="36"/>
    </row>
    <row r="160" spans="1:14" s="48" customFormat="1" x14ac:dyDescent="0.3">
      <c r="A160" s="110" t="s">
        <v>221</v>
      </c>
      <c r="B160" s="111"/>
      <c r="C160" s="111"/>
      <c r="D160" s="111"/>
      <c r="E160" s="111"/>
      <c r="F160" s="111"/>
      <c r="G160" s="111"/>
      <c r="H160" s="112"/>
      <c r="J160" s="36"/>
    </row>
    <row r="161" spans="1:14" s="48" customFormat="1" x14ac:dyDescent="0.3">
      <c r="A161" s="110" t="s">
        <v>193</v>
      </c>
      <c r="B161" s="111"/>
      <c r="C161" s="111"/>
      <c r="D161" s="111"/>
      <c r="E161" s="111"/>
      <c r="F161" s="111"/>
      <c r="G161" s="111"/>
      <c r="H161" s="112"/>
      <c r="J161" s="36"/>
    </row>
    <row r="162" spans="1:14" s="48" customFormat="1" ht="15.75" customHeight="1" x14ac:dyDescent="0.3">
      <c r="A162" s="117">
        <v>1</v>
      </c>
      <c r="B162" s="118"/>
      <c r="C162" s="41" t="s">
        <v>192</v>
      </c>
      <c r="D162" s="53">
        <f>(11)*10.764</f>
        <v>118.404</v>
      </c>
      <c r="E162" s="41">
        <v>0</v>
      </c>
      <c r="F162" s="41">
        <f t="shared" ref="F162:F173" si="2">(D162+E162)*(($F$141)+1)</f>
        <v>177.60599999999999</v>
      </c>
      <c r="G162" s="103" t="str">
        <f>A161</f>
        <v>Ground Floor For Commercial &amp; Parking</v>
      </c>
      <c r="H162" s="104"/>
      <c r="I162" s="36">
        <f>3.73*2.5+0.6*2.12</f>
        <v>10.597</v>
      </c>
      <c r="L162" s="193"/>
      <c r="M162" s="193"/>
      <c r="N162" s="36"/>
    </row>
    <row r="163" spans="1:14" s="48" customFormat="1" ht="15.75" customHeight="1" x14ac:dyDescent="0.3">
      <c r="A163" s="117">
        <v>2</v>
      </c>
      <c r="B163" s="118"/>
      <c r="C163" s="41" t="s">
        <v>192</v>
      </c>
      <c r="D163" s="53">
        <f>(8)*10.764</f>
        <v>86.111999999999995</v>
      </c>
      <c r="E163" s="41">
        <v>0</v>
      </c>
      <c r="F163" s="41">
        <f t="shared" si="2"/>
        <v>129.16800000000001</v>
      </c>
      <c r="G163" s="105"/>
      <c r="H163" s="106"/>
      <c r="I163" s="36"/>
      <c r="L163" s="193"/>
      <c r="M163" s="193"/>
      <c r="N163" s="36"/>
    </row>
    <row r="164" spans="1:14" s="48" customFormat="1" ht="15.75" customHeight="1" x14ac:dyDescent="0.3">
      <c r="A164" s="117">
        <v>3</v>
      </c>
      <c r="B164" s="118"/>
      <c r="C164" s="41" t="s">
        <v>192</v>
      </c>
      <c r="D164" s="53">
        <f>(11)*10.764</f>
        <v>118.404</v>
      </c>
      <c r="E164" s="41">
        <v>0</v>
      </c>
      <c r="F164" s="41">
        <f t="shared" si="2"/>
        <v>177.60599999999999</v>
      </c>
      <c r="G164" s="105"/>
      <c r="H164" s="106"/>
      <c r="I164" s="36"/>
      <c r="L164" s="193"/>
      <c r="M164" s="193"/>
      <c r="N164" s="36"/>
    </row>
    <row r="165" spans="1:14" s="48" customFormat="1" ht="15.75" customHeight="1" x14ac:dyDescent="0.3">
      <c r="A165" s="117">
        <v>4</v>
      </c>
      <c r="B165" s="118"/>
      <c r="C165" s="41" t="s">
        <v>192</v>
      </c>
      <c r="D165" s="53">
        <f>(8)*10.764</f>
        <v>86.111999999999995</v>
      </c>
      <c r="E165" s="41">
        <v>0</v>
      </c>
      <c r="F165" s="41">
        <f t="shared" si="2"/>
        <v>129.16800000000001</v>
      </c>
      <c r="G165" s="105"/>
      <c r="H165" s="106"/>
      <c r="I165" s="36"/>
      <c r="L165" s="193"/>
      <c r="M165" s="193"/>
      <c r="N165" s="36"/>
    </row>
    <row r="166" spans="1:14" s="48" customFormat="1" ht="15.75" customHeight="1" x14ac:dyDescent="0.3">
      <c r="A166" s="117">
        <v>5</v>
      </c>
      <c r="B166" s="118"/>
      <c r="C166" s="41" t="s">
        <v>192</v>
      </c>
      <c r="D166" s="53">
        <f>(15.05)*10.764</f>
        <v>161.9982</v>
      </c>
      <c r="E166" s="41">
        <v>0</v>
      </c>
      <c r="F166" s="41">
        <f t="shared" si="2"/>
        <v>242.9973</v>
      </c>
      <c r="G166" s="105"/>
      <c r="H166" s="106"/>
      <c r="I166" s="36">
        <f>5.4*2.8</f>
        <v>15.12</v>
      </c>
      <c r="L166" s="193"/>
      <c r="M166" s="193"/>
      <c r="N166" s="36"/>
    </row>
    <row r="167" spans="1:14" s="48" customFormat="1" ht="15.75" customHeight="1" x14ac:dyDescent="0.3">
      <c r="A167" s="117">
        <v>6</v>
      </c>
      <c r="B167" s="118"/>
      <c r="C167" s="41" t="s">
        <v>192</v>
      </c>
      <c r="D167" s="53">
        <f>(15.05)*10.764</f>
        <v>161.9982</v>
      </c>
      <c r="E167" s="41">
        <v>0</v>
      </c>
      <c r="F167" s="41">
        <f t="shared" si="2"/>
        <v>242.9973</v>
      </c>
      <c r="G167" s="105"/>
      <c r="H167" s="106"/>
      <c r="I167" s="36"/>
      <c r="L167" s="193"/>
      <c r="M167" s="193"/>
      <c r="N167" s="36"/>
    </row>
    <row r="168" spans="1:14" s="48" customFormat="1" ht="15.75" customHeight="1" x14ac:dyDescent="0.3">
      <c r="A168" s="117">
        <v>7</v>
      </c>
      <c r="B168" s="118"/>
      <c r="C168" s="41" t="s">
        <v>192</v>
      </c>
      <c r="D168" s="53">
        <f>(19.5)*10.764</f>
        <v>209.898</v>
      </c>
      <c r="E168" s="41">
        <v>0</v>
      </c>
      <c r="F168" s="41">
        <f t="shared" si="2"/>
        <v>314.84699999999998</v>
      </c>
      <c r="G168" s="105"/>
      <c r="H168" s="106"/>
      <c r="I168" s="36">
        <f>3.7*2.8+4.2*2</f>
        <v>18.759999999999998</v>
      </c>
      <c r="L168" s="193"/>
      <c r="M168" s="193"/>
      <c r="N168" s="36"/>
    </row>
    <row r="169" spans="1:14" s="48" customFormat="1" ht="15.75" customHeight="1" x14ac:dyDescent="0.3">
      <c r="A169" s="117">
        <v>8</v>
      </c>
      <c r="B169" s="118"/>
      <c r="C169" s="41" t="s">
        <v>192</v>
      </c>
      <c r="D169" s="53">
        <f>(13)*10.764</f>
        <v>139.93199999999999</v>
      </c>
      <c r="E169" s="41">
        <v>0</v>
      </c>
      <c r="F169" s="41">
        <f t="shared" si="2"/>
        <v>209.89799999999997</v>
      </c>
      <c r="G169" s="105"/>
      <c r="H169" s="106"/>
      <c r="I169" s="36"/>
      <c r="L169" s="193"/>
      <c r="M169" s="193"/>
      <c r="N169" s="36"/>
    </row>
    <row r="170" spans="1:14" s="48" customFormat="1" ht="15.75" customHeight="1" x14ac:dyDescent="0.3">
      <c r="A170" s="117">
        <v>9</v>
      </c>
      <c r="B170" s="118"/>
      <c r="C170" s="41" t="s">
        <v>192</v>
      </c>
      <c r="D170" s="53">
        <f>(8.8)*10.764</f>
        <v>94.723200000000006</v>
      </c>
      <c r="E170" s="41">
        <v>0</v>
      </c>
      <c r="F170" s="41">
        <f t="shared" si="2"/>
        <v>142.0848</v>
      </c>
      <c r="G170" s="105"/>
      <c r="H170" s="106"/>
      <c r="I170" s="36"/>
      <c r="L170" s="193"/>
      <c r="M170" s="193"/>
      <c r="N170" s="36"/>
    </row>
    <row r="171" spans="1:14" s="48" customFormat="1" ht="15.75" customHeight="1" x14ac:dyDescent="0.3">
      <c r="A171" s="117">
        <v>10</v>
      </c>
      <c r="B171" s="118"/>
      <c r="C171" s="41" t="s">
        <v>192</v>
      </c>
      <c r="D171" s="53">
        <f>(10.05)*10.764</f>
        <v>108.1782</v>
      </c>
      <c r="E171" s="41">
        <v>0</v>
      </c>
      <c r="F171" s="41">
        <f t="shared" si="2"/>
        <v>162.26730000000001</v>
      </c>
      <c r="G171" s="105"/>
      <c r="H171" s="106"/>
      <c r="I171" s="36"/>
      <c r="L171" s="193"/>
      <c r="M171" s="193"/>
      <c r="N171" s="36"/>
    </row>
    <row r="172" spans="1:14" s="48" customFormat="1" ht="15.75" customHeight="1" x14ac:dyDescent="0.3">
      <c r="A172" s="117">
        <v>11</v>
      </c>
      <c r="B172" s="118"/>
      <c r="C172" s="41" t="s">
        <v>192</v>
      </c>
      <c r="D172" s="53">
        <f>(8.8)*10.764</f>
        <v>94.723200000000006</v>
      </c>
      <c r="E172" s="41">
        <v>0</v>
      </c>
      <c r="F172" s="41">
        <f t="shared" si="2"/>
        <v>142.0848</v>
      </c>
      <c r="G172" s="105"/>
      <c r="H172" s="106"/>
      <c r="I172" s="36"/>
      <c r="L172" s="193"/>
      <c r="M172" s="193"/>
      <c r="N172" s="36"/>
    </row>
    <row r="173" spans="1:14" s="48" customFormat="1" ht="15.75" customHeight="1" x14ac:dyDescent="0.3">
      <c r="A173" s="117">
        <v>12</v>
      </c>
      <c r="B173" s="118"/>
      <c r="C173" s="41" t="s">
        <v>192</v>
      </c>
      <c r="D173" s="53">
        <f>(14)*10.764</f>
        <v>150.696</v>
      </c>
      <c r="E173" s="41">
        <v>0</v>
      </c>
      <c r="F173" s="41">
        <f t="shared" si="2"/>
        <v>226.04399999999998</v>
      </c>
      <c r="G173" s="107"/>
      <c r="H173" s="108"/>
      <c r="I173" s="36"/>
      <c r="L173" s="193"/>
      <c r="M173" s="193"/>
      <c r="N173" s="36"/>
    </row>
    <row r="174" spans="1:14" s="48" customFormat="1" hidden="1" x14ac:dyDescent="0.3">
      <c r="A174" s="110" t="s">
        <v>197</v>
      </c>
      <c r="B174" s="111"/>
      <c r="C174" s="111"/>
      <c r="D174" s="111"/>
      <c r="E174" s="111"/>
      <c r="F174" s="111"/>
      <c r="G174" s="111"/>
      <c r="H174" s="112"/>
      <c r="J174" s="36"/>
    </row>
    <row r="175" spans="1:14" s="48" customFormat="1" hidden="1" x14ac:dyDescent="0.3">
      <c r="A175" s="110" t="s">
        <v>193</v>
      </c>
      <c r="B175" s="111"/>
      <c r="C175" s="111"/>
      <c r="D175" s="111"/>
      <c r="E175" s="111"/>
      <c r="F175" s="111"/>
      <c r="G175" s="111"/>
      <c r="H175" s="112"/>
      <c r="J175" s="36"/>
    </row>
    <row r="176" spans="1:14" s="48" customFormat="1" hidden="1" x14ac:dyDescent="0.3">
      <c r="A176" s="117">
        <v>1</v>
      </c>
      <c r="B176" s="118"/>
      <c r="C176" s="41" t="s">
        <v>192</v>
      </c>
      <c r="D176" s="53">
        <f>(10.98)*10.764</f>
        <v>118.18872</v>
      </c>
      <c r="E176" s="41">
        <v>0</v>
      </c>
      <c r="F176" s="41">
        <f>(D176+E176)*(($F$141)+1)</f>
        <v>177.28308000000001</v>
      </c>
      <c r="G176" s="117" t="str">
        <f>A175</f>
        <v>Ground Floor For Commercial &amp; Parking</v>
      </c>
      <c r="H176" s="118"/>
      <c r="I176" s="36"/>
      <c r="L176" s="193"/>
      <c r="M176" s="193"/>
      <c r="N176" s="36"/>
    </row>
    <row r="177" spans="1:16" s="48" customFormat="1" hidden="1" x14ac:dyDescent="0.3">
      <c r="A177" s="117">
        <v>2</v>
      </c>
      <c r="B177" s="118"/>
      <c r="C177" s="41" t="s">
        <v>192</v>
      </c>
      <c r="D177" s="53">
        <f>(2.3*3.7)*10.764</f>
        <v>91.601639999999989</v>
      </c>
      <c r="E177" s="41">
        <v>0</v>
      </c>
      <c r="F177" s="41">
        <f t="shared" ref="F177:F185" si="3">(D177+E177)*(($F$141)+1)</f>
        <v>137.40245999999999</v>
      </c>
      <c r="G177" s="117" t="str">
        <f t="shared" ref="G177:G185" si="4">G176</f>
        <v>Ground Floor For Commercial &amp; Parking</v>
      </c>
      <c r="H177" s="118"/>
      <c r="I177" s="36"/>
      <c r="L177" s="193"/>
      <c r="M177" s="193"/>
      <c r="N177" s="36"/>
    </row>
    <row r="178" spans="1:16" s="48" customFormat="1" hidden="1" x14ac:dyDescent="0.3">
      <c r="A178" s="117">
        <v>3</v>
      </c>
      <c r="B178" s="118"/>
      <c r="C178" s="41" t="s">
        <v>192</v>
      </c>
      <c r="D178" s="53">
        <f>(10.5)*10.764</f>
        <v>113.02199999999999</v>
      </c>
      <c r="E178" s="41">
        <v>0</v>
      </c>
      <c r="F178" s="41">
        <f t="shared" si="3"/>
        <v>169.53299999999999</v>
      </c>
      <c r="G178" s="117" t="str">
        <f t="shared" si="4"/>
        <v>Ground Floor For Commercial &amp; Parking</v>
      </c>
      <c r="H178" s="118"/>
      <c r="I178" s="36">
        <f>3.1*3.6</f>
        <v>11.16</v>
      </c>
      <c r="L178" s="193"/>
      <c r="M178" s="193"/>
      <c r="N178" s="36"/>
    </row>
    <row r="179" spans="1:16" s="48" customFormat="1" hidden="1" x14ac:dyDescent="0.3">
      <c r="A179" s="117">
        <v>4</v>
      </c>
      <c r="B179" s="118"/>
      <c r="C179" s="41" t="s">
        <v>192</v>
      </c>
      <c r="D179" s="53">
        <f>(7.94)*10.764</f>
        <v>85.466160000000002</v>
      </c>
      <c r="E179" s="41">
        <v>0</v>
      </c>
      <c r="F179" s="41">
        <f t="shared" si="3"/>
        <v>128.19924</v>
      </c>
      <c r="G179" s="117" t="str">
        <f t="shared" si="4"/>
        <v>Ground Floor For Commercial &amp; Parking</v>
      </c>
      <c r="H179" s="118"/>
      <c r="I179" s="36"/>
      <c r="L179" s="193"/>
      <c r="M179" s="193"/>
      <c r="N179" s="36"/>
    </row>
    <row r="180" spans="1:16" s="48" customFormat="1" hidden="1" x14ac:dyDescent="0.3">
      <c r="A180" s="117">
        <v>5</v>
      </c>
      <c r="B180" s="118"/>
      <c r="C180" s="41" t="s">
        <v>192</v>
      </c>
      <c r="D180" s="53">
        <f>(10.98)*10.764</f>
        <v>118.18872</v>
      </c>
      <c r="E180" s="41">
        <v>0</v>
      </c>
      <c r="F180" s="41">
        <f t="shared" si="3"/>
        <v>177.28308000000001</v>
      </c>
      <c r="G180" s="117" t="str">
        <f t="shared" si="4"/>
        <v>Ground Floor For Commercial &amp; Parking</v>
      </c>
      <c r="H180" s="118"/>
      <c r="I180" s="36"/>
      <c r="L180" s="193"/>
      <c r="M180" s="193"/>
      <c r="N180" s="36"/>
    </row>
    <row r="181" spans="1:16" s="48" customFormat="1" hidden="1" x14ac:dyDescent="0.3">
      <c r="A181" s="117">
        <v>6</v>
      </c>
      <c r="B181" s="118"/>
      <c r="C181" s="41" t="s">
        <v>192</v>
      </c>
      <c r="D181" s="53">
        <f>(10.98)*10.764</f>
        <v>118.18872</v>
      </c>
      <c r="E181" s="41">
        <v>0</v>
      </c>
      <c r="F181" s="41">
        <f t="shared" si="3"/>
        <v>177.28308000000001</v>
      </c>
      <c r="G181" s="117" t="str">
        <f t="shared" si="4"/>
        <v>Ground Floor For Commercial &amp; Parking</v>
      </c>
      <c r="H181" s="118"/>
      <c r="I181" s="36"/>
      <c r="L181" s="193"/>
      <c r="M181" s="193"/>
      <c r="N181" s="36"/>
    </row>
    <row r="182" spans="1:16" s="48" customFormat="1" hidden="1" x14ac:dyDescent="0.3">
      <c r="A182" s="117">
        <v>7</v>
      </c>
      <c r="B182" s="118"/>
      <c r="C182" s="41" t="s">
        <v>192</v>
      </c>
      <c r="D182" s="53">
        <f>(7.94)*10.764</f>
        <v>85.466160000000002</v>
      </c>
      <c r="E182" s="41">
        <v>0</v>
      </c>
      <c r="F182" s="41">
        <f t="shared" si="3"/>
        <v>128.19924</v>
      </c>
      <c r="G182" s="117" t="str">
        <f t="shared" si="4"/>
        <v>Ground Floor For Commercial &amp; Parking</v>
      </c>
      <c r="H182" s="118"/>
      <c r="I182" s="36"/>
      <c r="L182" s="193"/>
      <c r="M182" s="193"/>
      <c r="N182" s="36"/>
    </row>
    <row r="183" spans="1:16" s="48" customFormat="1" hidden="1" x14ac:dyDescent="0.3">
      <c r="A183" s="117">
        <v>8</v>
      </c>
      <c r="B183" s="118"/>
      <c r="C183" s="41" t="s">
        <v>192</v>
      </c>
      <c r="D183" s="53">
        <f>(10.59)*10.764</f>
        <v>113.99075999999999</v>
      </c>
      <c r="E183" s="41">
        <v>0</v>
      </c>
      <c r="F183" s="41">
        <f t="shared" si="3"/>
        <v>170.98613999999998</v>
      </c>
      <c r="G183" s="117" t="str">
        <f t="shared" si="4"/>
        <v>Ground Floor For Commercial &amp; Parking</v>
      </c>
      <c r="H183" s="118"/>
      <c r="I183" s="36"/>
      <c r="L183" s="193"/>
      <c r="M183" s="193"/>
      <c r="N183" s="36"/>
    </row>
    <row r="184" spans="1:16" s="48" customFormat="1" hidden="1" x14ac:dyDescent="0.3">
      <c r="A184" s="117">
        <v>9</v>
      </c>
      <c r="B184" s="118"/>
      <c r="C184" s="41" t="s">
        <v>192</v>
      </c>
      <c r="D184" s="53">
        <f>(7.84)*10.764</f>
        <v>84.389759999999995</v>
      </c>
      <c r="E184" s="41">
        <v>0</v>
      </c>
      <c r="F184" s="41">
        <f t="shared" si="3"/>
        <v>126.58463999999999</v>
      </c>
      <c r="G184" s="117" t="str">
        <f t="shared" si="4"/>
        <v>Ground Floor For Commercial &amp; Parking</v>
      </c>
      <c r="H184" s="118"/>
      <c r="I184" s="36"/>
      <c r="L184" s="193"/>
      <c r="M184" s="193"/>
      <c r="N184" s="36"/>
    </row>
    <row r="185" spans="1:16" s="48" customFormat="1" hidden="1" x14ac:dyDescent="0.3">
      <c r="A185" s="117">
        <v>10</v>
      </c>
      <c r="B185" s="118"/>
      <c r="C185" s="41" t="s">
        <v>192</v>
      </c>
      <c r="D185" s="53">
        <f>(10.98)*10.764</f>
        <v>118.18872</v>
      </c>
      <c r="E185" s="41">
        <v>0</v>
      </c>
      <c r="F185" s="41">
        <f t="shared" si="3"/>
        <v>177.28308000000001</v>
      </c>
      <c r="G185" s="117" t="str">
        <f t="shared" si="4"/>
        <v>Ground Floor For Commercial &amp; Parking</v>
      </c>
      <c r="H185" s="118"/>
      <c r="I185" s="36"/>
      <c r="L185" s="193"/>
      <c r="M185" s="193"/>
      <c r="N185" s="36"/>
    </row>
    <row r="186" spans="1:16" s="48" customFormat="1" x14ac:dyDescent="0.3">
      <c r="A186" s="109"/>
      <c r="B186" s="109"/>
      <c r="C186" s="109"/>
      <c r="D186" s="109"/>
      <c r="E186" s="109"/>
      <c r="F186" s="109"/>
      <c r="G186" s="109"/>
      <c r="H186" s="109"/>
      <c r="I186" s="36"/>
      <c r="N186" s="36"/>
    </row>
    <row r="187" spans="1:16" ht="47.25" customHeight="1" x14ac:dyDescent="0.3">
      <c r="A187" s="68" t="s">
        <v>125</v>
      </c>
      <c r="B187" s="68" t="s">
        <v>126</v>
      </c>
      <c r="C187" s="68" t="s">
        <v>61</v>
      </c>
      <c r="D187" s="68" t="s">
        <v>62</v>
      </c>
      <c r="E187" s="69" t="s">
        <v>63</v>
      </c>
      <c r="F187" s="59" t="s">
        <v>155</v>
      </c>
      <c r="G187" s="68" t="s">
        <v>64</v>
      </c>
      <c r="H187" s="68"/>
      <c r="I187" s="36"/>
    </row>
    <row r="188" spans="1:16" s="48" customFormat="1" x14ac:dyDescent="0.3">
      <c r="A188" s="68"/>
      <c r="B188" s="68"/>
      <c r="C188" s="68"/>
      <c r="D188" s="68"/>
      <c r="E188" s="69"/>
      <c r="F188" s="60">
        <v>0.45</v>
      </c>
      <c r="G188" s="68"/>
      <c r="H188" s="68"/>
      <c r="I188" s="36"/>
    </row>
    <row r="189" spans="1:16" s="48" customFormat="1" x14ac:dyDescent="0.3">
      <c r="A189" s="113" t="s">
        <v>234</v>
      </c>
      <c r="B189" s="113"/>
      <c r="C189" s="113"/>
      <c r="D189" s="113"/>
      <c r="E189" s="113"/>
      <c r="F189" s="113"/>
      <c r="G189" s="113"/>
      <c r="H189" s="113"/>
      <c r="J189" s="36"/>
    </row>
    <row r="190" spans="1:16" s="48" customFormat="1" x14ac:dyDescent="0.3">
      <c r="A190" s="113" t="s">
        <v>220</v>
      </c>
      <c r="B190" s="113"/>
      <c r="C190" s="113"/>
      <c r="D190" s="113"/>
      <c r="E190" s="113"/>
      <c r="F190" s="113"/>
      <c r="G190" s="113"/>
      <c r="H190" s="113"/>
      <c r="J190" s="36"/>
    </row>
    <row r="191" spans="1:16" s="48" customFormat="1" x14ac:dyDescent="0.3">
      <c r="A191" s="113" t="s">
        <v>194</v>
      </c>
      <c r="B191" s="113"/>
      <c r="C191" s="113"/>
      <c r="D191" s="113"/>
      <c r="E191" s="113"/>
      <c r="F191" s="113"/>
      <c r="G191" s="113"/>
      <c r="H191" s="113"/>
      <c r="J191" s="36"/>
    </row>
    <row r="192" spans="1:16" s="48" customFormat="1" ht="15.75" customHeight="1" x14ac:dyDescent="0.3">
      <c r="A192" s="109" t="str">
        <f>P192</f>
        <v>101 to 701</v>
      </c>
      <c r="B192" s="109"/>
      <c r="C192" s="41" t="s">
        <v>195</v>
      </c>
      <c r="D192" s="53">
        <f>(33.9)*10.764</f>
        <v>364.89959999999996</v>
      </c>
      <c r="E192" s="41">
        <v>0</v>
      </c>
      <c r="F192" s="41">
        <f t="shared" ref="F192:F201" si="5">D192*(($F$188)+1)+(IF(E192&lt;101,E192,IF(E192&lt;201,E192/2,IF(E192&lt;=301,E192/3,E192/4))))</f>
        <v>529.10441999999989</v>
      </c>
      <c r="G192" s="109" t="str">
        <f>A191</f>
        <v>1st to 7th Floor For Residential</v>
      </c>
      <c r="H192" s="109"/>
      <c r="I192" s="36">
        <f>2.9*3.5+2.13*2.68+2.6*2.8+2.13*0.6+0.9*2.13+1.23*0.99+1.23*1.53+1.23*2.13</f>
        <v>32.052900000000001</v>
      </c>
      <c r="J192" s="48">
        <f>1620000/F192</f>
        <v>3061.7774843007364</v>
      </c>
      <c r="L192" s="193"/>
      <c r="M192" s="193"/>
      <c r="N192" s="36">
        <v>101</v>
      </c>
      <c r="O192" s="48">
        <v>701</v>
      </c>
      <c r="P192" s="48" t="str">
        <f>N192&amp;""&amp;" to "&amp;""&amp;O192</f>
        <v>101 to 701</v>
      </c>
    </row>
    <row r="193" spans="1:16" s="48" customFormat="1" ht="15.75" customHeight="1" x14ac:dyDescent="0.3">
      <c r="A193" s="109" t="str">
        <f t="shared" ref="A193:A201" si="6">P193</f>
        <v>102 to 702</v>
      </c>
      <c r="B193" s="109"/>
      <c r="C193" s="41" t="s">
        <v>195</v>
      </c>
      <c r="D193" s="53">
        <f>(33.9)*10.764</f>
        <v>364.89959999999996</v>
      </c>
      <c r="E193" s="41">
        <v>0</v>
      </c>
      <c r="F193" s="41">
        <f t="shared" si="5"/>
        <v>529.10441999999989</v>
      </c>
      <c r="G193" s="109"/>
      <c r="H193" s="109"/>
      <c r="I193" s="36"/>
      <c r="L193" s="193"/>
      <c r="M193" s="193"/>
      <c r="N193" s="36">
        <v>102</v>
      </c>
      <c r="O193" s="48">
        <v>702</v>
      </c>
      <c r="P193" s="48" t="str">
        <f t="shared" ref="P193:P201" si="7">N193&amp;""&amp;" to "&amp;""&amp;O193</f>
        <v>102 to 702</v>
      </c>
    </row>
    <row r="194" spans="1:16" s="48" customFormat="1" ht="15.75" customHeight="1" x14ac:dyDescent="0.3">
      <c r="A194" s="109" t="str">
        <f t="shared" si="6"/>
        <v>103 to 703</v>
      </c>
      <c r="B194" s="109"/>
      <c r="C194" s="41" t="s">
        <v>195</v>
      </c>
      <c r="D194" s="53">
        <f>(33.9)*10.764</f>
        <v>364.89959999999996</v>
      </c>
      <c r="E194" s="41">
        <v>0</v>
      </c>
      <c r="F194" s="41">
        <f t="shared" si="5"/>
        <v>529.10441999999989</v>
      </c>
      <c r="G194" s="109"/>
      <c r="H194" s="109"/>
      <c r="I194" s="36"/>
      <c r="L194" s="193"/>
      <c r="M194" s="193"/>
      <c r="N194" s="36">
        <v>103</v>
      </c>
      <c r="O194" s="48">
        <v>703</v>
      </c>
      <c r="P194" s="48" t="str">
        <f t="shared" si="7"/>
        <v>103 to 703</v>
      </c>
    </row>
    <row r="195" spans="1:16" s="48" customFormat="1" ht="15.75" customHeight="1" x14ac:dyDescent="0.3">
      <c r="A195" s="109" t="str">
        <f t="shared" si="6"/>
        <v>104 to 704</v>
      </c>
      <c r="B195" s="109"/>
      <c r="C195" s="41" t="s">
        <v>195</v>
      </c>
      <c r="D195" s="53">
        <f>(33.9)*10.764</f>
        <v>364.89959999999996</v>
      </c>
      <c r="E195" s="41">
        <v>0</v>
      </c>
      <c r="F195" s="41">
        <f t="shared" si="5"/>
        <v>529.10441999999989</v>
      </c>
      <c r="G195" s="109"/>
      <c r="H195" s="109"/>
      <c r="I195" s="36"/>
      <c r="L195" s="193"/>
      <c r="M195" s="193"/>
      <c r="N195" s="36">
        <v>104</v>
      </c>
      <c r="O195" s="48">
        <v>704</v>
      </c>
      <c r="P195" s="48" t="str">
        <f t="shared" si="7"/>
        <v>104 to 704</v>
      </c>
    </row>
    <row r="196" spans="1:16" s="48" customFormat="1" ht="15.75" customHeight="1" x14ac:dyDescent="0.3">
      <c r="A196" s="109" t="str">
        <f t="shared" si="6"/>
        <v>105 to 705</v>
      </c>
      <c r="B196" s="109"/>
      <c r="C196" s="41" t="s">
        <v>196</v>
      </c>
      <c r="D196" s="53">
        <f>(24.86)*10.764</f>
        <v>267.59303999999997</v>
      </c>
      <c r="E196" s="41">
        <v>0</v>
      </c>
      <c r="F196" s="41">
        <f t="shared" si="5"/>
        <v>388.00990799999994</v>
      </c>
      <c r="G196" s="109"/>
      <c r="H196" s="109"/>
      <c r="I196" s="36">
        <f>2.45*4.05+1.85*3.23+1.23*1.53+1.05*1.23+1.05+1.8+1.2*2.45</f>
        <v>24.8614</v>
      </c>
      <c r="J196" s="48">
        <f>1185000/F196</f>
        <v>3054.0457229767449</v>
      </c>
      <c r="L196" s="193"/>
      <c r="M196" s="193"/>
      <c r="N196" s="36">
        <v>105</v>
      </c>
      <c r="O196" s="48">
        <v>705</v>
      </c>
      <c r="P196" s="48" t="str">
        <f t="shared" si="7"/>
        <v>105 to 705</v>
      </c>
    </row>
    <row r="197" spans="1:16" s="48" customFormat="1" ht="15.75" customHeight="1" x14ac:dyDescent="0.3">
      <c r="A197" s="109" t="str">
        <f t="shared" si="6"/>
        <v>106 to 706</v>
      </c>
      <c r="B197" s="109"/>
      <c r="C197" s="41" t="s">
        <v>196</v>
      </c>
      <c r="D197" s="53">
        <f>(24.86)*10.764</f>
        <v>267.59303999999997</v>
      </c>
      <c r="E197" s="41">
        <v>0</v>
      </c>
      <c r="F197" s="41">
        <f t="shared" si="5"/>
        <v>388.00990799999994</v>
      </c>
      <c r="G197" s="109"/>
      <c r="H197" s="109"/>
      <c r="I197" s="36">
        <f>1400000/F197</f>
        <v>3608.1552845294873</v>
      </c>
      <c r="L197" s="193"/>
      <c r="M197" s="193"/>
      <c r="N197" s="36">
        <v>106</v>
      </c>
      <c r="O197" s="48">
        <v>706</v>
      </c>
      <c r="P197" s="48" t="str">
        <f t="shared" si="7"/>
        <v>106 to 706</v>
      </c>
    </row>
    <row r="198" spans="1:16" s="48" customFormat="1" ht="15.75" customHeight="1" x14ac:dyDescent="0.3">
      <c r="A198" s="109" t="str">
        <f t="shared" si="6"/>
        <v>107 to 707</v>
      </c>
      <c r="B198" s="109"/>
      <c r="C198" s="41" t="s">
        <v>196</v>
      </c>
      <c r="D198" s="53">
        <f>(24.86)*10.764</f>
        <v>267.59303999999997</v>
      </c>
      <c r="E198" s="41">
        <v>0</v>
      </c>
      <c r="F198" s="41">
        <f t="shared" si="5"/>
        <v>388.00990799999994</v>
      </c>
      <c r="G198" s="109"/>
      <c r="H198" s="109"/>
      <c r="I198" s="36"/>
      <c r="L198" s="193"/>
      <c r="M198" s="193"/>
      <c r="N198" s="36">
        <v>107</v>
      </c>
      <c r="O198" s="48">
        <v>707</v>
      </c>
      <c r="P198" s="48" t="str">
        <f t="shared" si="7"/>
        <v>107 to 707</v>
      </c>
    </row>
    <row r="199" spans="1:16" s="48" customFormat="1" ht="15.75" customHeight="1" x14ac:dyDescent="0.3">
      <c r="A199" s="109" t="str">
        <f t="shared" si="6"/>
        <v>108 to 708</v>
      </c>
      <c r="B199" s="109"/>
      <c r="C199" s="41" t="s">
        <v>195</v>
      </c>
      <c r="D199" s="53">
        <f>(33.9)*10.764</f>
        <v>364.89959999999996</v>
      </c>
      <c r="E199" s="41">
        <v>0</v>
      </c>
      <c r="F199" s="41">
        <f t="shared" si="5"/>
        <v>529.10441999999989</v>
      </c>
      <c r="G199" s="109"/>
      <c r="H199" s="109"/>
      <c r="I199" s="36">
        <f>2260000/F199</f>
        <v>4271.3685892096692</v>
      </c>
      <c r="L199" s="193"/>
      <c r="M199" s="193"/>
      <c r="N199" s="36">
        <v>108</v>
      </c>
      <c r="O199" s="48">
        <v>708</v>
      </c>
      <c r="P199" s="48" t="str">
        <f t="shared" si="7"/>
        <v>108 to 708</v>
      </c>
    </row>
    <row r="200" spans="1:16" s="48" customFormat="1" ht="15.75" customHeight="1" x14ac:dyDescent="0.3">
      <c r="A200" s="109" t="str">
        <f t="shared" si="6"/>
        <v>109 to 709</v>
      </c>
      <c r="B200" s="109"/>
      <c r="C200" s="41" t="s">
        <v>196</v>
      </c>
      <c r="D200" s="53">
        <f>(24.86)*10.764</f>
        <v>267.59303999999997</v>
      </c>
      <c r="E200" s="41">
        <v>0</v>
      </c>
      <c r="F200" s="41">
        <f t="shared" si="5"/>
        <v>388.00990799999994</v>
      </c>
      <c r="G200" s="109"/>
      <c r="H200" s="109"/>
      <c r="I200" s="36"/>
      <c r="L200" s="193"/>
      <c r="M200" s="193"/>
      <c r="N200" s="36">
        <v>109</v>
      </c>
      <c r="O200" s="48">
        <v>709</v>
      </c>
      <c r="P200" s="48" t="str">
        <f t="shared" si="7"/>
        <v>109 to 709</v>
      </c>
    </row>
    <row r="201" spans="1:16" s="48" customFormat="1" ht="15.75" customHeight="1" x14ac:dyDescent="0.3">
      <c r="A201" s="109" t="str">
        <f t="shared" si="6"/>
        <v>110 to 710</v>
      </c>
      <c r="B201" s="109"/>
      <c r="C201" s="41" t="s">
        <v>196</v>
      </c>
      <c r="D201" s="53">
        <f>(24.86)*10.764</f>
        <v>267.59303999999997</v>
      </c>
      <c r="E201" s="41">
        <v>0</v>
      </c>
      <c r="F201" s="41">
        <f t="shared" si="5"/>
        <v>388.00990799999994</v>
      </c>
      <c r="G201" s="109"/>
      <c r="H201" s="109"/>
      <c r="I201" s="36">
        <f>1768000/F201</f>
        <v>4556.5846736058102</v>
      </c>
      <c r="L201" s="193"/>
      <c r="M201" s="193"/>
      <c r="N201" s="36">
        <v>110</v>
      </c>
      <c r="O201" s="48">
        <v>710</v>
      </c>
      <c r="P201" s="48" t="str">
        <f t="shared" si="7"/>
        <v>110 to 710</v>
      </c>
    </row>
    <row r="202" spans="1:16" s="48" customFormat="1" x14ac:dyDescent="0.3">
      <c r="A202" s="110" t="s">
        <v>236</v>
      </c>
      <c r="B202" s="111"/>
      <c r="C202" s="111"/>
      <c r="D202" s="111"/>
      <c r="E202" s="111"/>
      <c r="F202" s="111"/>
      <c r="G202" s="111"/>
      <c r="H202" s="112"/>
      <c r="J202" s="36"/>
      <c r="N202" s="36"/>
    </row>
    <row r="203" spans="1:16" s="48" customFormat="1" x14ac:dyDescent="0.3">
      <c r="A203" s="110" t="s">
        <v>222</v>
      </c>
      <c r="B203" s="111"/>
      <c r="C203" s="111"/>
      <c r="D203" s="111"/>
      <c r="E203" s="111"/>
      <c r="F203" s="111"/>
      <c r="G203" s="111"/>
      <c r="H203" s="112"/>
      <c r="J203" s="36"/>
      <c r="N203" s="36"/>
    </row>
    <row r="204" spans="1:16" s="48" customFormat="1" x14ac:dyDescent="0.3">
      <c r="A204" s="110" t="s">
        <v>194</v>
      </c>
      <c r="B204" s="111"/>
      <c r="C204" s="111"/>
      <c r="D204" s="111"/>
      <c r="E204" s="111"/>
      <c r="F204" s="111"/>
      <c r="G204" s="111"/>
      <c r="H204" s="112"/>
      <c r="J204" s="36"/>
    </row>
    <row r="205" spans="1:16" s="48" customFormat="1" ht="15.75" customHeight="1" x14ac:dyDescent="0.3">
      <c r="A205" s="117" t="str">
        <f>P205</f>
        <v>101 to 701</v>
      </c>
      <c r="B205" s="118"/>
      <c r="C205" s="41" t="s">
        <v>196</v>
      </c>
      <c r="D205" s="53">
        <f t="shared" ref="D205:D210" si="8">(24.86)*10.764</f>
        <v>267.59303999999997</v>
      </c>
      <c r="E205" s="41">
        <v>0</v>
      </c>
      <c r="F205" s="41">
        <f t="shared" ref="F205:F210" si="9">D205*(($F$188)+1)+(IF(E205&lt;101,E205,IF(E205&lt;201,E205/2,IF(E205&lt;=301,E205/3,E205/4))))</f>
        <v>388.00990799999994</v>
      </c>
      <c r="G205" s="103" t="str">
        <f>A204</f>
        <v>1st to 7th Floor For Residential</v>
      </c>
      <c r="H205" s="104"/>
      <c r="I205" s="36">
        <f>2.45*4.05+1.83*3.23+1.05*1.23+1.23*1.03+1.05*1.8+1.2*2.45</f>
        <v>23.221800000000002</v>
      </c>
      <c r="L205" s="193"/>
      <c r="M205" s="193"/>
      <c r="N205" s="36">
        <v>101</v>
      </c>
      <c r="O205" s="48">
        <v>701</v>
      </c>
      <c r="P205" s="48" t="str">
        <f>N205&amp;""&amp;" to "&amp;""&amp;O205</f>
        <v>101 to 701</v>
      </c>
    </row>
    <row r="206" spans="1:16" s="48" customFormat="1" ht="15.75" customHeight="1" x14ac:dyDescent="0.3">
      <c r="A206" s="117" t="str">
        <f t="shared" ref="A206:A210" si="10">P206</f>
        <v>102 to 702</v>
      </c>
      <c r="B206" s="118"/>
      <c r="C206" s="41" t="s">
        <v>196</v>
      </c>
      <c r="D206" s="53">
        <f t="shared" si="8"/>
        <v>267.59303999999997</v>
      </c>
      <c r="E206" s="41">
        <v>0</v>
      </c>
      <c r="F206" s="41">
        <f t="shared" si="9"/>
        <v>388.00990799999994</v>
      </c>
      <c r="G206" s="105"/>
      <c r="H206" s="106"/>
      <c r="I206" s="36">
        <f>1400000/F206</f>
        <v>3608.1552845294873</v>
      </c>
      <c r="L206" s="193"/>
      <c r="M206" s="193"/>
      <c r="N206" s="36">
        <v>102</v>
      </c>
      <c r="O206" s="48">
        <v>702</v>
      </c>
      <c r="P206" s="48" t="str">
        <f t="shared" ref="P206:P210" si="11">N206&amp;""&amp;" to "&amp;""&amp;O206</f>
        <v>102 to 702</v>
      </c>
    </row>
    <row r="207" spans="1:16" s="48" customFormat="1" ht="15.75" customHeight="1" x14ac:dyDescent="0.3">
      <c r="A207" s="117" t="str">
        <f t="shared" si="10"/>
        <v>103 to 703</v>
      </c>
      <c r="B207" s="118"/>
      <c r="C207" s="41" t="s">
        <v>196</v>
      </c>
      <c r="D207" s="53">
        <f t="shared" si="8"/>
        <v>267.59303999999997</v>
      </c>
      <c r="E207" s="41">
        <v>0</v>
      </c>
      <c r="F207" s="41">
        <f t="shared" si="9"/>
        <v>388.00990799999994</v>
      </c>
      <c r="G207" s="105"/>
      <c r="H207" s="106"/>
      <c r="I207" s="36"/>
      <c r="L207" s="193"/>
      <c r="M207" s="193"/>
      <c r="N207" s="36">
        <v>103</v>
      </c>
      <c r="O207" s="48">
        <v>703</v>
      </c>
      <c r="P207" s="48" t="str">
        <f t="shared" si="11"/>
        <v>103 to 703</v>
      </c>
    </row>
    <row r="208" spans="1:16" s="48" customFormat="1" ht="15.75" customHeight="1" x14ac:dyDescent="0.3">
      <c r="A208" s="117" t="str">
        <f t="shared" si="10"/>
        <v>104 to 704</v>
      </c>
      <c r="B208" s="118"/>
      <c r="C208" s="41" t="s">
        <v>196</v>
      </c>
      <c r="D208" s="53">
        <f t="shared" si="8"/>
        <v>267.59303999999997</v>
      </c>
      <c r="E208" s="41">
        <v>0</v>
      </c>
      <c r="F208" s="41">
        <f t="shared" si="9"/>
        <v>388.00990799999994</v>
      </c>
      <c r="G208" s="105"/>
      <c r="H208" s="106"/>
      <c r="I208" s="36"/>
      <c r="L208" s="193"/>
      <c r="M208" s="193"/>
      <c r="N208" s="36">
        <v>104</v>
      </c>
      <c r="O208" s="48">
        <v>704</v>
      </c>
      <c r="P208" s="48" t="str">
        <f t="shared" si="11"/>
        <v>104 to 704</v>
      </c>
    </row>
    <row r="209" spans="1:16" s="48" customFormat="1" ht="15.75" customHeight="1" x14ac:dyDescent="0.3">
      <c r="A209" s="117" t="str">
        <f t="shared" si="10"/>
        <v>105 to 705</v>
      </c>
      <c r="B209" s="118"/>
      <c r="C209" s="41" t="s">
        <v>196</v>
      </c>
      <c r="D209" s="53">
        <f t="shared" si="8"/>
        <v>267.59303999999997</v>
      </c>
      <c r="E209" s="41">
        <v>0</v>
      </c>
      <c r="F209" s="41">
        <f t="shared" si="9"/>
        <v>388.00990799999994</v>
      </c>
      <c r="G209" s="105"/>
      <c r="H209" s="106"/>
      <c r="I209" s="36">
        <f>2300000/F209</f>
        <v>5927.683681727015</v>
      </c>
      <c r="L209" s="193"/>
      <c r="M209" s="193"/>
      <c r="N209" s="36">
        <v>105</v>
      </c>
      <c r="O209" s="48">
        <v>705</v>
      </c>
      <c r="P209" s="48" t="str">
        <f t="shared" si="11"/>
        <v>105 to 705</v>
      </c>
    </row>
    <row r="210" spans="1:16" s="48" customFormat="1" ht="15.75" customHeight="1" x14ac:dyDescent="0.3">
      <c r="A210" s="117" t="str">
        <f t="shared" si="10"/>
        <v>106 to 706</v>
      </c>
      <c r="B210" s="118"/>
      <c r="C210" s="41" t="s">
        <v>196</v>
      </c>
      <c r="D210" s="53">
        <f t="shared" si="8"/>
        <v>267.59303999999997</v>
      </c>
      <c r="E210" s="41">
        <v>0</v>
      </c>
      <c r="F210" s="41">
        <f t="shared" si="9"/>
        <v>388.00990799999994</v>
      </c>
      <c r="G210" s="107"/>
      <c r="H210" s="108"/>
      <c r="I210" s="36"/>
      <c r="L210" s="193"/>
      <c r="M210" s="193"/>
      <c r="N210" s="36">
        <v>106</v>
      </c>
      <c r="O210" s="48">
        <v>706</v>
      </c>
      <c r="P210" s="48" t="str">
        <f t="shared" si="11"/>
        <v>106 to 706</v>
      </c>
    </row>
    <row r="211" spans="1:16" s="48" customFormat="1" x14ac:dyDescent="0.3">
      <c r="A211" s="110" t="s">
        <v>223</v>
      </c>
      <c r="B211" s="111"/>
      <c r="C211" s="111"/>
      <c r="D211" s="111"/>
      <c r="E211" s="111"/>
      <c r="F211" s="111"/>
      <c r="G211" s="111"/>
      <c r="H211" s="112"/>
      <c r="J211" s="36"/>
    </row>
    <row r="212" spans="1:16" s="48" customFormat="1" x14ac:dyDescent="0.3">
      <c r="A212" s="110" t="s">
        <v>194</v>
      </c>
      <c r="B212" s="111"/>
      <c r="C212" s="111"/>
      <c r="D212" s="111"/>
      <c r="E212" s="111"/>
      <c r="F212" s="111"/>
      <c r="G212" s="111"/>
      <c r="H212" s="112"/>
      <c r="J212" s="36"/>
    </row>
    <row r="213" spans="1:16" s="48" customFormat="1" ht="15.75" customHeight="1" x14ac:dyDescent="0.3">
      <c r="A213" s="117" t="str">
        <f>P213</f>
        <v>101 to 701</v>
      </c>
      <c r="B213" s="118"/>
      <c r="C213" s="41" t="s">
        <v>195</v>
      </c>
      <c r="D213" s="53">
        <f t="shared" ref="D213:D218" si="12">(33.9)*10.764</f>
        <v>364.89959999999996</v>
      </c>
      <c r="E213" s="41">
        <v>0</v>
      </c>
      <c r="F213" s="41">
        <f t="shared" ref="F213:F218" si="13">D213*(($F$188)+1)+(IF(E213&lt;101,E213,IF(E213&lt;201,E213/2,IF(E213&lt;=301,E213/3,E213/4))))</f>
        <v>529.10441999999989</v>
      </c>
      <c r="G213" s="103" t="str">
        <f>A212</f>
        <v>1st to 7th Floor For Residential</v>
      </c>
      <c r="H213" s="104"/>
      <c r="I213" s="36">
        <f>2.9*3.5+2.13*2.68+2.6*2.8+2.13*0.6+1.23*0.93+1.23*1.53+0.9*2.13+1.23*2.13</f>
        <v>31.979099999999995</v>
      </c>
      <c r="J213" s="48">
        <f>2409000/F213</f>
        <v>4552.9765183212803</v>
      </c>
      <c r="L213" s="193"/>
      <c r="M213" s="193"/>
      <c r="N213" s="36">
        <v>101</v>
      </c>
      <c r="O213" s="48">
        <v>701</v>
      </c>
      <c r="P213" s="48" t="str">
        <f>N213&amp;""&amp;" to "&amp;""&amp;O213</f>
        <v>101 to 701</v>
      </c>
    </row>
    <row r="214" spans="1:16" s="48" customFormat="1" ht="15.75" customHeight="1" x14ac:dyDescent="0.3">
      <c r="A214" s="117" t="str">
        <f t="shared" ref="A214:A218" si="14">P214</f>
        <v>102 to 702</v>
      </c>
      <c r="B214" s="118"/>
      <c r="C214" s="41" t="s">
        <v>195</v>
      </c>
      <c r="D214" s="53">
        <f t="shared" si="12"/>
        <v>364.89959999999996</v>
      </c>
      <c r="E214" s="41">
        <v>0</v>
      </c>
      <c r="F214" s="41">
        <f t="shared" si="13"/>
        <v>529.10441999999989</v>
      </c>
      <c r="G214" s="105" t="str">
        <f>G213</f>
        <v>1st to 7th Floor For Residential</v>
      </c>
      <c r="H214" s="106"/>
      <c r="I214" s="36">
        <f>3200000/F214</f>
        <v>6047.9555245446645</v>
      </c>
      <c r="L214" s="193"/>
      <c r="M214" s="193"/>
      <c r="N214" s="36">
        <v>102</v>
      </c>
      <c r="O214" s="48">
        <v>702</v>
      </c>
      <c r="P214" s="48" t="str">
        <f t="shared" ref="P214:P218" si="15">N214&amp;""&amp;" to "&amp;""&amp;O214</f>
        <v>102 to 702</v>
      </c>
    </row>
    <row r="215" spans="1:16" s="48" customFormat="1" ht="15.75" customHeight="1" x14ac:dyDescent="0.3">
      <c r="A215" s="117" t="str">
        <f t="shared" si="14"/>
        <v>103 to 703</v>
      </c>
      <c r="B215" s="118"/>
      <c r="C215" s="41" t="s">
        <v>195</v>
      </c>
      <c r="D215" s="53">
        <f t="shared" si="12"/>
        <v>364.89959999999996</v>
      </c>
      <c r="E215" s="41">
        <v>0</v>
      </c>
      <c r="F215" s="41">
        <f t="shared" si="13"/>
        <v>529.10441999999989</v>
      </c>
      <c r="G215" s="105" t="str">
        <f>G214</f>
        <v>1st to 7th Floor For Residential</v>
      </c>
      <c r="H215" s="106"/>
      <c r="I215" s="36">
        <f>2260000/F215</f>
        <v>4271.3685892096692</v>
      </c>
      <c r="L215" s="193"/>
      <c r="M215" s="193"/>
      <c r="N215" s="36">
        <v>103</v>
      </c>
      <c r="O215" s="48">
        <v>703</v>
      </c>
      <c r="P215" s="48" t="str">
        <f t="shared" si="15"/>
        <v>103 to 703</v>
      </c>
    </row>
    <row r="216" spans="1:16" s="48" customFormat="1" ht="15.75" customHeight="1" x14ac:dyDescent="0.3">
      <c r="A216" s="117" t="str">
        <f t="shared" si="14"/>
        <v>104 to 704</v>
      </c>
      <c r="B216" s="118"/>
      <c r="C216" s="41" t="s">
        <v>195</v>
      </c>
      <c r="D216" s="53">
        <f t="shared" si="12"/>
        <v>364.89959999999996</v>
      </c>
      <c r="E216" s="41">
        <v>0</v>
      </c>
      <c r="F216" s="41">
        <f t="shared" si="13"/>
        <v>529.10441999999989</v>
      </c>
      <c r="G216" s="105" t="str">
        <f>G215</f>
        <v>1st to 7th Floor For Residential</v>
      </c>
      <c r="H216" s="106"/>
      <c r="I216" s="36">
        <f>2260000/F216</f>
        <v>4271.3685892096692</v>
      </c>
      <c r="L216" s="193"/>
      <c r="M216" s="193"/>
      <c r="N216" s="36">
        <v>104</v>
      </c>
      <c r="O216" s="48">
        <v>704</v>
      </c>
      <c r="P216" s="48" t="str">
        <f t="shared" si="15"/>
        <v>104 to 704</v>
      </c>
    </row>
    <row r="217" spans="1:16" s="48" customFormat="1" ht="15.75" customHeight="1" x14ac:dyDescent="0.3">
      <c r="A217" s="117" t="str">
        <f t="shared" si="14"/>
        <v>105 to 705</v>
      </c>
      <c r="B217" s="118"/>
      <c r="C217" s="41" t="s">
        <v>195</v>
      </c>
      <c r="D217" s="53">
        <f t="shared" si="12"/>
        <v>364.89959999999996</v>
      </c>
      <c r="E217" s="41">
        <v>0</v>
      </c>
      <c r="F217" s="41">
        <f t="shared" si="13"/>
        <v>529.10441999999989</v>
      </c>
      <c r="G217" s="105" t="str">
        <f>G216</f>
        <v>1st to 7th Floor For Residential</v>
      </c>
      <c r="H217" s="106"/>
      <c r="I217" s="36"/>
      <c r="L217" s="193"/>
      <c r="M217" s="193"/>
      <c r="N217" s="36">
        <v>105</v>
      </c>
      <c r="O217" s="48">
        <v>705</v>
      </c>
      <c r="P217" s="48" t="str">
        <f t="shared" si="15"/>
        <v>105 to 705</v>
      </c>
    </row>
    <row r="218" spans="1:16" s="48" customFormat="1" ht="15.75" customHeight="1" x14ac:dyDescent="0.3">
      <c r="A218" s="117" t="str">
        <f t="shared" si="14"/>
        <v>106 to 706</v>
      </c>
      <c r="B218" s="118"/>
      <c r="C218" s="41" t="s">
        <v>195</v>
      </c>
      <c r="D218" s="53">
        <f t="shared" si="12"/>
        <v>364.89959999999996</v>
      </c>
      <c r="E218" s="41">
        <v>0</v>
      </c>
      <c r="F218" s="41">
        <f t="shared" si="13"/>
        <v>529.10441999999989</v>
      </c>
      <c r="G218" s="107" t="str">
        <f>G217</f>
        <v>1st to 7th Floor For Residential</v>
      </c>
      <c r="H218" s="108"/>
      <c r="I218" s="36"/>
      <c r="L218" s="193"/>
      <c r="M218" s="193"/>
      <c r="N218" s="36">
        <v>106</v>
      </c>
      <c r="O218" s="48">
        <v>706</v>
      </c>
      <c r="P218" s="48" t="str">
        <f t="shared" si="15"/>
        <v>106 to 706</v>
      </c>
    </row>
    <row r="219" spans="1:16" s="48" customFormat="1" hidden="1" x14ac:dyDescent="0.3">
      <c r="A219" s="110" t="s">
        <v>197</v>
      </c>
      <c r="B219" s="111"/>
      <c r="C219" s="111"/>
      <c r="D219" s="111"/>
      <c r="E219" s="111"/>
      <c r="F219" s="111"/>
      <c r="G219" s="111"/>
      <c r="H219" s="112"/>
      <c r="J219" s="36"/>
    </row>
    <row r="220" spans="1:16" s="48" customFormat="1" hidden="1" x14ac:dyDescent="0.3">
      <c r="A220" s="110" t="s">
        <v>198</v>
      </c>
      <c r="B220" s="111"/>
      <c r="C220" s="111"/>
      <c r="D220" s="111"/>
      <c r="E220" s="111"/>
      <c r="F220" s="111"/>
      <c r="G220" s="111"/>
      <c r="H220" s="112"/>
      <c r="J220" s="36"/>
    </row>
    <row r="221" spans="1:16" s="48" customFormat="1" hidden="1" x14ac:dyDescent="0.3">
      <c r="A221" s="117" t="str">
        <f>P221</f>
        <v>101 to 701</v>
      </c>
      <c r="B221" s="118"/>
      <c r="C221" s="41" t="s">
        <v>195</v>
      </c>
      <c r="D221" s="53">
        <f t="shared" ref="D221:D228" si="16">(33.9)*10.764</f>
        <v>364.89959999999996</v>
      </c>
      <c r="E221" s="41">
        <v>0</v>
      </c>
      <c r="F221" s="41">
        <f t="shared" ref="F221:F228" si="17">D221*(($F$188)+1)+(IF(E221&lt;101,E221,IF(E221&lt;201,E221/2,IF(E221&lt;=301,E221/3,E221/4))))</f>
        <v>529.10441999999989</v>
      </c>
      <c r="G221" s="117" t="str">
        <f>A220</f>
        <v>1st &amp; 2nd Floor For Residential</v>
      </c>
      <c r="H221" s="118"/>
      <c r="I221" s="36"/>
      <c r="L221" s="193"/>
      <c r="M221" s="193"/>
      <c r="N221" s="36">
        <v>101</v>
      </c>
      <c r="O221" s="48">
        <v>701</v>
      </c>
      <c r="P221" s="48" t="str">
        <f>N221&amp;""&amp;" to "&amp;""&amp;O221</f>
        <v>101 to 701</v>
      </c>
    </row>
    <row r="222" spans="1:16" s="48" customFormat="1" hidden="1" x14ac:dyDescent="0.3">
      <c r="A222" s="117" t="str">
        <f t="shared" ref="A222:A228" si="18">P222</f>
        <v>102 to 702</v>
      </c>
      <c r="B222" s="118"/>
      <c r="C222" s="41" t="s">
        <v>195</v>
      </c>
      <c r="D222" s="53">
        <f t="shared" si="16"/>
        <v>364.89959999999996</v>
      </c>
      <c r="E222" s="41">
        <v>0</v>
      </c>
      <c r="F222" s="41">
        <f t="shared" si="17"/>
        <v>529.10441999999989</v>
      </c>
      <c r="G222" s="117" t="str">
        <f t="shared" ref="G222:G228" si="19">G221</f>
        <v>1st &amp; 2nd Floor For Residential</v>
      </c>
      <c r="H222" s="118"/>
      <c r="I222" s="36"/>
      <c r="L222" s="193"/>
      <c r="M222" s="193"/>
      <c r="N222" s="36">
        <v>102</v>
      </c>
      <c r="O222" s="48">
        <v>702</v>
      </c>
      <c r="P222" s="48" t="str">
        <f t="shared" ref="P222:P228" si="20">N222&amp;""&amp;" to "&amp;""&amp;O222</f>
        <v>102 to 702</v>
      </c>
    </row>
    <row r="223" spans="1:16" s="48" customFormat="1" hidden="1" x14ac:dyDescent="0.3">
      <c r="A223" s="117" t="str">
        <f t="shared" si="18"/>
        <v>103 to 703</v>
      </c>
      <c r="B223" s="118"/>
      <c r="C223" s="41" t="s">
        <v>195</v>
      </c>
      <c r="D223" s="53">
        <f t="shared" si="16"/>
        <v>364.89959999999996</v>
      </c>
      <c r="E223" s="41">
        <v>0</v>
      </c>
      <c r="F223" s="41">
        <f t="shared" si="17"/>
        <v>529.10441999999989</v>
      </c>
      <c r="G223" s="117" t="str">
        <f t="shared" si="19"/>
        <v>1st &amp; 2nd Floor For Residential</v>
      </c>
      <c r="H223" s="118"/>
      <c r="I223" s="36"/>
      <c r="L223" s="193"/>
      <c r="M223" s="193"/>
      <c r="N223" s="36">
        <v>103</v>
      </c>
      <c r="O223" s="48">
        <v>703</v>
      </c>
      <c r="P223" s="48" t="str">
        <f t="shared" si="20"/>
        <v>103 to 703</v>
      </c>
    </row>
    <row r="224" spans="1:16" s="48" customFormat="1" hidden="1" x14ac:dyDescent="0.3">
      <c r="A224" s="117" t="str">
        <f t="shared" si="18"/>
        <v>104 to 704</v>
      </c>
      <c r="B224" s="118"/>
      <c r="C224" s="41" t="s">
        <v>195</v>
      </c>
      <c r="D224" s="53">
        <f t="shared" si="16"/>
        <v>364.89959999999996</v>
      </c>
      <c r="E224" s="41">
        <v>0</v>
      </c>
      <c r="F224" s="41">
        <f t="shared" si="17"/>
        <v>529.10441999999989</v>
      </c>
      <c r="G224" s="117" t="str">
        <f t="shared" si="19"/>
        <v>1st &amp; 2nd Floor For Residential</v>
      </c>
      <c r="H224" s="118"/>
      <c r="I224" s="36"/>
      <c r="L224" s="193"/>
      <c r="M224" s="193"/>
      <c r="N224" s="36">
        <v>104</v>
      </c>
      <c r="O224" s="48">
        <v>704</v>
      </c>
      <c r="P224" s="48" t="str">
        <f t="shared" si="20"/>
        <v>104 to 704</v>
      </c>
    </row>
    <row r="225" spans="1:16" s="48" customFormat="1" hidden="1" x14ac:dyDescent="0.3">
      <c r="A225" s="117" t="str">
        <f t="shared" si="18"/>
        <v>105 to 705</v>
      </c>
      <c r="B225" s="118"/>
      <c r="C225" s="41" t="s">
        <v>195</v>
      </c>
      <c r="D225" s="53">
        <f t="shared" si="16"/>
        <v>364.89959999999996</v>
      </c>
      <c r="E225" s="41">
        <v>0</v>
      </c>
      <c r="F225" s="41">
        <f t="shared" si="17"/>
        <v>529.10441999999989</v>
      </c>
      <c r="G225" s="117" t="str">
        <f t="shared" si="19"/>
        <v>1st &amp; 2nd Floor For Residential</v>
      </c>
      <c r="H225" s="118"/>
      <c r="I225" s="36"/>
      <c r="L225" s="193"/>
      <c r="M225" s="193"/>
      <c r="N225" s="36">
        <v>105</v>
      </c>
      <c r="O225" s="48">
        <v>705</v>
      </c>
      <c r="P225" s="48" t="str">
        <f t="shared" si="20"/>
        <v>105 to 705</v>
      </c>
    </row>
    <row r="226" spans="1:16" s="48" customFormat="1" hidden="1" x14ac:dyDescent="0.3">
      <c r="A226" s="117" t="str">
        <f t="shared" si="18"/>
        <v>106 to 706</v>
      </c>
      <c r="B226" s="118"/>
      <c r="C226" s="41" t="s">
        <v>195</v>
      </c>
      <c r="D226" s="53">
        <f t="shared" si="16"/>
        <v>364.89959999999996</v>
      </c>
      <c r="E226" s="41">
        <v>0</v>
      </c>
      <c r="F226" s="41">
        <f t="shared" si="17"/>
        <v>529.10441999999989</v>
      </c>
      <c r="G226" s="117" t="str">
        <f t="shared" si="19"/>
        <v>1st &amp; 2nd Floor For Residential</v>
      </c>
      <c r="H226" s="118"/>
      <c r="I226" s="36"/>
      <c r="L226" s="193"/>
      <c r="M226" s="193"/>
      <c r="N226" s="36">
        <v>106</v>
      </c>
      <c r="O226" s="48">
        <v>706</v>
      </c>
      <c r="P226" s="48" t="str">
        <f t="shared" si="20"/>
        <v>106 to 706</v>
      </c>
    </row>
    <row r="227" spans="1:16" s="48" customFormat="1" hidden="1" x14ac:dyDescent="0.3">
      <c r="A227" s="117" t="str">
        <f t="shared" si="18"/>
        <v>107 to 707</v>
      </c>
      <c r="B227" s="118"/>
      <c r="C227" s="41" t="s">
        <v>195</v>
      </c>
      <c r="D227" s="53">
        <f t="shared" si="16"/>
        <v>364.89959999999996</v>
      </c>
      <c r="E227" s="41">
        <v>0</v>
      </c>
      <c r="F227" s="41">
        <f t="shared" si="17"/>
        <v>529.10441999999989</v>
      </c>
      <c r="G227" s="117" t="str">
        <f t="shared" si="19"/>
        <v>1st &amp; 2nd Floor For Residential</v>
      </c>
      <c r="H227" s="118"/>
      <c r="I227" s="36"/>
      <c r="L227" s="193"/>
      <c r="M227" s="193"/>
      <c r="N227" s="36">
        <v>107</v>
      </c>
      <c r="O227" s="48">
        <v>707</v>
      </c>
      <c r="P227" s="48" t="str">
        <f t="shared" si="20"/>
        <v>107 to 707</v>
      </c>
    </row>
    <row r="228" spans="1:16" s="48" customFormat="1" hidden="1" x14ac:dyDescent="0.3">
      <c r="A228" s="117" t="str">
        <f t="shared" si="18"/>
        <v>108 to 708</v>
      </c>
      <c r="B228" s="118"/>
      <c r="C228" s="41" t="s">
        <v>195</v>
      </c>
      <c r="D228" s="53">
        <f t="shared" si="16"/>
        <v>364.89959999999996</v>
      </c>
      <c r="E228" s="41">
        <v>0</v>
      </c>
      <c r="F228" s="41">
        <f t="shared" si="17"/>
        <v>529.10441999999989</v>
      </c>
      <c r="G228" s="117" t="str">
        <f t="shared" si="19"/>
        <v>1st &amp; 2nd Floor For Residential</v>
      </c>
      <c r="H228" s="118"/>
      <c r="I228" s="36"/>
      <c r="L228" s="193"/>
      <c r="M228" s="193"/>
      <c r="N228" s="36">
        <v>108</v>
      </c>
      <c r="O228" s="48">
        <v>708</v>
      </c>
      <c r="P228" s="48" t="str">
        <f t="shared" si="20"/>
        <v>108 to 708</v>
      </c>
    </row>
    <row r="229" spans="1:16" s="35" customFormat="1" x14ac:dyDescent="0.3">
      <c r="A229" s="137" t="s">
        <v>72</v>
      </c>
      <c r="B229" s="137"/>
      <c r="C229" s="137"/>
      <c r="D229" s="137"/>
      <c r="E229" s="137"/>
      <c r="F229" s="137"/>
      <c r="G229" s="137"/>
      <c r="H229" s="137"/>
    </row>
    <row r="230" spans="1:16" s="35" customFormat="1" ht="52.2" customHeight="1" x14ac:dyDescent="0.3">
      <c r="A230" s="45" t="s">
        <v>159</v>
      </c>
      <c r="B230" s="114" t="s">
        <v>243</v>
      </c>
      <c r="C230" s="115"/>
      <c r="D230" s="115"/>
      <c r="E230" s="115"/>
      <c r="F230" s="115"/>
      <c r="G230" s="115"/>
      <c r="H230" s="116"/>
      <c r="I230" s="201"/>
      <c r="J230" s="202"/>
      <c r="K230" s="202"/>
    </row>
    <row r="231" spans="1:16" s="35" customFormat="1" x14ac:dyDescent="0.3">
      <c r="A231" s="45" t="s">
        <v>159</v>
      </c>
      <c r="B231" s="114" t="str">
        <f>(IF(F187="Saleable area Loading :","We have considered Saleable area of Flats as per our Calculation.","We considered Saleable area of Flat as per Builder area Sheet."))</f>
        <v>We have considered Saleable area of Flats as per our Calculation.</v>
      </c>
      <c r="C231" s="115"/>
      <c r="D231" s="115"/>
      <c r="E231" s="115"/>
      <c r="F231" s="115"/>
      <c r="G231" s="115"/>
      <c r="H231" s="116"/>
      <c r="I231" s="201"/>
      <c r="J231" s="202"/>
      <c r="K231" s="202"/>
    </row>
    <row r="232" spans="1:16" s="35" customFormat="1" x14ac:dyDescent="0.3">
      <c r="A232" s="45" t="s">
        <v>159</v>
      </c>
      <c r="B232" s="114" t="str">
        <f>(IF(F140="Saleable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32" s="115"/>
      <c r="D232" s="115"/>
      <c r="E232" s="115"/>
      <c r="F232" s="115"/>
      <c r="G232" s="115"/>
      <c r="H232" s="116"/>
      <c r="I232" s="201"/>
      <c r="J232" s="202"/>
      <c r="K232" s="202"/>
    </row>
    <row r="233" spans="1:16" s="35" customFormat="1" x14ac:dyDescent="0.3">
      <c r="A233" s="45" t="s">
        <v>159</v>
      </c>
      <c r="B233" s="87" t="s">
        <v>128</v>
      </c>
      <c r="C233" s="88"/>
      <c r="D233" s="88"/>
      <c r="E233" s="88"/>
      <c r="F233" s="88"/>
      <c r="G233" s="88"/>
      <c r="H233" s="89"/>
      <c r="I233" s="201"/>
      <c r="J233" s="202"/>
      <c r="K233" s="202"/>
    </row>
    <row r="234" spans="1:16" s="35" customFormat="1" x14ac:dyDescent="0.3">
      <c r="A234" s="45" t="s">
        <v>159</v>
      </c>
      <c r="B234" s="87" t="s">
        <v>199</v>
      </c>
      <c r="C234" s="88"/>
      <c r="D234" s="88"/>
      <c r="E234" s="88"/>
      <c r="F234" s="88"/>
      <c r="G234" s="88"/>
      <c r="H234" s="89"/>
      <c r="I234" s="201"/>
      <c r="J234" s="202"/>
      <c r="K234" s="202"/>
    </row>
    <row r="235" spans="1:16" s="35" customFormat="1" x14ac:dyDescent="0.3">
      <c r="A235" s="45" t="s">
        <v>159</v>
      </c>
      <c r="B235" s="87" t="s">
        <v>158</v>
      </c>
      <c r="C235" s="88"/>
      <c r="D235" s="88"/>
      <c r="E235" s="88"/>
      <c r="F235" s="88"/>
      <c r="G235" s="88"/>
      <c r="H235" s="89"/>
    </row>
    <row r="236" spans="1:16" s="35" customFormat="1" x14ac:dyDescent="0.3">
      <c r="A236" s="45" t="s">
        <v>159</v>
      </c>
      <c r="B236" s="87" t="s">
        <v>129</v>
      </c>
      <c r="C236" s="88"/>
      <c r="D236" s="88"/>
      <c r="E236" s="88"/>
      <c r="F236" s="88"/>
      <c r="G236" s="88"/>
      <c r="H236" s="89"/>
    </row>
    <row r="237" spans="1:16" s="35" customFormat="1" ht="34.5" customHeight="1" x14ac:dyDescent="0.3">
      <c r="A237" s="45" t="s">
        <v>159</v>
      </c>
      <c r="B237" s="87" t="s">
        <v>160</v>
      </c>
      <c r="C237" s="88"/>
      <c r="D237" s="88"/>
      <c r="E237" s="88"/>
      <c r="F237" s="88"/>
      <c r="G237" s="88"/>
      <c r="H237" s="89"/>
    </row>
    <row r="238" spans="1:16" s="35" customFormat="1" x14ac:dyDescent="0.3">
      <c r="A238" s="45" t="s">
        <v>159</v>
      </c>
      <c r="B238" s="87" t="s">
        <v>130</v>
      </c>
      <c r="C238" s="88"/>
      <c r="D238" s="88"/>
      <c r="E238" s="88"/>
      <c r="F238" s="88"/>
      <c r="G238" s="88"/>
      <c r="H238" s="89"/>
    </row>
    <row r="239" spans="1:16" s="35" customFormat="1" x14ac:dyDescent="0.3">
      <c r="A239" s="45" t="s">
        <v>159</v>
      </c>
      <c r="B239" s="87" t="s">
        <v>224</v>
      </c>
      <c r="C239" s="88"/>
      <c r="D239" s="88"/>
      <c r="E239" s="88"/>
      <c r="F239" s="88"/>
      <c r="G239" s="88"/>
      <c r="H239" s="89"/>
    </row>
    <row r="240" spans="1:16" s="35" customFormat="1" ht="32.25" customHeight="1" x14ac:dyDescent="0.3">
      <c r="A240" s="45" t="s">
        <v>159</v>
      </c>
      <c r="B240" s="102" t="s">
        <v>225</v>
      </c>
      <c r="C240" s="102"/>
      <c r="D240" s="102"/>
      <c r="E240" s="102"/>
      <c r="F240" s="102"/>
      <c r="G240" s="102"/>
      <c r="H240" s="102"/>
    </row>
    <row r="241" spans="1:8" s="35" customFormat="1" x14ac:dyDescent="0.3">
      <c r="A241" s="45" t="s">
        <v>159</v>
      </c>
      <c r="B241" s="102" t="s">
        <v>237</v>
      </c>
      <c r="C241" s="102"/>
      <c r="D241" s="102"/>
      <c r="E241" s="102"/>
      <c r="F241" s="102"/>
      <c r="G241" s="102"/>
      <c r="H241" s="102"/>
    </row>
    <row r="242" spans="1:8" s="35" customFormat="1" hidden="1" x14ac:dyDescent="0.3">
      <c r="A242" s="45" t="s">
        <v>159</v>
      </c>
      <c r="B242" s="102" t="s">
        <v>202</v>
      </c>
      <c r="C242" s="102"/>
      <c r="D242" s="102"/>
      <c r="E242" s="102"/>
      <c r="F242" s="102"/>
      <c r="G242" s="102"/>
      <c r="H242" s="102"/>
    </row>
    <row r="243" spans="1:8" s="35" customFormat="1" ht="32.25" customHeight="1" x14ac:dyDescent="0.3">
      <c r="A243" s="45" t="s">
        <v>159</v>
      </c>
      <c r="B243" s="138" t="s">
        <v>240</v>
      </c>
      <c r="C243" s="138"/>
      <c r="D243" s="138"/>
      <c r="E243" s="138"/>
      <c r="F243" s="138"/>
      <c r="G243" s="138"/>
      <c r="H243" s="138"/>
    </row>
    <row r="244" spans="1:8" s="35" customFormat="1" x14ac:dyDescent="0.3">
      <c r="A244" s="45" t="s">
        <v>159</v>
      </c>
      <c r="B244" s="102" t="s">
        <v>239</v>
      </c>
      <c r="C244" s="102"/>
      <c r="D244" s="102"/>
      <c r="E244" s="102"/>
      <c r="F244" s="102"/>
      <c r="G244" s="102"/>
      <c r="H244" s="102"/>
    </row>
    <row r="245" spans="1:8" x14ac:dyDescent="0.3">
      <c r="A245" s="126" t="s">
        <v>65</v>
      </c>
      <c r="B245" s="126"/>
      <c r="C245" s="126"/>
      <c r="D245" s="126"/>
      <c r="E245" s="126"/>
      <c r="F245" s="126"/>
      <c r="G245" s="126"/>
      <c r="H245" s="126"/>
    </row>
    <row r="246" spans="1:8" x14ac:dyDescent="0.3">
      <c r="A246" s="63" t="s">
        <v>66</v>
      </c>
      <c r="B246" s="63"/>
      <c r="C246" s="63"/>
      <c r="D246" s="63"/>
      <c r="E246" s="63"/>
      <c r="F246" s="63"/>
      <c r="G246" s="63"/>
      <c r="H246" s="63"/>
    </row>
    <row r="247" spans="1:8" ht="15.75" customHeight="1" x14ac:dyDescent="0.3">
      <c r="A247" s="67" t="s">
        <v>67</v>
      </c>
      <c r="B247" s="67"/>
      <c r="C247" s="67"/>
      <c r="D247" s="67"/>
      <c r="E247" s="67"/>
      <c r="F247" s="67"/>
      <c r="G247" s="67"/>
      <c r="H247" s="67"/>
    </row>
    <row r="248" spans="1:8" x14ac:dyDescent="0.3">
      <c r="A248" s="63" t="s">
        <v>68</v>
      </c>
      <c r="B248" s="63"/>
      <c r="C248" s="63"/>
      <c r="D248" s="63"/>
      <c r="E248" s="63"/>
      <c r="F248" s="63"/>
      <c r="G248" s="63"/>
      <c r="H248" s="63"/>
    </row>
    <row r="249" spans="1:8" x14ac:dyDescent="0.3">
      <c r="A249" s="63" t="s">
        <v>69</v>
      </c>
      <c r="B249" s="63"/>
      <c r="C249" s="63"/>
      <c r="D249" s="63"/>
      <c r="E249" s="63"/>
      <c r="F249" s="63"/>
      <c r="G249" s="63"/>
      <c r="H249" s="63"/>
    </row>
    <row r="250" spans="1:8" x14ac:dyDescent="0.3">
      <c r="A250" s="63" t="s">
        <v>131</v>
      </c>
      <c r="B250" s="63"/>
      <c r="C250" s="63"/>
      <c r="D250" s="63"/>
      <c r="E250" s="63"/>
      <c r="F250" s="63"/>
      <c r="G250" s="63"/>
      <c r="H250" s="63"/>
    </row>
    <row r="251" spans="1:8" x14ac:dyDescent="0.3">
      <c r="A251" s="127" t="s">
        <v>132</v>
      </c>
      <c r="B251" s="127"/>
      <c r="C251" s="127"/>
      <c r="D251" s="127"/>
      <c r="E251" s="127"/>
      <c r="F251" s="127"/>
      <c r="G251" s="127"/>
      <c r="H251" s="127"/>
    </row>
    <row r="252" spans="1:8" x14ac:dyDescent="0.3">
      <c r="A252" s="136" t="s">
        <v>82</v>
      </c>
      <c r="B252" s="136"/>
      <c r="C252" s="136" t="s">
        <v>226</v>
      </c>
      <c r="D252" s="136"/>
      <c r="E252" s="136" t="s">
        <v>110</v>
      </c>
      <c r="F252" s="136"/>
      <c r="G252" s="136" t="s">
        <v>242</v>
      </c>
      <c r="H252" s="136"/>
    </row>
    <row r="253" spans="1:8" x14ac:dyDescent="0.3">
      <c r="A253" s="135" t="s">
        <v>84</v>
      </c>
      <c r="B253" s="135"/>
      <c r="C253" s="135"/>
      <c r="D253" s="135"/>
      <c r="E253" s="135"/>
      <c r="F253" s="135"/>
      <c r="G253" s="135"/>
      <c r="H253" s="135"/>
    </row>
    <row r="254" spans="1:8" x14ac:dyDescent="0.3">
      <c r="A254" s="135"/>
      <c r="B254" s="135"/>
      <c r="C254" s="135"/>
      <c r="D254" s="135"/>
      <c r="E254" s="135"/>
      <c r="F254" s="135"/>
      <c r="G254" s="135"/>
      <c r="H254" s="135"/>
    </row>
    <row r="255" spans="1:8" x14ac:dyDescent="0.3">
      <c r="A255" s="135"/>
      <c r="B255" s="135"/>
      <c r="C255" s="135"/>
      <c r="D255" s="135"/>
      <c r="E255" s="135"/>
      <c r="F255" s="135"/>
      <c r="G255" s="135"/>
      <c r="H255" s="135"/>
    </row>
    <row r="256" spans="1:8" x14ac:dyDescent="0.3">
      <c r="A256" s="135"/>
      <c r="B256" s="135"/>
      <c r="C256" s="135"/>
      <c r="D256" s="135"/>
      <c r="E256" s="135"/>
      <c r="F256" s="135"/>
      <c r="G256" s="135"/>
      <c r="H256" s="135"/>
    </row>
    <row r="257" spans="1:8" x14ac:dyDescent="0.3">
      <c r="A257" s="37" t="s">
        <v>70</v>
      </c>
      <c r="B257" s="38"/>
      <c r="C257" s="38"/>
      <c r="D257" s="37" t="str">
        <f>E8</f>
        <v>Anantam Phase I &amp; II</v>
      </c>
      <c r="F257" s="38"/>
      <c r="G257" s="38"/>
      <c r="H257" s="38"/>
    </row>
    <row r="258" spans="1:8" x14ac:dyDescent="0.3">
      <c r="A258" s="38"/>
      <c r="B258" s="38"/>
      <c r="C258" s="38"/>
      <c r="D258" s="38"/>
      <c r="E258" s="38"/>
      <c r="F258" s="38"/>
      <c r="G258" s="38"/>
      <c r="H258" s="38"/>
    </row>
    <row r="259" spans="1:8" x14ac:dyDescent="0.3">
      <c r="A259" s="38"/>
      <c r="B259" s="38"/>
      <c r="C259" s="38"/>
      <c r="D259" s="38"/>
      <c r="E259" s="38"/>
      <c r="F259" s="38"/>
      <c r="G259" s="38"/>
      <c r="H259" s="38"/>
    </row>
    <row r="260" spans="1:8" ht="15" customHeight="1" x14ac:dyDescent="0.3"/>
    <row r="296" spans="1:9" x14ac:dyDescent="0.3">
      <c r="I296" s="200"/>
    </row>
    <row r="298" spans="1:9" x14ac:dyDescent="0.3">
      <c r="I298"/>
    </row>
    <row r="301" spans="1:9" x14ac:dyDescent="0.3">
      <c r="A301" s="40" t="s">
        <v>211</v>
      </c>
    </row>
    <row r="333" spans="1:1" x14ac:dyDescent="0.3">
      <c r="A333" s="40" t="s">
        <v>71</v>
      </c>
    </row>
  </sheetData>
  <mergeCells count="492">
    <mergeCell ref="I230:K234"/>
    <mergeCell ref="A228:B228"/>
    <mergeCell ref="G228:H228"/>
    <mergeCell ref="L228:M228"/>
    <mergeCell ref="A128:B128"/>
    <mergeCell ref="C128:D128"/>
    <mergeCell ref="E128:F128"/>
    <mergeCell ref="G128:H128"/>
    <mergeCell ref="A133:B133"/>
    <mergeCell ref="C133:D133"/>
    <mergeCell ref="E133:F133"/>
    <mergeCell ref="G133:H133"/>
    <mergeCell ref="A134:B134"/>
    <mergeCell ref="C134:D134"/>
    <mergeCell ref="E134:F134"/>
    <mergeCell ref="G134:H134"/>
    <mergeCell ref="A224:B224"/>
    <mergeCell ref="G224:H224"/>
    <mergeCell ref="L224:M224"/>
    <mergeCell ref="A225:B225"/>
    <mergeCell ref="L225:M225"/>
    <mergeCell ref="L226:M226"/>
    <mergeCell ref="A219:H219"/>
    <mergeCell ref="A220:H220"/>
    <mergeCell ref="G221:H221"/>
    <mergeCell ref="L221:M221"/>
    <mergeCell ref="A222:B222"/>
    <mergeCell ref="G222:H222"/>
    <mergeCell ref="L222:M222"/>
    <mergeCell ref="A223:B223"/>
    <mergeCell ref="G223:H223"/>
    <mergeCell ref="L223:M223"/>
    <mergeCell ref="L227:M227"/>
    <mergeCell ref="L218:M218"/>
    <mergeCell ref="G181:H181"/>
    <mergeCell ref="L181:M181"/>
    <mergeCell ref="A182:B182"/>
    <mergeCell ref="G182:H182"/>
    <mergeCell ref="L182:M182"/>
    <mergeCell ref="A183:B183"/>
    <mergeCell ref="G183:H183"/>
    <mergeCell ref="L183:M183"/>
    <mergeCell ref="A184:B184"/>
    <mergeCell ref="G184:H184"/>
    <mergeCell ref="L184:M184"/>
    <mergeCell ref="A174:H174"/>
    <mergeCell ref="A175:H175"/>
    <mergeCell ref="A176:B176"/>
    <mergeCell ref="G176:H176"/>
    <mergeCell ref="L176:M176"/>
    <mergeCell ref="A177:B177"/>
    <mergeCell ref="G177:H177"/>
    <mergeCell ref="L177:M177"/>
    <mergeCell ref="A178:B178"/>
    <mergeCell ref="G178:H178"/>
    <mergeCell ref="L178:M178"/>
    <mergeCell ref="L216:M216"/>
    <mergeCell ref="A217:B217"/>
    <mergeCell ref="L209:M209"/>
    <mergeCell ref="L206:M206"/>
    <mergeCell ref="A207:B207"/>
    <mergeCell ref="L207:M207"/>
    <mergeCell ref="A208:B208"/>
    <mergeCell ref="L208:M208"/>
    <mergeCell ref="L201:M201"/>
    <mergeCell ref="L217:M217"/>
    <mergeCell ref="A210:B210"/>
    <mergeCell ref="L210:M210"/>
    <mergeCell ref="A211:H211"/>
    <mergeCell ref="A212:H212"/>
    <mergeCell ref="A213:B213"/>
    <mergeCell ref="L213:M213"/>
    <mergeCell ref="A214:B214"/>
    <mergeCell ref="L214:M214"/>
    <mergeCell ref="A215:B215"/>
    <mergeCell ref="L215:M215"/>
    <mergeCell ref="L205:M205"/>
    <mergeCell ref="G185:H185"/>
    <mergeCell ref="L185:M185"/>
    <mergeCell ref="L198:M198"/>
    <mergeCell ref="A199:B199"/>
    <mergeCell ref="L199:M199"/>
    <mergeCell ref="A200:B200"/>
    <mergeCell ref="L200:M200"/>
    <mergeCell ref="A201:B201"/>
    <mergeCell ref="L196:M196"/>
    <mergeCell ref="A197:B197"/>
    <mergeCell ref="L197:M197"/>
    <mergeCell ref="A185:B185"/>
    <mergeCell ref="A181:B181"/>
    <mergeCell ref="L195:M195"/>
    <mergeCell ref="L192:M192"/>
    <mergeCell ref="L193:M193"/>
    <mergeCell ref="L194:M194"/>
    <mergeCell ref="L166:M166"/>
    <mergeCell ref="A167:B167"/>
    <mergeCell ref="L167:M167"/>
    <mergeCell ref="A168:B168"/>
    <mergeCell ref="L168:M168"/>
    <mergeCell ref="A172:B172"/>
    <mergeCell ref="L172:M172"/>
    <mergeCell ref="L173:M173"/>
    <mergeCell ref="A169:B169"/>
    <mergeCell ref="L169:M169"/>
    <mergeCell ref="A170:B170"/>
    <mergeCell ref="L170:M170"/>
    <mergeCell ref="L171:M171"/>
    <mergeCell ref="A179:B179"/>
    <mergeCell ref="G179:H179"/>
    <mergeCell ref="L179:M179"/>
    <mergeCell ref="A180:B180"/>
    <mergeCell ref="G180:H180"/>
    <mergeCell ref="L180:M180"/>
    <mergeCell ref="L152:M152"/>
    <mergeCell ref="L163:M163"/>
    <mergeCell ref="A164:B164"/>
    <mergeCell ref="L164:M164"/>
    <mergeCell ref="A165:B165"/>
    <mergeCell ref="L165:M165"/>
    <mergeCell ref="L153:M153"/>
    <mergeCell ref="A154:B154"/>
    <mergeCell ref="L154:M154"/>
    <mergeCell ref="A155:B155"/>
    <mergeCell ref="L155:M155"/>
    <mergeCell ref="A156:B156"/>
    <mergeCell ref="L156:M156"/>
    <mergeCell ref="L158:M158"/>
    <mergeCell ref="A157:B157"/>
    <mergeCell ref="L157:M157"/>
    <mergeCell ref="A160:H160"/>
    <mergeCell ref="A161:H161"/>
    <mergeCell ref="A162:B162"/>
    <mergeCell ref="L162:M162"/>
    <mergeCell ref="A163:B163"/>
    <mergeCell ref="C126:D126"/>
    <mergeCell ref="F122:H122"/>
    <mergeCell ref="L148:M148"/>
    <mergeCell ref="L147:M147"/>
    <mergeCell ref="L146:M146"/>
    <mergeCell ref="L145:M145"/>
    <mergeCell ref="G101:H110"/>
    <mergeCell ref="F119:H119"/>
    <mergeCell ref="A124:E124"/>
    <mergeCell ref="F124:H124"/>
    <mergeCell ref="A123:E123"/>
    <mergeCell ref="F123:H123"/>
    <mergeCell ref="F117:H117"/>
    <mergeCell ref="A118:E118"/>
    <mergeCell ref="A120:E120"/>
    <mergeCell ref="F114:H114"/>
    <mergeCell ref="A119:E119"/>
    <mergeCell ref="A104:B104"/>
    <mergeCell ref="A105:B105"/>
    <mergeCell ref="A106:B106"/>
    <mergeCell ref="A108:B108"/>
    <mergeCell ref="A109:B109"/>
    <mergeCell ref="A114:E114"/>
    <mergeCell ref="A111:E111"/>
    <mergeCell ref="L149:M149"/>
    <mergeCell ref="A150:B150"/>
    <mergeCell ref="L150:M150"/>
    <mergeCell ref="A151:B151"/>
    <mergeCell ref="L151:M151"/>
    <mergeCell ref="E136:F136"/>
    <mergeCell ref="G136:H136"/>
    <mergeCell ref="C132:D132"/>
    <mergeCell ref="G132:H132"/>
    <mergeCell ref="E132:F132"/>
    <mergeCell ref="A38:B38"/>
    <mergeCell ref="C38:H38"/>
    <mergeCell ref="B237:H237"/>
    <mergeCell ref="A47:B47"/>
    <mergeCell ref="C47:H47"/>
    <mergeCell ref="B235:H235"/>
    <mergeCell ref="A102:B102"/>
    <mergeCell ref="A103:B103"/>
    <mergeCell ref="G87:H96"/>
    <mergeCell ref="A88:B88"/>
    <mergeCell ref="A89:B89"/>
    <mergeCell ref="A90:B90"/>
    <mergeCell ref="F113:H113"/>
    <mergeCell ref="A113:E113"/>
    <mergeCell ref="D140:D141"/>
    <mergeCell ref="A115:E115"/>
    <mergeCell ref="A145:B145"/>
    <mergeCell ref="A146:B146"/>
    <mergeCell ref="A147:B147"/>
    <mergeCell ref="A148:B148"/>
    <mergeCell ref="A85:B85"/>
    <mergeCell ref="C85:H85"/>
    <mergeCell ref="G86:H86"/>
    <mergeCell ref="A117:E117"/>
    <mergeCell ref="F115:H115"/>
    <mergeCell ref="G100:H100"/>
    <mergeCell ref="A99:B99"/>
    <mergeCell ref="C99:H99"/>
    <mergeCell ref="A116:E116"/>
    <mergeCell ref="A100:B100"/>
    <mergeCell ref="E100:F100"/>
    <mergeCell ref="A86:B86"/>
    <mergeCell ref="E86:F86"/>
    <mergeCell ref="A80:B80"/>
    <mergeCell ref="C135:D135"/>
    <mergeCell ref="E135:F135"/>
    <mergeCell ref="G135:H135"/>
    <mergeCell ref="F118:H118"/>
    <mergeCell ref="A112:E112"/>
    <mergeCell ref="A97:B97"/>
    <mergeCell ref="C97:H97"/>
    <mergeCell ref="A144:H144"/>
    <mergeCell ref="E140:E141"/>
    <mergeCell ref="G140:H141"/>
    <mergeCell ref="A87:B87"/>
    <mergeCell ref="E87:F96"/>
    <mergeCell ref="A94:B94"/>
    <mergeCell ref="A95:B95"/>
    <mergeCell ref="A96:B96"/>
    <mergeCell ref="A101:B101"/>
    <mergeCell ref="E101:F110"/>
    <mergeCell ref="F111:H111"/>
    <mergeCell ref="F116:H116"/>
    <mergeCell ref="A138:H138"/>
    <mergeCell ref="F120:H120"/>
    <mergeCell ref="A139:H139"/>
    <mergeCell ref="G126:H126"/>
    <mergeCell ref="A63:C63"/>
    <mergeCell ref="D62:H62"/>
    <mergeCell ref="E73:F82"/>
    <mergeCell ref="G73:H82"/>
    <mergeCell ref="A81:B81"/>
    <mergeCell ref="A82:B82"/>
    <mergeCell ref="D63:H63"/>
    <mergeCell ref="A42:D42"/>
    <mergeCell ref="E42:H42"/>
    <mergeCell ref="E43:H43"/>
    <mergeCell ref="E44:H44"/>
    <mergeCell ref="E45:H45"/>
    <mergeCell ref="A43:D43"/>
    <mergeCell ref="A79:B79"/>
    <mergeCell ref="A72:B72"/>
    <mergeCell ref="A75:B75"/>
    <mergeCell ref="A71:B71"/>
    <mergeCell ref="A69:B69"/>
    <mergeCell ref="C69:H69"/>
    <mergeCell ref="A77:B77"/>
    <mergeCell ref="A64:C64"/>
    <mergeCell ref="D64:H64"/>
    <mergeCell ref="C71:H71"/>
    <mergeCell ref="A74:B74"/>
    <mergeCell ref="A36:H36"/>
    <mergeCell ref="A35:B35"/>
    <mergeCell ref="C35:E35"/>
    <mergeCell ref="A40:D40"/>
    <mergeCell ref="E40:H40"/>
    <mergeCell ref="F32:H32"/>
    <mergeCell ref="F33:H33"/>
    <mergeCell ref="A39:H39"/>
    <mergeCell ref="A62:C62"/>
    <mergeCell ref="F35:H35"/>
    <mergeCell ref="A37:B37"/>
    <mergeCell ref="E37:F37"/>
    <mergeCell ref="C37:D37"/>
    <mergeCell ref="G37:H37"/>
    <mergeCell ref="A44:D44"/>
    <mergeCell ref="A45:D45"/>
    <mergeCell ref="A46:H46"/>
    <mergeCell ref="D58:H58"/>
    <mergeCell ref="A58:C58"/>
    <mergeCell ref="G49:H49"/>
    <mergeCell ref="A50:B51"/>
    <mergeCell ref="G48:H48"/>
    <mergeCell ref="G50:H50"/>
    <mergeCell ref="D56:H56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D65:H65"/>
    <mergeCell ref="A68:C68"/>
    <mergeCell ref="D68:H68"/>
    <mergeCell ref="A66:C66"/>
    <mergeCell ref="D66:H66"/>
    <mergeCell ref="A67:C67"/>
    <mergeCell ref="D67:H67"/>
    <mergeCell ref="A73:B73"/>
    <mergeCell ref="G72:H72"/>
    <mergeCell ref="A249:H249"/>
    <mergeCell ref="A245:H245"/>
    <mergeCell ref="A246:H246"/>
    <mergeCell ref="B241:H241"/>
    <mergeCell ref="B236:H236"/>
    <mergeCell ref="B233:H233"/>
    <mergeCell ref="B234:H234"/>
    <mergeCell ref="A229:H229"/>
    <mergeCell ref="C140:C141"/>
    <mergeCell ref="B187:B188"/>
    <mergeCell ref="A195:B195"/>
    <mergeCell ref="A226:B226"/>
    <mergeCell ref="G226:H226"/>
    <mergeCell ref="B230:H230"/>
    <mergeCell ref="B232:H232"/>
    <mergeCell ref="A209:B209"/>
    <mergeCell ref="G225:H225"/>
    <mergeCell ref="B243:H243"/>
    <mergeCell ref="B242:H242"/>
    <mergeCell ref="A227:B227"/>
    <mergeCell ref="G227:H227"/>
    <mergeCell ref="B244:H244"/>
    <mergeCell ref="B239:H239"/>
    <mergeCell ref="A196:B196"/>
    <mergeCell ref="A253:H256"/>
    <mergeCell ref="A252:B252"/>
    <mergeCell ref="E252:F252"/>
    <mergeCell ref="C252:D252"/>
    <mergeCell ref="G252:H252"/>
    <mergeCell ref="A125:H125"/>
    <mergeCell ref="A192:B192"/>
    <mergeCell ref="A143:H143"/>
    <mergeCell ref="A149:B149"/>
    <mergeCell ref="A153:B153"/>
    <mergeCell ref="A158:B158"/>
    <mergeCell ref="A198:B198"/>
    <mergeCell ref="A186:H186"/>
    <mergeCell ref="A187:A188"/>
    <mergeCell ref="A193:B193"/>
    <mergeCell ref="A194:B194"/>
    <mergeCell ref="E126:F126"/>
    <mergeCell ref="A126:B126"/>
    <mergeCell ref="A129:B129"/>
    <mergeCell ref="A135:B135"/>
    <mergeCell ref="A127:B127"/>
    <mergeCell ref="A248:H248"/>
    <mergeCell ref="A131:H131"/>
    <mergeCell ref="A251:H251"/>
    <mergeCell ref="C50:E50"/>
    <mergeCell ref="A59:C61"/>
    <mergeCell ref="D59:H59"/>
    <mergeCell ref="D60:H60"/>
    <mergeCell ref="C49:E49"/>
    <mergeCell ref="A54:B54"/>
    <mergeCell ref="C54:E54"/>
    <mergeCell ref="A49:B49"/>
    <mergeCell ref="A55:H55"/>
    <mergeCell ref="A56:C56"/>
    <mergeCell ref="A57:C57"/>
    <mergeCell ref="D57:H57"/>
    <mergeCell ref="G54:H54"/>
    <mergeCell ref="D61:H61"/>
    <mergeCell ref="C51:H51"/>
    <mergeCell ref="C52:E52"/>
    <mergeCell ref="G52:H52"/>
    <mergeCell ref="C53:H53"/>
    <mergeCell ref="B240:H240"/>
    <mergeCell ref="G145:H158"/>
    <mergeCell ref="G162:H173"/>
    <mergeCell ref="G192:H201"/>
    <mergeCell ref="G205:H210"/>
    <mergeCell ref="G213:H218"/>
    <mergeCell ref="A142:H142"/>
    <mergeCell ref="A159:H159"/>
    <mergeCell ref="A189:H189"/>
    <mergeCell ref="A202:H202"/>
    <mergeCell ref="B231:H231"/>
    <mergeCell ref="A191:H191"/>
    <mergeCell ref="A152:B152"/>
    <mergeCell ref="A166:B166"/>
    <mergeCell ref="A173:B173"/>
    <mergeCell ref="A190:H190"/>
    <mergeCell ref="A203:H203"/>
    <mergeCell ref="A204:H204"/>
    <mergeCell ref="A205:B205"/>
    <mergeCell ref="A206:B206"/>
    <mergeCell ref="A216:B216"/>
    <mergeCell ref="A218:B218"/>
    <mergeCell ref="A171:B171"/>
    <mergeCell ref="A221:B221"/>
    <mergeCell ref="B238:H238"/>
    <mergeCell ref="A52:B53"/>
    <mergeCell ref="A121:E121"/>
    <mergeCell ref="C127:D127"/>
    <mergeCell ref="E127:F127"/>
    <mergeCell ref="B140:B141"/>
    <mergeCell ref="A140:A141"/>
    <mergeCell ref="C187:C188"/>
    <mergeCell ref="C137:D137"/>
    <mergeCell ref="F121:H121"/>
    <mergeCell ref="E137:F137"/>
    <mergeCell ref="E129:F129"/>
    <mergeCell ref="G129:H129"/>
    <mergeCell ref="A130:B130"/>
    <mergeCell ref="C130:D130"/>
    <mergeCell ref="E130:F130"/>
    <mergeCell ref="C129:D129"/>
    <mergeCell ref="A137:B137"/>
    <mergeCell ref="G130:H130"/>
    <mergeCell ref="A136:B136"/>
    <mergeCell ref="C136:D136"/>
    <mergeCell ref="A76:B76"/>
    <mergeCell ref="E72:F72"/>
    <mergeCell ref="A65:C65"/>
    <mergeCell ref="A122:E122"/>
    <mergeCell ref="G137:H137"/>
    <mergeCell ref="A16:B16"/>
    <mergeCell ref="C16:H16"/>
    <mergeCell ref="E41:H41"/>
    <mergeCell ref="A41:D41"/>
    <mergeCell ref="A250:H250"/>
    <mergeCell ref="A247:H247"/>
    <mergeCell ref="A132:B132"/>
    <mergeCell ref="D187:D188"/>
    <mergeCell ref="E187:E188"/>
    <mergeCell ref="G187:H188"/>
    <mergeCell ref="A91:B91"/>
    <mergeCell ref="A92:B92"/>
    <mergeCell ref="A93:B93"/>
    <mergeCell ref="A83:B83"/>
    <mergeCell ref="C83:H83"/>
    <mergeCell ref="A107:B107"/>
    <mergeCell ref="A78:B78"/>
    <mergeCell ref="F112:H112"/>
    <mergeCell ref="G127:H127"/>
    <mergeCell ref="A110:B110"/>
    <mergeCell ref="A48:B48"/>
    <mergeCell ref="C48:E48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1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68" max="16383" man="1"/>
    <brk id="244" max="16383" man="1"/>
    <brk id="256" max="16383" man="1"/>
    <brk id="300" max="16383" man="1"/>
    <brk id="33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7734375" defaultRowHeight="14.4" x14ac:dyDescent="0.3"/>
  <cols>
    <col min="1" max="1" width="8.77734375" style="1"/>
    <col min="2" max="2" width="22.218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7773437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99" t="s">
        <v>111</v>
      </c>
      <c r="C3" s="199"/>
      <c r="D3" s="199"/>
      <c r="E3" s="199"/>
      <c r="F3" s="199"/>
      <c r="G3" s="199"/>
      <c r="H3" s="199"/>
    </row>
    <row r="4" spans="1:9" x14ac:dyDescent="0.3">
      <c r="A4" s="2"/>
      <c r="B4" s="3" t="s">
        <v>112</v>
      </c>
      <c r="C4" s="3" t="s">
        <v>113</v>
      </c>
      <c r="D4" s="3" t="s">
        <v>73</v>
      </c>
      <c r="E4" s="3" t="s">
        <v>114</v>
      </c>
      <c r="F4" s="3" t="s">
        <v>120</v>
      </c>
      <c r="G4" s="3" t="s">
        <v>121</v>
      </c>
      <c r="H4" s="3" t="s">
        <v>115</v>
      </c>
    </row>
    <row r="5" spans="1:9" ht="15" customHeight="1" x14ac:dyDescent="0.3">
      <c r="A5" s="2"/>
      <c r="B5" s="5" t="s">
        <v>116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119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2025-08-13T12:07:22Z</cp:lastPrinted>
  <dcterms:created xsi:type="dcterms:W3CDTF">2019-07-16T09:29:46Z</dcterms:created>
  <dcterms:modified xsi:type="dcterms:W3CDTF">2025-08-13T12:16:46Z</dcterms:modified>
</cp:coreProperties>
</file>