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SACHIN\Downloads\"/>
    </mc:Choice>
  </mc:AlternateContent>
  <xr:revisionPtr revIDLastSave="0" documentId="13_ncr:1_{D565023D-890A-4C62-8F0D-D8865F2319AC}" xr6:coauthVersionLast="47" xr6:coauthVersionMax="47" xr10:uidLastSave="{00000000-0000-0000-0000-000000000000}"/>
  <bookViews>
    <workbookView xWindow="-120" yWindow="-120" windowWidth="20730" windowHeight="11160" xr2:uid="{00000000-000D-0000-FFFF-FFFF00000000}"/>
  </bookViews>
  <sheets>
    <sheet name="Report" sheetId="1" r:id="rId1"/>
    <sheet name="VALUATION" sheetId="5" r:id="rId2"/>
    <sheet name="Flat detail" sheetId="3" r:id="rId3"/>
    <sheet name="Note" sheetId="4" r:id="rId4"/>
    <sheet name="G wing F1" sheetId="6" r:id="rId5"/>
  </sheets>
  <definedNames>
    <definedName name="_xlnm.Print_Area" localSheetId="0">Report!$A$1:$H$686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9" i="1" l="1"/>
  <c r="K297" i="1"/>
  <c r="K256" i="1"/>
  <c r="K257" i="1"/>
  <c r="K258" i="1"/>
  <c r="K259" i="1"/>
  <c r="K286" i="1"/>
  <c r="K287" i="1"/>
  <c r="K288" i="1"/>
  <c r="K289" i="1"/>
  <c r="K290" i="1"/>
  <c r="K317" i="1"/>
  <c r="K318" i="1"/>
  <c r="K319" i="1"/>
  <c r="K320" i="1"/>
  <c r="K321" i="1"/>
  <c r="K348" i="1"/>
  <c r="K349" i="1"/>
  <c r="K350" i="1"/>
  <c r="K351" i="1"/>
  <c r="K352" i="1"/>
  <c r="K405" i="1"/>
  <c r="K445" i="1"/>
  <c r="K454" i="1"/>
  <c r="K461" i="1"/>
  <c r="K462" i="1"/>
  <c r="K463" i="1"/>
  <c r="K464" i="1"/>
  <c r="K465" i="1"/>
  <c r="K518" i="1"/>
  <c r="K558" i="1"/>
  <c r="K567" i="1"/>
  <c r="K569" i="1"/>
  <c r="K574" i="1"/>
  <c r="C106" i="1"/>
  <c r="C100" i="1"/>
  <c r="J112" i="1"/>
  <c r="J111" i="1"/>
  <c r="J110" i="1"/>
  <c r="J109" i="1"/>
  <c r="E583" i="1"/>
  <c r="D583" i="1"/>
  <c r="C583" i="1"/>
  <c r="E581" i="1"/>
  <c r="D581" i="1"/>
  <c r="C581" i="1"/>
  <c r="H101" i="1"/>
  <c r="F581" i="1" l="1"/>
  <c r="H581" i="1" s="1"/>
  <c r="J105" i="1"/>
  <c r="J103" i="1"/>
  <c r="D109" i="1"/>
  <c r="D113" i="1"/>
  <c r="D112" i="1"/>
  <c r="D108" i="1"/>
  <c r="J104" i="1"/>
  <c r="D111" i="1"/>
  <c r="D107" i="1"/>
  <c r="J106" i="1"/>
  <c r="J107" i="1" s="1"/>
  <c r="D110" i="1"/>
  <c r="D106" i="1"/>
  <c r="E24" i="6"/>
  <c r="I24" i="6"/>
  <c r="L24" i="6"/>
  <c r="E25" i="6"/>
  <c r="I25" i="6"/>
  <c r="L25" i="6"/>
  <c r="E21" i="6"/>
  <c r="I21" i="6"/>
  <c r="L21" i="6"/>
  <c r="E22" i="6"/>
  <c r="I22" i="6"/>
  <c r="L22" i="6"/>
  <c r="L32" i="6"/>
  <c r="I32" i="6"/>
  <c r="E32" i="6"/>
  <c r="L31" i="6"/>
  <c r="I31" i="6"/>
  <c r="E31" i="6"/>
  <c r="L30" i="6"/>
  <c r="I30" i="6"/>
  <c r="E30" i="6"/>
  <c r="L23" i="6"/>
  <c r="I23" i="6"/>
  <c r="E23" i="6"/>
  <c r="L36" i="6"/>
  <c r="I36" i="6"/>
  <c r="E36" i="6"/>
  <c r="L35" i="6"/>
  <c r="I35" i="6"/>
  <c r="E35" i="6"/>
  <c r="L34" i="6"/>
  <c r="I34" i="6"/>
  <c r="E34" i="6"/>
  <c r="L33" i="6"/>
  <c r="I33" i="6"/>
  <c r="E33" i="6"/>
  <c r="L29" i="6"/>
  <c r="I29" i="6"/>
  <c r="E29" i="6"/>
  <c r="L28" i="6"/>
  <c r="I28" i="6"/>
  <c r="E28" i="6"/>
  <c r="L27" i="6"/>
  <c r="I27" i="6"/>
  <c r="E27" i="6"/>
  <c r="L26" i="6"/>
  <c r="I26" i="6"/>
  <c r="E26" i="6"/>
  <c r="L20" i="6"/>
  <c r="I20" i="6"/>
  <c r="E20" i="6"/>
  <c r="L19" i="6"/>
  <c r="I19" i="6"/>
  <c r="E19" i="6"/>
  <c r="L18" i="6"/>
  <c r="I18" i="6"/>
  <c r="E18" i="6"/>
  <c r="L17" i="6"/>
  <c r="I17" i="6"/>
  <c r="E17" i="6"/>
  <c r="L16" i="6"/>
  <c r="I16" i="6"/>
  <c r="E16" i="6"/>
  <c r="L15" i="6"/>
  <c r="I15" i="6"/>
  <c r="E15" i="6"/>
  <c r="L14" i="6"/>
  <c r="I14" i="6"/>
  <c r="E14" i="6"/>
  <c r="L13" i="6"/>
  <c r="I13" i="6"/>
  <c r="E13" i="6"/>
  <c r="L12" i="6"/>
  <c r="I12" i="6"/>
  <c r="E12" i="6"/>
  <c r="L11" i="6"/>
  <c r="I11" i="6"/>
  <c r="E11" i="6"/>
  <c r="L10" i="6"/>
  <c r="I10" i="6"/>
  <c r="E10" i="6"/>
  <c r="L9" i="6"/>
  <c r="I9" i="6"/>
  <c r="E9" i="6"/>
  <c r="L8" i="6"/>
  <c r="E8" i="6"/>
  <c r="L7" i="6"/>
  <c r="I7" i="6"/>
  <c r="E7" i="6"/>
  <c r="L6" i="6"/>
  <c r="E6" i="6"/>
  <c r="F583" i="1"/>
  <c r="H583" i="1" s="1"/>
  <c r="C135" i="1" l="1"/>
  <c r="D135" i="1"/>
  <c r="C104" i="1"/>
  <c r="D104" i="1" s="1"/>
  <c r="J108" i="1"/>
  <c r="J113" i="1" s="1"/>
  <c r="C105" i="1" s="1"/>
  <c r="I37" i="6"/>
  <c r="H37" i="6" s="1"/>
  <c r="L37" i="6"/>
  <c r="K37" i="6" s="1"/>
  <c r="E37" i="6"/>
  <c r="F135" i="1"/>
  <c r="C14" i="1"/>
  <c r="E104" i="1" l="1"/>
  <c r="I100" i="1" s="1"/>
  <c r="C102" i="1" s="1"/>
  <c r="D105" i="1"/>
  <c r="G104" i="1"/>
  <c r="D37" i="6"/>
  <c r="D39" i="6" s="1"/>
  <c r="E39" i="6"/>
  <c r="E3" i="1"/>
  <c r="C498" i="1" l="1"/>
  <c r="J97" i="1" l="1"/>
  <c r="J96" i="1"/>
  <c r="J95" i="1"/>
  <c r="J81" i="1"/>
  <c r="J80" i="1"/>
  <c r="J79" i="1"/>
  <c r="J78" i="1"/>
  <c r="H85" i="1"/>
  <c r="J92" i="1" l="1"/>
  <c r="J93" i="1" s="1"/>
  <c r="J98" i="1" s="1"/>
  <c r="J90" i="1"/>
  <c r="D99" i="1"/>
  <c r="D98" i="1"/>
  <c r="D97" i="1"/>
  <c r="D96" i="1"/>
  <c r="D95" i="1"/>
  <c r="D94" i="1"/>
  <c r="D93" i="1"/>
  <c r="D92" i="1"/>
  <c r="J91" i="1"/>
  <c r="C90" i="1" s="1"/>
  <c r="J89" i="1"/>
  <c r="J76" i="1"/>
  <c r="J77" i="1" s="1"/>
  <c r="J82" i="1" s="1"/>
  <c r="J83" i="1" s="1"/>
  <c r="D76" i="1"/>
  <c r="J74" i="1"/>
  <c r="D83" i="1"/>
  <c r="D82" i="1"/>
  <c r="D81" i="1"/>
  <c r="D80" i="1"/>
  <c r="D79" i="1"/>
  <c r="D78" i="1"/>
  <c r="D77" i="1"/>
  <c r="J75" i="1"/>
  <c r="J73" i="1"/>
  <c r="J379" i="1"/>
  <c r="J366" i="1"/>
  <c r="J353" i="1"/>
  <c r="J232" i="1"/>
  <c r="J231" i="1"/>
  <c r="I231" i="1"/>
  <c r="F6" i="5"/>
  <c r="G6" i="5" s="1"/>
  <c r="F5" i="5"/>
  <c r="G5" i="5" s="1"/>
  <c r="G10" i="5"/>
  <c r="G9" i="5"/>
  <c r="G8" i="5"/>
  <c r="G7" i="5"/>
  <c r="J94" i="1" l="1"/>
  <c r="J99" i="1" s="1"/>
  <c r="C91" i="1" s="1"/>
  <c r="D90" i="1"/>
  <c r="E74" i="1"/>
  <c r="D75" i="1"/>
  <c r="G74" i="1"/>
  <c r="D74" i="1"/>
  <c r="G11" i="5"/>
  <c r="D91" i="1" l="1"/>
  <c r="E90" i="1"/>
  <c r="I84" i="1" s="1"/>
  <c r="C86" i="1" s="1"/>
  <c r="G90" i="1"/>
  <c r="I68" i="1"/>
  <c r="C70" i="1" s="1"/>
  <c r="F134" i="1" l="1"/>
  <c r="F133" i="1"/>
  <c r="F406" i="1"/>
  <c r="F519" i="1"/>
  <c r="F566" i="1"/>
  <c r="F123" i="1" l="1"/>
  <c r="F129" i="1" l="1"/>
  <c r="F136" i="1" s="1"/>
  <c r="C566" i="1"/>
  <c r="E566" i="1" s="1"/>
  <c r="K566" i="1" s="1"/>
  <c r="C568" i="1"/>
  <c r="E568" i="1" s="1"/>
  <c r="F568" i="1"/>
  <c r="C570" i="1"/>
  <c r="E570" i="1" s="1"/>
  <c r="F570" i="1"/>
  <c r="C571" i="1"/>
  <c r="E571" i="1" s="1"/>
  <c r="F571" i="1"/>
  <c r="C572" i="1"/>
  <c r="E572" i="1" s="1"/>
  <c r="F572" i="1"/>
  <c r="C573" i="1"/>
  <c r="E573" i="1" s="1"/>
  <c r="F573" i="1"/>
  <c r="C406" i="1"/>
  <c r="E406" i="1" s="1"/>
  <c r="K406" i="1" s="1"/>
  <c r="C407" i="1"/>
  <c r="E407" i="1" s="1"/>
  <c r="F407" i="1"/>
  <c r="C408" i="1"/>
  <c r="E408" i="1" s="1"/>
  <c r="K408" i="1" s="1"/>
  <c r="F408" i="1"/>
  <c r="C409" i="1"/>
  <c r="E409" i="1" s="1"/>
  <c r="F409" i="1"/>
  <c r="C410" i="1"/>
  <c r="E410" i="1" s="1"/>
  <c r="F410" i="1"/>
  <c r="C411" i="1"/>
  <c r="E411" i="1" s="1"/>
  <c r="F411" i="1"/>
  <c r="C412" i="1"/>
  <c r="E412" i="1" s="1"/>
  <c r="K412" i="1" s="1"/>
  <c r="F412" i="1"/>
  <c r="C413" i="1"/>
  <c r="E413" i="1" s="1"/>
  <c r="F413" i="1"/>
  <c r="C414" i="1"/>
  <c r="E414" i="1" s="1"/>
  <c r="F414" i="1"/>
  <c r="C415" i="1"/>
  <c r="E415" i="1" s="1"/>
  <c r="F415" i="1"/>
  <c r="C416" i="1"/>
  <c r="E416" i="1" s="1"/>
  <c r="K416" i="1" s="1"/>
  <c r="F416" i="1"/>
  <c r="C417" i="1"/>
  <c r="E417" i="1" s="1"/>
  <c r="F417" i="1"/>
  <c r="C418" i="1"/>
  <c r="E418" i="1" s="1"/>
  <c r="F418" i="1"/>
  <c r="C419" i="1"/>
  <c r="E419" i="1" s="1"/>
  <c r="F419" i="1"/>
  <c r="C420" i="1"/>
  <c r="E420" i="1" s="1"/>
  <c r="K420" i="1" s="1"/>
  <c r="F420" i="1"/>
  <c r="C421" i="1"/>
  <c r="E421" i="1" s="1"/>
  <c r="F421" i="1"/>
  <c r="C422" i="1"/>
  <c r="E422" i="1" s="1"/>
  <c r="F422" i="1"/>
  <c r="C423" i="1"/>
  <c r="E423" i="1" s="1"/>
  <c r="F423" i="1"/>
  <c r="C424" i="1"/>
  <c r="E424" i="1" s="1"/>
  <c r="K424" i="1" s="1"/>
  <c r="F424" i="1"/>
  <c r="C425" i="1"/>
  <c r="E425" i="1" s="1"/>
  <c r="F425" i="1"/>
  <c r="C426" i="1"/>
  <c r="E426" i="1" s="1"/>
  <c r="F426" i="1"/>
  <c r="C427" i="1"/>
  <c r="E427" i="1" s="1"/>
  <c r="F427" i="1"/>
  <c r="C428" i="1"/>
  <c r="E428" i="1" s="1"/>
  <c r="K428" i="1" s="1"/>
  <c r="F428" i="1"/>
  <c r="C429" i="1"/>
  <c r="E429" i="1" s="1"/>
  <c r="F429" i="1"/>
  <c r="C430" i="1"/>
  <c r="E430" i="1" s="1"/>
  <c r="F430" i="1"/>
  <c r="C431" i="1"/>
  <c r="E431" i="1" s="1"/>
  <c r="F431" i="1"/>
  <c r="C432" i="1"/>
  <c r="E432" i="1" s="1"/>
  <c r="K432" i="1" s="1"/>
  <c r="F432" i="1"/>
  <c r="C433" i="1"/>
  <c r="E433" i="1" s="1"/>
  <c r="F433" i="1"/>
  <c r="C434" i="1"/>
  <c r="E434" i="1" s="1"/>
  <c r="F434" i="1"/>
  <c r="C435" i="1"/>
  <c r="E435" i="1" s="1"/>
  <c r="F435" i="1"/>
  <c r="C436" i="1"/>
  <c r="E436" i="1" s="1"/>
  <c r="K436" i="1" s="1"/>
  <c r="F436" i="1"/>
  <c r="C437" i="1"/>
  <c r="E437" i="1" s="1"/>
  <c r="F437" i="1"/>
  <c r="C438" i="1"/>
  <c r="E438" i="1" s="1"/>
  <c r="F438" i="1"/>
  <c r="C439" i="1"/>
  <c r="E439" i="1" s="1"/>
  <c r="F439" i="1"/>
  <c r="C440" i="1"/>
  <c r="E440" i="1" s="1"/>
  <c r="K440" i="1" s="1"/>
  <c r="F440" i="1"/>
  <c r="C441" i="1"/>
  <c r="E441" i="1" s="1"/>
  <c r="F441" i="1"/>
  <c r="C442" i="1"/>
  <c r="E442" i="1" s="1"/>
  <c r="F442" i="1"/>
  <c r="C443" i="1"/>
  <c r="E443" i="1" s="1"/>
  <c r="F443" i="1"/>
  <c r="C444" i="1"/>
  <c r="E444" i="1" s="1"/>
  <c r="K444" i="1" s="1"/>
  <c r="F444" i="1"/>
  <c r="C446" i="1"/>
  <c r="E446" i="1" s="1"/>
  <c r="F446" i="1"/>
  <c r="C447" i="1"/>
  <c r="E447" i="1" s="1"/>
  <c r="F447" i="1"/>
  <c r="C448" i="1"/>
  <c r="E448" i="1" s="1"/>
  <c r="F448" i="1"/>
  <c r="C449" i="1"/>
  <c r="E449" i="1" s="1"/>
  <c r="K449" i="1" s="1"/>
  <c r="F449" i="1"/>
  <c r="C450" i="1"/>
  <c r="E450" i="1" s="1"/>
  <c r="F450" i="1"/>
  <c r="C451" i="1"/>
  <c r="E451" i="1" s="1"/>
  <c r="F451" i="1"/>
  <c r="C452" i="1"/>
  <c r="E452" i="1" s="1"/>
  <c r="F452" i="1"/>
  <c r="C453" i="1"/>
  <c r="E453" i="1" s="1"/>
  <c r="K453" i="1" s="1"/>
  <c r="F453" i="1"/>
  <c r="C455" i="1"/>
  <c r="E455" i="1" s="1"/>
  <c r="F455" i="1"/>
  <c r="C456" i="1"/>
  <c r="E456" i="1" s="1"/>
  <c r="F456" i="1"/>
  <c r="C457" i="1"/>
  <c r="E457" i="1" s="1"/>
  <c r="F457" i="1"/>
  <c r="C458" i="1"/>
  <c r="E458" i="1" s="1"/>
  <c r="K458" i="1" s="1"/>
  <c r="F458" i="1"/>
  <c r="F565" i="1"/>
  <c r="C565" i="1"/>
  <c r="E565" i="1" s="1"/>
  <c r="F564" i="1"/>
  <c r="C564" i="1"/>
  <c r="E564" i="1" s="1"/>
  <c r="F563" i="1"/>
  <c r="C563" i="1"/>
  <c r="E563" i="1" s="1"/>
  <c r="F562" i="1"/>
  <c r="C562" i="1"/>
  <c r="E562" i="1" s="1"/>
  <c r="F561" i="1"/>
  <c r="C561" i="1"/>
  <c r="E561" i="1" s="1"/>
  <c r="F560" i="1"/>
  <c r="C560" i="1"/>
  <c r="E560" i="1" s="1"/>
  <c r="F559" i="1"/>
  <c r="C559" i="1"/>
  <c r="E559" i="1" s="1"/>
  <c r="F557" i="1"/>
  <c r="C557" i="1"/>
  <c r="E557" i="1" s="1"/>
  <c r="F556" i="1"/>
  <c r="C556" i="1"/>
  <c r="E556" i="1" s="1"/>
  <c r="F555" i="1"/>
  <c r="C555" i="1"/>
  <c r="E555" i="1" s="1"/>
  <c r="F554" i="1"/>
  <c r="C554" i="1"/>
  <c r="E554" i="1" s="1"/>
  <c r="F553" i="1"/>
  <c r="C553" i="1"/>
  <c r="E553" i="1" s="1"/>
  <c r="F552" i="1"/>
  <c r="C552" i="1"/>
  <c r="E552" i="1" s="1"/>
  <c r="F551" i="1"/>
  <c r="C551" i="1"/>
  <c r="E551" i="1" s="1"/>
  <c r="F550" i="1"/>
  <c r="C550" i="1"/>
  <c r="E550" i="1" s="1"/>
  <c r="F549" i="1"/>
  <c r="C549" i="1"/>
  <c r="E549" i="1" s="1"/>
  <c r="F548" i="1"/>
  <c r="C548" i="1"/>
  <c r="E548" i="1" s="1"/>
  <c r="F547" i="1"/>
  <c r="C547" i="1"/>
  <c r="E547" i="1" s="1"/>
  <c r="F546" i="1"/>
  <c r="C546" i="1"/>
  <c r="E546" i="1" s="1"/>
  <c r="F545" i="1"/>
  <c r="C545" i="1"/>
  <c r="E545" i="1" s="1"/>
  <c r="F544" i="1"/>
  <c r="C544" i="1"/>
  <c r="E544" i="1" s="1"/>
  <c r="F543" i="1"/>
  <c r="C543" i="1"/>
  <c r="E543" i="1" s="1"/>
  <c r="F542" i="1"/>
  <c r="C542" i="1"/>
  <c r="E542" i="1" s="1"/>
  <c r="F541" i="1"/>
  <c r="C541" i="1"/>
  <c r="E541" i="1" s="1"/>
  <c r="F540" i="1"/>
  <c r="C540" i="1"/>
  <c r="E540" i="1" s="1"/>
  <c r="F539" i="1"/>
  <c r="C539" i="1"/>
  <c r="E539" i="1" s="1"/>
  <c r="F538" i="1"/>
  <c r="C538" i="1"/>
  <c r="E538" i="1" s="1"/>
  <c r="F537" i="1"/>
  <c r="C537" i="1"/>
  <c r="E537" i="1" s="1"/>
  <c r="F536" i="1"/>
  <c r="C536" i="1"/>
  <c r="E536" i="1" s="1"/>
  <c r="F535" i="1"/>
  <c r="C535" i="1"/>
  <c r="E535" i="1" s="1"/>
  <c r="F534" i="1"/>
  <c r="C534" i="1"/>
  <c r="E534" i="1" s="1"/>
  <c r="F533" i="1"/>
  <c r="C533" i="1"/>
  <c r="E533" i="1" s="1"/>
  <c r="F532" i="1"/>
  <c r="C532" i="1"/>
  <c r="E532" i="1" s="1"/>
  <c r="F531" i="1"/>
  <c r="C531" i="1"/>
  <c r="E531" i="1" s="1"/>
  <c r="F530" i="1"/>
  <c r="C530" i="1"/>
  <c r="E530" i="1" s="1"/>
  <c r="F529" i="1"/>
  <c r="C529" i="1"/>
  <c r="E529" i="1" s="1"/>
  <c r="F528" i="1"/>
  <c r="C528" i="1"/>
  <c r="E528" i="1" s="1"/>
  <c r="F527" i="1"/>
  <c r="C527" i="1"/>
  <c r="E527" i="1" s="1"/>
  <c r="F526" i="1"/>
  <c r="C526" i="1"/>
  <c r="E526" i="1" s="1"/>
  <c r="F525" i="1"/>
  <c r="C525" i="1"/>
  <c r="E525" i="1" s="1"/>
  <c r="F524" i="1"/>
  <c r="C524" i="1"/>
  <c r="E524" i="1" s="1"/>
  <c r="F523" i="1"/>
  <c r="C523" i="1"/>
  <c r="E523" i="1" s="1"/>
  <c r="F522" i="1"/>
  <c r="C522" i="1"/>
  <c r="E522" i="1" s="1"/>
  <c r="F521" i="1"/>
  <c r="C521" i="1"/>
  <c r="E521" i="1" s="1"/>
  <c r="F520" i="1"/>
  <c r="C520" i="1"/>
  <c r="E520" i="1" s="1"/>
  <c r="C519" i="1"/>
  <c r="E519" i="1" s="1"/>
  <c r="K519" i="1" s="1"/>
  <c r="F517" i="1"/>
  <c r="C517" i="1"/>
  <c r="E517" i="1" s="1"/>
  <c r="F516" i="1"/>
  <c r="C516" i="1"/>
  <c r="E516" i="1" s="1"/>
  <c r="K516" i="1" s="1"/>
  <c r="F515" i="1"/>
  <c r="C515" i="1"/>
  <c r="E515" i="1" s="1"/>
  <c r="F514" i="1"/>
  <c r="C514" i="1"/>
  <c r="E514" i="1" s="1"/>
  <c r="F513" i="1"/>
  <c r="C513" i="1"/>
  <c r="E513" i="1" s="1"/>
  <c r="K513" i="1" s="1"/>
  <c r="F512" i="1"/>
  <c r="C512" i="1"/>
  <c r="E512" i="1" s="1"/>
  <c r="K512" i="1" s="1"/>
  <c r="F511" i="1"/>
  <c r="C511" i="1"/>
  <c r="E511" i="1" s="1"/>
  <c r="F510" i="1"/>
  <c r="C510" i="1"/>
  <c r="E510" i="1" s="1"/>
  <c r="F509" i="1"/>
  <c r="C509" i="1"/>
  <c r="E509" i="1" s="1"/>
  <c r="K509" i="1" s="1"/>
  <c r="F508" i="1"/>
  <c r="C508" i="1"/>
  <c r="E508" i="1" s="1"/>
  <c r="K508" i="1" s="1"/>
  <c r="F507" i="1"/>
  <c r="C507" i="1"/>
  <c r="E507" i="1" s="1"/>
  <c r="K507" i="1" s="1"/>
  <c r="F506" i="1"/>
  <c r="C506" i="1"/>
  <c r="E506" i="1" s="1"/>
  <c r="F505" i="1"/>
  <c r="C505" i="1"/>
  <c r="E505" i="1" s="1"/>
  <c r="K505" i="1" s="1"/>
  <c r="F504" i="1"/>
  <c r="C504" i="1"/>
  <c r="E504" i="1" s="1"/>
  <c r="K504" i="1" s="1"/>
  <c r="F503" i="1"/>
  <c r="C503" i="1"/>
  <c r="E503" i="1" s="1"/>
  <c r="K503" i="1" s="1"/>
  <c r="F502" i="1"/>
  <c r="C502" i="1"/>
  <c r="E502" i="1" s="1"/>
  <c r="F501" i="1"/>
  <c r="C501" i="1"/>
  <c r="E501" i="1" s="1"/>
  <c r="K501" i="1" s="1"/>
  <c r="F500" i="1"/>
  <c r="C500" i="1"/>
  <c r="E500" i="1" s="1"/>
  <c r="K500" i="1" s="1"/>
  <c r="F499" i="1"/>
  <c r="C499" i="1"/>
  <c r="E499" i="1" s="1"/>
  <c r="K499" i="1" s="1"/>
  <c r="F498" i="1"/>
  <c r="E498" i="1"/>
  <c r="F497" i="1"/>
  <c r="C497" i="1"/>
  <c r="E497" i="1" s="1"/>
  <c r="K497" i="1" s="1"/>
  <c r="F496" i="1"/>
  <c r="C496" i="1"/>
  <c r="E496" i="1" s="1"/>
  <c r="K496" i="1" s="1"/>
  <c r="F495" i="1"/>
  <c r="C495" i="1"/>
  <c r="E495" i="1" s="1"/>
  <c r="K495" i="1" s="1"/>
  <c r="F494" i="1"/>
  <c r="C494" i="1"/>
  <c r="E494" i="1" s="1"/>
  <c r="F493" i="1"/>
  <c r="C493" i="1"/>
  <c r="E493" i="1" s="1"/>
  <c r="K493" i="1" s="1"/>
  <c r="F492" i="1"/>
  <c r="C492" i="1"/>
  <c r="E492" i="1" s="1"/>
  <c r="K492" i="1" s="1"/>
  <c r="F491" i="1"/>
  <c r="C491" i="1"/>
  <c r="E491" i="1" s="1"/>
  <c r="K491" i="1" s="1"/>
  <c r="F490" i="1"/>
  <c r="C490" i="1"/>
  <c r="E490" i="1" s="1"/>
  <c r="F489" i="1"/>
  <c r="C489" i="1"/>
  <c r="E489" i="1" s="1"/>
  <c r="K489" i="1" s="1"/>
  <c r="F488" i="1"/>
  <c r="C488" i="1"/>
  <c r="E488" i="1" s="1"/>
  <c r="K488" i="1" s="1"/>
  <c r="F487" i="1"/>
  <c r="C487" i="1"/>
  <c r="E487" i="1" s="1"/>
  <c r="K487" i="1" s="1"/>
  <c r="F486" i="1"/>
  <c r="C486" i="1"/>
  <c r="E486" i="1" s="1"/>
  <c r="F485" i="1"/>
  <c r="C485" i="1"/>
  <c r="E485" i="1" s="1"/>
  <c r="K485" i="1" s="1"/>
  <c r="F484" i="1"/>
  <c r="C484" i="1"/>
  <c r="E484" i="1" s="1"/>
  <c r="K484" i="1" s="1"/>
  <c r="F483" i="1"/>
  <c r="C483" i="1"/>
  <c r="E483" i="1" s="1"/>
  <c r="K483" i="1" s="1"/>
  <c r="F482" i="1"/>
  <c r="C482" i="1"/>
  <c r="E482" i="1" s="1"/>
  <c r="F481" i="1"/>
  <c r="C481" i="1"/>
  <c r="E481" i="1" s="1"/>
  <c r="K481" i="1" s="1"/>
  <c r="F480" i="1"/>
  <c r="C480" i="1"/>
  <c r="E480" i="1" s="1"/>
  <c r="K480" i="1" s="1"/>
  <c r="F479" i="1"/>
  <c r="C479" i="1"/>
  <c r="E479" i="1" s="1"/>
  <c r="K479" i="1" s="1"/>
  <c r="F478" i="1"/>
  <c r="C478" i="1"/>
  <c r="E478" i="1" s="1"/>
  <c r="F477" i="1"/>
  <c r="C477" i="1"/>
  <c r="E477" i="1" s="1"/>
  <c r="K477" i="1" s="1"/>
  <c r="F476" i="1"/>
  <c r="C476" i="1"/>
  <c r="E476" i="1" s="1"/>
  <c r="K476" i="1" s="1"/>
  <c r="F475" i="1"/>
  <c r="C475" i="1"/>
  <c r="E475" i="1" s="1"/>
  <c r="K475" i="1" s="1"/>
  <c r="F474" i="1"/>
  <c r="C474" i="1"/>
  <c r="E474" i="1" s="1"/>
  <c r="C473" i="1"/>
  <c r="E473" i="1" s="1"/>
  <c r="K473" i="1" s="1"/>
  <c r="C472" i="1"/>
  <c r="E472" i="1" s="1"/>
  <c r="K472" i="1" s="1"/>
  <c r="C471" i="1"/>
  <c r="E471" i="1" s="1"/>
  <c r="K471" i="1" s="1"/>
  <c r="C470" i="1"/>
  <c r="E470" i="1" s="1"/>
  <c r="K470" i="1" s="1"/>
  <c r="C469" i="1"/>
  <c r="E469" i="1" s="1"/>
  <c r="K469" i="1" s="1"/>
  <c r="C468" i="1"/>
  <c r="E468" i="1" s="1"/>
  <c r="K468" i="1" s="1"/>
  <c r="C467" i="1"/>
  <c r="E467" i="1" s="1"/>
  <c r="K467" i="1" s="1"/>
  <c r="C466" i="1"/>
  <c r="E466" i="1" s="1"/>
  <c r="K466" i="1" s="1"/>
  <c r="K517" i="1" l="1"/>
  <c r="K456" i="1"/>
  <c r="K451" i="1"/>
  <c r="K447" i="1"/>
  <c r="K442" i="1"/>
  <c r="K438" i="1"/>
  <c r="K434" i="1"/>
  <c r="K430" i="1"/>
  <c r="K511" i="1"/>
  <c r="K426" i="1"/>
  <c r="K515" i="1"/>
  <c r="K431" i="1"/>
  <c r="K439" i="1"/>
  <c r="K457" i="1"/>
  <c r="K452" i="1"/>
  <c r="K448" i="1"/>
  <c r="K435" i="1"/>
  <c r="K573" i="1"/>
  <c r="K455" i="1"/>
  <c r="K450" i="1"/>
  <c r="K446" i="1"/>
  <c r="K441" i="1"/>
  <c r="K437" i="1"/>
  <c r="K433" i="1"/>
  <c r="K429" i="1"/>
  <c r="K425" i="1"/>
  <c r="K421" i="1"/>
  <c r="K417" i="1"/>
  <c r="K413" i="1"/>
  <c r="K443" i="1"/>
  <c r="K427" i="1"/>
  <c r="K423" i="1"/>
  <c r="K419" i="1"/>
  <c r="K415" i="1"/>
  <c r="K474" i="1"/>
  <c r="K478" i="1"/>
  <c r="K482" i="1"/>
  <c r="K486" i="1"/>
  <c r="K490" i="1"/>
  <c r="K494" i="1"/>
  <c r="K498" i="1"/>
  <c r="K502" i="1"/>
  <c r="K506" i="1"/>
  <c r="K510" i="1"/>
  <c r="K514" i="1"/>
  <c r="K422" i="1"/>
  <c r="K522" i="1"/>
  <c r="K526" i="1"/>
  <c r="K571" i="1"/>
  <c r="K523" i="1"/>
  <c r="K520" i="1"/>
  <c r="K524" i="1"/>
  <c r="K528" i="1"/>
  <c r="K568" i="1"/>
  <c r="K572" i="1"/>
  <c r="K530" i="1"/>
  <c r="K534" i="1"/>
  <c r="K538" i="1"/>
  <c r="K542" i="1"/>
  <c r="K546" i="1"/>
  <c r="K550" i="1"/>
  <c r="K554" i="1"/>
  <c r="K559" i="1"/>
  <c r="K563" i="1"/>
  <c r="K411" i="1"/>
  <c r="K407" i="1"/>
  <c r="K527" i="1"/>
  <c r="K531" i="1"/>
  <c r="K535" i="1"/>
  <c r="K539" i="1"/>
  <c r="K543" i="1"/>
  <c r="K547" i="1"/>
  <c r="K551" i="1"/>
  <c r="K555" i="1"/>
  <c r="K560" i="1"/>
  <c r="K564" i="1"/>
  <c r="K570" i="1"/>
  <c r="K418" i="1"/>
  <c r="K414" i="1"/>
  <c r="K410" i="1"/>
  <c r="K532" i="1"/>
  <c r="K536" i="1"/>
  <c r="K540" i="1"/>
  <c r="K544" i="1"/>
  <c r="K548" i="1"/>
  <c r="K552" i="1"/>
  <c r="K556" i="1"/>
  <c r="K561" i="1"/>
  <c r="K565" i="1"/>
  <c r="K409" i="1"/>
  <c r="K521" i="1"/>
  <c r="K525" i="1"/>
  <c r="K529" i="1"/>
  <c r="K533" i="1"/>
  <c r="K537" i="1"/>
  <c r="K541" i="1"/>
  <c r="K545" i="1"/>
  <c r="K549" i="1"/>
  <c r="K553" i="1"/>
  <c r="K557" i="1"/>
  <c r="K562" i="1"/>
  <c r="D134" i="1"/>
  <c r="C134" i="1"/>
  <c r="F459" i="1"/>
  <c r="F460" i="1"/>
  <c r="C459" i="1"/>
  <c r="E459" i="1" s="1"/>
  <c r="C354" i="1"/>
  <c r="E354" i="1" s="1"/>
  <c r="K354" i="1" s="1"/>
  <c r="C355" i="1"/>
  <c r="E355" i="1" s="1"/>
  <c r="K355" i="1" s="1"/>
  <c r="C460" i="1"/>
  <c r="E460" i="1" s="1"/>
  <c r="F396" i="1"/>
  <c r="F395" i="1"/>
  <c r="F394" i="1"/>
  <c r="F393" i="1"/>
  <c r="F392" i="1"/>
  <c r="F391" i="1"/>
  <c r="F390" i="1"/>
  <c r="F389" i="1"/>
  <c r="F374" i="1"/>
  <c r="F375" i="1"/>
  <c r="F376" i="1"/>
  <c r="F377" i="1"/>
  <c r="F378" i="1"/>
  <c r="F379" i="1"/>
  <c r="F380" i="1"/>
  <c r="F373" i="1"/>
  <c r="F404" i="1"/>
  <c r="F403" i="1"/>
  <c r="F402" i="1"/>
  <c r="F401" i="1"/>
  <c r="F400" i="1"/>
  <c r="F399" i="1"/>
  <c r="F398" i="1"/>
  <c r="F397" i="1"/>
  <c r="F388" i="1"/>
  <c r="F387" i="1"/>
  <c r="F386" i="1"/>
  <c r="F385" i="1"/>
  <c r="F384" i="1"/>
  <c r="F383" i="1"/>
  <c r="F382" i="1"/>
  <c r="F381" i="1"/>
  <c r="F370" i="1"/>
  <c r="F371" i="1"/>
  <c r="F369" i="1"/>
  <c r="F368" i="1"/>
  <c r="F367" i="1"/>
  <c r="F366" i="1"/>
  <c r="F372" i="1"/>
  <c r="F365" i="1"/>
  <c r="F362" i="1"/>
  <c r="F363" i="1"/>
  <c r="F364" i="1"/>
  <c r="F361" i="1"/>
  <c r="C404" i="1"/>
  <c r="E404" i="1" s="1"/>
  <c r="C403" i="1"/>
  <c r="E403" i="1" s="1"/>
  <c r="C402" i="1"/>
  <c r="E402" i="1" s="1"/>
  <c r="C401" i="1"/>
  <c r="E401" i="1" s="1"/>
  <c r="C400" i="1"/>
  <c r="E400" i="1" s="1"/>
  <c r="C399" i="1"/>
  <c r="E399" i="1" s="1"/>
  <c r="C398" i="1"/>
  <c r="E398" i="1" s="1"/>
  <c r="C397" i="1"/>
  <c r="E397" i="1" s="1"/>
  <c r="C396" i="1"/>
  <c r="E396" i="1" s="1"/>
  <c r="C395" i="1"/>
  <c r="E395" i="1" s="1"/>
  <c r="C394" i="1"/>
  <c r="E394" i="1" s="1"/>
  <c r="C393" i="1"/>
  <c r="E393" i="1" s="1"/>
  <c r="C392" i="1"/>
  <c r="E392" i="1" s="1"/>
  <c r="C391" i="1"/>
  <c r="E391" i="1" s="1"/>
  <c r="C390" i="1"/>
  <c r="E390" i="1" s="1"/>
  <c r="C389" i="1"/>
  <c r="E389" i="1" s="1"/>
  <c r="C380" i="1"/>
  <c r="E380" i="1" s="1"/>
  <c r="C388" i="1"/>
  <c r="E388" i="1" s="1"/>
  <c r="C387" i="1"/>
  <c r="E387" i="1" s="1"/>
  <c r="C386" i="1"/>
  <c r="E386" i="1" s="1"/>
  <c r="C385" i="1"/>
  <c r="E385" i="1" s="1"/>
  <c r="C384" i="1"/>
  <c r="E384" i="1" s="1"/>
  <c r="C383" i="1"/>
  <c r="E383" i="1" s="1"/>
  <c r="C382" i="1"/>
  <c r="E382" i="1" s="1"/>
  <c r="C381" i="1"/>
  <c r="E381" i="1" s="1"/>
  <c r="C378" i="1"/>
  <c r="E378" i="1" s="1"/>
  <c r="C379" i="1"/>
  <c r="E379" i="1" s="1"/>
  <c r="C377" i="1"/>
  <c r="E377" i="1" s="1"/>
  <c r="C375" i="1"/>
  <c r="E375" i="1" s="1"/>
  <c r="C376" i="1"/>
  <c r="E376" i="1" s="1"/>
  <c r="C374" i="1"/>
  <c r="E374" i="1" s="1"/>
  <c r="C373" i="1"/>
  <c r="E373" i="1" s="1"/>
  <c r="C370" i="1"/>
  <c r="E370" i="1" s="1"/>
  <c r="C371" i="1"/>
  <c r="E371" i="1" s="1"/>
  <c r="C369" i="1"/>
  <c r="E369" i="1" s="1"/>
  <c r="C367" i="1"/>
  <c r="E367" i="1" s="1"/>
  <c r="C368" i="1"/>
  <c r="E368" i="1" s="1"/>
  <c r="C366" i="1"/>
  <c r="E366" i="1" s="1"/>
  <c r="C372" i="1"/>
  <c r="E372" i="1" s="1"/>
  <c r="K372" i="1" s="1"/>
  <c r="C365" i="1"/>
  <c r="E365" i="1" s="1"/>
  <c r="C362" i="1"/>
  <c r="E362" i="1" s="1"/>
  <c r="C363" i="1"/>
  <c r="E363" i="1" s="1"/>
  <c r="C361" i="1"/>
  <c r="E361" i="1" s="1"/>
  <c r="C359" i="1"/>
  <c r="E359" i="1" s="1"/>
  <c r="K359" i="1" s="1"/>
  <c r="C360" i="1"/>
  <c r="E360" i="1" s="1"/>
  <c r="K360" i="1" s="1"/>
  <c r="C358" i="1"/>
  <c r="E358" i="1" s="1"/>
  <c r="K358" i="1" s="1"/>
  <c r="C364" i="1"/>
  <c r="E364" i="1" s="1"/>
  <c r="K364" i="1" s="1"/>
  <c r="C357" i="1"/>
  <c r="E357" i="1" s="1"/>
  <c r="K357" i="1" s="1"/>
  <c r="C356" i="1"/>
  <c r="E356" i="1" s="1"/>
  <c r="K356" i="1" s="1"/>
  <c r="C353" i="1"/>
  <c r="E353" i="1" s="1"/>
  <c r="K353" i="1" s="1"/>
  <c r="K381" i="1" l="1"/>
  <c r="K380" i="1"/>
  <c r="K375" i="1"/>
  <c r="K378" i="1"/>
  <c r="K366" i="1"/>
  <c r="K384" i="1"/>
  <c r="K391" i="1"/>
  <c r="K368" i="1"/>
  <c r="K385" i="1"/>
  <c r="K392" i="1"/>
  <c r="K400" i="1"/>
  <c r="K367" i="1"/>
  <c r="K377" i="1"/>
  <c r="K393" i="1"/>
  <c r="K401" i="1"/>
  <c r="K460" i="1"/>
  <c r="K361" i="1"/>
  <c r="K386" i="1"/>
  <c r="K369" i="1"/>
  <c r="K379" i="1"/>
  <c r="K394" i="1"/>
  <c r="K402" i="1"/>
  <c r="K459" i="1"/>
  <c r="K376" i="1"/>
  <c r="K399" i="1"/>
  <c r="K387" i="1"/>
  <c r="K388" i="1"/>
  <c r="K395" i="1"/>
  <c r="K403" i="1"/>
  <c r="K363" i="1"/>
  <c r="K396" i="1"/>
  <c r="K404" i="1"/>
  <c r="K370" i="1"/>
  <c r="K365" i="1"/>
  <c r="K373" i="1"/>
  <c r="K382" i="1"/>
  <c r="K389" i="1"/>
  <c r="K397" i="1"/>
  <c r="K371" i="1"/>
  <c r="K362" i="1"/>
  <c r="K374" i="1"/>
  <c r="K383" i="1"/>
  <c r="K390" i="1"/>
  <c r="K398" i="1"/>
  <c r="D133" i="1"/>
  <c r="C133" i="1"/>
  <c r="F347" i="1"/>
  <c r="D347" i="1"/>
  <c r="C347" i="1"/>
  <c r="F346" i="1"/>
  <c r="D346" i="1"/>
  <c r="C346" i="1"/>
  <c r="F345" i="1"/>
  <c r="D345" i="1"/>
  <c r="C345" i="1"/>
  <c r="F344" i="1"/>
  <c r="D344" i="1"/>
  <c r="C344" i="1"/>
  <c r="F343" i="1"/>
  <c r="D343" i="1"/>
  <c r="C343" i="1"/>
  <c r="F342" i="1"/>
  <c r="D342" i="1"/>
  <c r="C342" i="1"/>
  <c r="F341" i="1"/>
  <c r="D341" i="1"/>
  <c r="C341" i="1"/>
  <c r="F340" i="1"/>
  <c r="D340" i="1"/>
  <c r="C340" i="1"/>
  <c r="F339" i="1"/>
  <c r="D339" i="1"/>
  <c r="C339" i="1"/>
  <c r="F338" i="1"/>
  <c r="D338" i="1"/>
  <c r="C338" i="1"/>
  <c r="F337" i="1"/>
  <c r="D337" i="1"/>
  <c r="C337" i="1"/>
  <c r="F336" i="1"/>
  <c r="D336" i="1"/>
  <c r="C336" i="1"/>
  <c r="F335" i="1"/>
  <c r="D335" i="1"/>
  <c r="C335" i="1"/>
  <c r="F334" i="1"/>
  <c r="D334" i="1"/>
  <c r="C334" i="1"/>
  <c r="F333" i="1"/>
  <c r="D333" i="1"/>
  <c r="C333" i="1"/>
  <c r="F332" i="1"/>
  <c r="D332" i="1"/>
  <c r="C332" i="1"/>
  <c r="F331" i="1"/>
  <c r="D331" i="1"/>
  <c r="C331" i="1"/>
  <c r="F330" i="1"/>
  <c r="D330" i="1"/>
  <c r="C330" i="1"/>
  <c r="F329" i="1"/>
  <c r="D329" i="1"/>
  <c r="C329" i="1"/>
  <c r="F328" i="1"/>
  <c r="D328" i="1"/>
  <c r="C328" i="1"/>
  <c r="F327" i="1"/>
  <c r="D327" i="1"/>
  <c r="C327" i="1"/>
  <c r="F326" i="1"/>
  <c r="D326" i="1"/>
  <c r="C326" i="1"/>
  <c r="F325" i="1"/>
  <c r="D325" i="1"/>
  <c r="C325" i="1"/>
  <c r="F324" i="1"/>
  <c r="D324" i="1"/>
  <c r="C324" i="1"/>
  <c r="F323" i="1"/>
  <c r="D323" i="1"/>
  <c r="C323" i="1"/>
  <c r="F322" i="1"/>
  <c r="D322" i="1"/>
  <c r="C322" i="1"/>
  <c r="F316" i="1"/>
  <c r="D316" i="1"/>
  <c r="C316" i="1"/>
  <c r="F315" i="1"/>
  <c r="D315" i="1"/>
  <c r="C315" i="1"/>
  <c r="F314" i="1"/>
  <c r="D314" i="1"/>
  <c r="C314" i="1"/>
  <c r="F313" i="1"/>
  <c r="D313" i="1"/>
  <c r="C313" i="1"/>
  <c r="F312" i="1"/>
  <c r="D312" i="1"/>
  <c r="C312" i="1"/>
  <c r="F311" i="1"/>
  <c r="D311" i="1"/>
  <c r="C311" i="1"/>
  <c r="F310" i="1"/>
  <c r="D310" i="1"/>
  <c r="C310" i="1"/>
  <c r="F309" i="1"/>
  <c r="D309" i="1"/>
  <c r="C309" i="1"/>
  <c r="F308" i="1"/>
  <c r="D308" i="1"/>
  <c r="C308" i="1"/>
  <c r="F307" i="1"/>
  <c r="D307" i="1"/>
  <c r="C307" i="1"/>
  <c r="F306" i="1"/>
  <c r="D306" i="1"/>
  <c r="C306" i="1"/>
  <c r="F305" i="1"/>
  <c r="D305" i="1"/>
  <c r="C305" i="1"/>
  <c r="F304" i="1"/>
  <c r="D304" i="1"/>
  <c r="C304" i="1"/>
  <c r="F303" i="1"/>
  <c r="D303" i="1"/>
  <c r="C303" i="1"/>
  <c r="F302" i="1"/>
  <c r="D302" i="1"/>
  <c r="C302" i="1"/>
  <c r="F301" i="1"/>
  <c r="D301" i="1"/>
  <c r="C301" i="1"/>
  <c r="F300" i="1"/>
  <c r="D300" i="1"/>
  <c r="C300" i="1"/>
  <c r="F299" i="1"/>
  <c r="D299" i="1"/>
  <c r="C299" i="1"/>
  <c r="F298" i="1"/>
  <c r="D298" i="1"/>
  <c r="C298" i="1"/>
  <c r="F297" i="1"/>
  <c r="D297" i="1"/>
  <c r="C297" i="1"/>
  <c r="F296" i="1"/>
  <c r="D296" i="1"/>
  <c r="C296" i="1"/>
  <c r="F295" i="1"/>
  <c r="D295" i="1"/>
  <c r="C295" i="1"/>
  <c r="F294" i="1"/>
  <c r="D294" i="1"/>
  <c r="C294" i="1"/>
  <c r="F293" i="1"/>
  <c r="D293" i="1"/>
  <c r="C293" i="1"/>
  <c r="F292" i="1"/>
  <c r="D292" i="1"/>
  <c r="C292" i="1"/>
  <c r="F291" i="1"/>
  <c r="D291" i="1"/>
  <c r="C291" i="1"/>
  <c r="F285" i="1"/>
  <c r="D285" i="1"/>
  <c r="C285" i="1"/>
  <c r="F284" i="1"/>
  <c r="D284" i="1"/>
  <c r="C284" i="1"/>
  <c r="F283" i="1"/>
  <c r="D283" i="1"/>
  <c r="C283" i="1"/>
  <c r="F282" i="1"/>
  <c r="D282" i="1"/>
  <c r="C282" i="1"/>
  <c r="F281" i="1"/>
  <c r="D281" i="1"/>
  <c r="C281" i="1"/>
  <c r="F280" i="1"/>
  <c r="D280" i="1"/>
  <c r="C280" i="1"/>
  <c r="F279" i="1"/>
  <c r="D279" i="1"/>
  <c r="C279" i="1"/>
  <c r="F278" i="1"/>
  <c r="D278" i="1"/>
  <c r="C278" i="1"/>
  <c r="F277" i="1"/>
  <c r="D277" i="1"/>
  <c r="C277" i="1"/>
  <c r="F276" i="1"/>
  <c r="D276" i="1"/>
  <c r="C276" i="1"/>
  <c r="F275" i="1"/>
  <c r="D275" i="1"/>
  <c r="C275" i="1"/>
  <c r="F274" i="1"/>
  <c r="D274" i="1"/>
  <c r="C274" i="1"/>
  <c r="F273" i="1"/>
  <c r="D273" i="1"/>
  <c r="C273" i="1"/>
  <c r="F272" i="1"/>
  <c r="D272" i="1"/>
  <c r="C272" i="1"/>
  <c r="F271" i="1"/>
  <c r="D271" i="1"/>
  <c r="C271" i="1"/>
  <c r="F270" i="1"/>
  <c r="D270" i="1"/>
  <c r="C270" i="1"/>
  <c r="F269" i="1"/>
  <c r="D269" i="1"/>
  <c r="C269" i="1"/>
  <c r="F268" i="1"/>
  <c r="D268" i="1"/>
  <c r="C268" i="1"/>
  <c r="F267" i="1"/>
  <c r="D267" i="1"/>
  <c r="C267" i="1"/>
  <c r="F266" i="1"/>
  <c r="D266" i="1"/>
  <c r="C266" i="1"/>
  <c r="F265" i="1"/>
  <c r="D265" i="1"/>
  <c r="C265" i="1"/>
  <c r="F264" i="1"/>
  <c r="D264" i="1"/>
  <c r="C264" i="1"/>
  <c r="F263" i="1"/>
  <c r="D263" i="1"/>
  <c r="C263" i="1"/>
  <c r="F262" i="1"/>
  <c r="D262" i="1"/>
  <c r="C262" i="1"/>
  <c r="F261" i="1"/>
  <c r="D261" i="1"/>
  <c r="C261" i="1"/>
  <c r="F260" i="1"/>
  <c r="D260" i="1"/>
  <c r="C260" i="1"/>
  <c r="E291" i="1" l="1"/>
  <c r="K291" i="1" s="1"/>
  <c r="E262" i="1"/>
  <c r="K262" i="1" s="1"/>
  <c r="E266" i="1"/>
  <c r="K266" i="1" s="1"/>
  <c r="E270" i="1"/>
  <c r="K270" i="1" s="1"/>
  <c r="E274" i="1"/>
  <c r="K274" i="1" s="1"/>
  <c r="E278" i="1"/>
  <c r="K278" i="1" s="1"/>
  <c r="E282" i="1"/>
  <c r="K282" i="1" s="1"/>
  <c r="E295" i="1"/>
  <c r="K295" i="1" s="1"/>
  <c r="E299" i="1"/>
  <c r="K299" i="1" s="1"/>
  <c r="E303" i="1"/>
  <c r="K303" i="1" s="1"/>
  <c r="E307" i="1"/>
  <c r="K307" i="1" s="1"/>
  <c r="E311" i="1"/>
  <c r="K311" i="1" s="1"/>
  <c r="E315" i="1"/>
  <c r="K315" i="1" s="1"/>
  <c r="E324" i="1"/>
  <c r="K324" i="1" s="1"/>
  <c r="E328" i="1"/>
  <c r="K328" i="1" s="1"/>
  <c r="E332" i="1"/>
  <c r="K332" i="1" s="1"/>
  <c r="E336" i="1"/>
  <c r="K336" i="1" s="1"/>
  <c r="E340" i="1"/>
  <c r="K340" i="1" s="1"/>
  <c r="E344" i="1"/>
  <c r="K344" i="1" s="1"/>
  <c r="E263" i="1"/>
  <c r="K263" i="1" s="1"/>
  <c r="E267" i="1"/>
  <c r="K267" i="1" s="1"/>
  <c r="E271" i="1"/>
  <c r="K271" i="1" s="1"/>
  <c r="E275" i="1"/>
  <c r="K275" i="1" s="1"/>
  <c r="E279" i="1"/>
  <c r="K279" i="1" s="1"/>
  <c r="E283" i="1"/>
  <c r="K283" i="1" s="1"/>
  <c r="E261" i="1"/>
  <c r="K261" i="1" s="1"/>
  <c r="E265" i="1"/>
  <c r="K265" i="1" s="1"/>
  <c r="E269" i="1"/>
  <c r="K269" i="1" s="1"/>
  <c r="E273" i="1"/>
  <c r="K273" i="1" s="1"/>
  <c r="E277" i="1"/>
  <c r="K277" i="1" s="1"/>
  <c r="E281" i="1"/>
  <c r="K281" i="1" s="1"/>
  <c r="E285" i="1"/>
  <c r="K285" i="1" s="1"/>
  <c r="E260" i="1"/>
  <c r="K260" i="1" s="1"/>
  <c r="E264" i="1"/>
  <c r="K264" i="1" s="1"/>
  <c r="E268" i="1"/>
  <c r="K268" i="1" s="1"/>
  <c r="E272" i="1"/>
  <c r="K272" i="1" s="1"/>
  <c r="E276" i="1"/>
  <c r="K276" i="1" s="1"/>
  <c r="E280" i="1"/>
  <c r="K280" i="1" s="1"/>
  <c r="E284" i="1"/>
  <c r="K284" i="1" s="1"/>
  <c r="E293" i="1"/>
  <c r="K293" i="1" s="1"/>
  <c r="E297" i="1"/>
  <c r="E301" i="1"/>
  <c r="K301" i="1" s="1"/>
  <c r="E305" i="1"/>
  <c r="K305" i="1" s="1"/>
  <c r="E309" i="1"/>
  <c r="K309" i="1" s="1"/>
  <c r="E313" i="1"/>
  <c r="K313" i="1" s="1"/>
  <c r="E322" i="1"/>
  <c r="K322" i="1" s="1"/>
  <c r="E326" i="1"/>
  <c r="K326" i="1" s="1"/>
  <c r="E330" i="1"/>
  <c r="K330" i="1" s="1"/>
  <c r="E334" i="1"/>
  <c r="K334" i="1" s="1"/>
  <c r="E338" i="1"/>
  <c r="K338" i="1" s="1"/>
  <c r="E342" i="1"/>
  <c r="K342" i="1" s="1"/>
  <c r="E346" i="1"/>
  <c r="K346" i="1" s="1"/>
  <c r="E292" i="1"/>
  <c r="K292" i="1" s="1"/>
  <c r="E296" i="1"/>
  <c r="K296" i="1" s="1"/>
  <c r="E300" i="1"/>
  <c r="K300" i="1" s="1"/>
  <c r="E304" i="1"/>
  <c r="K304" i="1" s="1"/>
  <c r="E308" i="1"/>
  <c r="K308" i="1" s="1"/>
  <c r="E312" i="1"/>
  <c r="K312" i="1" s="1"/>
  <c r="E316" i="1"/>
  <c r="K316" i="1" s="1"/>
  <c r="E325" i="1"/>
  <c r="K325" i="1" s="1"/>
  <c r="E329" i="1"/>
  <c r="K329" i="1" s="1"/>
  <c r="E333" i="1"/>
  <c r="K333" i="1" s="1"/>
  <c r="E337" i="1"/>
  <c r="K337" i="1" s="1"/>
  <c r="E341" i="1"/>
  <c r="K341" i="1" s="1"/>
  <c r="E345" i="1"/>
  <c r="K345" i="1" s="1"/>
  <c r="E294" i="1"/>
  <c r="K294" i="1" s="1"/>
  <c r="E298" i="1"/>
  <c r="K298" i="1" s="1"/>
  <c r="E302" i="1"/>
  <c r="K302" i="1" s="1"/>
  <c r="E306" i="1"/>
  <c r="K306" i="1" s="1"/>
  <c r="E310" i="1"/>
  <c r="K310" i="1" s="1"/>
  <c r="E314" i="1"/>
  <c r="K314" i="1" s="1"/>
  <c r="E323" i="1"/>
  <c r="K323" i="1" s="1"/>
  <c r="E327" i="1"/>
  <c r="K327" i="1" s="1"/>
  <c r="E331" i="1"/>
  <c r="K331" i="1" s="1"/>
  <c r="E335" i="1"/>
  <c r="K335" i="1" s="1"/>
  <c r="E339" i="1"/>
  <c r="K339" i="1" s="1"/>
  <c r="E343" i="1"/>
  <c r="K343" i="1" s="1"/>
  <c r="E347" i="1"/>
  <c r="K347" i="1" s="1"/>
  <c r="F231" i="1"/>
  <c r="F232" i="1"/>
  <c r="I232" i="1" s="1"/>
  <c r="F233" i="1"/>
  <c r="F234" i="1"/>
  <c r="F235" i="1"/>
  <c r="F236" i="1"/>
  <c r="F237" i="1"/>
  <c r="F238" i="1"/>
  <c r="F239" i="1"/>
  <c r="F240" i="1"/>
  <c r="F241" i="1"/>
  <c r="F242" i="1"/>
  <c r="F243" i="1"/>
  <c r="F244" i="1"/>
  <c r="F245" i="1"/>
  <c r="F246" i="1"/>
  <c r="F247" i="1"/>
  <c r="F248" i="1"/>
  <c r="F249" i="1"/>
  <c r="F250" i="1"/>
  <c r="F251" i="1"/>
  <c r="F252" i="1"/>
  <c r="F253" i="1"/>
  <c r="F254" i="1"/>
  <c r="F255" i="1"/>
  <c r="F230" i="1"/>
  <c r="C253" i="1"/>
  <c r="C252" i="1"/>
  <c r="C249" i="1"/>
  <c r="C248" i="1"/>
  <c r="C245" i="1"/>
  <c r="C244" i="1"/>
  <c r="C241" i="1"/>
  <c r="C240" i="1"/>
  <c r="C237" i="1"/>
  <c r="C236" i="1"/>
  <c r="C233" i="1"/>
  <c r="C232" i="1"/>
  <c r="C231" i="1"/>
  <c r="C255" i="1"/>
  <c r="C254" i="1"/>
  <c r="C251" i="1"/>
  <c r="C250" i="1"/>
  <c r="C247" i="1"/>
  <c r="C246" i="1"/>
  <c r="C243" i="1"/>
  <c r="C242" i="1"/>
  <c r="C239" i="1"/>
  <c r="C238" i="1"/>
  <c r="C235" i="1"/>
  <c r="C234" i="1"/>
  <c r="C230" i="1"/>
  <c r="D232" i="1"/>
  <c r="D233" i="1"/>
  <c r="D234" i="1"/>
  <c r="D235" i="1"/>
  <c r="D236" i="1"/>
  <c r="D237" i="1"/>
  <c r="D238" i="1"/>
  <c r="D239" i="1"/>
  <c r="D240" i="1"/>
  <c r="D241" i="1"/>
  <c r="D242" i="1"/>
  <c r="D243" i="1"/>
  <c r="D244" i="1"/>
  <c r="D245" i="1"/>
  <c r="D246" i="1"/>
  <c r="D247" i="1"/>
  <c r="D248" i="1"/>
  <c r="D249" i="1"/>
  <c r="D250" i="1"/>
  <c r="D251" i="1"/>
  <c r="D252" i="1"/>
  <c r="D253" i="1"/>
  <c r="D254" i="1"/>
  <c r="D255" i="1"/>
  <c r="D231" i="1"/>
  <c r="D230" i="1"/>
  <c r="C130" i="1" l="1"/>
  <c r="E251" i="1"/>
  <c r="K251" i="1" s="1"/>
  <c r="D131" i="1"/>
  <c r="D132" i="1"/>
  <c r="D130" i="1"/>
  <c r="E243" i="1"/>
  <c r="K243" i="1" s="1"/>
  <c r="E252" i="1"/>
  <c r="K252" i="1" s="1"/>
  <c r="E249" i="1"/>
  <c r="K249" i="1" s="1"/>
  <c r="E232" i="1"/>
  <c r="K232" i="1" s="1"/>
  <c r="E240" i="1"/>
  <c r="K240" i="1" s="1"/>
  <c r="E248" i="1"/>
  <c r="K248" i="1" s="1"/>
  <c r="E253" i="1"/>
  <c r="K253" i="1" s="1"/>
  <c r="E245" i="1"/>
  <c r="K245" i="1" s="1"/>
  <c r="E241" i="1"/>
  <c r="K241" i="1" s="1"/>
  <c r="E237" i="1"/>
  <c r="K237" i="1" s="1"/>
  <c r="E233" i="1"/>
  <c r="E239" i="1"/>
  <c r="K239" i="1" s="1"/>
  <c r="E247" i="1"/>
  <c r="K247" i="1" s="1"/>
  <c r="E255" i="1"/>
  <c r="K255" i="1" s="1"/>
  <c r="E235" i="1"/>
  <c r="K235" i="1" s="1"/>
  <c r="E238" i="1"/>
  <c r="K238" i="1" s="1"/>
  <c r="E246" i="1"/>
  <c r="K246" i="1" s="1"/>
  <c r="E254" i="1"/>
  <c r="K254" i="1" s="1"/>
  <c r="E236" i="1"/>
  <c r="K236" i="1" s="1"/>
  <c r="E244" i="1"/>
  <c r="K244" i="1" s="1"/>
  <c r="E234" i="1"/>
  <c r="K234" i="1" s="1"/>
  <c r="E242" i="1"/>
  <c r="K242" i="1" s="1"/>
  <c r="E250" i="1"/>
  <c r="K250" i="1" s="1"/>
  <c r="E230" i="1"/>
  <c r="E231" i="1"/>
  <c r="D217" i="1"/>
  <c r="F217" i="1" s="1"/>
  <c r="D210" i="1"/>
  <c r="F210" i="1" s="1"/>
  <c r="D221" i="1"/>
  <c r="F221" i="1" s="1"/>
  <c r="D220" i="1"/>
  <c r="F220" i="1" s="1"/>
  <c r="D214" i="1"/>
  <c r="F214" i="1" s="1"/>
  <c r="D213" i="1"/>
  <c r="F213" i="1" s="1"/>
  <c r="D207" i="1"/>
  <c r="F207" i="1" s="1"/>
  <c r="D202" i="1"/>
  <c r="F202" i="1" s="1"/>
  <c r="D206" i="1"/>
  <c r="F206" i="1" s="1"/>
  <c r="D219" i="1"/>
  <c r="F219" i="1" s="1"/>
  <c r="D218" i="1"/>
  <c r="F218" i="1" s="1"/>
  <c r="D216" i="1"/>
  <c r="F216" i="1" s="1"/>
  <c r="D215" i="1"/>
  <c r="F215" i="1" s="1"/>
  <c r="D212" i="1"/>
  <c r="F212" i="1" s="1"/>
  <c r="D211" i="1"/>
  <c r="F211" i="1" s="1"/>
  <c r="D209" i="1"/>
  <c r="F209" i="1" s="1"/>
  <c r="D208" i="1"/>
  <c r="F208" i="1" s="1"/>
  <c r="D205" i="1"/>
  <c r="F205" i="1" s="1"/>
  <c r="D204" i="1"/>
  <c r="F204" i="1" s="1"/>
  <c r="D223" i="1"/>
  <c r="F223" i="1" s="1"/>
  <c r="D222" i="1"/>
  <c r="F222" i="1" s="1"/>
  <c r="D203" i="1"/>
  <c r="F203" i="1" s="1"/>
  <c r="D201" i="1"/>
  <c r="F201" i="1" s="1"/>
  <c r="D200" i="1"/>
  <c r="F200" i="1" s="1"/>
  <c r="D197" i="1"/>
  <c r="F197" i="1" s="1"/>
  <c r="D198" i="1"/>
  <c r="F198" i="1" s="1"/>
  <c r="C129" i="1" l="1"/>
  <c r="C136" i="1" s="1"/>
  <c r="D129" i="1"/>
  <c r="D136" i="1" s="1"/>
  <c r="D199" i="1"/>
  <c r="F199" i="1" s="1"/>
  <c r="D196" i="1"/>
  <c r="F196" i="1" s="1"/>
  <c r="D195" i="1"/>
  <c r="F195" i="1" s="1"/>
  <c r="D194" i="1"/>
  <c r="F194" i="1" s="1"/>
  <c r="D193" i="1"/>
  <c r="F193" i="1" s="1"/>
  <c r="D192" i="1"/>
  <c r="F192" i="1" s="1"/>
  <c r="D189" i="1"/>
  <c r="F189" i="1" s="1"/>
  <c r="D190" i="1"/>
  <c r="F190" i="1" s="1"/>
  <c r="D191" i="1"/>
  <c r="F191" i="1" s="1"/>
  <c r="D188" i="1"/>
  <c r="F188" i="1" s="1"/>
  <c r="D158" i="1"/>
  <c r="F158" i="1" s="1"/>
  <c r="D154" i="1"/>
  <c r="F154" i="1" s="1"/>
  <c r="D155" i="1"/>
  <c r="F155" i="1" s="1"/>
  <c r="D156" i="1"/>
  <c r="F156" i="1" s="1"/>
  <c r="D157" i="1"/>
  <c r="F157" i="1" s="1"/>
  <c r="D159" i="1"/>
  <c r="F159" i="1" s="1"/>
  <c r="D160" i="1"/>
  <c r="F160" i="1" s="1"/>
  <c r="D161" i="1"/>
  <c r="F161" i="1" s="1"/>
  <c r="D162" i="1"/>
  <c r="F162" i="1" s="1"/>
  <c r="D163" i="1"/>
  <c r="F163" i="1" s="1"/>
  <c r="D164" i="1"/>
  <c r="F164" i="1" s="1"/>
  <c r="D165" i="1"/>
  <c r="F165" i="1" s="1"/>
  <c r="D166" i="1"/>
  <c r="F166" i="1" s="1"/>
  <c r="D167" i="1"/>
  <c r="F167" i="1" s="1"/>
  <c r="D168" i="1"/>
  <c r="F168" i="1" s="1"/>
  <c r="D169" i="1"/>
  <c r="F169" i="1" s="1"/>
  <c r="D170" i="1"/>
  <c r="F170" i="1" s="1"/>
  <c r="D171" i="1"/>
  <c r="F171" i="1" s="1"/>
  <c r="D172" i="1"/>
  <c r="F172" i="1" s="1"/>
  <c r="D173" i="1"/>
  <c r="F173" i="1" s="1"/>
  <c r="D174" i="1"/>
  <c r="F174" i="1" s="1"/>
  <c r="D175" i="1"/>
  <c r="F175" i="1" s="1"/>
  <c r="D176" i="1"/>
  <c r="F176" i="1" s="1"/>
  <c r="D177" i="1"/>
  <c r="F177" i="1" s="1"/>
  <c r="D178" i="1"/>
  <c r="F178" i="1" s="1"/>
  <c r="D179" i="1"/>
  <c r="F179" i="1" s="1"/>
  <c r="D180" i="1"/>
  <c r="F180" i="1" s="1"/>
  <c r="D181" i="1"/>
  <c r="F181" i="1" s="1"/>
  <c r="D182" i="1"/>
  <c r="F182" i="1" s="1"/>
  <c r="D183" i="1"/>
  <c r="F183" i="1" s="1"/>
  <c r="D184" i="1"/>
  <c r="F184" i="1" s="1"/>
  <c r="D185" i="1"/>
  <c r="F185" i="1" s="1"/>
  <c r="D186" i="1"/>
  <c r="F186" i="1" s="1"/>
  <c r="D187" i="1"/>
  <c r="F187" i="1" s="1"/>
  <c r="D153" i="1" l="1"/>
  <c r="F153" i="1" s="1"/>
  <c r="D152" i="1"/>
  <c r="F152" i="1" s="1"/>
  <c r="D151" i="1"/>
  <c r="F151" i="1" s="1"/>
  <c r="D150" i="1"/>
  <c r="F150" i="1" s="1"/>
  <c r="D149" i="1"/>
  <c r="F149" i="1" s="1"/>
  <c r="D147" i="1"/>
  <c r="F147" i="1" s="1"/>
  <c r="D148" i="1"/>
  <c r="F148" i="1" s="1"/>
  <c r="D146" i="1"/>
  <c r="F146" i="1" s="1"/>
  <c r="D145" i="1"/>
  <c r="F145" i="1" s="1"/>
  <c r="D144" i="1"/>
  <c r="G47" i="1"/>
  <c r="G49" i="1" s="1"/>
  <c r="C126" i="1" l="1"/>
  <c r="C137" i="1" s="1"/>
  <c r="F144" i="1"/>
  <c r="F126" i="1" s="1"/>
  <c r="F137" i="1" s="1"/>
  <c r="D126" i="1"/>
  <c r="J128" i="1" l="1"/>
  <c r="D137" i="1"/>
  <c r="E7" i="1"/>
  <c r="E41" i="1" l="1"/>
  <c r="D599" i="1" l="1"/>
  <c r="C47" i="1"/>
  <c r="E42" i="1"/>
  <c r="D55"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<sst xmlns="http://schemas.openxmlformats.org/spreadsheetml/2006/main" count="1062" uniqueCount="300">
  <si>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</si>
  <si>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</si>
  <si>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</si>
  <si>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</si>
  <si>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</si>
  <si>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</si>
  <si>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</si>
  <si>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</si>
  <si>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</si>
  <si>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</si>
  <si>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</si>
  <si>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</si>
  <si>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</si>
  <si>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</si>
  <si>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</si>
  <si>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</si>
  <si>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</si>
  <si>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</si>
  <si>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</si>
  <si>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</si>
  <si>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</si>
  <si>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</si>
  <si>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</si>
  <si>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</si>
  <si>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</si>
  <si>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</si>
  <si>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</si>
  <si>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</si>
  <si>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</si>
  <si>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</si>
  <si>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</si>
  <si>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</si>
  <si>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</si>
  <si>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</si>
  <si>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</si>
  <si>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</si>
  <si>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</si>
  <si>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</si>
  <si>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</si>
  <si>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</si>
  <si>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</si>
  <si>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</si>
  <si>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</si>
  <si>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</si>
  <si>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</si>
  <si>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</si>
  <si>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</si>
  <si>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</si>
  <si>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</si>
  <si>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</si>
  <si>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</si>
  <si>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</si>
  <si>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</si>
  <si>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</si>
  <si>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</si>
  <si>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</si>
  <si>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</si>
  <si>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</si>
  <si>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</si>
  <si>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</si>
  <si>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</si>
  <si>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</si>
  <si>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</si>
  <si>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</si>
  <si>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</si>
  <si>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</si>
  <si>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</si>
  <si>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</si>
  <si>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</si>
  <si>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</si>
  <si>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</si>
  <si>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</si>
  <si>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</si>
  <si>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</si>
  <si>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</si>
  <si>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</si>
  <si>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</si>
  <si>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</si>
  <si>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</si>
  <si>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</si>
  <si>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</si>
  <si>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</si>
  <si>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</si>
  <si>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</si>
  <si>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</si>
  <si>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</si>
  <si>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</si>
  <si>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</si>
  <si>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</si>
  <si>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</si>
  <si>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</si>
  <si>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</si>
  <si>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</si>
  <si>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</si>
  <si>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</si>
  <si>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</si>
  <si>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</si>
  <si>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</si>
  <si>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</si>
  <si>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</si>
  <si>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</si>
  <si>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</si>
  <si>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</si>
  <si>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</si>
  <si>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</si>
  <si>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</si>
  <si>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</si>
  <si>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</si>
  <si>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</si>
  <si>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</si>
  <si>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</si>
  <si>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</si>
  <si>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</si>
  <si>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</si>
  <si>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</si>
  <si>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</si>
  <si>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</si>
  <si>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</si>
  <si>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</si>
  <si>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</si>
  <si>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</si>
  <si>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</si>
  <si>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</si>
  <si>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</si>
  <si>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</si>
  <si>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</si>
  <si>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</si>
  <si>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</si>
  <si>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</si>
  <si>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</si>
  <si>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</si>
  <si>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</si>
  <si>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</si>
  <si>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</si>
  <si>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</si>
  <si>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Society Formation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</si>
  <si>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</si>
  <si>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</si>
  <si>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</si>
  <si>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</si>
  <si>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</si>
  <si>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</si>
  <si>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</si>
  <si>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</si>
  <si>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</si>
  <si>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</si>
  <si>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Axis Sanpada</t>
  </si>
  <si>
    <t>19 East</t>
  </si>
  <si>
    <t>P51700025055</t>
  </si>
  <si>
    <t>52 &amp; Sector No.19A</t>
  </si>
  <si>
    <t>Plot No</t>
  </si>
  <si>
    <t>Thane</t>
  </si>
  <si>
    <t>Navi Mumbai Mahanagar Palika Fire Brigade Nerul</t>
  </si>
  <si>
    <t>Jagatguru Aadi Shankracharya Marg</t>
  </si>
  <si>
    <t>Nerul</t>
  </si>
  <si>
    <t>0.8 km from Seawoods Station</t>
  </si>
  <si>
    <t>Developing</t>
  </si>
  <si>
    <t>Wonder's Park</t>
  </si>
  <si>
    <t>Fire Station</t>
  </si>
  <si>
    <t>24/09/2019.</t>
  </si>
  <si>
    <t>1st &amp; 2nd Basement Floor for Parking</t>
  </si>
  <si>
    <t>Ground Floor</t>
  </si>
  <si>
    <t>1A</t>
  </si>
  <si>
    <t>1B</t>
  </si>
  <si>
    <t>1C</t>
  </si>
  <si>
    <t>1D</t>
  </si>
  <si>
    <t>Shop</t>
  </si>
  <si>
    <t>Commercial Building</t>
  </si>
  <si>
    <t>A Wing</t>
  </si>
  <si>
    <t>Ground Floor for Parking</t>
  </si>
  <si>
    <t>1st Floor for Amenties</t>
  </si>
  <si>
    <t>2nd Floor</t>
  </si>
  <si>
    <t>Flat No.</t>
  </si>
  <si>
    <t>Servent Room</t>
  </si>
  <si>
    <t>Gross Carpet area + Servent Room</t>
  </si>
  <si>
    <t>3BHK</t>
  </si>
  <si>
    <t>3rd Floor</t>
  </si>
  <si>
    <t>4th Floor</t>
  </si>
  <si>
    <t>5th Floor</t>
  </si>
  <si>
    <t>6th Floor</t>
  </si>
  <si>
    <t>7th Floor</t>
  </si>
  <si>
    <t>8th Floor</t>
  </si>
  <si>
    <t>9th Floor</t>
  </si>
  <si>
    <t>10th Floor</t>
  </si>
  <si>
    <t>11th Floor</t>
  </si>
  <si>
    <t>12th Floor</t>
  </si>
  <si>
    <t>13th Floor</t>
  </si>
  <si>
    <t>14th Floor</t>
  </si>
  <si>
    <t>D Wing</t>
  </si>
  <si>
    <t>C Wing</t>
  </si>
  <si>
    <t>B Wing</t>
  </si>
  <si>
    <t>E Wing</t>
  </si>
  <si>
    <t>2BHK</t>
  </si>
  <si>
    <t>F Wing</t>
  </si>
  <si>
    <t>1st Floor</t>
  </si>
  <si>
    <t>Fire Refuge Area</t>
  </si>
  <si>
    <t xml:space="preserve"> Fire Refuge Area</t>
  </si>
  <si>
    <t>Upper Middle Class</t>
  </si>
  <si>
    <t>Cement, Aggregate, Steel, etc</t>
  </si>
  <si>
    <t>Shopline</t>
  </si>
  <si>
    <t>Documentation Charges</t>
  </si>
  <si>
    <t>2019/CNMMC/15819/3730/2019</t>
  </si>
  <si>
    <t>Commercial Shopline (Ground Floor)
A to F Wings = 1st &amp; 2nd Basement + G + 1st + 2nd to 14th Floor</t>
  </si>
  <si>
    <t>Valid Up to: Commercial Shopline (Ground Floor)
A to F Wings = 1st &amp; 2nd Basement + G + 1st + 2nd to 14th Floor</t>
  </si>
  <si>
    <t>Natural terrace</t>
  </si>
  <si>
    <t>21/09/2020.</t>
  </si>
  <si>
    <t>Asmita</t>
  </si>
  <si>
    <t>rate verified from VSJCVNM-AXIS-RTL-NOV19-13525</t>
  </si>
  <si>
    <t>Neel Sidhi Atlantis</t>
  </si>
  <si>
    <t>Floor Rise each Flat from 2nd Floor</t>
  </si>
  <si>
    <t>Builder Saleable area</t>
  </si>
  <si>
    <t>Pratiksha</t>
  </si>
  <si>
    <t>Market Research Data</t>
  </si>
  <si>
    <t>Source</t>
  </si>
  <si>
    <t>Distance from proposed property</t>
  </si>
  <si>
    <t>Net Carpet</t>
  </si>
  <si>
    <t>Saleable Area</t>
  </si>
  <si>
    <t>Rate on Saleable</t>
  </si>
  <si>
    <t>Market Value</t>
  </si>
  <si>
    <t>Magic Brick</t>
  </si>
  <si>
    <t>99 Acres</t>
  </si>
  <si>
    <t>Average</t>
  </si>
  <si>
    <t xml:space="preserve">Valuation Adopted </t>
  </si>
  <si>
    <t>1BHK</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</si>
  <si>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</si>
  <si>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</si>
  <si>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</si>
  <si>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</si>
  <si>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</si>
  <si>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</si>
  <si>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</si>
  <si>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</si>
  <si>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</si>
  <si>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</si>
  <si>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</si>
  <si>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</si>
  <si>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</si>
  <si>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</si>
  <si>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</si>
  <si>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</si>
  <si>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</si>
  <si>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</si>
  <si>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Commercial Shopline (Ground Floor)</t>
  </si>
  <si>
    <t>2BHK = 369000/- 
3BHK = 565000/-</t>
  </si>
  <si>
    <t>As per RERA -  30/12/2025</t>
  </si>
  <si>
    <t>13500 to 14500</t>
  </si>
  <si>
    <t>smith</t>
  </si>
  <si>
    <t>IGR</t>
  </si>
  <si>
    <t>14500 to 16300</t>
  </si>
  <si>
    <t>Location Link</t>
  </si>
  <si>
    <t>https://goo.gl/maps/bHgxgQYmymZy4kZQ6?coh=178572&amp;entry=tt</t>
  </si>
  <si>
    <t xml:space="preserve">Site Person - Contact Details ( Name &amp; Contact No.)
</t>
  </si>
  <si>
    <t xml:space="preserve">Office No. 1031, Wing J, Akshar Business Park, Plot No. 03 Sector 25, Near APMC Market, 
Vashi, Navi Mumbai, Maharashtra 400703 TEL: 022-46090378/79/80                                                                       
E mail : vsjcapf@gmail.com. Web site : www.vsjadon.com
</t>
  </si>
  <si>
    <t>Latitude,Longitude</t>
  </si>
  <si>
    <t>19.02325,73.025833</t>
  </si>
  <si>
    <t>Carpet area</t>
  </si>
  <si>
    <t>Saleable area Loading :</t>
  </si>
  <si>
    <t>G Wing</t>
  </si>
  <si>
    <t xml:space="preserve">1st to 7th, 9th to 12th &amp; 14th Floor For Residential </t>
  </si>
  <si>
    <t>8th &amp; 13th Floor (Refuge Balcony Near Staircase)</t>
  </si>
  <si>
    <t>4BHK</t>
  </si>
  <si>
    <t>Servant Room</t>
  </si>
  <si>
    <t>Bed3</t>
  </si>
  <si>
    <t>Bed4</t>
  </si>
  <si>
    <t>toilet4</t>
  </si>
  <si>
    <t>Walk In1</t>
  </si>
  <si>
    <t>Walk In2</t>
  </si>
  <si>
    <t>Walk In3</t>
  </si>
  <si>
    <t>Utility</t>
  </si>
  <si>
    <t>Pooja Room</t>
  </si>
  <si>
    <t>Deck</t>
  </si>
  <si>
    <t>Wash Area</t>
  </si>
  <si>
    <t>Flats - 327, Shops - 80</t>
  </si>
  <si>
    <t>Wing G = 1st &amp; 2nd Basement + G + 1st to 14th Floor</t>
  </si>
  <si>
    <t>Approved Floor plan No. For Wing G</t>
  </si>
  <si>
    <t>NRV/A-3339</t>
  </si>
  <si>
    <t>NMMC/TPO/BP/3339/2022</t>
  </si>
  <si>
    <t xml:space="preserve">Commencement Certificate No.
Valid Up to: </t>
  </si>
  <si>
    <t xml:space="preserve">Residential Built up Area = 50959.744 Sq. M ( No Of Units = 385)
Commercial Built up Area = 3142.663 Sq. M (No of Units = 85)
Total Built p Area = 54102.407 Sq. M </t>
  </si>
  <si>
    <t>Commercial Shopline (Ground Floor)
A to G Wings</t>
  </si>
  <si>
    <t>Grand Total</t>
  </si>
  <si>
    <r>
      <t xml:space="preserve">                                                                                                                                                                                                                                 </t>
    </r>
    <r>
      <rPr>
        <sz val="12"/>
        <rFont val="Times New Roman"/>
        <family val="1"/>
      </rPr>
      <t xml:space="preserve">   </t>
    </r>
    <r>
      <rPr>
        <b/>
        <sz val="12"/>
        <rFont val="Times New Roman"/>
        <family val="1"/>
      </rPr>
      <t xml:space="preserve">                                               </t>
    </r>
  </si>
  <si>
    <r>
      <t xml:space="preserve">Proposed Amenities :                                                                                                                                                 </t>
    </r>
    <r>
      <rPr>
        <sz val="12"/>
        <rFont val="Times New Roman"/>
        <family val="1"/>
      </rPr>
      <t xml:space="preserve">   </t>
    </r>
    <r>
      <rPr>
        <b/>
        <sz val="12"/>
        <rFont val="Times New Roman"/>
        <family val="1"/>
      </rPr>
      <t xml:space="preserve">                                               </t>
    </r>
  </si>
  <si>
    <t>1.Vitrified tiles flooring 2. Granite Kitchen Platform  3. Decorative Enternace, etc.</t>
  </si>
  <si>
    <t>Violations Observed if any :</t>
  </si>
  <si>
    <t xml:space="preserve">Wheather the construction is as per approved Building plan : </t>
  </si>
  <si>
    <t>Under Construction</t>
  </si>
  <si>
    <t>Seawoods</t>
  </si>
  <si>
    <t>A to F Wings = 1st &amp; 2nd Basement + G + 1st + 2nd to 14th Floor</t>
  </si>
  <si>
    <t>Balcony + Wash Area</t>
  </si>
  <si>
    <t>Mr. Nakul : 9167555720</t>
  </si>
  <si>
    <t>Contact Details ( Name &amp; Contact No.)</t>
  </si>
  <si>
    <t>Shop Rate 33000 by Smith  On 18/03/2025</t>
  </si>
  <si>
    <t>M/s. Moreshwar Developers</t>
  </si>
  <si>
    <t>Pranita Mhatre</t>
  </si>
  <si>
    <t>Mayur Ranvare</t>
  </si>
  <si>
    <t>08 Wings</t>
  </si>
  <si>
    <t>Verbal C1401</t>
  </si>
  <si>
    <t>16300 to 19000</t>
  </si>
  <si>
    <t xml:space="preserve">1. Commercial Shopline (Ground Floor) &amp; A to F Wings = All work Completed. Please provide OC.
 G Wing = Finishing work was in process at the time of visit.(Internal photo was not allowed)
2. We considered  Saleable area as per Builder area sheet.
3. We considered  Saleable area as per our calculation for Wing G.
4. We considered Carpet area as per Approved Plan.
5. We considered Gross carpet area = Net carpet +  Balcony + Servant Room +  Deck + Wash Area.
6. We have considered rate by verifying it from market inquire.
7. Car parking is subjected to authentic documentation.
8. We have not mention details of EWS/LIG building
9. As per RERA : 
Commercial Shopline 
Building 1 = E &amp; F Wing
Building 2 = A, B, C, D Wings
Building 3 = EWS/LIG Building (G + 7th Floor)
10. We have updated Floor Plan for Wing G &amp; CC (on 29/03/2024).
11. Recommended Rates / Other charges of the Property have been revised on 19/04/2024, 20/04/2024, 18/03/2025 &amp; 21/08/2025.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</si>
</sst>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0.000"/>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u/>
      <sz val="11"/>
      <color theme="10"/>
      <name val="Calibri"/>
      <family val="2"/>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applyNumberFormat="0" applyFill="0" applyBorder="0" applyAlignment="0" applyProtection="0"/>
  </cellStyleXfs>
  <cellXfs count="235">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2" fillId="0" borderId="8" xfId="1" applyFont="1" applyBorder="1" applyAlignment="1" applyProtection="1">
      <alignment horizontal="center" vertical="top"/>
      <protection locked="0"/>
    </xf>
    <xf numFmtId="0" fontId="7" fillId="0" borderId="16" xfId="1" applyFont="1" applyBorder="1" applyProtection="1">
      <protection hidden="1"/>
    </xf>
    <xf numFmtId="0" fontId="7" fillId="0" borderId="17" xfId="1" applyFont="1" applyBorder="1" applyProtection="1">
      <protection hidden="1"/>
    </xf>
    <xf numFmtId="0" fontId="7" fillId="0" borderId="17" xfId="1" applyFont="1" applyBorder="1"/>
    <xf numFmtId="1" fontId="8" fillId="0" borderId="0" xfId="1" applyNumberFormat="1" applyFont="1" applyAlignment="1" applyProtection="1">
      <alignment vertical="top"/>
      <protection locked="0"/>
    </xf>
    <xf numFmtId="1" fontId="8" fillId="0" borderId="0" xfId="1" applyNumberFormat="1" applyFont="1" applyAlignment="1" applyProtection="1">
      <alignment vertical="top" wrapText="1"/>
      <protection locked="0"/>
    </xf>
    <xf numFmtId="1" fontId="7" fillId="0" borderId="0" xfId="1" applyNumberFormat="1" applyFont="1" applyProtection="1">
      <protection locked="0"/>
    </xf>
    <xf numFmtId="1" fontId="6" fillId="0" borderId="3" xfId="1" applyNumberFormat="1" applyFont="1" applyBorder="1" applyAlignment="1" applyProtection="1">
      <alignment horizontal="center" vertical="center" wrapText="1"/>
      <protection locked="0"/>
    </xf>
    <xf numFmtId="1" fontId="6" fillId="0" borderId="4" xfId="1"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13" fillId="2" borderId="1" xfId="1" applyFont="1" applyFill="1" applyBorder="1" applyAlignment="1" applyProtection="1">
      <alignment horizontal="left" vertical="top"/>
      <protection locked="0"/>
    </xf>
    <xf numFmtId="1" fontId="6" fillId="0" borderId="5"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31" xfId="1" applyNumberFormat="1" applyFont="1" applyBorder="1" applyAlignment="1" applyProtection="1">
      <alignment horizontal="center" vertical="center" wrapText="1"/>
      <protection locked="0"/>
    </xf>
    <xf numFmtId="1" fontId="6" fillId="0" borderId="32"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top" wrapText="1"/>
      <protection locked="0"/>
    </xf>
    <xf numFmtId="1" fontId="6" fillId="0" borderId="6" xfId="1" applyNumberFormat="1" applyFont="1" applyBorder="1" applyAlignment="1" applyProtection="1">
      <alignment horizontal="center" vertical="top" wrapText="1"/>
      <protection locked="0"/>
    </xf>
    <xf numFmtId="1" fontId="6" fillId="0" borderId="10" xfId="1" applyNumberFormat="1" applyFont="1" applyBorder="1" applyAlignment="1" applyProtection="1">
      <alignment horizontal="center" vertical="top" wrapText="1"/>
      <protection locked="0"/>
    </xf>
    <xf numFmtId="1" fontId="6" fillId="0" borderId="11" xfId="1" applyNumberFormat="1" applyFont="1" applyBorder="1" applyAlignment="1" applyProtection="1">
      <alignment horizontal="center" vertical="top" wrapText="1"/>
      <protection locked="0"/>
    </xf>
    <xf numFmtId="1" fontId="6" fillId="0" borderId="31" xfId="1" applyNumberFormat="1" applyFont="1" applyBorder="1" applyAlignment="1" applyProtection="1">
      <alignment horizontal="center" vertical="top" wrapText="1"/>
      <protection locked="0"/>
    </xf>
    <xf numFmtId="1" fontId="6" fillId="0" borderId="3" xfId="1" applyNumberFormat="1" applyFont="1" applyBorder="1" applyAlignment="1" applyProtection="1">
      <alignment horizontal="center" vertical="top" wrapText="1"/>
      <protection locked="0"/>
    </xf>
    <xf numFmtId="1" fontId="6" fillId="0" borderId="32" xfId="1" applyNumberFormat="1" applyFont="1" applyBorder="1" applyAlignment="1" applyProtection="1">
      <alignment horizontal="center" vertical="top" wrapText="1"/>
      <protection locked="0"/>
    </xf>
    <xf numFmtId="1" fontId="6" fillId="0" borderId="4" xfId="1" applyNumberFormat="1" applyFont="1" applyBorder="1" applyAlignment="1" applyProtection="1">
      <alignment horizontal="center" vertical="top" wrapText="1"/>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1" fontId="6" fillId="0" borderId="34" xfId="1" applyNumberFormat="1" applyFont="1" applyBorder="1" applyAlignment="1" applyProtection="1">
      <alignment horizontal="center" vertical="center" wrapText="1"/>
      <protection locked="0"/>
    </xf>
    <xf numFmtId="14" fontId="0" fillId="0" borderId="0" xfId="0" applyNumberFormat="1"/>
    <xf numFmtId="0" fontId="5" fillId="0" borderId="0" xfId="4"/>
    <xf numFmtId="0" fontId="1" fillId="0" borderId="0" xfId="5"/>
    <xf numFmtId="0" fontId="9" fillId="0" borderId="1" xfId="5" applyFont="1" applyBorder="1" applyAlignment="1">
      <alignment horizontal="center" vertical="top" wrapText="1"/>
    </xf>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9" fillId="0" borderId="0" xfId="4" applyFont="1"/>
    <xf numFmtId="0" fontId="17" fillId="0" borderId="0" xfId="0" applyFont="1" applyProtection="1">
      <protection hidden="1"/>
    </xf>
    <xf numFmtId="0" fontId="7" fillId="0" borderId="15" xfId="1" applyFont="1" applyBorder="1" applyProtection="1">
      <protection hidden="1"/>
    </xf>
    <xf numFmtId="0" fontId="17" fillId="0" borderId="17" xfId="0" applyFont="1" applyBorder="1" applyProtection="1">
      <protection hidden="1"/>
    </xf>
    <xf numFmtId="1" fontId="0" fillId="0" borderId="17" xfId="0" applyNumberFormat="1" applyBorder="1"/>
    <xf numFmtId="2" fontId="0" fillId="0" borderId="0" xfId="0" applyNumberFormat="1"/>
    <xf numFmtId="164" fontId="0" fillId="0" borderId="0" xfId="0" applyNumberFormat="1"/>
    <xf numFmtId="2" fontId="17" fillId="0" borderId="0" xfId="0" applyNumberFormat="1" applyFont="1" applyProtection="1">
      <protection hidden="1"/>
    </xf>
    <xf numFmtId="1" fontId="0" fillId="0" borderId="17" xfId="0" applyNumberFormat="1" applyBorder="1" applyAlignment="1">
      <alignment horizontal="right"/>
    </xf>
    <xf numFmtId="0" fontId="17" fillId="0" borderId="18" xfId="0" applyFont="1" applyBorder="1" applyProtection="1">
      <protection hidden="1"/>
    </xf>
    <xf numFmtId="1" fontId="0" fillId="0" borderId="19" xfId="0" applyNumberFormat="1" applyBorder="1"/>
    <xf numFmtId="0" fontId="12" fillId="0" borderId="1" xfId="1" applyFont="1" applyBorder="1" applyAlignment="1" applyProtection="1">
      <alignment horizontal="center"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11" xfId="1" applyNumberFormat="1" applyFont="1" applyFill="1" applyBorder="1" applyAlignment="1" applyProtection="1">
      <alignment horizontal="center" vertical="center" wrapText="1"/>
      <protection hidden="1"/>
    </xf>
    <xf numFmtId="0" fontId="12" fillId="0" borderId="11" xfId="1" applyFont="1" applyBorder="1" applyAlignment="1" applyProtection="1">
      <alignment horizontal="center" wrapText="1"/>
      <protection locked="0"/>
    </xf>
    <xf numFmtId="14" fontId="7" fillId="0" borderId="0" xfId="1" applyNumberFormat="1" applyFont="1"/>
    <xf numFmtId="1" fontId="7" fillId="0" borderId="0" xfId="0" applyNumberFormat="1" applyFont="1" applyAlignment="1">
      <alignment horizontal="center" vertical="center"/>
    </xf>
    <xf numFmtId="1" fontId="7" fillId="0" borderId="0" xfId="1" applyNumberFormat="1" applyFont="1" applyAlignment="1">
      <alignment horizontal="center" vertical="center"/>
    </xf>
    <xf numFmtId="167" fontId="7" fillId="0" borderId="0" xfId="1" applyNumberFormat="1" applyFont="1" applyAlignment="1">
      <alignment horizontal="center" vertical="center"/>
    </xf>
    <xf numFmtId="1" fontId="8" fillId="0" borderId="3" xfId="1" applyNumberFormat="1" applyFont="1" applyBorder="1" applyAlignment="1" applyProtection="1">
      <alignment horizontal="center" vertical="top" wrapText="1"/>
      <protection locked="0"/>
    </xf>
    <xf numFmtId="9" fontId="8" fillId="0" borderId="4"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2" fontId="7" fillId="0" borderId="0" xfId="1" applyNumberFormat="1" applyFont="1" applyAlignment="1">
      <alignment horizontal="center" vertical="center"/>
    </xf>
    <xf numFmtId="2" fontId="15" fillId="0" borderId="0" xfId="1" applyNumberFormat="1" applyFont="1" applyAlignment="1">
      <alignment horizontal="center" vertical="center"/>
    </xf>
    <xf numFmtId="0" fontId="21" fillId="0" borderId="1" xfId="1" applyFont="1" applyBorder="1" applyAlignment="1" applyProtection="1">
      <alignment horizontal="center" vertical="top" wrapText="1"/>
      <protection locked="0"/>
    </xf>
    <xf numFmtId="0" fontId="7" fillId="0" borderId="0" xfId="1" applyFont="1" applyAlignment="1" applyProtection="1">
      <alignment horizontal="center" vertical="center"/>
      <protection hidden="1"/>
    </xf>
    <xf numFmtId="0" fontId="7" fillId="0" borderId="17" xfId="1" applyFont="1" applyBorder="1" applyAlignment="1" applyProtection="1">
      <alignment horizontal="center" vertical="center"/>
      <protection hidden="1"/>
    </xf>
    <xf numFmtId="0" fontId="0" fillId="0" borderId="0" xfId="0" applyAlignment="1">
      <alignment horizontal="center" vertical="center"/>
    </xf>
    <xf numFmtId="0" fontId="12" fillId="0" borderId="4" xfId="1" applyFont="1" applyBorder="1" applyAlignment="1" applyProtection="1">
      <alignment horizontal="center" vertical="top" wrapText="1"/>
      <protection locked="0"/>
    </xf>
    <xf numFmtId="0" fontId="21" fillId="0" borderId="4" xfId="1" applyFont="1" applyBorder="1" applyAlignment="1" applyProtection="1">
      <alignment horizontal="center" vertical="top" wrapText="1"/>
      <protection locked="0"/>
    </xf>
    <xf numFmtId="0" fontId="7" fillId="0" borderId="44" xfId="1" applyFont="1" applyBorder="1" applyAlignment="1">
      <alignment horizontal="center"/>
    </xf>
    <xf numFmtId="0" fontId="7" fillId="0" borderId="0" xfId="1" applyFont="1" applyAlignment="1">
      <alignment horizontal="center"/>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0" xfId="1" applyFont="1" applyBorder="1" applyAlignment="1" applyProtection="1">
      <alignment horizontal="center" vertical="top" wrapText="1"/>
      <protection locked="0"/>
    </xf>
    <xf numFmtId="0" fontId="12" fillId="0" borderId="11" xfId="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wrapText="1"/>
      <protection locked="0"/>
    </xf>
    <xf numFmtId="14"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4" fontId="12" fillId="2" borderId="1" xfId="1" applyNumberFormat="1" applyFont="1" applyFill="1" applyBorder="1" applyAlignment="1" applyProtection="1">
      <alignment horizontal="left" vertical="top"/>
      <protection locked="0"/>
    </xf>
    <xf numFmtId="0" fontId="12" fillId="2" borderId="13" xfId="1" applyFont="1" applyFill="1" applyBorder="1" applyAlignment="1" applyProtection="1">
      <alignment horizontal="left" vertical="top" wrapText="1"/>
      <protection locked="0"/>
    </xf>
    <xf numFmtId="0" fontId="12" fillId="2" borderId="20" xfId="1" applyFont="1" applyFill="1" applyBorder="1" applyAlignment="1" applyProtection="1">
      <alignment horizontal="left" vertical="top" wrapText="1"/>
      <protection locked="0"/>
    </xf>
    <xf numFmtId="0" fontId="12" fillId="2" borderId="14" xfId="1" applyFont="1" applyFill="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36"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11"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9" fontId="12" fillId="2" borderId="12" xfId="1" applyNumberFormat="1" applyFont="1" applyFill="1" applyBorder="1" applyAlignment="1" applyProtection="1">
      <alignment horizontal="center" vertical="center" wrapText="1"/>
      <protection hidden="1"/>
    </xf>
    <xf numFmtId="0" fontId="12" fillId="0" borderId="32"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3" fillId="0" borderId="38" xfId="1" applyFont="1" applyBorder="1" applyAlignment="1" applyProtection="1">
      <alignment horizontal="center" vertical="center"/>
      <protection locked="0"/>
    </xf>
    <xf numFmtId="0" fontId="13" fillId="0" borderId="23" xfId="1" applyFont="1" applyBorder="1" applyAlignment="1" applyProtection="1">
      <alignment horizontal="center" vertical="center"/>
      <protection locked="0"/>
    </xf>
    <xf numFmtId="0" fontId="13" fillId="0" borderId="41"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9" fontId="13" fillId="0" borderId="21" xfId="1" applyNumberFormat="1" applyFont="1" applyBorder="1" applyAlignment="1" applyProtection="1">
      <alignment horizontal="center" vertical="center" wrapText="1"/>
      <protection locked="0"/>
    </xf>
    <xf numFmtId="0" fontId="13" fillId="0" borderId="23" xfId="1" applyFont="1" applyBorder="1" applyAlignment="1" applyProtection="1">
      <alignment horizontal="center" vertical="center" wrapText="1"/>
      <protection locked="0"/>
    </xf>
    <xf numFmtId="0" fontId="13" fillId="0" borderId="43" xfId="1" applyFont="1" applyBorder="1" applyAlignment="1" applyProtection="1">
      <alignment horizontal="center" vertical="center" wrapText="1"/>
      <protection locked="0"/>
    </xf>
    <xf numFmtId="0" fontId="13" fillId="0" borderId="42" xfId="1" applyFont="1" applyBorder="1" applyAlignment="1" applyProtection="1">
      <alignment horizontal="center" vertical="center" wrapText="1"/>
      <protection locked="0"/>
    </xf>
    <xf numFmtId="0" fontId="13" fillId="0" borderId="21" xfId="1" applyFont="1" applyBorder="1" applyAlignment="1" applyProtection="1">
      <alignment horizontal="center" vertical="center" wrapText="1"/>
      <protection locked="0"/>
    </xf>
    <xf numFmtId="0" fontId="13" fillId="0" borderId="39" xfId="1" applyFont="1" applyBorder="1" applyAlignment="1" applyProtection="1">
      <alignment horizontal="center" vertical="center" wrapText="1"/>
      <protection locked="0"/>
    </xf>
    <xf numFmtId="0" fontId="13" fillId="0" borderId="19" xfId="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30"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3"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2" fillId="0" borderId="9" xfId="1" applyFont="1" applyBorder="1" applyAlignment="1" applyProtection="1">
      <alignment horizontal="center" vertical="top" wrapText="1"/>
      <protection locked="0"/>
    </xf>
    <xf numFmtId="1" fontId="8" fillId="0" borderId="27" xfId="1" applyNumberFormat="1" applyFont="1" applyBorder="1" applyAlignment="1" applyProtection="1">
      <alignment horizontal="center" vertical="center" wrapText="1"/>
      <protection locked="0"/>
    </xf>
    <xf numFmtId="1" fontId="8" fillId="0" borderId="2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20" fillId="0" borderId="13" xfId="7" applyBorder="1" applyAlignment="1" applyProtection="1">
      <alignment horizontal="left"/>
      <protection locked="0"/>
    </xf>
    <xf numFmtId="0" fontId="7" fillId="0" borderId="20" xfId="1" applyFont="1" applyBorder="1" applyAlignment="1" applyProtection="1">
      <alignment horizontal="left"/>
      <protection locked="0"/>
    </xf>
    <xf numFmtId="0" fontId="7" fillId="0" borderId="14" xfId="1" applyFont="1" applyBorder="1" applyAlignment="1" applyProtection="1">
      <alignment horizontal="left"/>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2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30"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top" wrapText="1"/>
      <protection locked="0"/>
    </xf>
    <xf numFmtId="1" fontId="6" fillId="0" borderId="2" xfId="1" applyNumberFormat="1" applyFont="1" applyBorder="1" applyAlignment="1" applyProtection="1">
      <alignment horizontal="center" vertical="top" wrapText="1"/>
      <protection locked="0"/>
    </xf>
    <xf numFmtId="1" fontId="6" fillId="0" borderId="3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3"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3" fontId="12" fillId="2" borderId="1" xfId="1" applyNumberFormat="1" applyFont="1" applyFill="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2" fillId="0" borderId="40" xfId="1" applyFont="1" applyBorder="1" applyAlignment="1" applyProtection="1">
      <alignment horizontal="center"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3" xfId="0" applyNumberFormat="1" applyFont="1" applyBorder="1" applyAlignment="1" applyProtection="1">
      <alignment horizontal="center" vertical="top" wrapText="1"/>
      <protection locked="0"/>
    </xf>
    <xf numFmtId="1" fontId="6" fillId="0" borderId="20" xfId="0" applyNumberFormat="1" applyFont="1" applyBorder="1" applyAlignment="1" applyProtection="1">
      <alignment horizontal="center" vertical="top" wrapText="1"/>
      <protection locked="0"/>
    </xf>
    <xf numFmtId="1" fontId="6" fillId="0" borderId="14"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6" fillId="0" borderId="13" xfId="1" applyNumberFormat="1" applyFont="1" applyBorder="1" applyAlignment="1" applyProtection="1">
      <alignment horizontal="left" vertical="top"/>
      <protection locked="0"/>
    </xf>
    <xf numFmtId="14" fontId="6" fillId="0" borderId="20" xfId="1" applyNumberFormat="1" applyFont="1" applyBorder="1" applyAlignment="1" applyProtection="1">
      <alignment horizontal="left" vertical="top"/>
      <protection locked="0"/>
    </xf>
    <xf numFmtId="14" fontId="6" fillId="0" borderId="14" xfId="1" applyNumberFormat="1" applyFont="1" applyBorder="1" applyAlignment="1" applyProtection="1">
      <alignment horizontal="left" vertical="top"/>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6" fillId="2" borderId="1" xfId="1" applyFont="1" applyFill="1" applyBorder="1" applyAlignment="1" applyProtection="1">
      <alignment horizontal="left" vertical="top" wrapText="1"/>
      <protection locked="0"/>
    </xf>
    <xf numFmtId="1" fontId="8" fillId="0" borderId="4"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10" fillId="0" borderId="28" xfId="1" applyFont="1" applyBorder="1" applyAlignment="1">
      <alignment horizontal="center" vertical="center"/>
    </xf>
    <xf numFmtId="0" fontId="10" fillId="0" borderId="29" xfId="1" applyFont="1" applyBorder="1" applyAlignment="1">
      <alignment horizontal="center" vertical="center"/>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3" xfId="1" applyNumberFormat="1" applyFont="1" applyBorder="1" applyAlignment="1" applyProtection="1">
      <alignment horizontal="center" vertical="top" wrapText="1"/>
      <protection locked="0"/>
    </xf>
    <xf numFmtId="1" fontId="6" fillId="0" borderId="20" xfId="1" applyNumberFormat="1" applyFont="1" applyBorder="1" applyAlignment="1" applyProtection="1">
      <alignment horizontal="center" vertical="top" wrapText="1"/>
      <protection locked="0"/>
    </xf>
    <xf numFmtId="1" fontId="6" fillId="0" borderId="14" xfId="1" applyNumberFormat="1" applyFont="1" applyBorder="1" applyAlignment="1" applyProtection="1">
      <alignment horizontal="center" vertical="top" wrapText="1"/>
      <protection locked="0"/>
    </xf>
    <xf numFmtId="0" fontId="10" fillId="0" borderId="13" xfId="1" applyFont="1" applyBorder="1" applyAlignment="1" applyProtection="1">
      <alignment horizontal="left"/>
      <protection locked="0"/>
    </xf>
    <xf numFmtId="0" fontId="10" fillId="0" borderId="20" xfId="1" applyFont="1" applyBorder="1" applyAlignment="1" applyProtection="1">
      <alignment horizontal="left"/>
      <protection locked="0"/>
    </xf>
    <xf numFmtId="0" fontId="10" fillId="0" borderId="14" xfId="1" applyFont="1" applyBorder="1" applyAlignment="1" applyProtection="1">
      <alignment horizontal="left"/>
      <protection locked="0"/>
    </xf>
    <xf numFmtId="1" fontId="8" fillId="0" borderId="4" xfId="1" applyNumberFormat="1" applyFont="1" applyBorder="1" applyAlignment="1" applyProtection="1">
      <alignment horizontal="center" vertical="center" wrapText="1"/>
      <protection locked="0"/>
    </xf>
    <xf numFmtId="1" fontId="6" fillId="0" borderId="37"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4"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6" fillId="0" borderId="22"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33"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3" borderId="1" xfId="0" applyFill="1" applyBorder="1" applyAlignment="1">
      <alignment horizontal="center" wrapText="1"/>
    </xf>
    <xf numFmtId="0" fontId="9" fillId="0" borderId="1" xfId="0" applyFont="1" applyBorder="1" applyAlignment="1">
      <alignment horizontal="center"/>
    </xf>
  </cellXfs>
  <cellStyles count="8">
    <cellStyle name="Comma 2" xfId="6" xr:uid="{00000000-0005-0000-0000-000000000000}"/>
    <cellStyle name="Excel Built-in Normal" xfId="2" xr:uid="{00000000-0005-0000-0000-000001000000}"/>
    <cellStyle name="Excel Built-in Normal 2" xfId="4" xr:uid="{00000000-0005-0000-0000-000002000000}"/>
    <cellStyle name="Hyperlink" xfId="7" builtinId="8"/>
    <cellStyle name="Normal" xfId="0" builtinId="0"/>
    <cellStyle name="Normal 2" xfId="3" xr:uid="{00000000-0005-0000-0000-000005000000}"/>
    <cellStyle name="Normal 3" xfId="1" xr:uid="{00000000-0005-0000-0000-000006000000}"/>
    <cellStyle name="Normal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7.jpg"/><Relationship Id="rId1" Type="http://schemas.openxmlformats.org/officeDocument/2006/relationships/image" Target="../media/image26.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10</xdr:col>
      <xdr:colOff>356386</xdr:colOff>
      <xdr:row>598</xdr:row>
      <xdr:rowOff>0</xdr:rowOff>
    </xdr:from>
    <xdr:to>
      <xdr:col>15</xdr:col>
      <xdr:colOff>524620</xdr:colOff>
      <xdr:row>599</xdr:row>
      <xdr:rowOff>160276</xdr:rowOff>
    </xdr:to>
    <xdr:sp macro="" textlink="">
      <xdr:nvSpPr>
        <xdr:cNvPr id="20" name="TextBox 3140">
          <a:extLst>
            <a:ext uri="{FF2B5EF4-FFF2-40B4-BE49-F238E27FC236}">
              <a16:creationId xmlns:a16="http://schemas.microsoft.com/office/drawing/2014/main" id="{F3256F4C-ABC7-DB39-CBEF-492860B31EEB}"/>
            </a:ext>
          </a:extLst>
        </xdr:cNvPr>
        <xdr:cNvSpPr txBox="1"/>
      </xdr:nvSpPr>
      <xdr:spPr>
        <a:xfrm>
          <a:off x="8902909" y="123244841"/>
          <a:ext cx="3198916" cy="35943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13</xdr:col>
      <xdr:colOff>66823</xdr:colOff>
      <xdr:row>598</xdr:row>
      <xdr:rowOff>0</xdr:rowOff>
    </xdr:from>
    <xdr:to>
      <xdr:col>15</xdr:col>
      <xdr:colOff>185986</xdr:colOff>
      <xdr:row>599</xdr:row>
      <xdr:rowOff>160276</xdr:rowOff>
    </xdr:to>
    <xdr:sp macro="" textlink="">
      <xdr:nvSpPr>
        <xdr:cNvPr id="21" name="TextBox 3144">
          <a:extLst>
            <a:ext uri="{FF2B5EF4-FFF2-40B4-BE49-F238E27FC236}">
              <a16:creationId xmlns:a16="http://schemas.microsoft.com/office/drawing/2014/main" id="{343A1640-B023-EBA5-DFD4-743303A68B21}"/>
            </a:ext>
          </a:extLst>
        </xdr:cNvPr>
        <xdr:cNvSpPr txBox="1"/>
      </xdr:nvSpPr>
      <xdr:spPr>
        <a:xfrm>
          <a:off x="10431755" y="123244841"/>
          <a:ext cx="1331436" cy="35943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9</xdr:col>
      <xdr:colOff>503654</xdr:colOff>
      <xdr:row>611</xdr:row>
      <xdr:rowOff>68810</xdr:rowOff>
    </xdr:from>
    <xdr:to>
      <xdr:col>14</xdr:col>
      <xdr:colOff>94446</xdr:colOff>
      <xdr:row>613</xdr:row>
      <xdr:rowOff>29928</xdr:rowOff>
    </xdr:to>
    <xdr:sp macro="" textlink="">
      <xdr:nvSpPr>
        <xdr:cNvPr id="23" name="TextBox 3152">
          <a:extLst>
            <a:ext uri="{FF2B5EF4-FFF2-40B4-BE49-F238E27FC236}">
              <a16:creationId xmlns:a16="http://schemas.microsoft.com/office/drawing/2014/main" id="{9C7989A2-102F-A4E5-3BFB-C83ED77C504A}"/>
            </a:ext>
          </a:extLst>
        </xdr:cNvPr>
        <xdr:cNvSpPr txBox="1"/>
      </xdr:nvSpPr>
      <xdr:spPr>
        <a:xfrm>
          <a:off x="8392086" y="125894060"/>
          <a:ext cx="2673428" cy="359436"/>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E Wing </a:t>
          </a:r>
        </a:p>
      </xdr:txBody>
    </xdr:sp>
    <xdr:clientData/>
  </xdr:twoCellAnchor>
  <xdr:twoCellAnchor>
    <xdr:from>
      <xdr:col>12</xdr:col>
      <xdr:colOff>588360</xdr:colOff>
      <xdr:row>611</xdr:row>
      <xdr:rowOff>87732</xdr:rowOff>
    </xdr:from>
    <xdr:to>
      <xdr:col>18</xdr:col>
      <xdr:colOff>216019</xdr:colOff>
      <xdr:row>613</xdr:row>
      <xdr:rowOff>48850</xdr:rowOff>
    </xdr:to>
    <xdr:sp macro="" textlink="">
      <xdr:nvSpPr>
        <xdr:cNvPr id="24" name="TextBox 3156">
          <a:extLst>
            <a:ext uri="{FF2B5EF4-FFF2-40B4-BE49-F238E27FC236}">
              <a16:creationId xmlns:a16="http://schemas.microsoft.com/office/drawing/2014/main" id="{3B768989-3B51-1712-2113-BAAAE7879456}"/>
            </a:ext>
          </a:extLst>
        </xdr:cNvPr>
        <xdr:cNvSpPr txBox="1"/>
      </xdr:nvSpPr>
      <xdr:spPr>
        <a:xfrm>
          <a:off x="10347155" y="125912982"/>
          <a:ext cx="3264478" cy="359436"/>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F Wing </a:t>
          </a:r>
        </a:p>
      </xdr:txBody>
    </xdr:sp>
    <xdr:clientData/>
  </xdr:twoCellAnchor>
  <xdr:twoCellAnchor>
    <xdr:from>
      <xdr:col>15</xdr:col>
      <xdr:colOff>456572</xdr:colOff>
      <xdr:row>598</xdr:row>
      <xdr:rowOff>46758</xdr:rowOff>
    </xdr:from>
    <xdr:to>
      <xdr:col>16</xdr:col>
      <xdr:colOff>188140</xdr:colOff>
      <xdr:row>600</xdr:row>
      <xdr:rowOff>22580</xdr:rowOff>
    </xdr:to>
    <xdr:sp macro="" textlink="">
      <xdr:nvSpPr>
        <xdr:cNvPr id="43" name="TextBox 3136">
          <a:extLst>
            <a:ext uri="{FF2B5EF4-FFF2-40B4-BE49-F238E27FC236}">
              <a16:creationId xmlns:a16="http://schemas.microsoft.com/office/drawing/2014/main" id="{02041BF8-275B-50B7-183B-78FFA0482405}"/>
            </a:ext>
          </a:extLst>
        </xdr:cNvPr>
        <xdr:cNvSpPr txBox="1"/>
      </xdr:nvSpPr>
      <xdr:spPr>
        <a:xfrm>
          <a:off x="12215617" y="123239644"/>
          <a:ext cx="337705" cy="374141"/>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ysClr val="windowText" lastClr="000000"/>
              </a:solidFill>
            </a:rPr>
            <a:t>F  </a:t>
          </a:r>
        </a:p>
      </xdr:txBody>
    </xdr:sp>
    <xdr:clientData/>
  </xdr:twoCellAnchor>
  <xdr:twoCellAnchor>
    <xdr:from>
      <xdr:col>8</xdr:col>
      <xdr:colOff>51954</xdr:colOff>
      <xdr:row>601</xdr:row>
      <xdr:rowOff>34634</xdr:rowOff>
    </xdr:from>
    <xdr:to>
      <xdr:col>8</xdr:col>
      <xdr:colOff>389659</xdr:colOff>
      <xdr:row>603</xdr:row>
      <xdr:rowOff>19116</xdr:rowOff>
    </xdr:to>
    <xdr:sp macro="" textlink="">
      <xdr:nvSpPr>
        <xdr:cNvPr id="53" name="TextBox 3136">
          <a:extLst>
            <a:ext uri="{FF2B5EF4-FFF2-40B4-BE49-F238E27FC236}">
              <a16:creationId xmlns:a16="http://schemas.microsoft.com/office/drawing/2014/main" id="{02041BF8-275B-50B7-183B-78FFA0482405}"/>
            </a:ext>
          </a:extLst>
        </xdr:cNvPr>
        <xdr:cNvSpPr txBox="1"/>
      </xdr:nvSpPr>
      <xdr:spPr>
        <a:xfrm>
          <a:off x="6580909" y="123824998"/>
          <a:ext cx="337705"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A  </a:t>
          </a:r>
        </a:p>
      </xdr:txBody>
    </xdr:sp>
    <xdr:clientData/>
  </xdr:twoCellAnchor>
  <xdr:twoCellAnchor>
    <xdr:from>
      <xdr:col>9</xdr:col>
      <xdr:colOff>333475</xdr:colOff>
      <xdr:row>601</xdr:row>
      <xdr:rowOff>34634</xdr:rowOff>
    </xdr:from>
    <xdr:to>
      <xdr:col>10</xdr:col>
      <xdr:colOff>7893</xdr:colOff>
      <xdr:row>603</xdr:row>
      <xdr:rowOff>19116</xdr:rowOff>
    </xdr:to>
    <xdr:sp macro="" textlink="">
      <xdr:nvSpPr>
        <xdr:cNvPr id="54" name="TextBox 3136">
          <a:extLst>
            <a:ext uri="{FF2B5EF4-FFF2-40B4-BE49-F238E27FC236}">
              <a16:creationId xmlns:a16="http://schemas.microsoft.com/office/drawing/2014/main" id="{02041BF8-275B-50B7-183B-78FFA0482405}"/>
            </a:ext>
          </a:extLst>
        </xdr:cNvPr>
        <xdr:cNvSpPr txBox="1"/>
      </xdr:nvSpPr>
      <xdr:spPr>
        <a:xfrm>
          <a:off x="8221907" y="123824998"/>
          <a:ext cx="332509"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B  </a:t>
          </a:r>
        </a:p>
      </xdr:txBody>
    </xdr:sp>
    <xdr:clientData/>
  </xdr:twoCellAnchor>
  <xdr:twoCellAnchor>
    <xdr:from>
      <xdr:col>11</xdr:col>
      <xdr:colOff>528405</xdr:colOff>
      <xdr:row>601</xdr:row>
      <xdr:rowOff>34634</xdr:rowOff>
    </xdr:from>
    <xdr:to>
      <xdr:col>12</xdr:col>
      <xdr:colOff>259974</xdr:colOff>
      <xdr:row>603</xdr:row>
      <xdr:rowOff>19116</xdr:rowOff>
    </xdr:to>
    <xdr:sp macro="" textlink="">
      <xdr:nvSpPr>
        <xdr:cNvPr id="55" name="TextBox 3136">
          <a:extLst>
            <a:ext uri="{FF2B5EF4-FFF2-40B4-BE49-F238E27FC236}">
              <a16:creationId xmlns:a16="http://schemas.microsoft.com/office/drawing/2014/main" id="{02041BF8-275B-50B7-183B-78FFA0482405}"/>
            </a:ext>
          </a:extLst>
        </xdr:cNvPr>
        <xdr:cNvSpPr txBox="1"/>
      </xdr:nvSpPr>
      <xdr:spPr>
        <a:xfrm>
          <a:off x="9862905" y="123824998"/>
          <a:ext cx="337705"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C  </a:t>
          </a:r>
        </a:p>
      </xdr:txBody>
    </xdr:sp>
    <xdr:clientData/>
  </xdr:twoCellAnchor>
  <xdr:twoCellAnchor>
    <xdr:from>
      <xdr:col>14</xdr:col>
      <xdr:colOff>350994</xdr:colOff>
      <xdr:row>601</xdr:row>
      <xdr:rowOff>34634</xdr:rowOff>
    </xdr:from>
    <xdr:to>
      <xdr:col>15</xdr:col>
      <xdr:colOff>86026</xdr:colOff>
      <xdr:row>603</xdr:row>
      <xdr:rowOff>19116</xdr:rowOff>
    </xdr:to>
    <xdr:sp macro="" textlink="">
      <xdr:nvSpPr>
        <xdr:cNvPr id="56" name="TextBox 3136">
          <a:extLst>
            <a:ext uri="{FF2B5EF4-FFF2-40B4-BE49-F238E27FC236}">
              <a16:creationId xmlns:a16="http://schemas.microsoft.com/office/drawing/2014/main" id="{02041BF8-275B-50B7-183B-78FFA0482405}"/>
            </a:ext>
          </a:extLst>
        </xdr:cNvPr>
        <xdr:cNvSpPr txBox="1"/>
      </xdr:nvSpPr>
      <xdr:spPr>
        <a:xfrm>
          <a:off x="11503903" y="123824998"/>
          <a:ext cx="341168" cy="374141"/>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ysClr val="windowText" lastClr="000000"/>
              </a:solidFill>
            </a:rPr>
            <a:t>D  </a:t>
          </a:r>
        </a:p>
      </xdr:txBody>
    </xdr:sp>
    <xdr:clientData/>
  </xdr:twoCellAnchor>
  <xdr:twoCellAnchor>
    <xdr:from>
      <xdr:col>8</xdr:col>
      <xdr:colOff>0</xdr:colOff>
      <xdr:row>597</xdr:row>
      <xdr:rowOff>0</xdr:rowOff>
    </xdr:from>
    <xdr:to>
      <xdr:col>8</xdr:col>
      <xdr:colOff>337705</xdr:colOff>
      <xdr:row>598</xdr:row>
      <xdr:rowOff>174982</xdr:rowOff>
    </xdr:to>
    <xdr:sp macro="" textlink="">
      <xdr:nvSpPr>
        <xdr:cNvPr id="30" name="TextBox 3136">
          <a:extLst>
            <a:ext uri="{FF2B5EF4-FFF2-40B4-BE49-F238E27FC236}">
              <a16:creationId xmlns:a16="http://schemas.microsoft.com/office/drawing/2014/main" id="{02041BF8-275B-50B7-183B-78FFA0482405}"/>
            </a:ext>
          </a:extLst>
        </xdr:cNvPr>
        <xdr:cNvSpPr txBox="1"/>
      </xdr:nvSpPr>
      <xdr:spPr>
        <a:xfrm>
          <a:off x="6528955" y="123184227"/>
          <a:ext cx="337705"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A  </a:t>
          </a:r>
        </a:p>
      </xdr:txBody>
    </xdr:sp>
    <xdr:clientData/>
  </xdr:twoCellAnchor>
  <xdr:twoCellAnchor>
    <xdr:from>
      <xdr:col>0</xdr:col>
      <xdr:colOff>381000</xdr:colOff>
      <xdr:row>643</xdr:row>
      <xdr:rowOff>19050</xdr:rowOff>
    </xdr:from>
    <xdr:to>
      <xdr:col>7</xdr:col>
      <xdr:colOff>435525</xdr:colOff>
      <xdr:row>680</xdr:row>
      <xdr:rowOff>91607</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381000" y="133750050"/>
          <a:ext cx="5788575" cy="7473482"/>
          <a:chOff x="555812" y="286870"/>
          <a:chExt cx="5760000" cy="7473482"/>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55812" y="286870"/>
            <a:ext cx="5760000" cy="3135879"/>
          </a:xfrm>
          <a:prstGeom prst="rect">
            <a:avLst/>
          </a:prstGeom>
          <a:ln>
            <a:solidFill>
              <a:schemeClr val="tx1"/>
            </a:solidFill>
          </a:ln>
        </xdr:spPr>
      </xdr:pic>
      <xdr:grpSp>
        <xdr:nvGrpSpPr>
          <xdr:cNvPr id="46" name="Group 45">
            <a:extLst>
              <a:ext uri="{FF2B5EF4-FFF2-40B4-BE49-F238E27FC236}">
                <a16:creationId xmlns:a16="http://schemas.microsoft.com/office/drawing/2014/main" id="{00000000-0008-0000-0000-00002E000000}"/>
              </a:ext>
            </a:extLst>
          </xdr:cNvPr>
          <xdr:cNvGrpSpPr/>
        </xdr:nvGrpSpPr>
        <xdr:grpSpPr>
          <a:xfrm>
            <a:off x="555812" y="3603812"/>
            <a:ext cx="5760000" cy="4156540"/>
            <a:chOff x="555812" y="3603812"/>
            <a:chExt cx="5760000" cy="4156540"/>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55812" y="3603812"/>
              <a:ext cx="5760000" cy="4156540"/>
            </a:xfrm>
            <a:prstGeom prst="rect">
              <a:avLst/>
            </a:prstGeom>
            <a:ln>
              <a:solidFill>
                <a:schemeClr val="tx1"/>
              </a:solidFill>
            </a:ln>
          </xdr:spPr>
        </xdr:pic>
        <xdr:sp macro="" textlink="">
          <xdr:nvSpPr>
            <xdr:cNvPr id="48" name="Isosceles Triangle 47">
              <a:extLst>
                <a:ext uri="{FF2B5EF4-FFF2-40B4-BE49-F238E27FC236}">
                  <a16:creationId xmlns:a16="http://schemas.microsoft.com/office/drawing/2014/main" id="{00000000-0008-0000-0000-000030000000}"/>
                </a:ext>
              </a:extLst>
            </xdr:cNvPr>
            <xdr:cNvSpPr/>
          </xdr:nvSpPr>
          <xdr:spPr>
            <a:xfrm rot="2319588">
              <a:off x="1503465" y="4381451"/>
              <a:ext cx="4193583" cy="2002075"/>
            </a:xfrm>
            <a:prstGeom prst="triangle">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641372</xdr:colOff>
      <xdr:row>598</xdr:row>
      <xdr:rowOff>178547</xdr:rowOff>
    </xdr:from>
    <xdr:to>
      <xdr:col>8</xdr:col>
      <xdr:colOff>1391939</xdr:colOff>
      <xdr:row>600</xdr:row>
      <xdr:rowOff>102347</xdr:rowOff>
    </xdr:to>
    <xdr:sp macro="" textlink="">
      <xdr:nvSpPr>
        <xdr:cNvPr id="68" name="TextBox 3136">
          <a:extLst>
            <a:ext uri="{FF2B5EF4-FFF2-40B4-BE49-F238E27FC236}">
              <a16:creationId xmlns:a16="http://schemas.microsoft.com/office/drawing/2014/main" id="{02041BF8-275B-50B7-183B-78FFA0482405}"/>
            </a:ext>
          </a:extLst>
        </xdr:cNvPr>
        <xdr:cNvSpPr txBox="1"/>
      </xdr:nvSpPr>
      <xdr:spPr>
        <a:xfrm>
          <a:off x="7373866" y="127307041"/>
          <a:ext cx="750567" cy="318247"/>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G Wing</a:t>
          </a:r>
        </a:p>
      </xdr:txBody>
    </xdr:sp>
    <xdr:clientData/>
  </xdr:twoCellAnchor>
  <xdr:twoCellAnchor>
    <xdr:from>
      <xdr:col>13</xdr:col>
      <xdr:colOff>449933</xdr:colOff>
      <xdr:row>602</xdr:row>
      <xdr:rowOff>76573</xdr:rowOff>
    </xdr:from>
    <xdr:to>
      <xdr:col>15</xdr:col>
      <xdr:colOff>285466</xdr:colOff>
      <xdr:row>603</xdr:row>
      <xdr:rowOff>191593</xdr:rowOff>
    </xdr:to>
    <xdr:sp macro="" textlink="">
      <xdr:nvSpPr>
        <xdr:cNvPr id="69" name="TextBox 3136">
          <a:extLst>
            <a:ext uri="{FF2B5EF4-FFF2-40B4-BE49-F238E27FC236}">
              <a16:creationId xmlns:a16="http://schemas.microsoft.com/office/drawing/2014/main" id="{02041BF8-275B-50B7-183B-78FFA0482405}"/>
            </a:ext>
          </a:extLst>
        </xdr:cNvPr>
        <xdr:cNvSpPr txBox="1"/>
      </xdr:nvSpPr>
      <xdr:spPr>
        <a:xfrm>
          <a:off x="11333086" y="127984997"/>
          <a:ext cx="1108521" cy="312243"/>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E &amp; F Wing</a:t>
          </a:r>
        </a:p>
      </xdr:txBody>
    </xdr:sp>
    <xdr:clientData/>
  </xdr:twoCellAnchor>
  <xdr:twoCellAnchor>
    <xdr:from>
      <xdr:col>8</xdr:col>
      <xdr:colOff>818515</xdr:colOff>
      <xdr:row>597</xdr:row>
      <xdr:rowOff>184785</xdr:rowOff>
    </xdr:from>
    <xdr:to>
      <xdr:col>17</xdr:col>
      <xdr:colOff>581008</xdr:colOff>
      <xdr:row>631</xdr:row>
      <xdr:rowOff>64549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381240" y="124724160"/>
          <a:ext cx="6229968" cy="6671089"/>
          <a:chOff x="124891" y="129082800"/>
          <a:chExt cx="6235887" cy="6669184"/>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133350" y="129082800"/>
            <a:ext cx="6227428" cy="6669184"/>
            <a:chOff x="133350" y="128892300"/>
            <a:chExt cx="6227428" cy="6669184"/>
          </a:xfrm>
        </xdr:grpSpPr>
        <xdr:pic>
          <xdr:nvPicPr>
            <xdr:cNvPr id="39" name="Picture 38" descr="insp-233775-1525.jpg (1079×810)">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483445" y="133401484"/>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insp-233775-843.jpg (1079×810)">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823220" y="13114689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insp-233775-874.jpg (959×1280)">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808397" y="133401484"/>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insp-233775-877.jpg (1079×810)">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21675" y="12889230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insp-233775-940.jpg (959×128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33350" y="131146892"/>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insp-233775-1022.jpg (959×1280)">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742466" y="131146892"/>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insp-233775-883.jpg (1079×810)">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297192" y="12889230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insp-233775-1512.jpg (959×1280)">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33350" y="133401484"/>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9" name="TextBox 3136">
            <a:extLst>
              <a:ext uri="{FF2B5EF4-FFF2-40B4-BE49-F238E27FC236}">
                <a16:creationId xmlns:a16="http://schemas.microsoft.com/office/drawing/2014/main" id="{02041BF8-275B-50B7-183B-78FFA0482405}"/>
              </a:ext>
            </a:extLst>
          </xdr:cNvPr>
          <xdr:cNvSpPr txBox="1"/>
        </xdr:nvSpPr>
        <xdr:spPr>
          <a:xfrm>
            <a:off x="1817143" y="129229905"/>
            <a:ext cx="1054100" cy="284972"/>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A to D Wing</a:t>
            </a:r>
          </a:p>
        </xdr:txBody>
      </xdr:sp>
      <xdr:sp macro="" textlink="">
        <xdr:nvSpPr>
          <xdr:cNvPr id="60" name="TextBox 3136">
            <a:extLst>
              <a:ext uri="{FF2B5EF4-FFF2-40B4-BE49-F238E27FC236}">
                <a16:creationId xmlns:a16="http://schemas.microsoft.com/office/drawing/2014/main" id="{02041BF8-275B-50B7-183B-78FFA0482405}"/>
              </a:ext>
            </a:extLst>
          </xdr:cNvPr>
          <xdr:cNvSpPr txBox="1"/>
        </xdr:nvSpPr>
        <xdr:spPr>
          <a:xfrm>
            <a:off x="3440538" y="129156319"/>
            <a:ext cx="899576" cy="284594"/>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E &amp; F Wing</a:t>
            </a:r>
          </a:p>
        </xdr:txBody>
      </xdr:sp>
      <xdr:sp macro="" textlink="">
        <xdr:nvSpPr>
          <xdr:cNvPr id="61" name="TextBox 3136">
            <a:extLst>
              <a:ext uri="{FF2B5EF4-FFF2-40B4-BE49-F238E27FC236}">
                <a16:creationId xmlns:a16="http://schemas.microsoft.com/office/drawing/2014/main" id="{02041BF8-275B-50B7-183B-78FFA0482405}"/>
              </a:ext>
            </a:extLst>
          </xdr:cNvPr>
          <xdr:cNvSpPr txBox="1"/>
        </xdr:nvSpPr>
        <xdr:spPr>
          <a:xfrm>
            <a:off x="124891" y="131462424"/>
            <a:ext cx="899576" cy="284594"/>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G Wing</a:t>
            </a:r>
          </a:p>
        </xdr:txBody>
      </xdr:sp>
    </xdr:grpSp>
    <xdr:clientData/>
  </xdr:twoCellAnchor>
  <xdr:twoCellAnchor>
    <xdr:from>
      <xdr:col>0</xdr:col>
      <xdr:colOff>76200</xdr:colOff>
      <xdr:row>599</xdr:row>
      <xdr:rowOff>137160</xdr:rowOff>
    </xdr:from>
    <xdr:to>
      <xdr:col>7</xdr:col>
      <xdr:colOff>647700</xdr:colOff>
      <xdr:row>638</xdr:row>
      <xdr:rowOff>30480</xdr:rowOff>
    </xdr:to>
    <xdr:grpSp>
      <xdr:nvGrpSpPr>
        <xdr:cNvPr id="19" name="Group 18">
          <a:extLst>
            <a:ext uri="{FF2B5EF4-FFF2-40B4-BE49-F238E27FC236}">
              <a16:creationId xmlns:a16="http://schemas.microsoft.com/office/drawing/2014/main" id="{E9B1B4BD-C859-50D0-F658-6D9C3D711A0A}"/>
            </a:ext>
          </a:extLst>
        </xdr:cNvPr>
        <xdr:cNvGrpSpPr/>
      </xdr:nvGrpSpPr>
      <xdr:grpSpPr>
        <a:xfrm>
          <a:off x="76200" y="125076585"/>
          <a:ext cx="6305550" cy="7684770"/>
          <a:chOff x="190500" y="127802640"/>
          <a:chExt cx="6477000" cy="7612380"/>
        </a:xfrm>
      </xdr:grpSpPr>
      <xdr:grpSp>
        <xdr:nvGrpSpPr>
          <xdr:cNvPr id="6" name="Group 5">
            <a:extLst>
              <a:ext uri="{FF2B5EF4-FFF2-40B4-BE49-F238E27FC236}">
                <a16:creationId xmlns:a16="http://schemas.microsoft.com/office/drawing/2014/main" id="{1C31F4AB-0556-090C-D768-506765686D2D}"/>
              </a:ext>
            </a:extLst>
          </xdr:cNvPr>
          <xdr:cNvGrpSpPr/>
        </xdr:nvGrpSpPr>
        <xdr:grpSpPr>
          <a:xfrm>
            <a:off x="190500" y="127802640"/>
            <a:ext cx="6477000" cy="7612380"/>
            <a:chOff x="82969" y="397487"/>
            <a:chExt cx="6692062" cy="7021885"/>
          </a:xfrm>
        </xdr:grpSpPr>
        <xdr:pic>
          <xdr:nvPicPr>
            <xdr:cNvPr id="7" name="Picture 6">
              <a:extLst>
                <a:ext uri="{FF2B5EF4-FFF2-40B4-BE49-F238E27FC236}">
                  <a16:creationId xmlns:a16="http://schemas.microsoft.com/office/drawing/2014/main" id="{BB6B40E9-3F16-D82E-CD5B-6532E5F1003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76652" y="5601841"/>
              <a:ext cx="1367421" cy="18175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D841B12C-198B-F3DE-2014-D66D4141C896}"/>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16017" y="2644819"/>
              <a:ext cx="2159014" cy="28696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CAA05A5E-8B14-4031-EF0A-4E88D177B4F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29000" y="397487"/>
              <a:ext cx="286672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ACB90A24-B812-FA17-2DAE-B71E2F89845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45998" y="5601841"/>
              <a:ext cx="2412207" cy="18175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63A7A5E3-6D4B-D211-F563-62DF2D12CA8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40567" y="397487"/>
              <a:ext cx="286672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0A041066-2E56-E87E-0FA1-950D11DF5CE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2969" y="2644819"/>
              <a:ext cx="2159014" cy="28696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4A122507-F843-1209-E8A9-9109DF6A1DB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066803" y="5601841"/>
              <a:ext cx="1361886" cy="18175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A4DF5D20-7DFE-00A4-5BBC-BFB27423BF8B}"/>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49493" y="2644819"/>
              <a:ext cx="2159014" cy="28696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6" name="TextBox 3136">
            <a:extLst>
              <a:ext uri="{FF2B5EF4-FFF2-40B4-BE49-F238E27FC236}">
                <a16:creationId xmlns:a16="http://schemas.microsoft.com/office/drawing/2014/main" id="{B7AC3A91-7C4D-4709-BDB1-B3EFC6C8B043}"/>
              </a:ext>
            </a:extLst>
          </xdr:cNvPr>
          <xdr:cNvSpPr txBox="1"/>
        </xdr:nvSpPr>
        <xdr:spPr>
          <a:xfrm>
            <a:off x="1272540" y="127886460"/>
            <a:ext cx="1083047" cy="282367"/>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A to D Wing</a:t>
            </a:r>
          </a:p>
        </xdr:txBody>
      </xdr:sp>
      <xdr:sp macro="" textlink="">
        <xdr:nvSpPr>
          <xdr:cNvPr id="17" name="TextBox 3136">
            <a:extLst>
              <a:ext uri="{FF2B5EF4-FFF2-40B4-BE49-F238E27FC236}">
                <a16:creationId xmlns:a16="http://schemas.microsoft.com/office/drawing/2014/main" id="{45A47276-315F-4508-9897-EFE9399A10E9}"/>
              </a:ext>
            </a:extLst>
          </xdr:cNvPr>
          <xdr:cNvSpPr txBox="1"/>
        </xdr:nvSpPr>
        <xdr:spPr>
          <a:xfrm>
            <a:off x="4975860" y="128092200"/>
            <a:ext cx="924280" cy="281993"/>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E &amp; F Wing</a:t>
            </a:r>
          </a:p>
        </xdr:txBody>
      </xdr:sp>
      <xdr:sp macro="" textlink="">
        <xdr:nvSpPr>
          <xdr:cNvPr id="18" name="TextBox 3136">
            <a:extLst>
              <a:ext uri="{FF2B5EF4-FFF2-40B4-BE49-F238E27FC236}">
                <a16:creationId xmlns:a16="http://schemas.microsoft.com/office/drawing/2014/main" id="{973C63EE-C967-4F48-8D1A-288C0FD842FD}"/>
              </a:ext>
            </a:extLst>
          </xdr:cNvPr>
          <xdr:cNvSpPr txBox="1"/>
        </xdr:nvSpPr>
        <xdr:spPr>
          <a:xfrm>
            <a:off x="1508760" y="130218180"/>
            <a:ext cx="924280" cy="281993"/>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G Wing</a:t>
            </a:r>
          </a:p>
        </xdr:txBody>
      </xdr:sp>
    </xdr:grpSp>
    <xdr:clientData/>
  </xdr:twoCellAnchor>
  <xdr:twoCellAnchor>
    <xdr:from>
      <xdr:col>10</xdr:col>
      <xdr:colOff>0</xdr:colOff>
      <xdr:row>636</xdr:row>
      <xdr:rowOff>0</xdr:rowOff>
    </xdr:from>
    <xdr:to>
      <xdr:col>12</xdr:col>
      <xdr:colOff>222573</xdr:colOff>
      <xdr:row>645</xdr:row>
      <xdr:rowOff>159056</xdr:rowOff>
    </xdr:to>
    <xdr:pic>
      <xdr:nvPicPr>
        <xdr:cNvPr id="22" name="Picture 21" descr="insp-233775-1512.jpg (959×1280)">
          <a:extLst>
            <a:ext uri="{FF2B5EF4-FFF2-40B4-BE49-F238E27FC236}">
              <a16:creationId xmlns:a16="http://schemas.microsoft.com/office/drawing/2014/main" id="{8B31AB11-557C-4B02-892E-0224FDAE43B5}"/>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839200" y="134988300"/>
          <a:ext cx="1662753" cy="2140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23668</xdr:colOff>
      <xdr:row>32</xdr:row>
      <xdr:rowOff>93662</xdr:rowOff>
    </xdr:from>
    <xdr:to>
      <xdr:col>6</xdr:col>
      <xdr:colOff>25993</xdr:colOff>
      <xdr:row>51</xdr:row>
      <xdr:rowOff>74162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4693" y="6380162"/>
          <a:ext cx="6403125" cy="3600000"/>
        </a:xfrm>
        <a:prstGeom prst="rect">
          <a:avLst/>
        </a:prstGeom>
        <a:ln>
          <a:solidFill>
            <a:schemeClr val="tx1"/>
          </a:solidFill>
        </a:ln>
      </xdr:spPr>
    </xdr:pic>
    <xdr:clientData/>
  </xdr:twoCellAnchor>
  <xdr:twoCellAnchor editAs="oneCell">
    <xdr:from>
      <xdr:col>1</xdr:col>
      <xdr:colOff>0</xdr:colOff>
      <xdr:row>13</xdr:row>
      <xdr:rowOff>0</xdr:rowOff>
    </xdr:from>
    <xdr:to>
      <xdr:col>6</xdr:col>
      <xdr:colOff>2325</xdr:colOff>
      <xdr:row>31</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2667000"/>
          <a:ext cx="6403125" cy="3600000"/>
        </a:xfrm>
        <a:prstGeom prst="rect">
          <a:avLst/>
        </a:prstGeom>
        <a:ln>
          <a:solidFill>
            <a:schemeClr val="tx1"/>
          </a:solidFill>
        </a:ln>
      </xdr:spPr>
    </xdr:pic>
    <xdr:clientData/>
  </xdr:twoCellAnchor>
  <xdr:twoCellAnchor editAs="oneCell">
    <xdr:from>
      <xdr:col>6</xdr:col>
      <xdr:colOff>247650</xdr:colOff>
      <xdr:row>12</xdr:row>
      <xdr:rowOff>180975</xdr:rowOff>
    </xdr:from>
    <xdr:to>
      <xdr:col>15</xdr:col>
      <xdr:colOff>506545</xdr:colOff>
      <xdr:row>31</xdr:row>
      <xdr:rowOff>161475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229475" y="2466975"/>
          <a:ext cx="6754945" cy="3600000"/>
        </a:xfrm>
        <a:prstGeom prst="rect">
          <a:avLst/>
        </a:prstGeom>
        <a:ln>
          <a:solidFill>
            <a:schemeClr val="tx1"/>
          </a:solidFill>
        </a:ln>
      </xdr:spPr>
    </xdr:pic>
    <xdr:clientData/>
  </xdr:twoCellAnchor>
  <xdr:twoCellAnchor editAs="oneCell">
    <xdr:from>
      <xdr:col>6</xdr:col>
      <xdr:colOff>388183</xdr:colOff>
      <xdr:row>33</xdr:row>
      <xdr:rowOff>1692</xdr:rowOff>
    </xdr:from>
    <xdr:to>
      <xdr:col>15</xdr:col>
      <xdr:colOff>295258</xdr:colOff>
      <xdr:row>51</xdr:row>
      <xdr:rowOff>172692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370008" y="6288192"/>
          <a:ext cx="6403125" cy="3600000"/>
        </a:xfrm>
        <a:prstGeom prst="rect">
          <a:avLst/>
        </a:prstGeom>
        <a:ln>
          <a:solidFill>
            <a:schemeClr val="tx1"/>
          </a:solidFill>
        </a:ln>
      </xdr:spPr>
    </xdr:pic>
    <xdr:clientData/>
  </xdr:twoCellAnchor>
  <xdr:twoCellAnchor editAs="oneCell">
    <xdr:from>
      <xdr:col>16</xdr:col>
      <xdr:colOff>35821</xdr:colOff>
      <xdr:row>13</xdr:row>
      <xdr:rowOff>33037</xdr:rowOff>
    </xdr:from>
    <xdr:to>
      <xdr:col>27</xdr:col>
      <xdr:colOff>47671</xdr:colOff>
      <xdr:row>32</xdr:row>
      <xdr:rowOff>13537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4094721" y="2509537"/>
          <a:ext cx="640312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497416</xdr:colOff>
      <xdr:row>4</xdr:row>
      <xdr:rowOff>21286</xdr:rowOff>
    </xdr:from>
    <xdr:to>
      <xdr:col>11</xdr:col>
      <xdr:colOff>145666</xdr:colOff>
      <xdr:row>23</xdr:row>
      <xdr:rowOff>146566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3656" y="752806"/>
          <a:ext cx="2696250" cy="3600000"/>
        </a:xfrm>
        <a:prstGeom prst="rect">
          <a:avLst/>
        </a:prstGeom>
      </xdr:spPr>
    </xdr:pic>
    <xdr:clientData/>
  </xdr:twoCellAnchor>
  <xdr:twoCellAnchor editAs="oneCell">
    <xdr:from>
      <xdr:col>2</xdr:col>
      <xdr:colOff>106680</xdr:colOff>
      <xdr:row>4</xdr:row>
      <xdr:rowOff>7620</xdr:rowOff>
    </xdr:from>
    <xdr:to>
      <xdr:col>6</xdr:col>
      <xdr:colOff>364530</xdr:colOff>
      <xdr:row>23</xdr:row>
      <xdr:rowOff>132900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4520" y="739140"/>
          <a:ext cx="2696250"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HgxgQYmymZy4kZQ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5"/>
  <sheetViews>
    <sheetView tabSelected="1" view="pageBreakPreview" zoomScaleNormal="100" zoomScaleSheetLayoutView="100" zoomScalePageLayoutView="130" workbookViewId="0">
      <selection activeCell="E8" sqref="E8:H8"/>
    </sheetView>
  </sheetViews>
  <sheetFormatPr defaultColWidth="9.140625" defaultRowHeight="15.75" x14ac:dyDescent="0.25"/>
  <cols>
    <col min="1" max="1" width="14.5703125" style="20" customWidth="1"/>
    <col min="2" max="3" width="12.85546875" style="20" customWidth="1"/>
    <col min="4" max="4" width="11.42578125" style="31" customWidth="1"/>
    <col min="5" max="5" width="11.85546875" style="20" customWidth="1"/>
    <col min="6" max="6" width="10.5703125" style="20" customWidth="1"/>
    <col min="7" max="7" width="11.85546875" style="20" customWidth="1"/>
    <col min="8" max="8" width="12.42578125" style="20" customWidth="1"/>
    <col min="9" max="9" width="20.42578125" style="8" customWidth="1"/>
    <col min="10" max="10" width="9.85546875" style="8" bestFit="1" customWidth="1"/>
    <col min="11" max="11" width="11.85546875" style="8" bestFit="1" customWidth="1"/>
    <col min="12" max="252" width="9.140625" style="8"/>
    <col min="253" max="253" width="8.85546875" style="8" customWidth="1"/>
    <col min="254" max="254" width="9.85546875" style="8" customWidth="1"/>
    <col min="255" max="255" width="14.42578125" style="8" customWidth="1"/>
    <col min="256" max="256" width="7.140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85546875" style="8" customWidth="1"/>
    <col min="510" max="510" width="9.85546875" style="8" customWidth="1"/>
    <col min="511" max="511" width="14.42578125" style="8" customWidth="1"/>
    <col min="512" max="512" width="7.140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85546875" style="8" customWidth="1"/>
    <col min="766" max="766" width="9.85546875" style="8" customWidth="1"/>
    <col min="767" max="767" width="14.42578125" style="8" customWidth="1"/>
    <col min="768" max="768" width="7.140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85546875" style="8" customWidth="1"/>
    <col min="1022" max="1022" width="9.85546875" style="8" customWidth="1"/>
    <col min="1023" max="1023" width="14.42578125" style="8" customWidth="1"/>
    <col min="1024" max="1024" width="7.140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85546875" style="8" customWidth="1"/>
    <col min="1278" max="1278" width="9.85546875" style="8" customWidth="1"/>
    <col min="1279" max="1279" width="14.42578125" style="8" customWidth="1"/>
    <col min="1280" max="1280" width="7.140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85546875" style="8" customWidth="1"/>
    <col min="1534" max="1534" width="9.85546875" style="8" customWidth="1"/>
    <col min="1535" max="1535" width="14.42578125" style="8" customWidth="1"/>
    <col min="1536" max="1536" width="7.140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85546875" style="8" customWidth="1"/>
    <col min="1790" max="1790" width="9.85546875" style="8" customWidth="1"/>
    <col min="1791" max="1791" width="14.42578125" style="8" customWidth="1"/>
    <col min="1792" max="1792" width="7.140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85546875" style="8" customWidth="1"/>
    <col min="2046" max="2046" width="9.85546875" style="8" customWidth="1"/>
    <col min="2047" max="2047" width="14.42578125" style="8" customWidth="1"/>
    <col min="2048" max="2048" width="7.140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85546875" style="8" customWidth="1"/>
    <col min="2302" max="2302" width="9.85546875" style="8" customWidth="1"/>
    <col min="2303" max="2303" width="14.42578125" style="8" customWidth="1"/>
    <col min="2304" max="2304" width="7.140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85546875" style="8" customWidth="1"/>
    <col min="2558" max="2558" width="9.85546875" style="8" customWidth="1"/>
    <col min="2559" max="2559" width="14.42578125" style="8" customWidth="1"/>
    <col min="2560" max="2560" width="7.140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85546875" style="8" customWidth="1"/>
    <col min="2814" max="2814" width="9.85546875" style="8" customWidth="1"/>
    <col min="2815" max="2815" width="14.42578125" style="8" customWidth="1"/>
    <col min="2816" max="2816" width="7.140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85546875" style="8" customWidth="1"/>
    <col min="3070" max="3070" width="9.85546875" style="8" customWidth="1"/>
    <col min="3071" max="3071" width="14.42578125" style="8" customWidth="1"/>
    <col min="3072" max="3072" width="7.140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85546875" style="8" customWidth="1"/>
    <col min="3326" max="3326" width="9.85546875" style="8" customWidth="1"/>
    <col min="3327" max="3327" width="14.42578125" style="8" customWidth="1"/>
    <col min="3328" max="3328" width="7.140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85546875" style="8" customWidth="1"/>
    <col min="3582" max="3582" width="9.85546875" style="8" customWidth="1"/>
    <col min="3583" max="3583" width="14.42578125" style="8" customWidth="1"/>
    <col min="3584" max="3584" width="7.140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85546875" style="8" customWidth="1"/>
    <col min="3838" max="3838" width="9.85546875" style="8" customWidth="1"/>
    <col min="3839" max="3839" width="14.42578125" style="8" customWidth="1"/>
    <col min="3840" max="3840" width="7.140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85546875" style="8" customWidth="1"/>
    <col min="4094" max="4094" width="9.85546875" style="8" customWidth="1"/>
    <col min="4095" max="4095" width="14.42578125" style="8" customWidth="1"/>
    <col min="4096" max="4096" width="7.140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85546875" style="8" customWidth="1"/>
    <col min="4350" max="4350" width="9.85546875" style="8" customWidth="1"/>
    <col min="4351" max="4351" width="14.42578125" style="8" customWidth="1"/>
    <col min="4352" max="4352" width="7.140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85546875" style="8" customWidth="1"/>
    <col min="4606" max="4606" width="9.85546875" style="8" customWidth="1"/>
    <col min="4607" max="4607" width="14.42578125" style="8" customWidth="1"/>
    <col min="4608" max="4608" width="7.140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85546875" style="8" customWidth="1"/>
    <col min="4862" max="4862" width="9.85546875" style="8" customWidth="1"/>
    <col min="4863" max="4863" width="14.42578125" style="8" customWidth="1"/>
    <col min="4864" max="4864" width="7.140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85546875" style="8" customWidth="1"/>
    <col min="5118" max="5118" width="9.85546875" style="8" customWidth="1"/>
    <col min="5119" max="5119" width="14.42578125" style="8" customWidth="1"/>
    <col min="5120" max="5120" width="7.140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85546875" style="8" customWidth="1"/>
    <col min="5374" max="5374" width="9.85546875" style="8" customWidth="1"/>
    <col min="5375" max="5375" width="14.42578125" style="8" customWidth="1"/>
    <col min="5376" max="5376" width="7.140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85546875" style="8" customWidth="1"/>
    <col min="5630" max="5630" width="9.85546875" style="8" customWidth="1"/>
    <col min="5631" max="5631" width="14.42578125" style="8" customWidth="1"/>
    <col min="5632" max="5632" width="7.140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85546875" style="8" customWidth="1"/>
    <col min="5886" max="5886" width="9.85546875" style="8" customWidth="1"/>
    <col min="5887" max="5887" width="14.42578125" style="8" customWidth="1"/>
    <col min="5888" max="5888" width="7.140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85546875" style="8" customWidth="1"/>
    <col min="6142" max="6142" width="9.85546875" style="8" customWidth="1"/>
    <col min="6143" max="6143" width="14.42578125" style="8" customWidth="1"/>
    <col min="6144" max="6144" width="7.140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85546875" style="8" customWidth="1"/>
    <col min="6398" max="6398" width="9.85546875" style="8" customWidth="1"/>
    <col min="6399" max="6399" width="14.42578125" style="8" customWidth="1"/>
    <col min="6400" max="6400" width="7.140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85546875" style="8" customWidth="1"/>
    <col min="6654" max="6654" width="9.85546875" style="8" customWidth="1"/>
    <col min="6655" max="6655" width="14.42578125" style="8" customWidth="1"/>
    <col min="6656" max="6656" width="7.140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85546875" style="8" customWidth="1"/>
    <col min="6910" max="6910" width="9.85546875" style="8" customWidth="1"/>
    <col min="6911" max="6911" width="14.42578125" style="8" customWidth="1"/>
    <col min="6912" max="6912" width="7.140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85546875" style="8" customWidth="1"/>
    <col min="7166" max="7166" width="9.85546875" style="8" customWidth="1"/>
    <col min="7167" max="7167" width="14.42578125" style="8" customWidth="1"/>
    <col min="7168" max="7168" width="7.140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85546875" style="8" customWidth="1"/>
    <col min="7422" max="7422" width="9.85546875" style="8" customWidth="1"/>
    <col min="7423" max="7423" width="14.42578125" style="8" customWidth="1"/>
    <col min="7424" max="7424" width="7.140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85546875" style="8" customWidth="1"/>
    <col min="7678" max="7678" width="9.85546875" style="8" customWidth="1"/>
    <col min="7679" max="7679" width="14.42578125" style="8" customWidth="1"/>
    <col min="7680" max="7680" width="7.140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85546875" style="8" customWidth="1"/>
    <col min="7934" max="7934" width="9.85546875" style="8" customWidth="1"/>
    <col min="7935" max="7935" width="14.42578125" style="8" customWidth="1"/>
    <col min="7936" max="7936" width="7.140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85546875" style="8" customWidth="1"/>
    <col min="8190" max="8190" width="9.85546875" style="8" customWidth="1"/>
    <col min="8191" max="8191" width="14.42578125" style="8" customWidth="1"/>
    <col min="8192" max="8192" width="7.140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85546875" style="8" customWidth="1"/>
    <col min="8446" max="8446" width="9.85546875" style="8" customWidth="1"/>
    <col min="8447" max="8447" width="14.42578125" style="8" customWidth="1"/>
    <col min="8448" max="8448" width="7.140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85546875" style="8" customWidth="1"/>
    <col min="8702" max="8702" width="9.85546875" style="8" customWidth="1"/>
    <col min="8703" max="8703" width="14.42578125" style="8" customWidth="1"/>
    <col min="8704" max="8704" width="7.140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85546875" style="8" customWidth="1"/>
    <col min="8958" max="8958" width="9.85546875" style="8" customWidth="1"/>
    <col min="8959" max="8959" width="14.42578125" style="8" customWidth="1"/>
    <col min="8960" max="8960" width="7.140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85546875" style="8" customWidth="1"/>
    <col min="9214" max="9214" width="9.85546875" style="8" customWidth="1"/>
    <col min="9215" max="9215" width="14.42578125" style="8" customWidth="1"/>
    <col min="9216" max="9216" width="7.140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85546875" style="8" customWidth="1"/>
    <col min="9470" max="9470" width="9.85546875" style="8" customWidth="1"/>
    <col min="9471" max="9471" width="14.42578125" style="8" customWidth="1"/>
    <col min="9472" max="9472" width="7.140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85546875" style="8" customWidth="1"/>
    <col min="9726" max="9726" width="9.85546875" style="8" customWidth="1"/>
    <col min="9727" max="9727" width="14.42578125" style="8" customWidth="1"/>
    <col min="9728" max="9728" width="7.140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85546875" style="8" customWidth="1"/>
    <col min="9982" max="9982" width="9.85546875" style="8" customWidth="1"/>
    <col min="9983" max="9983" width="14.42578125" style="8" customWidth="1"/>
    <col min="9984" max="9984" width="7.140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85546875" style="8" customWidth="1"/>
    <col min="10238" max="10238" width="9.85546875" style="8" customWidth="1"/>
    <col min="10239" max="10239" width="14.42578125" style="8" customWidth="1"/>
    <col min="10240" max="10240" width="7.140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85546875" style="8" customWidth="1"/>
    <col min="10494" max="10494" width="9.85546875" style="8" customWidth="1"/>
    <col min="10495" max="10495" width="14.42578125" style="8" customWidth="1"/>
    <col min="10496" max="10496" width="7.140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85546875" style="8" customWidth="1"/>
    <col min="10750" max="10750" width="9.85546875" style="8" customWidth="1"/>
    <col min="10751" max="10751" width="14.42578125" style="8" customWidth="1"/>
    <col min="10752" max="10752" width="7.140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85546875" style="8" customWidth="1"/>
    <col min="11006" max="11006" width="9.85546875" style="8" customWidth="1"/>
    <col min="11007" max="11007" width="14.42578125" style="8" customWidth="1"/>
    <col min="11008" max="11008" width="7.140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85546875" style="8" customWidth="1"/>
    <col min="11262" max="11262" width="9.85546875" style="8" customWidth="1"/>
    <col min="11263" max="11263" width="14.42578125" style="8" customWidth="1"/>
    <col min="11264" max="11264" width="7.140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85546875" style="8" customWidth="1"/>
    <col min="11518" max="11518" width="9.85546875" style="8" customWidth="1"/>
    <col min="11519" max="11519" width="14.42578125" style="8" customWidth="1"/>
    <col min="11520" max="11520" width="7.140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85546875" style="8" customWidth="1"/>
    <col min="11774" max="11774" width="9.85546875" style="8" customWidth="1"/>
    <col min="11775" max="11775" width="14.42578125" style="8" customWidth="1"/>
    <col min="11776" max="11776" width="7.140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85546875" style="8" customWidth="1"/>
    <col min="12030" max="12030" width="9.85546875" style="8" customWidth="1"/>
    <col min="12031" max="12031" width="14.42578125" style="8" customWidth="1"/>
    <col min="12032" max="12032" width="7.140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85546875" style="8" customWidth="1"/>
    <col min="12286" max="12286" width="9.85546875" style="8" customWidth="1"/>
    <col min="12287" max="12287" width="14.42578125" style="8" customWidth="1"/>
    <col min="12288" max="12288" width="7.140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85546875" style="8" customWidth="1"/>
    <col min="12542" max="12542" width="9.85546875" style="8" customWidth="1"/>
    <col min="12543" max="12543" width="14.42578125" style="8" customWidth="1"/>
    <col min="12544" max="12544" width="7.140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85546875" style="8" customWidth="1"/>
    <col min="12798" max="12798" width="9.85546875" style="8" customWidth="1"/>
    <col min="12799" max="12799" width="14.42578125" style="8" customWidth="1"/>
    <col min="12800" max="12800" width="7.140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85546875" style="8" customWidth="1"/>
    <col min="13054" max="13054" width="9.85546875" style="8" customWidth="1"/>
    <col min="13055" max="13055" width="14.42578125" style="8" customWidth="1"/>
    <col min="13056" max="13056" width="7.140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85546875" style="8" customWidth="1"/>
    <col min="13310" max="13310" width="9.85546875" style="8" customWidth="1"/>
    <col min="13311" max="13311" width="14.42578125" style="8" customWidth="1"/>
    <col min="13312" max="13312" width="7.140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85546875" style="8" customWidth="1"/>
    <col min="13566" max="13566" width="9.85546875" style="8" customWidth="1"/>
    <col min="13567" max="13567" width="14.42578125" style="8" customWidth="1"/>
    <col min="13568" max="13568" width="7.140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85546875" style="8" customWidth="1"/>
    <col min="13822" max="13822" width="9.85546875" style="8" customWidth="1"/>
    <col min="13823" max="13823" width="14.42578125" style="8" customWidth="1"/>
    <col min="13824" max="13824" width="7.140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85546875" style="8" customWidth="1"/>
    <col min="14078" max="14078" width="9.85546875" style="8" customWidth="1"/>
    <col min="14079" max="14079" width="14.42578125" style="8" customWidth="1"/>
    <col min="14080" max="14080" width="7.140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85546875" style="8" customWidth="1"/>
    <col min="14334" max="14334" width="9.85546875" style="8" customWidth="1"/>
    <col min="14335" max="14335" width="14.42578125" style="8" customWidth="1"/>
    <col min="14336" max="14336" width="7.140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85546875" style="8" customWidth="1"/>
    <col min="14590" max="14590" width="9.85546875" style="8" customWidth="1"/>
    <col min="14591" max="14591" width="14.42578125" style="8" customWidth="1"/>
    <col min="14592" max="14592" width="7.140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85546875" style="8" customWidth="1"/>
    <col min="14846" max="14846" width="9.85546875" style="8" customWidth="1"/>
    <col min="14847" max="14847" width="14.42578125" style="8" customWidth="1"/>
    <col min="14848" max="14848" width="7.140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85546875" style="8" customWidth="1"/>
    <col min="15102" max="15102" width="9.85546875" style="8" customWidth="1"/>
    <col min="15103" max="15103" width="14.42578125" style="8" customWidth="1"/>
    <col min="15104" max="15104" width="7.140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85546875" style="8" customWidth="1"/>
    <col min="15358" max="15358" width="9.85546875" style="8" customWidth="1"/>
    <col min="15359" max="15359" width="14.42578125" style="8" customWidth="1"/>
    <col min="15360" max="15360" width="7.140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85546875" style="8" customWidth="1"/>
    <col min="15614" max="15614" width="9.85546875" style="8" customWidth="1"/>
    <col min="15615" max="15615" width="14.42578125" style="8" customWidth="1"/>
    <col min="15616" max="15616" width="7.140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85546875" style="8" customWidth="1"/>
    <col min="15870" max="15870" width="9.85546875" style="8" customWidth="1"/>
    <col min="15871" max="15871" width="14.42578125" style="8" customWidth="1"/>
    <col min="15872" max="15872" width="7.140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85546875" style="8" customWidth="1"/>
    <col min="16126" max="16126" width="9.85546875" style="8" customWidth="1"/>
    <col min="16127" max="16127" width="14.42578125" style="8" customWidth="1"/>
    <col min="16128" max="16128" width="7.140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12" ht="46.5" customHeight="1" x14ac:dyDescent="0.25">
      <c r="A1" s="201" t="s">
        <v>252</v>
      </c>
      <c r="B1" s="201"/>
      <c r="C1" s="201"/>
      <c r="D1" s="201"/>
      <c r="E1" s="201"/>
      <c r="F1" s="201"/>
      <c r="G1" s="201"/>
      <c r="H1" s="201"/>
    </row>
    <row r="2" spans="1:12" ht="16.5" customHeight="1" x14ac:dyDescent="0.25">
      <c r="A2" s="173" t="s">
        <v>0</v>
      </c>
      <c r="B2" s="173"/>
      <c r="C2" s="173"/>
      <c r="D2" s="173"/>
      <c r="E2" s="173"/>
      <c r="F2" s="173"/>
      <c r="G2" s="173"/>
      <c r="H2" s="173"/>
    </row>
    <row r="3" spans="1:12" x14ac:dyDescent="0.25">
      <c r="A3" s="101" t="s">
        <v>1</v>
      </c>
      <c r="B3" s="101"/>
      <c r="C3" s="101"/>
      <c r="D3" s="101"/>
      <c r="E3" s="202" t="str">
        <f ca="1">TEXT(TODAY(),"DD/MM/YYYY")</f>
        <v>21/08/2025</v>
      </c>
      <c r="F3" s="202"/>
      <c r="G3" s="202"/>
      <c r="H3" s="202"/>
    </row>
    <row r="4" spans="1:12" ht="15" customHeight="1" x14ac:dyDescent="0.25">
      <c r="A4" s="101" t="s">
        <v>2</v>
      </c>
      <c r="B4" s="101"/>
      <c r="C4" s="101"/>
      <c r="D4" s="101"/>
      <c r="E4" s="198" t="s">
        <v>146</v>
      </c>
      <c r="F4" s="198"/>
      <c r="G4" s="198"/>
      <c r="H4" s="198"/>
    </row>
    <row r="5" spans="1:12" x14ac:dyDescent="0.25">
      <c r="A5" s="101" t="s">
        <v>3</v>
      </c>
      <c r="B5" s="101"/>
      <c r="C5" s="101"/>
      <c r="D5" s="101"/>
      <c r="E5" s="203">
        <v>45881</v>
      </c>
      <c r="F5" s="204"/>
      <c r="G5" s="204"/>
      <c r="H5" s="205"/>
    </row>
    <row r="6" spans="1:12" ht="16.5" customHeight="1" x14ac:dyDescent="0.25">
      <c r="A6" s="101" t="s">
        <v>4</v>
      </c>
      <c r="B6" s="101"/>
      <c r="C6" s="101"/>
      <c r="D6" s="101"/>
      <c r="E6" s="105" t="s">
        <v>293</v>
      </c>
      <c r="F6" s="105"/>
      <c r="G6" s="105"/>
      <c r="H6" s="105"/>
    </row>
    <row r="7" spans="1:12" ht="15" customHeight="1" x14ac:dyDescent="0.25">
      <c r="A7" s="101" t="s">
        <v>5</v>
      </c>
      <c r="B7" s="101"/>
      <c r="C7" s="101"/>
      <c r="D7" s="101"/>
      <c r="E7" s="105" t="str">
        <f>E6</f>
        <v>M/s. Moreshwar Developers</v>
      </c>
      <c r="F7" s="105"/>
      <c r="G7" s="105"/>
      <c r="H7" s="105"/>
    </row>
    <row r="8" spans="1:12" x14ac:dyDescent="0.25">
      <c r="A8" s="101" t="s">
        <v>6</v>
      </c>
      <c r="B8" s="101"/>
      <c r="C8" s="101"/>
      <c r="D8" s="101"/>
      <c r="E8" s="182" t="s">
        <v>147</v>
      </c>
      <c r="F8" s="182"/>
      <c r="G8" s="182"/>
      <c r="H8" s="182"/>
    </row>
    <row r="9" spans="1:12" x14ac:dyDescent="0.25">
      <c r="A9" s="101" t="s">
        <v>291</v>
      </c>
      <c r="B9" s="101"/>
      <c r="C9" s="101"/>
      <c r="D9" s="101"/>
      <c r="E9" s="101">
        <v>9833759725</v>
      </c>
      <c r="F9" s="101"/>
      <c r="G9" s="101"/>
      <c r="H9" s="101"/>
    </row>
    <row r="10" spans="1:12" x14ac:dyDescent="0.25">
      <c r="A10" s="105" t="s">
        <v>251</v>
      </c>
      <c r="B10" s="101"/>
      <c r="C10" s="101"/>
      <c r="D10" s="101"/>
      <c r="E10" s="101" t="s">
        <v>290</v>
      </c>
      <c r="F10" s="101"/>
      <c r="G10" s="101"/>
      <c r="H10" s="101"/>
      <c r="I10" s="101" t="s">
        <v>290</v>
      </c>
      <c r="J10" s="101"/>
      <c r="K10" s="101"/>
      <c r="L10" s="101"/>
    </row>
    <row r="11" spans="1:12" ht="32.25" customHeight="1" x14ac:dyDescent="0.25">
      <c r="A11" s="143" t="s">
        <v>7</v>
      </c>
      <c r="B11" s="143"/>
      <c r="C11" s="143"/>
      <c r="D11" s="143"/>
      <c r="E11" s="113" t="s">
        <v>279</v>
      </c>
      <c r="F11" s="143"/>
      <c r="G11" s="143"/>
      <c r="H11" s="143"/>
    </row>
    <row r="12" spans="1:12" ht="32.25" customHeight="1" x14ac:dyDescent="0.25">
      <c r="A12" s="101" t="s">
        <v>8</v>
      </c>
      <c r="B12" s="101"/>
      <c r="C12" s="101"/>
      <c r="D12" s="101"/>
      <c r="E12" s="113" t="s">
        <v>143</v>
      </c>
      <c r="F12" s="113"/>
      <c r="G12" s="113"/>
      <c r="H12" s="113"/>
    </row>
    <row r="13" spans="1:12" x14ac:dyDescent="0.25">
      <c r="A13" s="101" t="s">
        <v>9</v>
      </c>
      <c r="B13" s="101"/>
      <c r="C13" s="101"/>
      <c r="D13" s="101"/>
      <c r="E13" s="143" t="s">
        <v>148</v>
      </c>
      <c r="F13" s="143"/>
      <c r="G13" s="143"/>
      <c r="H13" s="143"/>
    </row>
    <row r="14" spans="1:12" ht="34.5" customHeight="1" x14ac:dyDescent="0.25">
      <c r="A14" s="105" t="s">
        <v>10</v>
      </c>
      <c r="B14" s="105"/>
      <c r="C14" s="105" t="str">
        <f>CONCATENATE((IF(OR(E8="",E8="NA"),"",E8)),", ",(IF(OR(A15="",A15="NA"),"",A15)),".",(IF(OR(C15="",C15="NA"),"",C15)),", ",(IF(OR(C16="",C16="NA"),"",C16)),", ",(IF(OR(G16="",G16="NA"),"",G16)),", ",(IF(OR(C17="",C17="NA"),"",C17)),", ",(IF(OR(C18="",C18="NA"),"",C18)),", ",(IF(OR(G17="",G17="NA"),"",G17))," - ",(IF(OR(G18="",G18="NA"),"",G18)),".")</f>
        <v>19 East, Plot No.52 &amp; Sector No.19A, Jagatguru Aadi Shankracharya Marg, Nerul, Seawoods, Thane, Thane - 400706.</v>
      </c>
      <c r="D14" s="105"/>
      <c r="E14" s="105"/>
      <c r="F14" s="105"/>
      <c r="G14" s="105"/>
      <c r="H14" s="105"/>
    </row>
    <row r="15" spans="1:12" ht="15.75" customHeight="1" x14ac:dyDescent="0.25">
      <c r="A15" s="113" t="s">
        <v>150</v>
      </c>
      <c r="B15" s="113"/>
      <c r="C15" s="113" t="s">
        <v>149</v>
      </c>
      <c r="D15" s="113"/>
      <c r="E15" s="113"/>
      <c r="F15" s="113"/>
      <c r="G15" s="113"/>
      <c r="H15" s="113"/>
    </row>
    <row r="16" spans="1:12" ht="32.25" customHeight="1" x14ac:dyDescent="0.25">
      <c r="A16" s="105" t="s">
        <v>11</v>
      </c>
      <c r="B16" s="105"/>
      <c r="C16" s="206" t="s">
        <v>153</v>
      </c>
      <c r="D16" s="207"/>
      <c r="E16" s="105" t="s">
        <v>106</v>
      </c>
      <c r="F16" s="105"/>
      <c r="G16" s="113" t="s">
        <v>154</v>
      </c>
      <c r="H16" s="113"/>
    </row>
    <row r="17" spans="1:8" x14ac:dyDescent="0.25">
      <c r="A17" s="101" t="s">
        <v>13</v>
      </c>
      <c r="B17" s="101"/>
      <c r="C17" s="113" t="s">
        <v>287</v>
      </c>
      <c r="D17" s="113"/>
      <c r="E17" s="105" t="s">
        <v>12</v>
      </c>
      <c r="F17" s="105"/>
      <c r="G17" s="197" t="s">
        <v>151</v>
      </c>
      <c r="H17" s="197"/>
    </row>
    <row r="18" spans="1:8" x14ac:dyDescent="0.25">
      <c r="A18" s="101" t="s">
        <v>107</v>
      </c>
      <c r="B18" s="101"/>
      <c r="C18" s="113" t="s">
        <v>151</v>
      </c>
      <c r="D18" s="113"/>
      <c r="E18" s="105" t="s">
        <v>14</v>
      </c>
      <c r="F18" s="105"/>
      <c r="G18" s="113">
        <v>400706</v>
      </c>
      <c r="H18" s="113"/>
    </row>
    <row r="19" spans="1:8" ht="32.25" customHeight="1" x14ac:dyDescent="0.25">
      <c r="A19" s="101" t="s">
        <v>15</v>
      </c>
      <c r="B19" s="101"/>
      <c r="C19" s="208" t="s">
        <v>152</v>
      </c>
      <c r="D19" s="208"/>
      <c r="E19" s="105" t="s">
        <v>16</v>
      </c>
      <c r="F19" s="105"/>
      <c r="G19" s="113" t="s">
        <v>155</v>
      </c>
      <c r="H19" s="113"/>
    </row>
    <row r="20" spans="1:8" ht="15" customHeight="1" x14ac:dyDescent="0.25">
      <c r="A20" s="105" t="s">
        <v>111</v>
      </c>
      <c r="B20" s="105"/>
      <c r="C20" s="105"/>
      <c r="D20" s="105"/>
      <c r="E20" s="143" t="s">
        <v>17</v>
      </c>
      <c r="F20" s="143"/>
      <c r="G20" s="143"/>
      <c r="H20" s="143"/>
    </row>
    <row r="21" spans="1:8" ht="18.75" customHeight="1" x14ac:dyDescent="0.25">
      <c r="A21" s="105"/>
      <c r="B21" s="105"/>
      <c r="C21" s="105"/>
      <c r="D21" s="105"/>
      <c r="E21" s="143"/>
      <c r="F21" s="143"/>
      <c r="G21" s="143"/>
      <c r="H21" s="143"/>
    </row>
    <row r="22" spans="1:8" ht="15" customHeight="1" x14ac:dyDescent="0.25">
      <c r="A22" s="105" t="s">
        <v>18</v>
      </c>
      <c r="B22" s="105"/>
      <c r="C22" s="105"/>
      <c r="D22" s="105"/>
      <c r="E22" s="113" t="s">
        <v>19</v>
      </c>
      <c r="F22" s="113"/>
      <c r="G22" s="113"/>
      <c r="H22" s="113"/>
    </row>
    <row r="23" spans="1:8" ht="15" customHeight="1" x14ac:dyDescent="0.25">
      <c r="A23" s="101" t="s">
        <v>20</v>
      </c>
      <c r="B23" s="101"/>
      <c r="C23" s="101"/>
      <c r="D23" s="101"/>
      <c r="E23" s="113" t="s">
        <v>197</v>
      </c>
      <c r="F23" s="113"/>
      <c r="G23" s="113"/>
      <c r="H23" s="113"/>
    </row>
    <row r="24" spans="1:8" x14ac:dyDescent="0.25">
      <c r="A24" s="101" t="s">
        <v>21</v>
      </c>
      <c r="B24" s="101"/>
      <c r="C24" s="101"/>
      <c r="D24" s="101"/>
      <c r="E24" s="113" t="s">
        <v>22</v>
      </c>
      <c r="F24" s="113"/>
      <c r="G24" s="113"/>
      <c r="H24" s="113"/>
    </row>
    <row r="25" spans="1:8" x14ac:dyDescent="0.25">
      <c r="A25" s="101" t="s">
        <v>23</v>
      </c>
      <c r="B25" s="101"/>
      <c r="C25" s="101"/>
      <c r="D25" s="101"/>
      <c r="E25" s="113" t="s">
        <v>156</v>
      </c>
      <c r="F25" s="113"/>
      <c r="G25" s="113"/>
      <c r="H25" s="113"/>
    </row>
    <row r="26" spans="1:8" x14ac:dyDescent="0.25">
      <c r="A26" s="101" t="s">
        <v>24</v>
      </c>
      <c r="B26" s="101"/>
      <c r="C26" s="101"/>
      <c r="D26" s="101"/>
      <c r="E26" s="113" t="s">
        <v>25</v>
      </c>
      <c r="F26" s="113"/>
      <c r="G26" s="113"/>
      <c r="H26" s="113"/>
    </row>
    <row r="27" spans="1:8" x14ac:dyDescent="0.25">
      <c r="A27" s="101" t="s">
        <v>118</v>
      </c>
      <c r="B27" s="101"/>
      <c r="C27" s="101"/>
      <c r="D27" s="101"/>
      <c r="E27" s="113" t="s">
        <v>119</v>
      </c>
      <c r="F27" s="113"/>
      <c r="G27" s="113"/>
      <c r="H27" s="113"/>
    </row>
    <row r="28" spans="1:8" ht="15" customHeight="1" x14ac:dyDescent="0.25">
      <c r="A28" s="105" t="s">
        <v>34</v>
      </c>
      <c r="B28" s="105"/>
      <c r="C28" s="105"/>
      <c r="D28" s="105"/>
      <c r="E28" s="198" t="s">
        <v>115</v>
      </c>
      <c r="F28" s="198"/>
      <c r="G28" s="198"/>
      <c r="H28" s="198"/>
    </row>
    <row r="29" spans="1:8" x14ac:dyDescent="0.25">
      <c r="A29" s="105" t="s">
        <v>131</v>
      </c>
      <c r="B29" s="105"/>
      <c r="C29" s="105"/>
      <c r="D29" s="105"/>
      <c r="E29" s="105" t="s">
        <v>35</v>
      </c>
      <c r="F29" s="105"/>
      <c r="G29" s="105"/>
      <c r="H29" s="105"/>
    </row>
    <row r="30" spans="1:8" s="12" customFormat="1" x14ac:dyDescent="0.25">
      <c r="A30" s="185" t="s">
        <v>132</v>
      </c>
      <c r="B30" s="185"/>
      <c r="C30" s="200" t="s">
        <v>30</v>
      </c>
      <c r="D30" s="200"/>
      <c r="E30" s="200"/>
      <c r="F30" s="200" t="s">
        <v>32</v>
      </c>
      <c r="G30" s="200"/>
      <c r="H30" s="200"/>
    </row>
    <row r="31" spans="1:8" s="12" customFormat="1" x14ac:dyDescent="0.25">
      <c r="A31" s="184" t="s">
        <v>26</v>
      </c>
      <c r="B31" s="184" t="s">
        <v>31</v>
      </c>
      <c r="C31" s="183" t="s">
        <v>31</v>
      </c>
      <c r="D31" s="183"/>
      <c r="E31" s="183"/>
      <c r="F31" s="183" t="s">
        <v>11</v>
      </c>
      <c r="G31" s="183"/>
      <c r="H31" s="183"/>
    </row>
    <row r="32" spans="1:8" x14ac:dyDescent="0.25">
      <c r="A32" s="184" t="s">
        <v>27</v>
      </c>
      <c r="B32" s="184" t="s">
        <v>31</v>
      </c>
      <c r="C32" s="183" t="s">
        <v>31</v>
      </c>
      <c r="D32" s="183"/>
      <c r="E32" s="183"/>
      <c r="F32" s="183" t="s">
        <v>158</v>
      </c>
      <c r="G32" s="183"/>
      <c r="H32" s="183"/>
    </row>
    <row r="33" spans="1:8" s="12" customFormat="1" x14ac:dyDescent="0.25">
      <c r="A33" s="184" t="s">
        <v>29</v>
      </c>
      <c r="B33" s="184" t="s">
        <v>31</v>
      </c>
      <c r="C33" s="183" t="s">
        <v>31</v>
      </c>
      <c r="D33" s="183"/>
      <c r="E33" s="183"/>
      <c r="F33" s="183" t="s">
        <v>157</v>
      </c>
      <c r="G33" s="183"/>
      <c r="H33" s="183"/>
    </row>
    <row r="34" spans="1:8" x14ac:dyDescent="0.25">
      <c r="A34" s="184" t="s">
        <v>28</v>
      </c>
      <c r="B34" s="184" t="s">
        <v>31</v>
      </c>
      <c r="C34" s="183" t="s">
        <v>31</v>
      </c>
      <c r="D34" s="183"/>
      <c r="E34" s="183"/>
      <c r="F34" s="183" t="s">
        <v>11</v>
      </c>
      <c r="G34" s="183"/>
      <c r="H34" s="183"/>
    </row>
    <row r="35" spans="1:8" x14ac:dyDescent="0.25">
      <c r="A35" s="101" t="s">
        <v>33</v>
      </c>
      <c r="B35" s="101"/>
      <c r="C35" s="101"/>
      <c r="D35" s="101"/>
      <c r="E35" s="101"/>
      <c r="F35" s="101"/>
      <c r="G35" s="101"/>
      <c r="H35" s="101"/>
    </row>
    <row r="36" spans="1:8" ht="15.75" customHeight="1" x14ac:dyDescent="0.25">
      <c r="A36" s="101" t="s">
        <v>253</v>
      </c>
      <c r="B36" s="101"/>
      <c r="C36" s="219" t="s">
        <v>254</v>
      </c>
      <c r="D36" s="220"/>
      <c r="E36" s="220"/>
      <c r="F36" s="220"/>
      <c r="G36" s="220"/>
      <c r="H36" s="221"/>
    </row>
    <row r="37" spans="1:8" ht="15.75" customHeight="1" x14ac:dyDescent="0.25">
      <c r="A37" s="101" t="s">
        <v>249</v>
      </c>
      <c r="B37" s="101"/>
      <c r="C37" s="156" t="s">
        <v>250</v>
      </c>
      <c r="D37" s="157"/>
      <c r="E37" s="157"/>
      <c r="F37" s="157"/>
      <c r="G37" s="157"/>
      <c r="H37" s="158"/>
    </row>
    <row r="38" spans="1:8" x14ac:dyDescent="0.25">
      <c r="A38" s="182" t="s">
        <v>36</v>
      </c>
      <c r="B38" s="182"/>
      <c r="C38" s="182"/>
      <c r="D38" s="182"/>
      <c r="E38" s="182"/>
      <c r="F38" s="182"/>
      <c r="G38" s="182"/>
      <c r="H38" s="182"/>
    </row>
    <row r="39" spans="1:8" x14ac:dyDescent="0.25">
      <c r="A39" s="101" t="s">
        <v>37</v>
      </c>
      <c r="B39" s="101"/>
      <c r="C39" s="101"/>
      <c r="D39" s="101"/>
      <c r="E39" s="199">
        <v>13619.47</v>
      </c>
      <c r="F39" s="199"/>
      <c r="G39" s="199"/>
      <c r="H39" s="199"/>
    </row>
    <row r="40" spans="1:8" x14ac:dyDescent="0.25">
      <c r="A40" s="101" t="s">
        <v>38</v>
      </c>
      <c r="B40" s="101"/>
      <c r="C40" s="101"/>
      <c r="D40" s="101"/>
      <c r="E40" s="179">
        <v>1.5</v>
      </c>
      <c r="F40" s="179"/>
      <c r="G40" s="179"/>
      <c r="H40" s="179"/>
    </row>
    <row r="41" spans="1:8" x14ac:dyDescent="0.25">
      <c r="A41" s="101" t="s">
        <v>39</v>
      </c>
      <c r="B41" s="101"/>
      <c r="C41" s="101"/>
      <c r="D41" s="101"/>
      <c r="E41" s="179">
        <f>E43/E39-E40</f>
        <v>0</v>
      </c>
      <c r="F41" s="179"/>
      <c r="G41" s="179"/>
      <c r="H41" s="179"/>
    </row>
    <row r="42" spans="1:8" x14ac:dyDescent="0.25">
      <c r="A42" s="101" t="s">
        <v>40</v>
      </c>
      <c r="B42" s="101"/>
      <c r="C42" s="101"/>
      <c r="D42" s="101"/>
      <c r="E42" s="179">
        <f>E40+E41</f>
        <v>1.5</v>
      </c>
      <c r="F42" s="179"/>
      <c r="G42" s="179"/>
      <c r="H42" s="179"/>
    </row>
    <row r="43" spans="1:8" x14ac:dyDescent="0.25">
      <c r="A43" s="101" t="s">
        <v>130</v>
      </c>
      <c r="B43" s="101"/>
      <c r="C43" s="101"/>
      <c r="D43" s="101"/>
      <c r="E43" s="180">
        <v>20429.205000000002</v>
      </c>
      <c r="F43" s="180"/>
      <c r="G43" s="180"/>
      <c r="H43" s="180"/>
    </row>
    <row r="44" spans="1:8" x14ac:dyDescent="0.25">
      <c r="A44" s="143" t="s">
        <v>41</v>
      </c>
      <c r="B44" s="143"/>
      <c r="C44" s="143"/>
      <c r="D44" s="143"/>
      <c r="E44" s="143" t="s">
        <v>296</v>
      </c>
      <c r="F44" s="143"/>
      <c r="G44" s="143"/>
      <c r="H44" s="143"/>
    </row>
    <row r="45" spans="1:8" x14ac:dyDescent="0.25">
      <c r="A45" s="182" t="s">
        <v>42</v>
      </c>
      <c r="B45" s="182"/>
      <c r="C45" s="182"/>
      <c r="D45" s="182"/>
      <c r="E45" s="182"/>
      <c r="F45" s="182"/>
      <c r="G45" s="182"/>
      <c r="H45" s="182"/>
    </row>
    <row r="46" spans="1:8" x14ac:dyDescent="0.25">
      <c r="A46" s="105" t="s">
        <v>43</v>
      </c>
      <c r="B46" s="105"/>
      <c r="C46" s="111" t="s">
        <v>201</v>
      </c>
      <c r="D46" s="111"/>
      <c r="E46" s="111"/>
      <c r="F46" s="34" t="s">
        <v>44</v>
      </c>
      <c r="G46" s="112" t="s">
        <v>159</v>
      </c>
      <c r="H46" s="113"/>
    </row>
    <row r="47" spans="1:8" x14ac:dyDescent="0.25">
      <c r="A47" s="105" t="s">
        <v>45</v>
      </c>
      <c r="B47" s="105"/>
      <c r="C47" s="111" t="str">
        <f>C46</f>
        <v>2019/CNMMC/15819/3730/2019</v>
      </c>
      <c r="D47" s="111"/>
      <c r="E47" s="111"/>
      <c r="F47" s="34" t="s">
        <v>44</v>
      </c>
      <c r="G47" s="112" t="str">
        <f>G46</f>
        <v>24/09/2019.</v>
      </c>
      <c r="H47" s="113"/>
    </row>
    <row r="48" spans="1:8" ht="33" customHeight="1" x14ac:dyDescent="0.25">
      <c r="A48" s="105" t="s">
        <v>274</v>
      </c>
      <c r="B48" s="105"/>
      <c r="C48" s="111" t="s">
        <v>275</v>
      </c>
      <c r="D48" s="111"/>
      <c r="E48" s="111"/>
      <c r="F48" s="34" t="s">
        <v>44</v>
      </c>
      <c r="G48" s="112">
        <v>44852</v>
      </c>
      <c r="H48" s="113"/>
    </row>
    <row r="49" spans="1:8" s="11" customFormat="1" x14ac:dyDescent="0.25">
      <c r="A49" s="113" t="s">
        <v>46</v>
      </c>
      <c r="B49" s="113"/>
      <c r="C49" s="111" t="s">
        <v>201</v>
      </c>
      <c r="D49" s="110"/>
      <c r="E49" s="110"/>
      <c r="F49" s="14" t="s">
        <v>44</v>
      </c>
      <c r="G49" s="114" t="str">
        <f>G47</f>
        <v>24/09/2019.</v>
      </c>
      <c r="H49" s="110"/>
    </row>
    <row r="50" spans="1:8" s="11" customFormat="1" ht="35.450000000000003" customHeight="1" x14ac:dyDescent="0.25">
      <c r="A50" s="113"/>
      <c r="B50" s="113"/>
      <c r="C50" s="115" t="s">
        <v>203</v>
      </c>
      <c r="D50" s="116"/>
      <c r="E50" s="116"/>
      <c r="F50" s="116"/>
      <c r="G50" s="116"/>
      <c r="H50" s="117"/>
    </row>
    <row r="51" spans="1:8" s="11" customFormat="1" x14ac:dyDescent="0.25">
      <c r="A51" s="113" t="s">
        <v>277</v>
      </c>
      <c r="B51" s="113"/>
      <c r="C51" s="111" t="s">
        <v>276</v>
      </c>
      <c r="D51" s="110"/>
      <c r="E51" s="110"/>
      <c r="F51" s="14" t="s">
        <v>44</v>
      </c>
      <c r="G51" s="114">
        <v>44852</v>
      </c>
      <c r="H51" s="110"/>
    </row>
    <row r="52" spans="1:8" s="11" customFormat="1" ht="49.5" customHeight="1" x14ac:dyDescent="0.25">
      <c r="A52" s="113"/>
      <c r="B52" s="113"/>
      <c r="C52" s="115" t="s">
        <v>278</v>
      </c>
      <c r="D52" s="116"/>
      <c r="E52" s="116"/>
      <c r="F52" s="116"/>
      <c r="G52" s="116"/>
      <c r="H52" s="117"/>
    </row>
    <row r="53" spans="1:8" x14ac:dyDescent="0.25">
      <c r="A53" s="124" t="s">
        <v>47</v>
      </c>
      <c r="B53" s="124"/>
      <c r="C53" s="188" t="s">
        <v>144</v>
      </c>
      <c r="D53" s="189"/>
      <c r="E53" s="189" t="s">
        <v>48</v>
      </c>
      <c r="F53" s="37" t="s">
        <v>44</v>
      </c>
      <c r="G53" s="186" t="s">
        <v>31</v>
      </c>
      <c r="H53" s="187"/>
    </row>
    <row r="54" spans="1:8" x14ac:dyDescent="0.25">
      <c r="A54" s="181" t="s">
        <v>50</v>
      </c>
      <c r="B54" s="181"/>
      <c r="C54" s="181"/>
      <c r="D54" s="181"/>
      <c r="E54" s="181"/>
      <c r="F54" s="181"/>
      <c r="G54" s="181"/>
      <c r="H54" s="181"/>
    </row>
    <row r="55" spans="1:8" x14ac:dyDescent="0.25">
      <c r="A55" s="105" t="s">
        <v>129</v>
      </c>
      <c r="B55" s="105"/>
      <c r="C55" s="105"/>
      <c r="D55" s="101">
        <f>E43</f>
        <v>20429.205000000002</v>
      </c>
      <c r="E55" s="101"/>
      <c r="F55" s="101"/>
      <c r="G55" s="101"/>
      <c r="H55" s="101"/>
    </row>
    <row r="56" spans="1:8" x14ac:dyDescent="0.25">
      <c r="A56" s="113" t="s">
        <v>51</v>
      </c>
      <c r="B56" s="143"/>
      <c r="C56" s="143"/>
      <c r="D56" s="143" t="s">
        <v>272</v>
      </c>
      <c r="E56" s="143"/>
      <c r="F56" s="143"/>
      <c r="G56" s="143"/>
      <c r="H56" s="143"/>
    </row>
    <row r="57" spans="1:8" ht="49.5" customHeight="1" x14ac:dyDescent="0.25">
      <c r="A57" s="144" t="s">
        <v>52</v>
      </c>
      <c r="B57" s="145"/>
      <c r="C57" s="146"/>
      <c r="D57" s="113" t="s">
        <v>202</v>
      </c>
      <c r="E57" s="143"/>
      <c r="F57" s="143"/>
      <c r="G57" s="143"/>
      <c r="H57" s="143"/>
    </row>
    <row r="58" spans="1:8" x14ac:dyDescent="0.25">
      <c r="A58" s="147"/>
      <c r="B58" s="148"/>
      <c r="C58" s="149"/>
      <c r="D58" s="113" t="s">
        <v>273</v>
      </c>
      <c r="E58" s="143"/>
      <c r="F58" s="143"/>
      <c r="G58" s="143"/>
      <c r="H58" s="143"/>
    </row>
    <row r="59" spans="1:8" ht="49.5" customHeight="1" x14ac:dyDescent="0.25">
      <c r="A59" s="144" t="s">
        <v>127</v>
      </c>
      <c r="B59" s="145"/>
      <c r="C59" s="146"/>
      <c r="D59" s="113" t="s">
        <v>202</v>
      </c>
      <c r="E59" s="143"/>
      <c r="F59" s="143"/>
      <c r="G59" s="143"/>
      <c r="H59" s="143"/>
    </row>
    <row r="60" spans="1:8" x14ac:dyDescent="0.25">
      <c r="A60" s="147"/>
      <c r="B60" s="148"/>
      <c r="C60" s="149"/>
      <c r="D60" s="113" t="s">
        <v>273</v>
      </c>
      <c r="E60" s="143"/>
      <c r="F60" s="143"/>
      <c r="G60" s="143"/>
      <c r="H60" s="143"/>
    </row>
    <row r="61" spans="1:8" ht="15.75" customHeight="1" x14ac:dyDescent="0.25">
      <c r="A61" s="101" t="s">
        <v>49</v>
      </c>
      <c r="B61" s="101"/>
      <c r="C61" s="101"/>
      <c r="D61" s="105" t="s">
        <v>244</v>
      </c>
      <c r="E61" s="105"/>
      <c r="F61" s="105"/>
      <c r="G61" s="105"/>
      <c r="H61" s="105"/>
    </row>
    <row r="62" spans="1:8" ht="33" customHeight="1" x14ac:dyDescent="0.25">
      <c r="A62" s="101" t="s">
        <v>282</v>
      </c>
      <c r="B62" s="101"/>
      <c r="C62" s="101" t="s">
        <v>281</v>
      </c>
      <c r="D62" s="105" t="s">
        <v>283</v>
      </c>
      <c r="E62" s="105"/>
      <c r="F62" s="105"/>
      <c r="G62" s="105"/>
      <c r="H62" s="105"/>
    </row>
    <row r="63" spans="1:8" ht="15.75" customHeight="1" x14ac:dyDescent="0.25">
      <c r="A63" s="101" t="s">
        <v>124</v>
      </c>
      <c r="B63" s="101"/>
      <c r="C63" s="101"/>
      <c r="D63" s="105" t="s">
        <v>125</v>
      </c>
      <c r="E63" s="105"/>
      <c r="F63" s="105"/>
      <c r="G63" s="105"/>
      <c r="H63" s="105"/>
    </row>
    <row r="64" spans="1:8" x14ac:dyDescent="0.25">
      <c r="A64" s="101" t="s">
        <v>284</v>
      </c>
      <c r="B64" s="101"/>
      <c r="C64" s="101"/>
      <c r="D64" s="105" t="s">
        <v>31</v>
      </c>
      <c r="E64" s="105"/>
      <c r="F64" s="105"/>
      <c r="G64" s="105"/>
      <c r="H64" s="105"/>
    </row>
    <row r="65" spans="1:14" ht="15.75" customHeight="1" x14ac:dyDescent="0.25">
      <c r="A65" s="101" t="s">
        <v>126</v>
      </c>
      <c r="B65" s="101"/>
      <c r="C65" s="101"/>
      <c r="D65" s="105" t="s">
        <v>25</v>
      </c>
      <c r="E65" s="105"/>
      <c r="F65" s="105"/>
      <c r="G65" s="105"/>
      <c r="H65" s="105"/>
      <c r="J65" s="22"/>
      <c r="K65" s="22"/>
    </row>
    <row r="66" spans="1:14" ht="17.25" customHeight="1" x14ac:dyDescent="0.25">
      <c r="A66" s="101" t="s">
        <v>123</v>
      </c>
      <c r="B66" s="101"/>
      <c r="C66" s="101"/>
      <c r="D66" s="105" t="s">
        <v>198</v>
      </c>
      <c r="E66" s="105"/>
      <c r="F66" s="105"/>
      <c r="G66" s="105"/>
      <c r="H66" s="105"/>
      <c r="J66" s="22"/>
      <c r="K66" s="22"/>
    </row>
    <row r="67" spans="1:14" ht="34.5" customHeight="1" thickBot="1" x14ac:dyDescent="0.3">
      <c r="A67" s="105" t="s">
        <v>285</v>
      </c>
      <c r="B67" s="105"/>
      <c r="C67" s="105"/>
      <c r="D67" s="105" t="s">
        <v>286</v>
      </c>
      <c r="E67" s="105"/>
      <c r="F67" s="105"/>
      <c r="G67" s="105"/>
      <c r="H67" s="105"/>
    </row>
    <row r="68" spans="1:14" customFormat="1" ht="15.75" customHeight="1" x14ac:dyDescent="0.25">
      <c r="A68" s="175" t="s">
        <v>224</v>
      </c>
      <c r="B68" s="176"/>
      <c r="C68" s="176" t="s">
        <v>242</v>
      </c>
      <c r="D68" s="176"/>
      <c r="E68" s="176"/>
      <c r="F68" s="176"/>
      <c r="G68" s="176"/>
      <c r="H68" s="177"/>
      <c r="I68" s="71" t="str">
        <f>(IF(E74&gt;99%,"All work completed. Please provide OC.",IF(E74&gt;89.8%,"Plinth, RCC, Brick, Plaster, Flooring, Painting work Completed. Finishing work is in process.",IF(E74&lt;94%,(IF(C74=0,"Work not yet Started.",IF(D74=25%,"Piling work in process",IF(D74=50%,"Excavation work in process",IF(D74=100%,"Excavation work Completed. ","0")))&amp;(IF(C75=0%,"",IF(C75=J76,"Footing work is process",IF(C75=J77,"Footing work Completed",IF(C75=J78,"1st Basement Completed",IF(C75=J79,"1st &amp; 2nd Basement Completed",IF(C75=J80,"1st to 3rd Basement Completed",IF(C75=J81,"1st to 4th Basement Completed",IF(C75=J82,"Plinth work is process",IF(C75=J83,"Plinth work completed","0")))))))))))&amp;(IF(C76=(D69+F69+H69),", RCC Slab",IF(C76&gt;0,", RCC upto "&amp;C76&amp;" Slab",""))&amp;(IF(C77=H69,", Brickwork",IF(C77&gt;0,", Brickwork upto "&amp;C77&amp;" Floor",""))&amp;(IF(C78=H69,", Internal Plaster",IF(C78&gt;0,", Internal Plaster upto "&amp;C78&amp;" Floor",""))&amp;(IF(C79=H69,", External Plaster",IF(C79&gt;0,", External Plaster upto "&amp;C79&amp;" Floor",""))&amp;(IF(C80=H69,", Flooring",IF(C80&gt;0,", Flooring upto "&amp;C80&amp;" Floor",""))&amp;(IF(C81=H69,", Painting",IF(C81&gt;0,", Painting upto "&amp;C81&amp;" Floor",""))&amp;(IF(C82&gt;0,", Finishing upto "&amp;C82&amp;" Floor","")&amp;(IF(C76&gt;0.5," Completed",""))))))))))))))</f>
        <v>All work completed. Please provide OC.</v>
      </c>
      <c r="J68" s="26"/>
    </row>
    <row r="69" spans="1:14" customFormat="1" x14ac:dyDescent="0.25">
      <c r="A69" s="25" t="s">
        <v>103</v>
      </c>
      <c r="B69" s="80">
        <v>0</v>
      </c>
      <c r="C69" s="80" t="s">
        <v>105</v>
      </c>
      <c r="D69" s="80">
        <v>0</v>
      </c>
      <c r="E69" s="80" t="s">
        <v>104</v>
      </c>
      <c r="F69" s="80">
        <v>0</v>
      </c>
      <c r="G69" s="80" t="s">
        <v>117</v>
      </c>
      <c r="H69" s="53">
        <v>1</v>
      </c>
      <c r="I69" s="22"/>
      <c r="J69" s="27"/>
    </row>
    <row r="70" spans="1:14" customFormat="1" x14ac:dyDescent="0.25">
      <c r="A70" s="122" t="s">
        <v>128</v>
      </c>
      <c r="B70" s="123"/>
      <c r="C70" s="124" t="str">
        <f>I68</f>
        <v>All work completed. Please provide OC.</v>
      </c>
      <c r="D70" s="124"/>
      <c r="E70" s="124"/>
      <c r="F70" s="124"/>
      <c r="G70" s="124"/>
      <c r="H70" s="125"/>
      <c r="I70" s="22" t="s">
        <v>142</v>
      </c>
      <c r="J70" s="27"/>
    </row>
    <row r="71" spans="1:14" s="96" customFormat="1" x14ac:dyDescent="0.25">
      <c r="A71" s="132" t="s">
        <v>122</v>
      </c>
      <c r="B71" s="133"/>
      <c r="C71" s="136">
        <v>1</v>
      </c>
      <c r="D71" s="137"/>
      <c r="E71" s="140" t="s">
        <v>121</v>
      </c>
      <c r="F71" s="137"/>
      <c r="G71" s="136">
        <v>1</v>
      </c>
      <c r="H71" s="141"/>
      <c r="I71" s="94"/>
      <c r="J71" s="95"/>
    </row>
    <row r="72" spans="1:14" s="96" customFormat="1" ht="16.5" thickBot="1" x14ac:dyDescent="0.3">
      <c r="A72" s="134"/>
      <c r="B72" s="135"/>
      <c r="C72" s="138"/>
      <c r="D72" s="139"/>
      <c r="E72" s="138"/>
      <c r="F72" s="139"/>
      <c r="G72" s="138"/>
      <c r="H72" s="142"/>
      <c r="I72" s="94"/>
      <c r="J72" s="95"/>
    </row>
    <row r="73" spans="1:14" customFormat="1" ht="31.5" hidden="1" x14ac:dyDescent="0.25">
      <c r="A73" s="130" t="s">
        <v>53</v>
      </c>
      <c r="B73" s="131"/>
      <c r="C73" s="97" t="s">
        <v>225</v>
      </c>
      <c r="D73" s="97" t="s">
        <v>120</v>
      </c>
      <c r="E73" s="131" t="s">
        <v>122</v>
      </c>
      <c r="F73" s="131"/>
      <c r="G73" s="131" t="s">
        <v>121</v>
      </c>
      <c r="H73" s="178"/>
      <c r="I73" s="70" t="s">
        <v>226</v>
      </c>
      <c r="J73" s="28">
        <f>H69*25%</f>
        <v>0.25</v>
      </c>
    </row>
    <row r="74" spans="1:14" customFormat="1" hidden="1" x14ac:dyDescent="0.25">
      <c r="A74" s="106" t="s">
        <v>227</v>
      </c>
      <c r="B74" s="107"/>
      <c r="C74" s="55">
        <v>1</v>
      </c>
      <c r="D74" s="81">
        <f>((100/H69)*C74)/100</f>
        <v>1</v>
      </c>
      <c r="E74" s="126">
        <f>(((C75/H69*10)+(40/(D69+F69+H69)*C76)+(7.5/(H69)*C77)+(7.5/(H69)*C78)+(10/H69*C79)+(10/H69*C80)+(5/H69*C81)+(5/H69*C82)+(5/H69*C83))/100)</f>
        <v>1</v>
      </c>
      <c r="F74" s="126"/>
      <c r="G74" s="126">
        <f>((((C74/H69)*20)+((C75/H69)*25)+(30/(H69+F69+D69)*C76)+(5/H69*C77)+(5/H69*C78)+(5/H69*C79)+(5/H69*C80)+(0/H69*C81)+(0/H69*C82)+(5/H69*C83))/100)</f>
        <v>1</v>
      </c>
      <c r="H74" s="128"/>
      <c r="I74" s="70" t="s">
        <v>136</v>
      </c>
      <c r="J74" s="72">
        <f>H69*50%</f>
        <v>0.5</v>
      </c>
    </row>
    <row r="75" spans="1:14" customFormat="1" hidden="1" x14ac:dyDescent="0.25">
      <c r="A75" s="106" t="s">
        <v>54</v>
      </c>
      <c r="B75" s="107"/>
      <c r="C75" s="56">
        <v>1</v>
      </c>
      <c r="D75" s="81">
        <f>((100/H69)*C75)/100</f>
        <v>1</v>
      </c>
      <c r="E75" s="126"/>
      <c r="F75" s="126"/>
      <c r="G75" s="126"/>
      <c r="H75" s="128"/>
      <c r="I75" s="70" t="s">
        <v>137</v>
      </c>
      <c r="J75" s="72">
        <f>H69</f>
        <v>1</v>
      </c>
    </row>
    <row r="76" spans="1:14" customFormat="1" hidden="1" x14ac:dyDescent="0.25">
      <c r="A76" s="106" t="s">
        <v>228</v>
      </c>
      <c r="B76" s="107"/>
      <c r="C76" s="56">
        <v>1</v>
      </c>
      <c r="D76" s="81">
        <f>((100/(D69+F69+H69))*C76)/100</f>
        <v>1</v>
      </c>
      <c r="E76" s="126"/>
      <c r="F76" s="126"/>
      <c r="G76" s="126"/>
      <c r="H76" s="128"/>
      <c r="I76" s="70" t="s">
        <v>138</v>
      </c>
      <c r="J76" s="73">
        <f>(IF(B69&gt;1,(H69/(B69+2)),H69/4))</f>
        <v>0.25</v>
      </c>
      <c r="L76" s="74"/>
    </row>
    <row r="77" spans="1:14" customFormat="1" ht="15.75" hidden="1" customHeight="1" x14ac:dyDescent="0.25">
      <c r="A77" s="106" t="s">
        <v>229</v>
      </c>
      <c r="B77" s="107" t="s">
        <v>230</v>
      </c>
      <c r="C77" s="55">
        <v>1</v>
      </c>
      <c r="D77" s="81">
        <f>((100/H69)*C77)/100</f>
        <v>1</v>
      </c>
      <c r="E77" s="126"/>
      <c r="F77" s="126"/>
      <c r="G77" s="126"/>
      <c r="H77" s="128"/>
      <c r="I77" s="70" t="s">
        <v>139</v>
      </c>
      <c r="J77" s="73">
        <f>(IF(B69&gt;1,(H69/(B69+2)+J76),H69/4+J76))</f>
        <v>0.5</v>
      </c>
      <c r="L77" s="74"/>
    </row>
    <row r="78" spans="1:14" customFormat="1" ht="15.75" hidden="1" customHeight="1" x14ac:dyDescent="0.25">
      <c r="A78" s="106" t="s">
        <v>231</v>
      </c>
      <c r="B78" s="107" t="s">
        <v>230</v>
      </c>
      <c r="C78" s="55">
        <v>1</v>
      </c>
      <c r="D78" s="81">
        <f>((100/H69)*C78)/100</f>
        <v>1</v>
      </c>
      <c r="E78" s="126"/>
      <c r="F78" s="126"/>
      <c r="G78" s="126"/>
      <c r="H78" s="128"/>
      <c r="I78" s="70" t="s">
        <v>232</v>
      </c>
      <c r="J78" s="73">
        <f>(IF(B69&gt;1,(H69/(B69+2)+J77),0))</f>
        <v>0</v>
      </c>
      <c r="L78" s="75"/>
      <c r="N78" s="74"/>
    </row>
    <row r="79" spans="1:14" customFormat="1" ht="15.75" hidden="1" customHeight="1" x14ac:dyDescent="0.25">
      <c r="A79" s="106" t="s">
        <v>233</v>
      </c>
      <c r="B79" s="107" t="s">
        <v>234</v>
      </c>
      <c r="C79" s="55">
        <v>1</v>
      </c>
      <c r="D79" s="81">
        <f>((100/(H69))*C79)/100</f>
        <v>1</v>
      </c>
      <c r="E79" s="126"/>
      <c r="F79" s="126"/>
      <c r="G79" s="126"/>
      <c r="H79" s="128"/>
      <c r="I79" s="70" t="s">
        <v>235</v>
      </c>
      <c r="J79" s="73">
        <f>(IF(B69&gt;2,(H69/(B69+2)+J78),0))</f>
        <v>0</v>
      </c>
      <c r="K79" s="76"/>
      <c r="L79" s="75"/>
    </row>
    <row r="80" spans="1:14" customFormat="1" ht="15.75" hidden="1" customHeight="1" x14ac:dyDescent="0.25">
      <c r="A80" s="106" t="s">
        <v>236</v>
      </c>
      <c r="B80" s="107" t="s">
        <v>236</v>
      </c>
      <c r="C80" s="55">
        <v>1</v>
      </c>
      <c r="D80" s="81">
        <f>((100/H69)*C80)/100</f>
        <v>1</v>
      </c>
      <c r="E80" s="126"/>
      <c r="F80" s="126"/>
      <c r="G80" s="126"/>
      <c r="H80" s="128"/>
      <c r="I80" s="70" t="s">
        <v>237</v>
      </c>
      <c r="J80" s="77">
        <f>(IF(B69&gt;3,(H69/(B69+2)+J79),0))</f>
        <v>0</v>
      </c>
      <c r="K80" s="76"/>
      <c r="L80" s="75"/>
    </row>
    <row r="81" spans="1:14" customFormat="1" ht="15.75" hidden="1" customHeight="1" x14ac:dyDescent="0.25">
      <c r="A81" s="106" t="s">
        <v>238</v>
      </c>
      <c r="B81" s="107"/>
      <c r="C81" s="55">
        <v>1</v>
      </c>
      <c r="D81" s="81">
        <f>((100/H69)*C81)/100</f>
        <v>1</v>
      </c>
      <c r="E81" s="126"/>
      <c r="F81" s="126"/>
      <c r="G81" s="126"/>
      <c r="H81" s="128"/>
      <c r="I81" s="70" t="s">
        <v>239</v>
      </c>
      <c r="J81" s="73">
        <f>(IF(B69&gt;4,(H69/(B69+2)+J80),0))</f>
        <v>0</v>
      </c>
      <c r="K81" s="74"/>
      <c r="L81" s="75"/>
    </row>
    <row r="82" spans="1:14" customFormat="1" ht="15.75" hidden="1" customHeight="1" x14ac:dyDescent="0.25">
      <c r="A82" s="106" t="s">
        <v>240</v>
      </c>
      <c r="B82" s="107" t="s">
        <v>240</v>
      </c>
      <c r="C82" s="55">
        <v>1</v>
      </c>
      <c r="D82" s="81">
        <f>((100/(H69))*C82)/100</f>
        <v>1</v>
      </c>
      <c r="E82" s="126"/>
      <c r="F82" s="126"/>
      <c r="G82" s="126"/>
      <c r="H82" s="128"/>
      <c r="I82" s="70" t="s">
        <v>140</v>
      </c>
      <c r="J82" s="73">
        <f>(IF(B69=1,(H69/(B69+3)+J77),IF(B69=0,(H69/4+J77),IF(B69&gt;1,0))))</f>
        <v>0.75</v>
      </c>
      <c r="K82" s="76"/>
      <c r="L82" s="75"/>
    </row>
    <row r="83" spans="1:14" customFormat="1" ht="16.5" hidden="1" thickBot="1" x14ac:dyDescent="0.3">
      <c r="A83" s="108" t="s">
        <v>241</v>
      </c>
      <c r="B83" s="109"/>
      <c r="C83" s="83">
        <v>1</v>
      </c>
      <c r="D83" s="82">
        <f>((100/(H69))*C83)/100</f>
        <v>1</v>
      </c>
      <c r="E83" s="127"/>
      <c r="F83" s="127"/>
      <c r="G83" s="127"/>
      <c r="H83" s="129"/>
      <c r="I83" s="78" t="s">
        <v>141</v>
      </c>
      <c r="J83" s="79">
        <f>(IF(B69&gt;1.5,(H69/(B69+2)+J77+MAX(0,J78-J77)+MAX(0,J79-J78)+MAX(0,J80-J79)+MAX(0,J81-J80)+MAX(0,J82-J81)),IF(B69=1,(H69/(B69+3)+J82),IF(B69=0,H69/4+J82))))</f>
        <v>1</v>
      </c>
      <c r="K83" s="76"/>
      <c r="L83" s="75"/>
    </row>
    <row r="84" spans="1:14" customFormat="1" ht="15.75" customHeight="1" x14ac:dyDescent="0.25">
      <c r="A84" s="150" t="s">
        <v>224</v>
      </c>
      <c r="B84" s="151"/>
      <c r="C84" s="119" t="s">
        <v>288</v>
      </c>
      <c r="D84" s="120"/>
      <c r="E84" s="120"/>
      <c r="F84" s="120"/>
      <c r="G84" s="120"/>
      <c r="H84" s="121"/>
      <c r="I84" s="71" t="str">
        <f ca="1">(IF(E90&gt;99%,"All work completed. Please provide OC.",IF(E90&gt;89.8%,"Plinth, RCC, Brick, Plaster, Flooring, Painting work Completed. Finishing work is in process.",IF(E90&lt;94%,(IF(C90=0,"Work not yet Started.",IF(D90=25%,"Piling work in process",IF(D90=50%,"Excavation work in process",IF(D90=100%,"Excavation work Completed. ","0")))&amp;(IF(C91=0%,"",IF(C91=J92,"Footing work is process",IF(C91=J93,"Footing work Completed",IF(C91=J94,"1st Basement Completed",IF(C91=J95,"1st &amp; 2nd Basement Completed",IF(C91=J96,"1st to 3rd Basement Completed",IF(C91=J97,"1st to 4th Basement Completed",IF(C91=J98,"Plinth work is process",IF(C91=J99,"Plinth work completed","0")))))))))))&amp;(IF(C92=(D85+F85+H85),", RCC Slab",IF(C92&gt;0,", RCC upto "&amp;C92&amp;" Slab",""))&amp;(IF(C93=H85,", Brickwork",IF(C93&gt;0,", Brickwork upto "&amp;C93&amp;" Floor",""))&amp;(IF(C94=H85,", Internal Plaster",IF(C94&gt;0,", Internal Plaster upto "&amp;C94&amp;" Floor",""))&amp;(IF(C95=H85,", External Plaster",IF(C95&gt;0,", External Plaster upto "&amp;C95&amp;" Floor",""))&amp;(IF(C96=H85,", Flooring",IF(C96&gt;0,", Flooring upto "&amp;C96&amp;" Floor",""))&amp;(IF(C97=H85,", Painting",IF(C97&gt;0,", Painting upto "&amp;C97&amp;" Floor",""))&amp;(IF(C98&gt;0,", Finishing upto "&amp;C98&amp;" Floor","")&amp;(IF(C92&gt;0.5," Completed",""))))))))))))))</f>
        <v>All work completed. Please provide OC.</v>
      </c>
      <c r="J84" s="26"/>
    </row>
    <row r="85" spans="1:14" customFormat="1" x14ac:dyDescent="0.25">
      <c r="A85" s="25" t="s">
        <v>103</v>
      </c>
      <c r="B85" s="80">
        <v>2</v>
      </c>
      <c r="C85" s="80" t="s">
        <v>105</v>
      </c>
      <c r="D85" s="80">
        <v>1</v>
      </c>
      <c r="E85" s="80" t="s">
        <v>104</v>
      </c>
      <c r="F85" s="80">
        <v>0</v>
      </c>
      <c r="G85" s="80" t="s">
        <v>117</v>
      </c>
      <c r="H85" s="53">
        <f ca="1">--TRIM(RIGHT(SUBSTITUTE(LEFT(C84,_xlfn.AGGREGATE(16,6,FIND({0,1,2,3,4,5,6,7,8,9},C84,ROW(INDIRECT("1:"&amp;LEN(C84)))),1))," ",REPT(" ",LEN(C84))),LEN(C84)))</f>
        <v>14</v>
      </c>
      <c r="I85" s="22"/>
      <c r="J85" s="27"/>
    </row>
    <row r="86" spans="1:14" customFormat="1" x14ac:dyDescent="0.25">
      <c r="A86" s="122" t="s">
        <v>128</v>
      </c>
      <c r="B86" s="123"/>
      <c r="C86" s="124" t="str">
        <f ca="1">I84</f>
        <v>All work completed. Please provide OC.</v>
      </c>
      <c r="D86" s="124"/>
      <c r="E86" s="124"/>
      <c r="F86" s="124"/>
      <c r="G86" s="124"/>
      <c r="H86" s="125"/>
      <c r="I86" s="22" t="s">
        <v>142</v>
      </c>
      <c r="J86" s="27"/>
    </row>
    <row r="87" spans="1:14" s="96" customFormat="1" x14ac:dyDescent="0.25">
      <c r="A87" s="132" t="s">
        <v>122</v>
      </c>
      <c r="B87" s="133"/>
      <c r="C87" s="136">
        <v>1</v>
      </c>
      <c r="D87" s="137"/>
      <c r="E87" s="140" t="s">
        <v>121</v>
      </c>
      <c r="F87" s="137"/>
      <c r="G87" s="136">
        <v>1</v>
      </c>
      <c r="H87" s="141"/>
      <c r="I87" s="94"/>
      <c r="J87" s="95"/>
    </row>
    <row r="88" spans="1:14" s="96" customFormat="1" ht="16.5" thickBot="1" x14ac:dyDescent="0.3">
      <c r="A88" s="134"/>
      <c r="B88" s="135"/>
      <c r="C88" s="138"/>
      <c r="D88" s="139"/>
      <c r="E88" s="138"/>
      <c r="F88" s="139"/>
      <c r="G88" s="138"/>
      <c r="H88" s="142"/>
      <c r="I88" s="94"/>
      <c r="J88" s="95"/>
    </row>
    <row r="89" spans="1:14" customFormat="1" hidden="1" x14ac:dyDescent="0.25">
      <c r="A89" s="130" t="s">
        <v>53</v>
      </c>
      <c r="B89" s="131"/>
      <c r="C89" s="97" t="s">
        <v>225</v>
      </c>
      <c r="D89" s="98" t="s">
        <v>120</v>
      </c>
      <c r="E89" s="131" t="s">
        <v>122</v>
      </c>
      <c r="F89" s="131"/>
      <c r="G89" s="131" t="s">
        <v>121</v>
      </c>
      <c r="H89" s="178"/>
      <c r="I89" s="70" t="s">
        <v>226</v>
      </c>
      <c r="J89" s="28">
        <f ca="1">H85*25%</f>
        <v>3.5</v>
      </c>
    </row>
    <row r="90" spans="1:14" customFormat="1" hidden="1" x14ac:dyDescent="0.25">
      <c r="A90" s="106" t="s">
        <v>227</v>
      </c>
      <c r="B90" s="107"/>
      <c r="C90" s="55">
        <f ca="1">J91</f>
        <v>14</v>
      </c>
      <c r="D90" s="81">
        <f ca="1">((100/H85)*C90)/100</f>
        <v>1</v>
      </c>
      <c r="E90" s="126">
        <f ca="1">(((C91/H85*10)+(40/(D85+F85+H85)*C92)+(7.5/(H85)*C93)+(7.5/(H85)*C94)+(10/H85*C95)+(10/H85*C96)+(5/H85*C97)+(5/H85*C98)+(5/H85*C99))/100)</f>
        <v>1</v>
      </c>
      <c r="F90" s="126"/>
      <c r="G90" s="126">
        <f ca="1">((((C90/H85)*20)+((C91/H85)*25)+(30/(H85+F85+D85)*C92)+(5/H85*C93)+(5/H85*C94)+(5/H85*C95)+(5/H85*C96)+(0/H85*C97)+(0/H85*C98)+(5/H85*C99))/100)</f>
        <v>1</v>
      </c>
      <c r="H90" s="128"/>
      <c r="I90" s="70" t="s">
        <v>136</v>
      </c>
      <c r="J90" s="72">
        <f ca="1">H85*50%</f>
        <v>7</v>
      </c>
    </row>
    <row r="91" spans="1:14" customFormat="1" hidden="1" x14ac:dyDescent="0.25">
      <c r="A91" s="106" t="s">
        <v>54</v>
      </c>
      <c r="B91" s="107"/>
      <c r="C91" s="56">
        <f ca="1">J99</f>
        <v>14</v>
      </c>
      <c r="D91" s="81">
        <f ca="1">((100/H85)*C91)/100</f>
        <v>1</v>
      </c>
      <c r="E91" s="126"/>
      <c r="F91" s="126"/>
      <c r="G91" s="126"/>
      <c r="H91" s="128"/>
      <c r="I91" s="70" t="s">
        <v>137</v>
      </c>
      <c r="J91" s="72">
        <f ca="1">H85</f>
        <v>14</v>
      </c>
    </row>
    <row r="92" spans="1:14" customFormat="1" hidden="1" x14ac:dyDescent="0.25">
      <c r="A92" s="106" t="s">
        <v>228</v>
      </c>
      <c r="B92" s="107"/>
      <c r="C92" s="56">
        <v>15</v>
      </c>
      <c r="D92" s="81">
        <f ca="1">((100/(D85+F85+H85))*C92)/100</f>
        <v>1</v>
      </c>
      <c r="E92" s="126"/>
      <c r="F92" s="126"/>
      <c r="G92" s="126"/>
      <c r="H92" s="128"/>
      <c r="I92" s="70" t="s">
        <v>138</v>
      </c>
      <c r="J92" s="73">
        <f ca="1">(IF(B85&gt;1,(H85/(B85+2)),H85/4))</f>
        <v>3.5</v>
      </c>
      <c r="L92" s="74"/>
    </row>
    <row r="93" spans="1:14" customFormat="1" ht="15.75" hidden="1" customHeight="1" x14ac:dyDescent="0.25">
      <c r="A93" s="106" t="s">
        <v>229</v>
      </c>
      <c r="B93" s="107" t="s">
        <v>230</v>
      </c>
      <c r="C93" s="55">
        <v>14</v>
      </c>
      <c r="D93" s="81">
        <f ca="1">((100/H85)*C93)/100</f>
        <v>1</v>
      </c>
      <c r="E93" s="126"/>
      <c r="F93" s="126"/>
      <c r="G93" s="126"/>
      <c r="H93" s="128"/>
      <c r="I93" s="70" t="s">
        <v>139</v>
      </c>
      <c r="J93" s="73">
        <f ca="1">(IF(B85&gt;1,(H85/(B85+2)+J92),H85/4+J92))</f>
        <v>7</v>
      </c>
      <c r="L93" s="74"/>
    </row>
    <row r="94" spans="1:14" customFormat="1" ht="15.75" hidden="1" customHeight="1" x14ac:dyDescent="0.25">
      <c r="A94" s="106" t="s">
        <v>231</v>
      </c>
      <c r="B94" s="107" t="s">
        <v>230</v>
      </c>
      <c r="C94" s="55">
        <v>14</v>
      </c>
      <c r="D94" s="81">
        <f ca="1">((100/H85)*C94)/100</f>
        <v>1</v>
      </c>
      <c r="E94" s="126"/>
      <c r="F94" s="126"/>
      <c r="G94" s="126"/>
      <c r="H94" s="128"/>
      <c r="I94" s="70" t="s">
        <v>232</v>
      </c>
      <c r="J94" s="73">
        <f ca="1">(IF(B85&gt;1,(H85/(B85+2)+J93),0))</f>
        <v>10.5</v>
      </c>
      <c r="L94" s="75"/>
      <c r="N94" s="74"/>
    </row>
    <row r="95" spans="1:14" customFormat="1" ht="15.75" hidden="1" customHeight="1" x14ac:dyDescent="0.25">
      <c r="A95" s="106" t="s">
        <v>233</v>
      </c>
      <c r="B95" s="107" t="s">
        <v>234</v>
      </c>
      <c r="C95" s="55">
        <v>14</v>
      </c>
      <c r="D95" s="81">
        <f ca="1">((100/(H85))*C95)/100</f>
        <v>1</v>
      </c>
      <c r="E95" s="126"/>
      <c r="F95" s="126"/>
      <c r="G95" s="126"/>
      <c r="H95" s="128"/>
      <c r="I95" s="70" t="s">
        <v>235</v>
      </c>
      <c r="J95" s="73">
        <f>(IF(B85&gt;2,(H85/(B85+2)+J94),0))</f>
        <v>0</v>
      </c>
      <c r="K95" s="76"/>
      <c r="L95" s="75"/>
    </row>
    <row r="96" spans="1:14" customFormat="1" ht="15.75" hidden="1" customHeight="1" x14ac:dyDescent="0.25">
      <c r="A96" s="106" t="s">
        <v>236</v>
      </c>
      <c r="B96" s="107" t="s">
        <v>236</v>
      </c>
      <c r="C96" s="55">
        <v>14</v>
      </c>
      <c r="D96" s="81">
        <f ca="1">((100/H85)*C96)/100</f>
        <v>1</v>
      </c>
      <c r="E96" s="126"/>
      <c r="F96" s="126"/>
      <c r="G96" s="126"/>
      <c r="H96" s="128"/>
      <c r="I96" s="70" t="s">
        <v>237</v>
      </c>
      <c r="J96" s="77">
        <f>(IF(B85&gt;3,(H85/(B85+2)+J95),0))</f>
        <v>0</v>
      </c>
      <c r="K96" s="76"/>
      <c r="L96" s="75"/>
    </row>
    <row r="97" spans="1:14" customFormat="1" ht="15.75" hidden="1" customHeight="1" x14ac:dyDescent="0.25">
      <c r="A97" s="106" t="s">
        <v>238</v>
      </c>
      <c r="B97" s="107"/>
      <c r="C97" s="55">
        <v>14</v>
      </c>
      <c r="D97" s="81">
        <f ca="1">((100/H85)*C97)/100</f>
        <v>1</v>
      </c>
      <c r="E97" s="126"/>
      <c r="F97" s="126"/>
      <c r="G97" s="126"/>
      <c r="H97" s="128"/>
      <c r="I97" s="70" t="s">
        <v>239</v>
      </c>
      <c r="J97" s="73">
        <f>(IF(B85&gt;4,(H85/(B85+2)+J96),0))</f>
        <v>0</v>
      </c>
      <c r="K97" s="74"/>
      <c r="L97" s="75"/>
    </row>
    <row r="98" spans="1:14" customFormat="1" ht="15.75" hidden="1" customHeight="1" x14ac:dyDescent="0.25">
      <c r="A98" s="106" t="s">
        <v>240</v>
      </c>
      <c r="B98" s="107" t="s">
        <v>240</v>
      </c>
      <c r="C98" s="55">
        <v>14</v>
      </c>
      <c r="D98" s="81">
        <f ca="1">((100/(H85))*C98)/100</f>
        <v>1</v>
      </c>
      <c r="E98" s="126"/>
      <c r="F98" s="126"/>
      <c r="G98" s="126"/>
      <c r="H98" s="128"/>
      <c r="I98" s="70" t="s">
        <v>140</v>
      </c>
      <c r="J98" s="73">
        <f>(IF(B85=1,(H85/(B85+3)+J93),IF(B85=0,(H85/4+J93),IF(B85&gt;1,0))))</f>
        <v>0</v>
      </c>
      <c r="K98" s="76"/>
      <c r="L98" s="75"/>
    </row>
    <row r="99" spans="1:14" customFormat="1" ht="16.5" hidden="1" thickBot="1" x14ac:dyDescent="0.3">
      <c r="A99" s="108" t="s">
        <v>241</v>
      </c>
      <c r="B99" s="109"/>
      <c r="C99" s="83">
        <v>14</v>
      </c>
      <c r="D99" s="82">
        <f ca="1">((100/(H85))*C99)/100</f>
        <v>1</v>
      </c>
      <c r="E99" s="127"/>
      <c r="F99" s="127"/>
      <c r="G99" s="127"/>
      <c r="H99" s="129"/>
      <c r="I99" s="78" t="s">
        <v>141</v>
      </c>
      <c r="J99" s="79">
        <f ca="1">(IF(B85&gt;1.5,(H85/(B85+2)+J93+MAX(0,J94-J93)+MAX(0,J95-J94)+MAX(0,J96-J95)+MAX(0,J97-J96)+MAX(0,J98-J97)),IF(B85=1,(H85/(B85+3)+J98),IF(B85=0,H85/4+J98))))</f>
        <v>14</v>
      </c>
      <c r="K99" s="76"/>
      <c r="L99" s="75"/>
    </row>
    <row r="100" spans="1:14" customFormat="1" ht="15.75" customHeight="1" x14ac:dyDescent="0.25">
      <c r="A100" s="150" t="s">
        <v>224</v>
      </c>
      <c r="B100" s="151"/>
      <c r="C100" s="119" t="str">
        <f>D60</f>
        <v>Wing G = 1st &amp; 2nd Basement + G + 1st to 14th Floor</v>
      </c>
      <c r="D100" s="120"/>
      <c r="E100" s="120"/>
      <c r="F100" s="120"/>
      <c r="G100" s="120"/>
      <c r="H100" s="121"/>
      <c r="I100" s="71" t="str">
        <f ca="1">(IF(E104&gt;99%,"All work completed. Please provide OC.",IF(E104&gt;89.8%,"Plinth, RCC, Brick, Plaster, Flooring, Painting work Completed. Finishing work is in process.",IF(E104&lt;94%,(IF(C104=0,"Work not yet Started.",IF(D104=25%,"Piling work in process",IF(D104=50%,"Excavation work in process",IF(D104=100%,"Excavation work Completed. ","0")))&amp;(IF(C105=0%,"",IF(C105=J106,"Footing work is process",IF(C105=J107,"Footing work Completed",IF(C105=J108,"1st Basement Completed",IF(C105=J109,"1st &amp; 2nd Basement Completed",IF(C105=J110,"1st to 3rd Basement Completed",IF(C105=J111,"1st to 4th Basement Completed",IF(C105=J112,"Plinth work is process",IF(C105=J113,"Plinth work completed","0")))))))))))&amp;(IF(C106=(D101+F101+H101),", RCC Slab",IF(C106&gt;0,", RCC upto "&amp;C106&amp;" Slab",""))&amp;(IF(C107=H101,", Brickwork",IF(C107&gt;0,", Brickwork upto "&amp;C107&amp;" Floor",""))&amp;(IF(C108=H101,", Internal Plaster",IF(C108&gt;0,", Internal Plaster upto "&amp;C108&amp;" Floor",""))&amp;(IF(C109=H101,", External Plaster",IF(C109&gt;0,", External Plaster upto "&amp;C109&amp;" Floor",""))&amp;(IF(C110=H101,", Flooring",IF(C110&gt;0,", Flooring upto "&amp;C110&amp;" Floor",""))&amp;(IF(C111=H101,", Painting",IF(C111&gt;0,", Painting upto "&amp;C111&amp;" Floor",""))&amp;(IF(C112&gt;0,", Finishing upto "&amp;C112&amp;" Floor","")&amp;(IF(C106&gt;0.5," Completed",""))))))))))))))</f>
        <v>Plinth, RCC, Brick, Plaster, Flooring, Painting work Completed. Finishing work is in process.</v>
      </c>
      <c r="J100" s="26"/>
    </row>
    <row r="101" spans="1:14" customFormat="1" x14ac:dyDescent="0.25">
      <c r="A101" s="25" t="s">
        <v>103</v>
      </c>
      <c r="B101" s="80">
        <v>2</v>
      </c>
      <c r="C101" s="80" t="s">
        <v>105</v>
      </c>
      <c r="D101" s="80">
        <v>1</v>
      </c>
      <c r="E101" s="80" t="s">
        <v>104</v>
      </c>
      <c r="F101" s="80">
        <v>0</v>
      </c>
      <c r="G101" s="80" t="s">
        <v>117</v>
      </c>
      <c r="H101" s="53">
        <f ca="1">--TRIM(RIGHT(SUBSTITUTE(LEFT(C100,_xlfn.AGGREGATE(16,6,FIND({0,1,2,3,4,5,6,7,8,9},C100,ROW(INDIRECT("1:"&amp;LEN(C100)))),1))," ",REPT(" ",LEN(C100))),LEN(C100)))</f>
        <v>14</v>
      </c>
      <c r="I101" s="22"/>
      <c r="J101" s="27"/>
    </row>
    <row r="102" spans="1:14" customFormat="1" ht="34.9" customHeight="1" x14ac:dyDescent="0.25">
      <c r="A102" s="122" t="s">
        <v>128</v>
      </c>
      <c r="B102" s="123"/>
      <c r="C102" s="124" t="str">
        <f ca="1">I100</f>
        <v>Plinth, RCC, Brick, Plaster, Flooring, Painting work Completed. Finishing work is in process.</v>
      </c>
      <c r="D102" s="124"/>
      <c r="E102" s="124"/>
      <c r="F102" s="124"/>
      <c r="G102" s="124"/>
      <c r="H102" s="125"/>
      <c r="I102" s="22" t="s">
        <v>142</v>
      </c>
      <c r="J102" s="27"/>
    </row>
    <row r="103" spans="1:14" customFormat="1" x14ac:dyDescent="0.25">
      <c r="A103" s="106" t="s">
        <v>53</v>
      </c>
      <c r="B103" s="107"/>
      <c r="C103" s="54" t="s">
        <v>225</v>
      </c>
      <c r="D103" s="93" t="s">
        <v>120</v>
      </c>
      <c r="E103" s="107" t="s">
        <v>122</v>
      </c>
      <c r="F103" s="107"/>
      <c r="G103" s="107" t="s">
        <v>121</v>
      </c>
      <c r="H103" s="152"/>
      <c r="I103" s="70" t="s">
        <v>226</v>
      </c>
      <c r="J103" s="28">
        <f ca="1">H101*25%</f>
        <v>3.5</v>
      </c>
    </row>
    <row r="104" spans="1:14" customFormat="1" x14ac:dyDescent="0.25">
      <c r="A104" s="106" t="s">
        <v>227</v>
      </c>
      <c r="B104" s="107"/>
      <c r="C104" s="55">
        <f ca="1">J105</f>
        <v>14</v>
      </c>
      <c r="D104" s="81">
        <f ca="1">((100/H101)*C104)/100</f>
        <v>1</v>
      </c>
      <c r="E104" s="126">
        <f ca="1">(((C105/H101*10)+(40/(D101+F101+H101)*C106)+(7.5/(H101)*C107)+(7.5/(H101)*C108)+(10/H101*C109)+(10/H101*C110)+(5/H101*C111)+(5/H101*C112)+(5/H101*C113))/100)</f>
        <v>0.9107142857142857</v>
      </c>
      <c r="F104" s="126"/>
      <c r="G104" s="126">
        <f ca="1">((((C104/H101)*20)+((C105/H101)*25)+(30/(H101+F101+D101)*C106)+(5/H101*C107)+(5/H101*C108)+(5/H101*C109)+(5/H101*C110)+(0/H101*C111)+(0/H101*C112)+(5/H101*C113))/100)</f>
        <v>0.95</v>
      </c>
      <c r="H104" s="128"/>
      <c r="I104" s="70" t="s">
        <v>136</v>
      </c>
      <c r="J104" s="72">
        <f ca="1">H101*50%</f>
        <v>7</v>
      </c>
    </row>
    <row r="105" spans="1:14" customFormat="1" x14ac:dyDescent="0.25">
      <c r="A105" s="106" t="s">
        <v>54</v>
      </c>
      <c r="B105" s="107"/>
      <c r="C105" s="56">
        <f ca="1">J113</f>
        <v>14</v>
      </c>
      <c r="D105" s="81">
        <f ca="1">((100/H101)*C105)/100</f>
        <v>1</v>
      </c>
      <c r="E105" s="126"/>
      <c r="F105" s="126"/>
      <c r="G105" s="126"/>
      <c r="H105" s="128"/>
      <c r="I105" s="70" t="s">
        <v>137</v>
      </c>
      <c r="J105" s="72">
        <f ca="1">H101</f>
        <v>14</v>
      </c>
    </row>
    <row r="106" spans="1:14" customFormat="1" x14ac:dyDescent="0.25">
      <c r="A106" s="106" t="s">
        <v>228</v>
      </c>
      <c r="B106" s="107"/>
      <c r="C106" s="56">
        <f>15</f>
        <v>15</v>
      </c>
      <c r="D106" s="81">
        <f ca="1">((100/(D101+F101+H101))*C106)/100</f>
        <v>1</v>
      </c>
      <c r="E106" s="126"/>
      <c r="F106" s="126"/>
      <c r="G106" s="126"/>
      <c r="H106" s="128"/>
      <c r="I106" s="70" t="s">
        <v>138</v>
      </c>
      <c r="J106" s="73">
        <f ca="1">(IF(B101&gt;1,(H101/(B101+2)),H101/4))</f>
        <v>3.5</v>
      </c>
      <c r="L106" s="74"/>
    </row>
    <row r="107" spans="1:14" customFormat="1" ht="15.75" customHeight="1" x14ac:dyDescent="0.25">
      <c r="A107" s="106" t="s">
        <v>229</v>
      </c>
      <c r="B107" s="107" t="s">
        <v>230</v>
      </c>
      <c r="C107" s="55">
        <v>14</v>
      </c>
      <c r="D107" s="81">
        <f ca="1">((100/H101)*C107)/100</f>
        <v>1</v>
      </c>
      <c r="E107" s="126"/>
      <c r="F107" s="126"/>
      <c r="G107" s="126"/>
      <c r="H107" s="128"/>
      <c r="I107" s="70" t="s">
        <v>139</v>
      </c>
      <c r="J107" s="73">
        <f ca="1">(IF(B101&gt;1,(H101/(B101+2)+J106),H101/4+J106))</f>
        <v>7</v>
      </c>
      <c r="L107" s="74"/>
    </row>
    <row r="108" spans="1:14" customFormat="1" ht="15.75" customHeight="1" x14ac:dyDescent="0.25">
      <c r="A108" s="106" t="s">
        <v>231</v>
      </c>
      <c r="B108" s="107" t="s">
        <v>230</v>
      </c>
      <c r="C108" s="55">
        <v>14</v>
      </c>
      <c r="D108" s="81">
        <f ca="1">((100/H101)*C108)/100</f>
        <v>1</v>
      </c>
      <c r="E108" s="126"/>
      <c r="F108" s="126"/>
      <c r="G108" s="126"/>
      <c r="H108" s="128"/>
      <c r="I108" s="70" t="s">
        <v>232</v>
      </c>
      <c r="J108" s="73">
        <f ca="1">(IF(B101&gt;1,(H101/(B101+2)+J107),0))</f>
        <v>10.5</v>
      </c>
      <c r="L108" s="75"/>
      <c r="N108" s="74"/>
    </row>
    <row r="109" spans="1:14" customFormat="1" ht="15.75" customHeight="1" x14ac:dyDescent="0.25">
      <c r="A109" s="106" t="s">
        <v>233</v>
      </c>
      <c r="B109" s="107" t="s">
        <v>234</v>
      </c>
      <c r="C109" s="55">
        <v>14</v>
      </c>
      <c r="D109" s="81">
        <f ca="1">((100/(H101))*C109)/100</f>
        <v>1</v>
      </c>
      <c r="E109" s="126"/>
      <c r="F109" s="126"/>
      <c r="G109" s="126"/>
      <c r="H109" s="128"/>
      <c r="I109" s="70" t="s">
        <v>235</v>
      </c>
      <c r="J109" s="73">
        <f>(IF(B101&gt;2,(H101/(B101+2)+J108),0))</f>
        <v>0</v>
      </c>
      <c r="K109" s="76"/>
      <c r="L109" s="75"/>
    </row>
    <row r="110" spans="1:14" customFormat="1" ht="15.75" customHeight="1" x14ac:dyDescent="0.25">
      <c r="A110" s="106" t="s">
        <v>236</v>
      </c>
      <c r="B110" s="107" t="s">
        <v>236</v>
      </c>
      <c r="C110" s="55">
        <v>14</v>
      </c>
      <c r="D110" s="81">
        <f ca="1">((100/H101)*C110)/100</f>
        <v>1</v>
      </c>
      <c r="E110" s="126"/>
      <c r="F110" s="126"/>
      <c r="G110" s="126"/>
      <c r="H110" s="128"/>
      <c r="I110" s="70" t="s">
        <v>237</v>
      </c>
      <c r="J110" s="77">
        <f>(IF(B101&gt;3,(H101/(B101+2)+J109),0))</f>
        <v>0</v>
      </c>
      <c r="K110" s="76"/>
      <c r="L110" s="75"/>
    </row>
    <row r="111" spans="1:14" customFormat="1" ht="15.75" customHeight="1" x14ac:dyDescent="0.25">
      <c r="A111" s="106" t="s">
        <v>238</v>
      </c>
      <c r="B111" s="107"/>
      <c r="C111" s="55">
        <v>13</v>
      </c>
      <c r="D111" s="81">
        <f ca="1">((100/H101)*C111)/100</f>
        <v>0.9285714285714286</v>
      </c>
      <c r="E111" s="126"/>
      <c r="F111" s="126"/>
      <c r="G111" s="126"/>
      <c r="H111" s="128"/>
      <c r="I111" s="70" t="s">
        <v>239</v>
      </c>
      <c r="J111" s="73">
        <f>(IF(B101&gt;4,(H101/(B101+2)+J110),0))</f>
        <v>0</v>
      </c>
      <c r="K111" s="74"/>
      <c r="L111" s="75"/>
    </row>
    <row r="112" spans="1:14" customFormat="1" ht="15.75" customHeight="1" x14ac:dyDescent="0.25">
      <c r="A112" s="106" t="s">
        <v>240</v>
      </c>
      <c r="B112" s="107" t="s">
        <v>240</v>
      </c>
      <c r="C112" s="55">
        <v>4</v>
      </c>
      <c r="D112" s="81">
        <f ca="1">((100/(H101))*C112)/100</f>
        <v>0.28571428571428575</v>
      </c>
      <c r="E112" s="126"/>
      <c r="F112" s="126"/>
      <c r="G112" s="126"/>
      <c r="H112" s="128"/>
      <c r="I112" s="70" t="s">
        <v>140</v>
      </c>
      <c r="J112" s="73">
        <f>(IF(B101=1,(H101/(B101+3)+J107),IF(B101=0,(H101/4+J107),IF(B101&gt;1,0))))</f>
        <v>0</v>
      </c>
      <c r="K112" s="76"/>
      <c r="L112" s="75"/>
    </row>
    <row r="113" spans="1:15" customFormat="1" ht="16.5" thickBot="1" x14ac:dyDescent="0.3">
      <c r="A113" s="108" t="s">
        <v>241</v>
      </c>
      <c r="B113" s="109"/>
      <c r="C113" s="83">
        <v>0</v>
      </c>
      <c r="D113" s="82">
        <f ca="1">((100/(H101))*C113)/100</f>
        <v>0</v>
      </c>
      <c r="E113" s="127"/>
      <c r="F113" s="127"/>
      <c r="G113" s="127"/>
      <c r="H113" s="129"/>
      <c r="I113" s="78" t="s">
        <v>141</v>
      </c>
      <c r="J113" s="79">
        <f ca="1">(IF(B101&gt;1.5,(H101/(B101+2)+J107+MAX(0,J108-J107)+MAX(0,J109-J108)+MAX(0,J110-J109)+MAX(0,J111-J110)+MAX(0,J112-J111)),IF(B101=1,(H101/(B101+3)+J112),IF(B101=0,H101/4+J112))))</f>
        <v>14</v>
      </c>
      <c r="K113" s="76"/>
      <c r="L113" s="75"/>
    </row>
    <row r="114" spans="1:15" x14ac:dyDescent="0.25">
      <c r="A114" s="182" t="s">
        <v>55</v>
      </c>
      <c r="B114" s="182"/>
      <c r="C114" s="182"/>
      <c r="D114" s="182"/>
      <c r="E114" s="182"/>
      <c r="F114" s="182"/>
      <c r="G114" s="182"/>
      <c r="H114" s="182"/>
    </row>
    <row r="115" spans="1:15" x14ac:dyDescent="0.25">
      <c r="A115" s="101" t="s">
        <v>108</v>
      </c>
      <c r="B115" s="101"/>
      <c r="C115" s="101"/>
      <c r="D115" s="101"/>
      <c r="E115" s="101"/>
      <c r="F115" s="110">
        <v>19000</v>
      </c>
      <c r="G115" s="110"/>
      <c r="H115" s="110"/>
      <c r="I115" s="99" t="s">
        <v>245</v>
      </c>
      <c r="J115" s="100"/>
      <c r="K115" s="84">
        <v>45035</v>
      </c>
      <c r="L115" s="8" t="s">
        <v>246</v>
      </c>
      <c r="M115" s="8" t="s">
        <v>247</v>
      </c>
    </row>
    <row r="116" spans="1:15" x14ac:dyDescent="0.25">
      <c r="A116" s="101" t="s">
        <v>116</v>
      </c>
      <c r="B116" s="101"/>
      <c r="C116" s="101"/>
      <c r="D116" s="101"/>
      <c r="E116" s="101"/>
      <c r="F116" s="110">
        <v>33000</v>
      </c>
      <c r="G116" s="110"/>
      <c r="H116" s="110"/>
      <c r="I116" s="99" t="s">
        <v>248</v>
      </c>
      <c r="J116" s="100"/>
      <c r="K116" s="84">
        <v>45036</v>
      </c>
      <c r="L116" s="8" t="s">
        <v>246</v>
      </c>
    </row>
    <row r="117" spans="1:15" s="13" customFormat="1" ht="32.25" hidden="1" customHeight="1" x14ac:dyDescent="0.25">
      <c r="A117" s="101" t="s">
        <v>209</v>
      </c>
      <c r="B117" s="101"/>
      <c r="C117" s="101"/>
      <c r="D117" s="101"/>
      <c r="E117" s="101"/>
      <c r="F117" s="111" t="s">
        <v>243</v>
      </c>
      <c r="G117" s="111"/>
      <c r="H117" s="111"/>
      <c r="L117" s="8" t="s">
        <v>246</v>
      </c>
    </row>
    <row r="118" spans="1:15" s="13" customFormat="1" x14ac:dyDescent="0.25">
      <c r="A118" s="101" t="s">
        <v>133</v>
      </c>
      <c r="B118" s="101"/>
      <c r="C118" s="101"/>
      <c r="D118" s="101"/>
      <c r="E118" s="101"/>
      <c r="F118" s="174">
        <v>600000</v>
      </c>
      <c r="G118" s="111"/>
      <c r="H118" s="111"/>
      <c r="J118" s="13" t="s">
        <v>292</v>
      </c>
    </row>
    <row r="119" spans="1:15" s="13" customFormat="1" x14ac:dyDescent="0.25">
      <c r="A119" s="101" t="s">
        <v>134</v>
      </c>
      <c r="B119" s="101"/>
      <c r="C119" s="101"/>
      <c r="D119" s="101"/>
      <c r="E119" s="101"/>
      <c r="F119" s="110">
        <v>400000</v>
      </c>
      <c r="G119" s="110"/>
      <c r="H119" s="110"/>
      <c r="I119" s="99" t="s">
        <v>298</v>
      </c>
      <c r="J119" s="100"/>
      <c r="K119" s="84">
        <v>45890</v>
      </c>
      <c r="L119" s="8" t="s">
        <v>246</v>
      </c>
      <c r="M119" s="8" t="s">
        <v>297</v>
      </c>
      <c r="O119" s="13">
        <f>F115*1885+F118+F119+F120+F121+F122</f>
        <v>38015000</v>
      </c>
    </row>
    <row r="120" spans="1:15" s="13" customFormat="1" x14ac:dyDescent="0.25">
      <c r="A120" s="101" t="s">
        <v>135</v>
      </c>
      <c r="B120" s="101"/>
      <c r="C120" s="101"/>
      <c r="D120" s="101"/>
      <c r="E120" s="101"/>
      <c r="F120" s="110">
        <v>150000</v>
      </c>
      <c r="G120" s="110"/>
      <c r="H120" s="110"/>
    </row>
    <row r="121" spans="1:15" s="13" customFormat="1" x14ac:dyDescent="0.25">
      <c r="A121" s="101" t="s">
        <v>200</v>
      </c>
      <c r="B121" s="101"/>
      <c r="C121" s="101"/>
      <c r="D121" s="101"/>
      <c r="E121" s="101"/>
      <c r="F121" s="110">
        <v>50000</v>
      </c>
      <c r="G121" s="110"/>
      <c r="H121" s="110"/>
    </row>
    <row r="122" spans="1:15" x14ac:dyDescent="0.25">
      <c r="A122" s="101" t="s">
        <v>56</v>
      </c>
      <c r="B122" s="101"/>
      <c r="C122" s="101"/>
      <c r="D122" s="101"/>
      <c r="E122" s="101"/>
      <c r="F122" s="111">
        <v>1000000</v>
      </c>
      <c r="G122" s="111"/>
      <c r="H122" s="111"/>
    </row>
    <row r="123" spans="1:15" s="9" customFormat="1" x14ac:dyDescent="0.25">
      <c r="A123" s="182" t="s">
        <v>57</v>
      </c>
      <c r="B123" s="182"/>
      <c r="C123" s="182"/>
      <c r="D123" s="182"/>
      <c r="E123" s="182"/>
      <c r="F123" s="110">
        <f>F115*0.8</f>
        <v>15200</v>
      </c>
      <c r="G123" s="110"/>
      <c r="H123" s="110"/>
    </row>
    <row r="124" spans="1:15" s="1" customFormat="1" ht="15.75" customHeight="1" x14ac:dyDescent="0.25">
      <c r="A124" s="102" t="s">
        <v>109</v>
      </c>
      <c r="B124" s="102"/>
      <c r="C124" s="102"/>
      <c r="D124" s="102"/>
      <c r="E124" s="102"/>
      <c r="F124" s="102"/>
      <c r="G124" s="102"/>
      <c r="H124" s="102"/>
    </row>
    <row r="125" spans="1:15" s="1" customFormat="1" ht="15.75" customHeight="1" x14ac:dyDescent="0.25">
      <c r="A125" s="104" t="s">
        <v>58</v>
      </c>
      <c r="B125" s="104"/>
      <c r="C125" s="15" t="s">
        <v>113</v>
      </c>
      <c r="D125" s="118" t="s">
        <v>59</v>
      </c>
      <c r="E125" s="118"/>
      <c r="F125" s="104" t="s">
        <v>60</v>
      </c>
      <c r="G125" s="104"/>
      <c r="H125" s="104"/>
    </row>
    <row r="126" spans="1:15" s="1" customFormat="1" x14ac:dyDescent="0.25">
      <c r="A126" s="172" t="s">
        <v>199</v>
      </c>
      <c r="B126" s="172"/>
      <c r="C126" s="16">
        <f>COUNT(D144:D223)</f>
        <v>80</v>
      </c>
      <c r="D126" s="159">
        <f>SUM(D144:D223)</f>
        <v>30553.431011999997</v>
      </c>
      <c r="E126" s="159"/>
      <c r="F126" s="160">
        <f>SUM(F144:F223)</f>
        <v>48885.489619199987</v>
      </c>
      <c r="G126" s="160"/>
      <c r="H126" s="160"/>
    </row>
    <row r="127" spans="1:15" s="1" customFormat="1" x14ac:dyDescent="0.25">
      <c r="A127" s="102" t="s">
        <v>102</v>
      </c>
      <c r="B127" s="102"/>
      <c r="C127" s="102"/>
      <c r="D127" s="102"/>
      <c r="E127" s="102"/>
      <c r="F127" s="102"/>
      <c r="G127" s="102"/>
      <c r="H127" s="102"/>
    </row>
    <row r="128" spans="1:15" s="1" customFormat="1" x14ac:dyDescent="0.25">
      <c r="A128" s="104" t="s">
        <v>58</v>
      </c>
      <c r="B128" s="104"/>
      <c r="C128" s="15" t="s">
        <v>113</v>
      </c>
      <c r="D128" s="118" t="s">
        <v>59</v>
      </c>
      <c r="E128" s="118"/>
      <c r="F128" s="104" t="s">
        <v>60</v>
      </c>
      <c r="G128" s="104"/>
      <c r="H128" s="104"/>
      <c r="J128" s="85">
        <f>SUM(D126,D136)</f>
        <v>308049.878448</v>
      </c>
    </row>
    <row r="129" spans="1:8" s="1" customFormat="1" x14ac:dyDescent="0.25">
      <c r="A129" s="172" t="s">
        <v>168</v>
      </c>
      <c r="B129" s="172"/>
      <c r="C129" s="16">
        <f>COUNT(E230:E255)</f>
        <v>26</v>
      </c>
      <c r="D129" s="159">
        <f>SUM(E230:E255)</f>
        <v>26641.868759999994</v>
      </c>
      <c r="E129" s="159"/>
      <c r="F129" s="192">
        <f>SUM(G230:G255)</f>
        <v>49010</v>
      </c>
      <c r="G129" s="193"/>
      <c r="H129" s="194"/>
    </row>
    <row r="130" spans="1:8" s="1" customFormat="1" x14ac:dyDescent="0.25">
      <c r="A130" s="172" t="s">
        <v>190</v>
      </c>
      <c r="B130" s="172"/>
      <c r="C130" s="16">
        <f>COUNT(E260:E285)</f>
        <v>26</v>
      </c>
      <c r="D130" s="159">
        <f>SUM(E260:E285)</f>
        <v>26641.868759999994</v>
      </c>
      <c r="E130" s="159"/>
      <c r="F130" s="160">
        <v>49010</v>
      </c>
      <c r="G130" s="160"/>
      <c r="H130" s="160"/>
    </row>
    <row r="131" spans="1:8" s="1" customFormat="1" x14ac:dyDescent="0.25">
      <c r="A131" s="172" t="s">
        <v>189</v>
      </c>
      <c r="B131" s="172"/>
      <c r="C131" s="16">
        <v>26</v>
      </c>
      <c r="D131" s="159">
        <f>SUM(E291:E316)</f>
        <v>26641.868759999994</v>
      </c>
      <c r="E131" s="159"/>
      <c r="F131" s="160">
        <v>49010</v>
      </c>
      <c r="G131" s="160"/>
      <c r="H131" s="160"/>
    </row>
    <row r="132" spans="1:8" s="1" customFormat="1" x14ac:dyDescent="0.25">
      <c r="A132" s="172" t="s">
        <v>188</v>
      </c>
      <c r="B132" s="172"/>
      <c r="C132" s="16">
        <v>26</v>
      </c>
      <c r="D132" s="159">
        <f>SUM(E322:E347)</f>
        <v>26641.868759999994</v>
      </c>
      <c r="E132" s="159"/>
      <c r="F132" s="160">
        <v>49010</v>
      </c>
      <c r="G132" s="160"/>
      <c r="H132" s="160"/>
    </row>
    <row r="133" spans="1:8" s="1" customFormat="1" x14ac:dyDescent="0.25">
      <c r="A133" s="172" t="s">
        <v>191</v>
      </c>
      <c r="B133" s="172"/>
      <c r="C133" s="16">
        <f>COUNT(E353:E404)+COUNT(E406:E444)+COUNT(E446:E453)+COUNT(E455:E460)</f>
        <v>105</v>
      </c>
      <c r="D133" s="159">
        <f>SUM(E353:E404)+SUM(E406:E444)+SUM(E446:E453)+SUM(E455:E460)</f>
        <v>68251.402439999991</v>
      </c>
      <c r="E133" s="159"/>
      <c r="F133" s="160">
        <f>SUM(G353:G404)+SUM(G406:G444)+SUM(G446:G453)+SUM(G455:G460)</f>
        <v>145525</v>
      </c>
      <c r="G133" s="160"/>
      <c r="H133" s="160"/>
    </row>
    <row r="134" spans="1:8" s="1" customFormat="1" x14ac:dyDescent="0.25">
      <c r="A134" s="172" t="s">
        <v>193</v>
      </c>
      <c r="B134" s="172"/>
      <c r="C134" s="16">
        <f>COUNT(E466:E517)+COUNT(E519:E557)+COUNT(E559:E566)+COUNT(E568)+COUNT(E570:E573)</f>
        <v>104</v>
      </c>
      <c r="D134" s="159">
        <f>SUM(E466:E517)+SUM(E519:E557)+SUM(E559:E566)+SUM(E568)+SUM(E570:E573)</f>
        <v>67684.903883999999</v>
      </c>
      <c r="E134" s="159"/>
      <c r="F134" s="160">
        <f>SUM(G466:G517)+SUM(G519:G557)+SUM(G559:G566)+SUM(G568)+SUM(G570:G573)</f>
        <v>144295</v>
      </c>
      <c r="G134" s="160"/>
      <c r="H134" s="160"/>
    </row>
    <row r="135" spans="1:8" s="1" customFormat="1" x14ac:dyDescent="0.25">
      <c r="A135" s="172" t="s">
        <v>257</v>
      </c>
      <c r="B135" s="172"/>
      <c r="C135" s="16">
        <f>COUNT(F581)*12+COUNT(F583)*2</f>
        <v>14</v>
      </c>
      <c r="D135" s="159">
        <f>SUM(F581)*12+SUM(F583)*2</f>
        <v>34992.666071999993</v>
      </c>
      <c r="E135" s="159"/>
      <c r="F135" s="160">
        <f>SUM(H581)*12+SUM(H583)*2</f>
        <v>52488.999107999996</v>
      </c>
      <c r="G135" s="160"/>
      <c r="H135" s="160"/>
    </row>
    <row r="136" spans="1:8" s="36" customFormat="1" x14ac:dyDescent="0.25">
      <c r="A136" s="102" t="s">
        <v>62</v>
      </c>
      <c r="B136" s="102"/>
      <c r="C136" s="35">
        <f>SUM(C129:C135)</f>
        <v>327</v>
      </c>
      <c r="D136" s="103">
        <f>SUM(D129:E135)</f>
        <v>277496.44743599999</v>
      </c>
      <c r="E136" s="103"/>
      <c r="F136" s="104">
        <f>SUM(F129:H135)</f>
        <v>538348.99910799996</v>
      </c>
      <c r="G136" s="104"/>
      <c r="H136" s="104"/>
    </row>
    <row r="137" spans="1:8" s="36" customFormat="1" x14ac:dyDescent="0.25">
      <c r="A137" s="102" t="s">
        <v>280</v>
      </c>
      <c r="B137" s="102"/>
      <c r="C137" s="35">
        <f>C126+C136</f>
        <v>407</v>
      </c>
      <c r="D137" s="103">
        <f>D136+D126</f>
        <v>308049.878448</v>
      </c>
      <c r="E137" s="103"/>
      <c r="F137" s="104">
        <f>F136+F126</f>
        <v>587234.48872719996</v>
      </c>
      <c r="G137" s="104"/>
      <c r="H137" s="104"/>
    </row>
    <row r="138" spans="1:8" s="9" customFormat="1" x14ac:dyDescent="0.25">
      <c r="A138" s="173" t="s">
        <v>63</v>
      </c>
      <c r="B138" s="173"/>
      <c r="C138" s="173"/>
      <c r="D138" s="173"/>
      <c r="E138" s="173"/>
      <c r="F138" s="173"/>
      <c r="G138" s="173"/>
      <c r="H138" s="173"/>
    </row>
    <row r="139" spans="1:8" x14ac:dyDescent="0.25">
      <c r="A139" s="173" t="s">
        <v>64</v>
      </c>
      <c r="B139" s="173"/>
      <c r="C139" s="173"/>
      <c r="D139" s="173"/>
      <c r="E139" s="173"/>
      <c r="F139" s="173"/>
      <c r="G139" s="173"/>
      <c r="H139" s="173"/>
    </row>
    <row r="140" spans="1:8" ht="47.25" customHeight="1" x14ac:dyDescent="0.25">
      <c r="A140" s="195" t="s">
        <v>110</v>
      </c>
      <c r="B140" s="195"/>
      <c r="C140" s="24" t="s">
        <v>65</v>
      </c>
      <c r="D140" s="24" t="s">
        <v>66</v>
      </c>
      <c r="E140" s="17" t="s">
        <v>67</v>
      </c>
      <c r="F140" s="24" t="s">
        <v>210</v>
      </c>
      <c r="G140" s="195" t="s">
        <v>69</v>
      </c>
      <c r="H140" s="195"/>
    </row>
    <row r="141" spans="1:8" s="2" customFormat="1" ht="15.75" customHeight="1" x14ac:dyDescent="0.25">
      <c r="A141" s="155" t="s">
        <v>167</v>
      </c>
      <c r="B141" s="155"/>
      <c r="C141" s="155"/>
      <c r="D141" s="155"/>
      <c r="E141" s="155"/>
      <c r="F141" s="155"/>
      <c r="G141" s="155"/>
      <c r="H141" s="155"/>
    </row>
    <row r="142" spans="1:8" s="2" customFormat="1" ht="15.75" customHeight="1" x14ac:dyDescent="0.25">
      <c r="A142" s="155" t="s">
        <v>160</v>
      </c>
      <c r="B142" s="155"/>
      <c r="C142" s="155"/>
      <c r="D142" s="155"/>
      <c r="E142" s="155"/>
      <c r="F142" s="155"/>
      <c r="G142" s="155"/>
      <c r="H142" s="155"/>
    </row>
    <row r="143" spans="1:8" s="2" customFormat="1" x14ac:dyDescent="0.25">
      <c r="A143" s="155" t="s">
        <v>161</v>
      </c>
      <c r="B143" s="155"/>
      <c r="C143" s="155"/>
      <c r="D143" s="155"/>
      <c r="E143" s="155"/>
      <c r="F143" s="155"/>
      <c r="G143" s="155"/>
      <c r="H143" s="155"/>
    </row>
    <row r="144" spans="1:8" s="2" customFormat="1" x14ac:dyDescent="0.25">
      <c r="A144" s="168" t="s">
        <v>162</v>
      </c>
      <c r="B144" s="168"/>
      <c r="C144" s="23" t="s">
        <v>166</v>
      </c>
      <c r="D144" s="23">
        <f>30.835*10.764</f>
        <v>331.90794</v>
      </c>
      <c r="E144" s="23">
        <v>0</v>
      </c>
      <c r="F144" s="23">
        <f>D144*1.6+E144</f>
        <v>531.05270400000006</v>
      </c>
      <c r="G144" s="168" t="s">
        <v>161</v>
      </c>
      <c r="H144" s="168"/>
    </row>
    <row r="145" spans="1:8" s="2" customFormat="1" x14ac:dyDescent="0.25">
      <c r="A145" s="168" t="s">
        <v>163</v>
      </c>
      <c r="B145" s="168"/>
      <c r="C145" s="23" t="s">
        <v>166</v>
      </c>
      <c r="D145" s="23">
        <f>10.764*41.097</f>
        <v>442.36810800000001</v>
      </c>
      <c r="E145" s="23">
        <v>0</v>
      </c>
      <c r="F145" s="23">
        <f t="shared" ref="F145:F208" si="0">D145*1.6+E145</f>
        <v>707.78897280000001</v>
      </c>
      <c r="G145" s="168" t="s">
        <v>161</v>
      </c>
      <c r="H145" s="168"/>
    </row>
    <row r="146" spans="1:8" s="2" customFormat="1" x14ac:dyDescent="0.25">
      <c r="A146" s="168" t="s">
        <v>164</v>
      </c>
      <c r="B146" s="168"/>
      <c r="C146" s="23" t="s">
        <v>166</v>
      </c>
      <c r="D146" s="23">
        <f>10.764*41.785</f>
        <v>449.77373999999992</v>
      </c>
      <c r="E146" s="23">
        <v>0</v>
      </c>
      <c r="F146" s="23">
        <f t="shared" si="0"/>
        <v>719.63798399999996</v>
      </c>
      <c r="G146" s="168" t="s">
        <v>161</v>
      </c>
      <c r="H146" s="168"/>
    </row>
    <row r="147" spans="1:8" s="2" customFormat="1" x14ac:dyDescent="0.25">
      <c r="A147" s="168" t="s">
        <v>165</v>
      </c>
      <c r="B147" s="168"/>
      <c r="C147" s="23" t="s">
        <v>166</v>
      </c>
      <c r="D147" s="23">
        <f t="shared" ref="D147:D148" si="1">10.764*41.785</f>
        <v>449.77373999999992</v>
      </c>
      <c r="E147" s="23">
        <v>0</v>
      </c>
      <c r="F147" s="23">
        <f t="shared" si="0"/>
        <v>719.63798399999996</v>
      </c>
      <c r="G147" s="168" t="s">
        <v>161</v>
      </c>
      <c r="H147" s="168"/>
    </row>
    <row r="148" spans="1:8" s="2" customFormat="1" x14ac:dyDescent="0.25">
      <c r="A148" s="168">
        <v>2</v>
      </c>
      <c r="B148" s="168"/>
      <c r="C148" s="23" t="s">
        <v>166</v>
      </c>
      <c r="D148" s="23">
        <f t="shared" si="1"/>
        <v>449.77373999999992</v>
      </c>
      <c r="E148" s="23">
        <v>0</v>
      </c>
      <c r="F148" s="23">
        <f t="shared" si="0"/>
        <v>719.63798399999996</v>
      </c>
      <c r="G148" s="168" t="s">
        <v>161</v>
      </c>
      <c r="H148" s="168"/>
    </row>
    <row r="149" spans="1:8" s="2" customFormat="1" x14ac:dyDescent="0.25">
      <c r="A149" s="168">
        <v>3</v>
      </c>
      <c r="B149" s="168"/>
      <c r="C149" s="23" t="s">
        <v>166</v>
      </c>
      <c r="D149" s="23">
        <f>10.764*39.02</f>
        <v>420.01128</v>
      </c>
      <c r="E149" s="23">
        <v>0</v>
      </c>
      <c r="F149" s="23">
        <f t="shared" si="0"/>
        <v>672.01804800000002</v>
      </c>
      <c r="G149" s="168" t="s">
        <v>161</v>
      </c>
      <c r="H149" s="168"/>
    </row>
    <row r="150" spans="1:8" s="2" customFormat="1" x14ac:dyDescent="0.25">
      <c r="A150" s="168">
        <v>4</v>
      </c>
      <c r="B150" s="168"/>
      <c r="C150" s="23" t="s">
        <v>166</v>
      </c>
      <c r="D150" s="23">
        <f>10.764*36.273</f>
        <v>390.44257199999998</v>
      </c>
      <c r="E150" s="23">
        <v>0</v>
      </c>
      <c r="F150" s="23">
        <f t="shared" si="0"/>
        <v>624.70811520000007</v>
      </c>
      <c r="G150" s="168" t="s">
        <v>161</v>
      </c>
      <c r="H150" s="168"/>
    </row>
    <row r="151" spans="1:8" s="2" customFormat="1" x14ac:dyDescent="0.25">
      <c r="A151" s="168">
        <v>5</v>
      </c>
      <c r="B151" s="168"/>
      <c r="C151" s="23" t="s">
        <v>166</v>
      </c>
      <c r="D151" s="23">
        <f>10.764*37.895</f>
        <v>407.90178000000003</v>
      </c>
      <c r="E151" s="23">
        <v>0</v>
      </c>
      <c r="F151" s="23">
        <f t="shared" si="0"/>
        <v>652.64284800000007</v>
      </c>
      <c r="G151" s="168" t="s">
        <v>161</v>
      </c>
      <c r="H151" s="168"/>
    </row>
    <row r="152" spans="1:8" s="2" customFormat="1" x14ac:dyDescent="0.25">
      <c r="A152" s="168">
        <v>6</v>
      </c>
      <c r="B152" s="168"/>
      <c r="C152" s="23" t="s">
        <v>166</v>
      </c>
      <c r="D152" s="23">
        <f>10.764*29.349</f>
        <v>315.91263599999996</v>
      </c>
      <c r="E152" s="23">
        <v>0</v>
      </c>
      <c r="F152" s="23">
        <f t="shared" si="0"/>
        <v>505.46021759999996</v>
      </c>
      <c r="G152" s="168" t="s">
        <v>161</v>
      </c>
      <c r="H152" s="168"/>
    </row>
    <row r="153" spans="1:8" s="2" customFormat="1" x14ac:dyDescent="0.25">
      <c r="A153" s="168">
        <v>7</v>
      </c>
      <c r="B153" s="168"/>
      <c r="C153" s="23" t="s">
        <v>166</v>
      </c>
      <c r="D153" s="23">
        <f>10.764*42.235</f>
        <v>454.61753999999996</v>
      </c>
      <c r="E153" s="23">
        <v>0</v>
      </c>
      <c r="F153" s="23">
        <f t="shared" si="0"/>
        <v>727.38806399999999</v>
      </c>
      <c r="G153" s="168" t="s">
        <v>161</v>
      </c>
      <c r="H153" s="168"/>
    </row>
    <row r="154" spans="1:8" s="2" customFormat="1" x14ac:dyDescent="0.25">
      <c r="A154" s="168">
        <v>8</v>
      </c>
      <c r="B154" s="168"/>
      <c r="C154" s="23" t="s">
        <v>166</v>
      </c>
      <c r="D154" s="23">
        <f>10.764*34.485</f>
        <v>371.19653999999997</v>
      </c>
      <c r="E154" s="23">
        <v>0</v>
      </c>
      <c r="F154" s="23">
        <f t="shared" si="0"/>
        <v>593.91446399999995</v>
      </c>
      <c r="G154" s="168" t="s">
        <v>161</v>
      </c>
      <c r="H154" s="168"/>
    </row>
    <row r="155" spans="1:8" s="2" customFormat="1" x14ac:dyDescent="0.25">
      <c r="A155" s="168">
        <v>9</v>
      </c>
      <c r="B155" s="168"/>
      <c r="C155" s="23" t="s">
        <v>166</v>
      </c>
      <c r="D155" s="23">
        <f t="shared" ref="D155:D187" si="2">10.764*42.235</f>
        <v>454.61753999999996</v>
      </c>
      <c r="E155" s="23">
        <v>0</v>
      </c>
      <c r="F155" s="23">
        <f t="shared" si="0"/>
        <v>727.38806399999999</v>
      </c>
      <c r="G155" s="168" t="s">
        <v>161</v>
      </c>
      <c r="H155" s="168"/>
    </row>
    <row r="156" spans="1:8" s="2" customFormat="1" x14ac:dyDescent="0.25">
      <c r="A156" s="168">
        <v>10</v>
      </c>
      <c r="B156" s="168"/>
      <c r="C156" s="23" t="s">
        <v>166</v>
      </c>
      <c r="D156" s="23">
        <f t="shared" si="2"/>
        <v>454.61753999999996</v>
      </c>
      <c r="E156" s="23">
        <v>0</v>
      </c>
      <c r="F156" s="23">
        <f t="shared" si="0"/>
        <v>727.38806399999999</v>
      </c>
      <c r="G156" s="168" t="s">
        <v>161</v>
      </c>
      <c r="H156" s="168"/>
    </row>
    <row r="157" spans="1:8" s="2" customFormat="1" x14ac:dyDescent="0.25">
      <c r="A157" s="168">
        <v>11</v>
      </c>
      <c r="B157" s="168"/>
      <c r="C157" s="23" t="s">
        <v>166</v>
      </c>
      <c r="D157" s="23">
        <f t="shared" si="2"/>
        <v>454.61753999999996</v>
      </c>
      <c r="E157" s="23">
        <v>0</v>
      </c>
      <c r="F157" s="23">
        <f t="shared" si="0"/>
        <v>727.38806399999999</v>
      </c>
      <c r="G157" s="168" t="s">
        <v>161</v>
      </c>
      <c r="H157" s="168"/>
    </row>
    <row r="158" spans="1:8" s="2" customFormat="1" x14ac:dyDescent="0.25">
      <c r="A158" s="168">
        <v>12</v>
      </c>
      <c r="B158" s="168"/>
      <c r="C158" s="23" t="s">
        <v>166</v>
      </c>
      <c r="D158" s="23">
        <f>10.764*38.415</f>
        <v>413.49905999999999</v>
      </c>
      <c r="E158" s="23">
        <v>0</v>
      </c>
      <c r="F158" s="23">
        <f t="shared" si="0"/>
        <v>661.59849600000007</v>
      </c>
      <c r="G158" s="168" t="s">
        <v>161</v>
      </c>
      <c r="H158" s="168"/>
    </row>
    <row r="159" spans="1:8" s="2" customFormat="1" x14ac:dyDescent="0.25">
      <c r="A159" s="168">
        <v>13</v>
      </c>
      <c r="B159" s="168"/>
      <c r="C159" s="23" t="s">
        <v>166</v>
      </c>
      <c r="D159" s="23">
        <f t="shared" si="2"/>
        <v>454.61753999999996</v>
      </c>
      <c r="E159" s="23">
        <v>0</v>
      </c>
      <c r="F159" s="23">
        <f t="shared" si="0"/>
        <v>727.38806399999999</v>
      </c>
      <c r="G159" s="168" t="s">
        <v>161</v>
      </c>
      <c r="H159" s="168"/>
    </row>
    <row r="160" spans="1:8" s="2" customFormat="1" x14ac:dyDescent="0.25">
      <c r="A160" s="168">
        <v>14</v>
      </c>
      <c r="B160" s="168"/>
      <c r="C160" s="23" t="s">
        <v>166</v>
      </c>
      <c r="D160" s="23">
        <f t="shared" si="2"/>
        <v>454.61753999999996</v>
      </c>
      <c r="E160" s="23">
        <v>0</v>
      </c>
      <c r="F160" s="23">
        <f t="shared" si="0"/>
        <v>727.38806399999999</v>
      </c>
      <c r="G160" s="168" t="s">
        <v>161</v>
      </c>
      <c r="H160" s="168"/>
    </row>
    <row r="161" spans="1:8" s="2" customFormat="1" x14ac:dyDescent="0.25">
      <c r="A161" s="168">
        <v>15</v>
      </c>
      <c r="B161" s="168"/>
      <c r="C161" s="23" t="s">
        <v>166</v>
      </c>
      <c r="D161" s="23">
        <f t="shared" si="2"/>
        <v>454.61753999999996</v>
      </c>
      <c r="E161" s="23">
        <v>0</v>
      </c>
      <c r="F161" s="23">
        <f t="shared" si="0"/>
        <v>727.38806399999999</v>
      </c>
      <c r="G161" s="168" t="s">
        <v>161</v>
      </c>
      <c r="H161" s="168"/>
    </row>
    <row r="162" spans="1:8" s="2" customFormat="1" x14ac:dyDescent="0.25">
      <c r="A162" s="168">
        <v>16</v>
      </c>
      <c r="B162" s="168"/>
      <c r="C162" s="23" t="s">
        <v>166</v>
      </c>
      <c r="D162" s="23">
        <f t="shared" si="2"/>
        <v>454.61753999999996</v>
      </c>
      <c r="E162" s="23">
        <v>0</v>
      </c>
      <c r="F162" s="23">
        <f t="shared" si="0"/>
        <v>727.38806399999999</v>
      </c>
      <c r="G162" s="168" t="s">
        <v>161</v>
      </c>
      <c r="H162" s="168"/>
    </row>
    <row r="163" spans="1:8" s="2" customFormat="1" x14ac:dyDescent="0.25">
      <c r="A163" s="168">
        <v>17</v>
      </c>
      <c r="B163" s="168"/>
      <c r="C163" s="23" t="s">
        <v>166</v>
      </c>
      <c r="D163" s="23">
        <f t="shared" si="2"/>
        <v>454.61753999999996</v>
      </c>
      <c r="E163" s="23">
        <v>0</v>
      </c>
      <c r="F163" s="23">
        <f t="shared" si="0"/>
        <v>727.38806399999999</v>
      </c>
      <c r="G163" s="168" t="s">
        <v>161</v>
      </c>
      <c r="H163" s="168"/>
    </row>
    <row r="164" spans="1:8" s="2" customFormat="1" x14ac:dyDescent="0.25">
      <c r="A164" s="168">
        <v>18</v>
      </c>
      <c r="B164" s="168"/>
      <c r="C164" s="23" t="s">
        <v>166</v>
      </c>
      <c r="D164" s="23">
        <f t="shared" si="2"/>
        <v>454.61753999999996</v>
      </c>
      <c r="E164" s="23">
        <v>0</v>
      </c>
      <c r="F164" s="23">
        <f t="shared" si="0"/>
        <v>727.38806399999999</v>
      </c>
      <c r="G164" s="168" t="s">
        <v>161</v>
      </c>
      <c r="H164" s="168"/>
    </row>
    <row r="165" spans="1:8" s="2" customFormat="1" x14ac:dyDescent="0.25">
      <c r="A165" s="168">
        <v>19</v>
      </c>
      <c r="B165" s="168"/>
      <c r="C165" s="23" t="s">
        <v>166</v>
      </c>
      <c r="D165" s="23">
        <f t="shared" si="2"/>
        <v>454.61753999999996</v>
      </c>
      <c r="E165" s="23">
        <v>0</v>
      </c>
      <c r="F165" s="23">
        <f t="shared" si="0"/>
        <v>727.38806399999999</v>
      </c>
      <c r="G165" s="168" t="s">
        <v>161</v>
      </c>
      <c r="H165" s="168"/>
    </row>
    <row r="166" spans="1:8" s="2" customFormat="1" x14ac:dyDescent="0.25">
      <c r="A166" s="169">
        <v>20</v>
      </c>
      <c r="B166" s="171"/>
      <c r="C166" s="23" t="s">
        <v>166</v>
      </c>
      <c r="D166" s="23">
        <f t="shared" si="2"/>
        <v>454.61753999999996</v>
      </c>
      <c r="E166" s="23">
        <v>0</v>
      </c>
      <c r="F166" s="23">
        <f t="shared" si="0"/>
        <v>727.38806399999999</v>
      </c>
      <c r="G166" s="168" t="s">
        <v>161</v>
      </c>
      <c r="H166" s="168"/>
    </row>
    <row r="167" spans="1:8" s="2" customFormat="1" x14ac:dyDescent="0.25">
      <c r="A167" s="169">
        <v>21</v>
      </c>
      <c r="B167" s="171"/>
      <c r="C167" s="23" t="s">
        <v>166</v>
      </c>
      <c r="D167" s="23">
        <f t="shared" si="2"/>
        <v>454.61753999999996</v>
      </c>
      <c r="E167" s="23">
        <v>0</v>
      </c>
      <c r="F167" s="23">
        <f t="shared" si="0"/>
        <v>727.38806399999999</v>
      </c>
      <c r="G167" s="168" t="s">
        <v>161</v>
      </c>
      <c r="H167" s="168"/>
    </row>
    <row r="168" spans="1:8" s="2" customFormat="1" x14ac:dyDescent="0.25">
      <c r="A168" s="169">
        <v>22</v>
      </c>
      <c r="B168" s="171"/>
      <c r="C168" s="23" t="s">
        <v>166</v>
      </c>
      <c r="D168" s="23">
        <f t="shared" si="2"/>
        <v>454.61753999999996</v>
      </c>
      <c r="E168" s="23">
        <v>0</v>
      </c>
      <c r="F168" s="23">
        <f t="shared" si="0"/>
        <v>727.38806399999999</v>
      </c>
      <c r="G168" s="168" t="s">
        <v>161</v>
      </c>
      <c r="H168" s="168"/>
    </row>
    <row r="169" spans="1:8" s="2" customFormat="1" x14ac:dyDescent="0.25">
      <c r="A169" s="169">
        <v>23</v>
      </c>
      <c r="B169" s="171"/>
      <c r="C169" s="23" t="s">
        <v>166</v>
      </c>
      <c r="D169" s="23">
        <f t="shared" si="2"/>
        <v>454.61753999999996</v>
      </c>
      <c r="E169" s="23">
        <v>0</v>
      </c>
      <c r="F169" s="23">
        <f t="shared" si="0"/>
        <v>727.38806399999999</v>
      </c>
      <c r="G169" s="168" t="s">
        <v>161</v>
      </c>
      <c r="H169" s="168"/>
    </row>
    <row r="170" spans="1:8" s="2" customFormat="1" x14ac:dyDescent="0.25">
      <c r="A170" s="169">
        <v>24</v>
      </c>
      <c r="B170" s="171"/>
      <c r="C170" s="23" t="s">
        <v>166</v>
      </c>
      <c r="D170" s="23">
        <f t="shared" si="2"/>
        <v>454.61753999999996</v>
      </c>
      <c r="E170" s="23">
        <v>0</v>
      </c>
      <c r="F170" s="23">
        <f t="shared" si="0"/>
        <v>727.38806399999999</v>
      </c>
      <c r="G170" s="168" t="s">
        <v>161</v>
      </c>
      <c r="H170" s="168"/>
    </row>
    <row r="171" spans="1:8" s="2" customFormat="1" x14ac:dyDescent="0.25">
      <c r="A171" s="169">
        <v>25</v>
      </c>
      <c r="B171" s="171"/>
      <c r="C171" s="23" t="s">
        <v>166</v>
      </c>
      <c r="D171" s="23">
        <f t="shared" si="2"/>
        <v>454.61753999999996</v>
      </c>
      <c r="E171" s="23">
        <v>0</v>
      </c>
      <c r="F171" s="23">
        <f t="shared" si="0"/>
        <v>727.38806399999999</v>
      </c>
      <c r="G171" s="168" t="s">
        <v>161</v>
      </c>
      <c r="H171" s="168"/>
    </row>
    <row r="172" spans="1:8" s="2" customFormat="1" x14ac:dyDescent="0.25">
      <c r="A172" s="169">
        <v>26</v>
      </c>
      <c r="B172" s="171"/>
      <c r="C172" s="23" t="s">
        <v>166</v>
      </c>
      <c r="D172" s="23">
        <f t="shared" si="2"/>
        <v>454.61753999999996</v>
      </c>
      <c r="E172" s="23">
        <v>0</v>
      </c>
      <c r="F172" s="23">
        <f t="shared" si="0"/>
        <v>727.38806399999999</v>
      </c>
      <c r="G172" s="168" t="s">
        <v>161</v>
      </c>
      <c r="H172" s="168"/>
    </row>
    <row r="173" spans="1:8" s="2" customFormat="1" x14ac:dyDescent="0.25">
      <c r="A173" s="169">
        <v>27</v>
      </c>
      <c r="B173" s="171"/>
      <c r="C173" s="23" t="s">
        <v>166</v>
      </c>
      <c r="D173" s="23">
        <f t="shared" si="2"/>
        <v>454.61753999999996</v>
      </c>
      <c r="E173" s="23">
        <v>0</v>
      </c>
      <c r="F173" s="23">
        <f t="shared" si="0"/>
        <v>727.38806399999999</v>
      </c>
      <c r="G173" s="168" t="s">
        <v>161</v>
      </c>
      <c r="H173" s="168"/>
    </row>
    <row r="174" spans="1:8" s="2" customFormat="1" x14ac:dyDescent="0.25">
      <c r="A174" s="169">
        <v>28</v>
      </c>
      <c r="B174" s="171"/>
      <c r="C174" s="23" t="s">
        <v>166</v>
      </c>
      <c r="D174" s="23">
        <f t="shared" si="2"/>
        <v>454.61753999999996</v>
      </c>
      <c r="E174" s="23">
        <v>0</v>
      </c>
      <c r="F174" s="23">
        <f t="shared" si="0"/>
        <v>727.38806399999999</v>
      </c>
      <c r="G174" s="168" t="s">
        <v>161</v>
      </c>
      <c r="H174" s="168"/>
    </row>
    <row r="175" spans="1:8" s="2" customFormat="1" x14ac:dyDescent="0.25">
      <c r="A175" s="169">
        <v>29</v>
      </c>
      <c r="B175" s="171"/>
      <c r="C175" s="23" t="s">
        <v>166</v>
      </c>
      <c r="D175" s="23">
        <f t="shared" si="2"/>
        <v>454.61753999999996</v>
      </c>
      <c r="E175" s="23">
        <v>0</v>
      </c>
      <c r="F175" s="23">
        <f t="shared" si="0"/>
        <v>727.38806399999999</v>
      </c>
      <c r="G175" s="168" t="s">
        <v>161</v>
      </c>
      <c r="H175" s="168"/>
    </row>
    <row r="176" spans="1:8" s="2" customFormat="1" x14ac:dyDescent="0.25">
      <c r="A176" s="169">
        <v>30</v>
      </c>
      <c r="B176" s="171"/>
      <c r="C176" s="23" t="s">
        <v>166</v>
      </c>
      <c r="D176" s="23">
        <f t="shared" si="2"/>
        <v>454.61753999999996</v>
      </c>
      <c r="E176" s="23">
        <v>0</v>
      </c>
      <c r="F176" s="23">
        <f t="shared" si="0"/>
        <v>727.38806399999999</v>
      </c>
      <c r="G176" s="168" t="s">
        <v>161</v>
      </c>
      <c r="H176" s="168"/>
    </row>
    <row r="177" spans="1:8" s="2" customFormat="1" x14ac:dyDescent="0.25">
      <c r="A177" s="169">
        <v>31</v>
      </c>
      <c r="B177" s="171"/>
      <c r="C177" s="23" t="s">
        <v>166</v>
      </c>
      <c r="D177" s="23">
        <f t="shared" si="2"/>
        <v>454.61753999999996</v>
      </c>
      <c r="E177" s="23">
        <v>0</v>
      </c>
      <c r="F177" s="23">
        <f t="shared" si="0"/>
        <v>727.38806399999999</v>
      </c>
      <c r="G177" s="168" t="s">
        <v>161</v>
      </c>
      <c r="H177" s="168"/>
    </row>
    <row r="178" spans="1:8" s="2" customFormat="1" x14ac:dyDescent="0.25">
      <c r="A178" s="169">
        <v>32</v>
      </c>
      <c r="B178" s="171"/>
      <c r="C178" s="23" t="s">
        <v>166</v>
      </c>
      <c r="D178" s="23">
        <f t="shared" si="2"/>
        <v>454.61753999999996</v>
      </c>
      <c r="E178" s="23">
        <v>0</v>
      </c>
      <c r="F178" s="23">
        <f t="shared" si="0"/>
        <v>727.38806399999999</v>
      </c>
      <c r="G178" s="168" t="s">
        <v>161</v>
      </c>
      <c r="H178" s="168"/>
    </row>
    <row r="179" spans="1:8" s="2" customFormat="1" x14ac:dyDescent="0.25">
      <c r="A179" s="169">
        <v>33</v>
      </c>
      <c r="B179" s="171"/>
      <c r="C179" s="23" t="s">
        <v>166</v>
      </c>
      <c r="D179" s="23">
        <f t="shared" si="2"/>
        <v>454.61753999999996</v>
      </c>
      <c r="E179" s="23">
        <v>0</v>
      </c>
      <c r="F179" s="23">
        <f t="shared" si="0"/>
        <v>727.38806399999999</v>
      </c>
      <c r="G179" s="168" t="s">
        <v>161</v>
      </c>
      <c r="H179" s="168"/>
    </row>
    <row r="180" spans="1:8" s="2" customFormat="1" x14ac:dyDescent="0.25">
      <c r="A180" s="169">
        <v>34</v>
      </c>
      <c r="B180" s="171"/>
      <c r="C180" s="23" t="s">
        <v>166</v>
      </c>
      <c r="D180" s="23">
        <f t="shared" si="2"/>
        <v>454.61753999999996</v>
      </c>
      <c r="E180" s="23">
        <v>0</v>
      </c>
      <c r="F180" s="23">
        <f t="shared" si="0"/>
        <v>727.38806399999999</v>
      </c>
      <c r="G180" s="168" t="s">
        <v>161</v>
      </c>
      <c r="H180" s="168"/>
    </row>
    <row r="181" spans="1:8" s="2" customFormat="1" x14ac:dyDescent="0.25">
      <c r="A181" s="169">
        <v>35</v>
      </c>
      <c r="B181" s="171"/>
      <c r="C181" s="23" t="s">
        <v>166</v>
      </c>
      <c r="D181" s="23">
        <f t="shared" si="2"/>
        <v>454.61753999999996</v>
      </c>
      <c r="E181" s="23">
        <v>0</v>
      </c>
      <c r="F181" s="23">
        <f t="shared" si="0"/>
        <v>727.38806399999999</v>
      </c>
      <c r="G181" s="168" t="s">
        <v>161</v>
      </c>
      <c r="H181" s="168"/>
    </row>
    <row r="182" spans="1:8" s="2" customFormat="1" x14ac:dyDescent="0.25">
      <c r="A182" s="169">
        <v>36</v>
      </c>
      <c r="B182" s="171"/>
      <c r="C182" s="23" t="s">
        <v>166</v>
      </c>
      <c r="D182" s="23">
        <f t="shared" si="2"/>
        <v>454.61753999999996</v>
      </c>
      <c r="E182" s="23">
        <v>0</v>
      </c>
      <c r="F182" s="23">
        <f t="shared" si="0"/>
        <v>727.38806399999999</v>
      </c>
      <c r="G182" s="168" t="s">
        <v>161</v>
      </c>
      <c r="H182" s="168"/>
    </row>
    <row r="183" spans="1:8" s="2" customFormat="1" x14ac:dyDescent="0.25">
      <c r="A183" s="169">
        <v>37</v>
      </c>
      <c r="B183" s="171"/>
      <c r="C183" s="23" t="s">
        <v>166</v>
      </c>
      <c r="D183" s="23">
        <f t="shared" si="2"/>
        <v>454.61753999999996</v>
      </c>
      <c r="E183" s="23">
        <v>0</v>
      </c>
      <c r="F183" s="23">
        <f t="shared" si="0"/>
        <v>727.38806399999999</v>
      </c>
      <c r="G183" s="168" t="s">
        <v>161</v>
      </c>
      <c r="H183" s="168"/>
    </row>
    <row r="184" spans="1:8" s="2" customFormat="1" x14ac:dyDescent="0.25">
      <c r="A184" s="169">
        <v>38</v>
      </c>
      <c r="B184" s="171"/>
      <c r="C184" s="23" t="s">
        <v>166</v>
      </c>
      <c r="D184" s="23">
        <f t="shared" si="2"/>
        <v>454.61753999999996</v>
      </c>
      <c r="E184" s="23">
        <v>0</v>
      </c>
      <c r="F184" s="23">
        <f t="shared" si="0"/>
        <v>727.38806399999999</v>
      </c>
      <c r="G184" s="168" t="s">
        <v>161</v>
      </c>
      <c r="H184" s="168"/>
    </row>
    <row r="185" spans="1:8" s="2" customFormat="1" x14ac:dyDescent="0.25">
      <c r="A185" s="169">
        <v>39</v>
      </c>
      <c r="B185" s="171"/>
      <c r="C185" s="23" t="s">
        <v>166</v>
      </c>
      <c r="D185" s="23">
        <f t="shared" si="2"/>
        <v>454.61753999999996</v>
      </c>
      <c r="E185" s="23">
        <v>0</v>
      </c>
      <c r="F185" s="23">
        <f t="shared" si="0"/>
        <v>727.38806399999999</v>
      </c>
      <c r="G185" s="168" t="s">
        <v>161</v>
      </c>
      <c r="H185" s="168"/>
    </row>
    <row r="186" spans="1:8" s="2" customFormat="1" x14ac:dyDescent="0.25">
      <c r="A186" s="169">
        <v>40</v>
      </c>
      <c r="B186" s="171"/>
      <c r="C186" s="23" t="s">
        <v>166</v>
      </c>
      <c r="D186" s="23">
        <f t="shared" si="2"/>
        <v>454.61753999999996</v>
      </c>
      <c r="E186" s="23">
        <v>0</v>
      </c>
      <c r="F186" s="23">
        <f t="shared" si="0"/>
        <v>727.38806399999999</v>
      </c>
      <c r="G186" s="168" t="s">
        <v>161</v>
      </c>
      <c r="H186" s="168"/>
    </row>
    <row r="187" spans="1:8" s="2" customFormat="1" x14ac:dyDescent="0.25">
      <c r="A187" s="169">
        <v>41</v>
      </c>
      <c r="B187" s="171"/>
      <c r="C187" s="23" t="s">
        <v>166</v>
      </c>
      <c r="D187" s="23">
        <f t="shared" si="2"/>
        <v>454.61753999999996</v>
      </c>
      <c r="E187" s="23">
        <v>0</v>
      </c>
      <c r="F187" s="23">
        <f t="shared" si="0"/>
        <v>727.38806399999999</v>
      </c>
      <c r="G187" s="168" t="s">
        <v>161</v>
      </c>
      <c r="H187" s="168"/>
    </row>
    <row r="188" spans="1:8" s="2" customFormat="1" x14ac:dyDescent="0.25">
      <c r="A188" s="169">
        <v>42</v>
      </c>
      <c r="B188" s="171"/>
      <c r="C188" s="23" t="s">
        <v>166</v>
      </c>
      <c r="D188" s="23">
        <f>10.764*32.47</f>
        <v>349.50707999999997</v>
      </c>
      <c r="E188" s="23">
        <v>0</v>
      </c>
      <c r="F188" s="23">
        <f t="shared" si="0"/>
        <v>559.21132799999998</v>
      </c>
      <c r="G188" s="168" t="s">
        <v>161</v>
      </c>
      <c r="H188" s="168"/>
    </row>
    <row r="189" spans="1:8" s="2" customFormat="1" x14ac:dyDescent="0.25">
      <c r="A189" s="169">
        <v>43</v>
      </c>
      <c r="B189" s="171"/>
      <c r="C189" s="23" t="s">
        <v>166</v>
      </c>
      <c r="D189" s="23">
        <f t="shared" ref="D189:D191" si="3">10.764*32.47</f>
        <v>349.50707999999997</v>
      </c>
      <c r="E189" s="23">
        <v>0</v>
      </c>
      <c r="F189" s="23">
        <f t="shared" si="0"/>
        <v>559.21132799999998</v>
      </c>
      <c r="G189" s="168" t="s">
        <v>161</v>
      </c>
      <c r="H189" s="168"/>
    </row>
    <row r="190" spans="1:8" s="2" customFormat="1" x14ac:dyDescent="0.25">
      <c r="A190" s="169">
        <v>44</v>
      </c>
      <c r="B190" s="171"/>
      <c r="C190" s="23" t="s">
        <v>166</v>
      </c>
      <c r="D190" s="23">
        <f t="shared" si="3"/>
        <v>349.50707999999997</v>
      </c>
      <c r="E190" s="23">
        <v>0</v>
      </c>
      <c r="F190" s="23">
        <f t="shared" si="0"/>
        <v>559.21132799999998</v>
      </c>
      <c r="G190" s="168" t="s">
        <v>161</v>
      </c>
      <c r="H190" s="168"/>
    </row>
    <row r="191" spans="1:8" s="2" customFormat="1" x14ac:dyDescent="0.25">
      <c r="A191" s="169">
        <v>45</v>
      </c>
      <c r="B191" s="171"/>
      <c r="C191" s="23" t="s">
        <v>166</v>
      </c>
      <c r="D191" s="23">
        <f t="shared" si="3"/>
        <v>349.50707999999997</v>
      </c>
      <c r="E191" s="23">
        <v>0</v>
      </c>
      <c r="F191" s="23">
        <f t="shared" si="0"/>
        <v>559.21132799999998</v>
      </c>
      <c r="G191" s="168" t="s">
        <v>161</v>
      </c>
      <c r="H191" s="168"/>
    </row>
    <row r="192" spans="1:8" s="2" customFormat="1" x14ac:dyDescent="0.25">
      <c r="A192" s="169">
        <v>46</v>
      </c>
      <c r="B192" s="171"/>
      <c r="C192" s="23" t="s">
        <v>166</v>
      </c>
      <c r="D192" s="23">
        <f>10.764*69.551</f>
        <v>748.64696400000003</v>
      </c>
      <c r="E192" s="23">
        <v>0</v>
      </c>
      <c r="F192" s="23">
        <f t="shared" si="0"/>
        <v>1197.8351424</v>
      </c>
      <c r="G192" s="168" t="s">
        <v>161</v>
      </c>
      <c r="H192" s="168"/>
    </row>
    <row r="193" spans="1:8" s="2" customFormat="1" x14ac:dyDescent="0.25">
      <c r="A193" s="169">
        <v>47</v>
      </c>
      <c r="B193" s="171"/>
      <c r="C193" s="23" t="s">
        <v>166</v>
      </c>
      <c r="D193" s="23">
        <f>10.764*61.68</f>
        <v>663.92351999999994</v>
      </c>
      <c r="E193" s="23">
        <v>0</v>
      </c>
      <c r="F193" s="23">
        <f t="shared" si="0"/>
        <v>1062.277632</v>
      </c>
      <c r="G193" s="168" t="s">
        <v>161</v>
      </c>
      <c r="H193" s="168"/>
    </row>
    <row r="194" spans="1:8" s="2" customFormat="1" x14ac:dyDescent="0.25">
      <c r="A194" s="169">
        <v>48</v>
      </c>
      <c r="B194" s="171"/>
      <c r="C194" s="23" t="s">
        <v>166</v>
      </c>
      <c r="D194" s="23">
        <f>10.764*57.866</f>
        <v>622.86962399999993</v>
      </c>
      <c r="E194" s="23">
        <v>0</v>
      </c>
      <c r="F194" s="23">
        <f t="shared" si="0"/>
        <v>996.59139839999989</v>
      </c>
      <c r="G194" s="168" t="s">
        <v>161</v>
      </c>
      <c r="H194" s="168"/>
    </row>
    <row r="195" spans="1:8" s="2" customFormat="1" x14ac:dyDescent="0.25">
      <c r="A195" s="169">
        <v>49</v>
      </c>
      <c r="B195" s="171"/>
      <c r="C195" s="23" t="s">
        <v>166</v>
      </c>
      <c r="D195" s="23">
        <f>10.764*71.565</f>
        <v>770.32565999999997</v>
      </c>
      <c r="E195" s="23">
        <v>0</v>
      </c>
      <c r="F195" s="23">
        <f t="shared" si="0"/>
        <v>1232.521056</v>
      </c>
      <c r="G195" s="168" t="s">
        <v>161</v>
      </c>
      <c r="H195" s="168"/>
    </row>
    <row r="196" spans="1:8" s="2" customFormat="1" x14ac:dyDescent="0.25">
      <c r="A196" s="169">
        <v>50</v>
      </c>
      <c r="B196" s="171"/>
      <c r="C196" s="23" t="s">
        <v>166</v>
      </c>
      <c r="D196" s="23">
        <f>10.764*21.583</f>
        <v>232.31941199999997</v>
      </c>
      <c r="E196" s="23">
        <v>0</v>
      </c>
      <c r="F196" s="23">
        <f t="shared" si="0"/>
        <v>371.71105919999997</v>
      </c>
      <c r="G196" s="168" t="s">
        <v>161</v>
      </c>
      <c r="H196" s="168"/>
    </row>
    <row r="197" spans="1:8" s="2" customFormat="1" x14ac:dyDescent="0.25">
      <c r="A197" s="169">
        <v>51</v>
      </c>
      <c r="B197" s="171"/>
      <c r="C197" s="23" t="s">
        <v>166</v>
      </c>
      <c r="D197" s="23">
        <f>10.764*23.722</f>
        <v>255.34360799999999</v>
      </c>
      <c r="E197" s="23">
        <v>0</v>
      </c>
      <c r="F197" s="23">
        <f t="shared" si="0"/>
        <v>408.54977280000003</v>
      </c>
      <c r="G197" s="168" t="s">
        <v>161</v>
      </c>
      <c r="H197" s="168"/>
    </row>
    <row r="198" spans="1:8" s="2" customFormat="1" x14ac:dyDescent="0.25">
      <c r="A198" s="169">
        <v>52</v>
      </c>
      <c r="B198" s="171"/>
      <c r="C198" s="23" t="s">
        <v>166</v>
      </c>
      <c r="D198" s="23">
        <f>10.764*23.722</f>
        <v>255.34360799999999</v>
      </c>
      <c r="E198" s="23">
        <v>0</v>
      </c>
      <c r="F198" s="23">
        <f t="shared" si="0"/>
        <v>408.54977280000003</v>
      </c>
      <c r="G198" s="168" t="s">
        <v>161</v>
      </c>
      <c r="H198" s="168"/>
    </row>
    <row r="199" spans="1:8" s="2" customFormat="1" x14ac:dyDescent="0.25">
      <c r="A199" s="169">
        <v>53</v>
      </c>
      <c r="B199" s="171"/>
      <c r="C199" s="23" t="s">
        <v>166</v>
      </c>
      <c r="D199" s="23">
        <f>10.764*23.925</f>
        <v>257.52870000000001</v>
      </c>
      <c r="E199" s="23">
        <v>0</v>
      </c>
      <c r="F199" s="23">
        <f t="shared" si="0"/>
        <v>412.04592000000002</v>
      </c>
      <c r="G199" s="168" t="s">
        <v>161</v>
      </c>
      <c r="H199" s="168"/>
    </row>
    <row r="200" spans="1:8" s="2" customFormat="1" x14ac:dyDescent="0.25">
      <c r="A200" s="169">
        <v>54</v>
      </c>
      <c r="B200" s="171"/>
      <c r="C200" s="23" t="s">
        <v>166</v>
      </c>
      <c r="D200" s="23">
        <f>10.764*21.927</f>
        <v>236.02222799999998</v>
      </c>
      <c r="E200" s="23">
        <v>0</v>
      </c>
      <c r="F200" s="23">
        <f t="shared" si="0"/>
        <v>377.6355648</v>
      </c>
      <c r="G200" s="168" t="s">
        <v>161</v>
      </c>
      <c r="H200" s="168"/>
    </row>
    <row r="201" spans="1:8" s="2" customFormat="1" x14ac:dyDescent="0.25">
      <c r="A201" s="169">
        <v>55</v>
      </c>
      <c r="B201" s="171"/>
      <c r="C201" s="23" t="s">
        <v>166</v>
      </c>
      <c r="D201" s="23">
        <f>10.764*22.086</f>
        <v>237.73370399999996</v>
      </c>
      <c r="E201" s="23">
        <v>0</v>
      </c>
      <c r="F201" s="23">
        <f t="shared" si="0"/>
        <v>380.37392639999996</v>
      </c>
      <c r="G201" s="168" t="s">
        <v>161</v>
      </c>
      <c r="H201" s="168"/>
    </row>
    <row r="202" spans="1:8" s="2" customFormat="1" x14ac:dyDescent="0.25">
      <c r="A202" s="169">
        <v>56</v>
      </c>
      <c r="B202" s="171"/>
      <c r="C202" s="23" t="s">
        <v>166</v>
      </c>
      <c r="D202" s="23">
        <f>10.764*21.966</f>
        <v>236.442024</v>
      </c>
      <c r="E202" s="23">
        <v>0</v>
      </c>
      <c r="F202" s="23">
        <f t="shared" si="0"/>
        <v>378.30723840000002</v>
      </c>
      <c r="G202" s="168" t="s">
        <v>161</v>
      </c>
      <c r="H202" s="168"/>
    </row>
    <row r="203" spans="1:8" s="2" customFormat="1" x14ac:dyDescent="0.25">
      <c r="A203" s="169">
        <v>57</v>
      </c>
      <c r="B203" s="171"/>
      <c r="C203" s="23" t="s">
        <v>166</v>
      </c>
      <c r="D203" s="23">
        <f>10.764*25.827</f>
        <v>278.00182799999999</v>
      </c>
      <c r="E203" s="23">
        <v>0</v>
      </c>
      <c r="F203" s="23">
        <f t="shared" si="0"/>
        <v>444.80292480000003</v>
      </c>
      <c r="G203" s="168" t="s">
        <v>161</v>
      </c>
      <c r="H203" s="168"/>
    </row>
    <row r="204" spans="1:8" s="2" customFormat="1" x14ac:dyDescent="0.25">
      <c r="A204" s="169">
        <v>58</v>
      </c>
      <c r="B204" s="171"/>
      <c r="C204" s="23" t="s">
        <v>166</v>
      </c>
      <c r="D204" s="23">
        <f>10.764*21.968</f>
        <v>236.46355199999999</v>
      </c>
      <c r="E204" s="23">
        <v>0</v>
      </c>
      <c r="F204" s="23">
        <f t="shared" si="0"/>
        <v>378.34168320000003</v>
      </c>
      <c r="G204" s="168" t="s">
        <v>161</v>
      </c>
      <c r="H204" s="168"/>
    </row>
    <row r="205" spans="1:8" s="2" customFormat="1" x14ac:dyDescent="0.25">
      <c r="A205" s="169">
        <v>59</v>
      </c>
      <c r="B205" s="171"/>
      <c r="C205" s="23" t="s">
        <v>166</v>
      </c>
      <c r="D205" s="23">
        <f>10.764*21.968</f>
        <v>236.46355199999999</v>
      </c>
      <c r="E205" s="23">
        <v>0</v>
      </c>
      <c r="F205" s="23">
        <f t="shared" si="0"/>
        <v>378.34168320000003</v>
      </c>
      <c r="G205" s="168" t="s">
        <v>161</v>
      </c>
      <c r="H205" s="168"/>
    </row>
    <row r="206" spans="1:8" s="2" customFormat="1" x14ac:dyDescent="0.25">
      <c r="A206" s="169">
        <v>60</v>
      </c>
      <c r="B206" s="171"/>
      <c r="C206" s="23" t="s">
        <v>166</v>
      </c>
      <c r="D206" s="23">
        <f>10.764*21.927</f>
        <v>236.02222799999998</v>
      </c>
      <c r="E206" s="23">
        <v>0</v>
      </c>
      <c r="F206" s="23">
        <f t="shared" si="0"/>
        <v>377.6355648</v>
      </c>
      <c r="G206" s="168" t="s">
        <v>161</v>
      </c>
      <c r="H206" s="168"/>
    </row>
    <row r="207" spans="1:8" s="2" customFormat="1" x14ac:dyDescent="0.25">
      <c r="A207" s="169">
        <v>61</v>
      </c>
      <c r="B207" s="171"/>
      <c r="C207" s="23" t="s">
        <v>166</v>
      </c>
      <c r="D207" s="23">
        <f>10.764*21.927</f>
        <v>236.02222799999998</v>
      </c>
      <c r="E207" s="23">
        <v>0</v>
      </c>
      <c r="F207" s="23">
        <f t="shared" si="0"/>
        <v>377.6355648</v>
      </c>
      <c r="G207" s="168" t="s">
        <v>161</v>
      </c>
      <c r="H207" s="168"/>
    </row>
    <row r="208" spans="1:8" s="2" customFormat="1" x14ac:dyDescent="0.25">
      <c r="A208" s="169">
        <v>62</v>
      </c>
      <c r="B208" s="171"/>
      <c r="C208" s="23" t="s">
        <v>166</v>
      </c>
      <c r="D208" s="23">
        <f>10.764*21.968</f>
        <v>236.46355199999999</v>
      </c>
      <c r="E208" s="23">
        <v>0</v>
      </c>
      <c r="F208" s="23">
        <f t="shared" si="0"/>
        <v>378.34168320000003</v>
      </c>
      <c r="G208" s="168" t="s">
        <v>161</v>
      </c>
      <c r="H208" s="168"/>
    </row>
    <row r="209" spans="1:8" s="2" customFormat="1" x14ac:dyDescent="0.25">
      <c r="A209" s="169">
        <v>63</v>
      </c>
      <c r="B209" s="171"/>
      <c r="C209" s="23" t="s">
        <v>166</v>
      </c>
      <c r="D209" s="23">
        <f>10.764*21.968</f>
        <v>236.46355199999999</v>
      </c>
      <c r="E209" s="23">
        <v>0</v>
      </c>
      <c r="F209" s="23">
        <f t="shared" ref="F209:F223" si="4">D209*1.6+E209</f>
        <v>378.34168320000003</v>
      </c>
      <c r="G209" s="168" t="s">
        <v>161</v>
      </c>
      <c r="H209" s="168"/>
    </row>
    <row r="210" spans="1:8" s="2" customFormat="1" x14ac:dyDescent="0.25">
      <c r="A210" s="169">
        <v>64</v>
      </c>
      <c r="B210" s="171"/>
      <c r="C210" s="23" t="s">
        <v>166</v>
      </c>
      <c r="D210" s="23">
        <f>10.764*25.827</f>
        <v>278.00182799999999</v>
      </c>
      <c r="E210" s="23">
        <v>0</v>
      </c>
      <c r="F210" s="23">
        <f t="shared" si="4"/>
        <v>444.80292480000003</v>
      </c>
      <c r="G210" s="168" t="s">
        <v>161</v>
      </c>
      <c r="H210" s="168"/>
    </row>
    <row r="211" spans="1:8" s="2" customFormat="1" x14ac:dyDescent="0.25">
      <c r="A211" s="169">
        <v>65</v>
      </c>
      <c r="B211" s="171"/>
      <c r="C211" s="23" t="s">
        <v>166</v>
      </c>
      <c r="D211" s="23">
        <f>10.764*21.968</f>
        <v>236.46355199999999</v>
      </c>
      <c r="E211" s="23">
        <v>0</v>
      </c>
      <c r="F211" s="23">
        <f t="shared" si="4"/>
        <v>378.34168320000003</v>
      </c>
      <c r="G211" s="168" t="s">
        <v>161</v>
      </c>
      <c r="H211" s="168"/>
    </row>
    <row r="212" spans="1:8" s="2" customFormat="1" x14ac:dyDescent="0.25">
      <c r="A212" s="169">
        <v>66</v>
      </c>
      <c r="B212" s="171"/>
      <c r="C212" s="23" t="s">
        <v>166</v>
      </c>
      <c r="D212" s="23">
        <f>10.764*21.968</f>
        <v>236.46355199999999</v>
      </c>
      <c r="E212" s="23">
        <v>0</v>
      </c>
      <c r="F212" s="23">
        <f t="shared" si="4"/>
        <v>378.34168320000003</v>
      </c>
      <c r="G212" s="168" t="s">
        <v>161</v>
      </c>
      <c r="H212" s="168"/>
    </row>
    <row r="213" spans="1:8" s="2" customFormat="1" x14ac:dyDescent="0.25">
      <c r="A213" s="169">
        <v>67</v>
      </c>
      <c r="B213" s="171"/>
      <c r="C213" s="23" t="s">
        <v>166</v>
      </c>
      <c r="D213" s="23">
        <f>10.764*21.927</f>
        <v>236.02222799999998</v>
      </c>
      <c r="E213" s="23">
        <v>0</v>
      </c>
      <c r="F213" s="23">
        <f t="shared" si="4"/>
        <v>377.6355648</v>
      </c>
      <c r="G213" s="168" t="s">
        <v>161</v>
      </c>
      <c r="H213" s="168"/>
    </row>
    <row r="214" spans="1:8" s="2" customFormat="1" x14ac:dyDescent="0.25">
      <c r="A214" s="169">
        <v>68</v>
      </c>
      <c r="B214" s="171"/>
      <c r="C214" s="23" t="s">
        <v>166</v>
      </c>
      <c r="D214" s="23">
        <f>10.764*21.927</f>
        <v>236.02222799999998</v>
      </c>
      <c r="E214" s="23">
        <v>0</v>
      </c>
      <c r="F214" s="23">
        <f t="shared" si="4"/>
        <v>377.6355648</v>
      </c>
      <c r="G214" s="168" t="s">
        <v>161</v>
      </c>
      <c r="H214" s="168"/>
    </row>
    <row r="215" spans="1:8" s="2" customFormat="1" x14ac:dyDescent="0.25">
      <c r="A215" s="169">
        <v>69</v>
      </c>
      <c r="B215" s="171"/>
      <c r="C215" s="23" t="s">
        <v>166</v>
      </c>
      <c r="D215" s="23">
        <f>10.764*21.968</f>
        <v>236.46355199999999</v>
      </c>
      <c r="E215" s="23">
        <v>0</v>
      </c>
      <c r="F215" s="23">
        <f t="shared" si="4"/>
        <v>378.34168320000003</v>
      </c>
      <c r="G215" s="168" t="s">
        <v>161</v>
      </c>
      <c r="H215" s="168"/>
    </row>
    <row r="216" spans="1:8" s="2" customFormat="1" x14ac:dyDescent="0.25">
      <c r="A216" s="169">
        <v>70</v>
      </c>
      <c r="B216" s="171"/>
      <c r="C216" s="23" t="s">
        <v>166</v>
      </c>
      <c r="D216" s="23">
        <f>10.764*21.968</f>
        <v>236.46355199999999</v>
      </c>
      <c r="E216" s="23">
        <v>0</v>
      </c>
      <c r="F216" s="23">
        <f t="shared" si="4"/>
        <v>378.34168320000003</v>
      </c>
      <c r="G216" s="168" t="s">
        <v>161</v>
      </c>
      <c r="H216" s="168"/>
    </row>
    <row r="217" spans="1:8" s="2" customFormat="1" x14ac:dyDescent="0.25">
      <c r="A217" s="169">
        <v>71</v>
      </c>
      <c r="B217" s="171"/>
      <c r="C217" s="23" t="s">
        <v>166</v>
      </c>
      <c r="D217" s="23">
        <f>10.764*25.827</f>
        <v>278.00182799999999</v>
      </c>
      <c r="E217" s="23">
        <v>0</v>
      </c>
      <c r="F217" s="23">
        <f t="shared" si="4"/>
        <v>444.80292480000003</v>
      </c>
      <c r="G217" s="168" t="s">
        <v>161</v>
      </c>
      <c r="H217" s="168"/>
    </row>
    <row r="218" spans="1:8" s="2" customFormat="1" x14ac:dyDescent="0.25">
      <c r="A218" s="169">
        <v>72</v>
      </c>
      <c r="B218" s="171"/>
      <c r="C218" s="23" t="s">
        <v>166</v>
      </c>
      <c r="D218" s="23">
        <f>10.764*21.968</f>
        <v>236.46355199999999</v>
      </c>
      <c r="E218" s="23">
        <v>0</v>
      </c>
      <c r="F218" s="23">
        <f t="shared" si="4"/>
        <v>378.34168320000003</v>
      </c>
      <c r="G218" s="168" t="s">
        <v>161</v>
      </c>
      <c r="H218" s="168"/>
    </row>
    <row r="219" spans="1:8" s="2" customFormat="1" x14ac:dyDescent="0.25">
      <c r="A219" s="169">
        <v>73</v>
      </c>
      <c r="B219" s="171"/>
      <c r="C219" s="23" t="s">
        <v>166</v>
      </c>
      <c r="D219" s="23">
        <f>10.764*21.968</f>
        <v>236.46355199999999</v>
      </c>
      <c r="E219" s="23">
        <v>0</v>
      </c>
      <c r="F219" s="23">
        <f t="shared" si="4"/>
        <v>378.34168320000003</v>
      </c>
      <c r="G219" s="168" t="s">
        <v>161</v>
      </c>
      <c r="H219" s="168"/>
    </row>
    <row r="220" spans="1:8" s="2" customFormat="1" x14ac:dyDescent="0.25">
      <c r="A220" s="169">
        <v>74</v>
      </c>
      <c r="B220" s="171"/>
      <c r="C220" s="23" t="s">
        <v>166</v>
      </c>
      <c r="D220" s="23">
        <f>10.764*21.927</f>
        <v>236.02222799999998</v>
      </c>
      <c r="E220" s="23">
        <v>0</v>
      </c>
      <c r="F220" s="23">
        <f t="shared" si="4"/>
        <v>377.6355648</v>
      </c>
      <c r="G220" s="168" t="s">
        <v>161</v>
      </c>
      <c r="H220" s="168"/>
    </row>
    <row r="221" spans="1:8" s="2" customFormat="1" x14ac:dyDescent="0.25">
      <c r="A221" s="169">
        <v>75</v>
      </c>
      <c r="B221" s="171"/>
      <c r="C221" s="23" t="s">
        <v>166</v>
      </c>
      <c r="D221" s="23">
        <f>10.764*23.925</f>
        <v>257.52870000000001</v>
      </c>
      <c r="E221" s="23">
        <v>0</v>
      </c>
      <c r="F221" s="23">
        <f t="shared" si="4"/>
        <v>412.04592000000002</v>
      </c>
      <c r="G221" s="168" t="s">
        <v>161</v>
      </c>
      <c r="H221" s="168"/>
    </row>
    <row r="222" spans="1:8" s="2" customFormat="1" x14ac:dyDescent="0.25">
      <c r="A222" s="169">
        <v>76</v>
      </c>
      <c r="B222" s="171"/>
      <c r="C222" s="23" t="s">
        <v>166</v>
      </c>
      <c r="D222" s="23">
        <f>10.764*25.905</f>
        <v>278.84141999999997</v>
      </c>
      <c r="E222" s="23">
        <v>0</v>
      </c>
      <c r="F222" s="23">
        <f t="shared" si="4"/>
        <v>446.14627199999995</v>
      </c>
      <c r="G222" s="168" t="s">
        <v>161</v>
      </c>
      <c r="H222" s="168"/>
    </row>
    <row r="223" spans="1:8" s="2" customFormat="1" x14ac:dyDescent="0.25">
      <c r="A223" s="169">
        <v>77</v>
      </c>
      <c r="B223" s="171"/>
      <c r="C223" s="23" t="s">
        <v>166</v>
      </c>
      <c r="D223" s="23">
        <f>10.764*25.905</f>
        <v>278.84141999999997</v>
      </c>
      <c r="E223" s="23">
        <v>0</v>
      </c>
      <c r="F223" s="23">
        <f t="shared" si="4"/>
        <v>446.14627199999995</v>
      </c>
      <c r="G223" s="168" t="s">
        <v>161</v>
      </c>
      <c r="H223" s="168"/>
    </row>
    <row r="224" spans="1:8" s="2" customFormat="1" x14ac:dyDescent="0.25">
      <c r="A224" s="169"/>
      <c r="B224" s="170"/>
      <c r="C224" s="170"/>
      <c r="D224" s="170"/>
      <c r="E224" s="170"/>
      <c r="F224" s="170"/>
      <c r="G224" s="170"/>
      <c r="H224" s="171"/>
    </row>
    <row r="225" spans="1:11" ht="57.75" customHeight="1" x14ac:dyDescent="0.25">
      <c r="A225" s="24" t="s">
        <v>172</v>
      </c>
      <c r="B225" s="24" t="s">
        <v>65</v>
      </c>
      <c r="C225" s="24" t="s">
        <v>66</v>
      </c>
      <c r="D225" s="24" t="s">
        <v>173</v>
      </c>
      <c r="E225" s="17" t="s">
        <v>174</v>
      </c>
      <c r="F225" s="24" t="s">
        <v>67</v>
      </c>
      <c r="G225" s="24" t="s">
        <v>68</v>
      </c>
      <c r="H225" s="24" t="s">
        <v>69</v>
      </c>
    </row>
    <row r="226" spans="1:11" s="2" customFormat="1" ht="15.75" customHeight="1" x14ac:dyDescent="0.25">
      <c r="A226" s="155" t="s">
        <v>168</v>
      </c>
      <c r="B226" s="155"/>
      <c r="C226" s="155"/>
      <c r="D226" s="155"/>
      <c r="E226" s="155"/>
      <c r="F226" s="155"/>
      <c r="G226" s="155"/>
      <c r="H226" s="155"/>
    </row>
    <row r="227" spans="1:11" s="2" customFormat="1" ht="15.75" customHeight="1" x14ac:dyDescent="0.25">
      <c r="A227" s="155" t="s">
        <v>160</v>
      </c>
      <c r="B227" s="155"/>
      <c r="C227" s="155"/>
      <c r="D227" s="155"/>
      <c r="E227" s="155"/>
      <c r="F227" s="155"/>
      <c r="G227" s="155"/>
      <c r="H227" s="155"/>
    </row>
    <row r="228" spans="1:11" s="2" customFormat="1" x14ac:dyDescent="0.25">
      <c r="A228" s="155" t="s">
        <v>169</v>
      </c>
      <c r="B228" s="155"/>
      <c r="C228" s="155"/>
      <c r="D228" s="155"/>
      <c r="E228" s="155"/>
      <c r="F228" s="155"/>
      <c r="G228" s="155"/>
      <c r="H228" s="155"/>
    </row>
    <row r="229" spans="1:11" s="2" customFormat="1" ht="16.5" thickBot="1" x14ac:dyDescent="0.3">
      <c r="A229" s="162" t="s">
        <v>170</v>
      </c>
      <c r="B229" s="163"/>
      <c r="C229" s="163"/>
      <c r="D229" s="163"/>
      <c r="E229" s="163"/>
      <c r="F229" s="163"/>
      <c r="G229" s="163"/>
      <c r="H229" s="164"/>
    </row>
    <row r="230" spans="1:11" s="2" customFormat="1" x14ac:dyDescent="0.25">
      <c r="A230" s="45">
        <v>201</v>
      </c>
      <c r="B230" s="46" t="s">
        <v>175</v>
      </c>
      <c r="C230" s="46">
        <f>10.764*(7.23+74.86+(2.75*0.06+3.35*0.6))</f>
        <v>907.02846</v>
      </c>
      <c r="D230" s="46">
        <f>10.764*(2.65*3.2+2.1*1.2)</f>
        <v>118.404</v>
      </c>
      <c r="E230" s="46">
        <f>C230+D230</f>
        <v>1025.43246</v>
      </c>
      <c r="F230" s="46">
        <f>4.5*10.764</f>
        <v>48.437999999999995</v>
      </c>
      <c r="G230" s="46">
        <v>1885</v>
      </c>
      <c r="H230" s="153" t="s">
        <v>171</v>
      </c>
    </row>
    <row r="231" spans="1:11" s="2" customFormat="1" ht="16.5" thickBot="1" x14ac:dyDescent="0.3">
      <c r="A231" s="49">
        <v>202</v>
      </c>
      <c r="B231" s="50" t="s">
        <v>175</v>
      </c>
      <c r="C231" s="50">
        <f>10.764*(7.23+74.86+(2.75*0.06+3.35*0.6))</f>
        <v>907.02846</v>
      </c>
      <c r="D231" s="50">
        <f>10.764*(2.65*3.2+2.1*1.2)</f>
        <v>118.404</v>
      </c>
      <c r="E231" s="50">
        <f>C231+D231</f>
        <v>1025.43246</v>
      </c>
      <c r="F231" s="50">
        <f t="shared" ref="F231:F255" si="5">4.5*10.764</f>
        <v>48.437999999999995</v>
      </c>
      <c r="G231" s="50">
        <v>1885</v>
      </c>
      <c r="H231" s="161"/>
      <c r="I231" s="2">
        <f>25447500/G231</f>
        <v>13500</v>
      </c>
      <c r="J231" s="2">
        <f>25500000/G230</f>
        <v>13527.851458885942</v>
      </c>
    </row>
    <row r="232" spans="1:11" s="2" customFormat="1" x14ac:dyDescent="0.25">
      <c r="A232" s="45">
        <v>301</v>
      </c>
      <c r="B232" s="46" t="s">
        <v>175</v>
      </c>
      <c r="C232" s="46">
        <f>10.764*(7.23+74.86+(2.75*0.06+3.1*0.6))</f>
        <v>905.41386</v>
      </c>
      <c r="D232" s="46">
        <f t="shared" ref="D232:D255" si="6">10.764*(2.65*3.2+2.1*1.2)</f>
        <v>118.404</v>
      </c>
      <c r="E232" s="46">
        <f t="shared" ref="E232:E255" si="7">C232+D232</f>
        <v>1023.81786</v>
      </c>
      <c r="F232" s="46">
        <f t="shared" si="5"/>
        <v>48.437999999999995</v>
      </c>
      <c r="G232" s="46">
        <v>1885</v>
      </c>
      <c r="H232" s="153" t="s">
        <v>176</v>
      </c>
      <c r="I232" s="86">
        <f>G232-F232</f>
        <v>1836.5619999999999</v>
      </c>
      <c r="J232" s="2">
        <f>25500000/G231</f>
        <v>13527.851458885942</v>
      </c>
      <c r="K232" s="87">
        <f>I232/E232</f>
        <v>1.7938366498119107</v>
      </c>
    </row>
    <row r="233" spans="1:11" s="2" customFormat="1" ht="16.5" thickBot="1" x14ac:dyDescent="0.3">
      <c r="A233" s="47">
        <v>302</v>
      </c>
      <c r="B233" s="48" t="s">
        <v>175</v>
      </c>
      <c r="C233" s="48">
        <f>10.764*(7.23+74.86+(2.75*0.06+3.1*0.6))</f>
        <v>905.41386</v>
      </c>
      <c r="D233" s="48">
        <f t="shared" si="6"/>
        <v>118.404</v>
      </c>
      <c r="E233" s="48">
        <f t="shared" si="7"/>
        <v>1023.81786</v>
      </c>
      <c r="F233" s="48">
        <f t="shared" si="5"/>
        <v>48.437999999999995</v>
      </c>
      <c r="G233" s="48">
        <v>1885</v>
      </c>
      <c r="H233" s="154"/>
    </row>
    <row r="234" spans="1:11" s="2" customFormat="1" x14ac:dyDescent="0.25">
      <c r="A234" s="51">
        <v>401</v>
      </c>
      <c r="B234" s="52" t="s">
        <v>175</v>
      </c>
      <c r="C234" s="52">
        <f>10.764*(7.23+74.86+(2.75*0.06+3.35*0.6))</f>
        <v>907.02846</v>
      </c>
      <c r="D234" s="52">
        <f t="shared" si="6"/>
        <v>118.404</v>
      </c>
      <c r="E234" s="52">
        <f t="shared" si="7"/>
        <v>1025.43246</v>
      </c>
      <c r="F234" s="52">
        <f t="shared" si="5"/>
        <v>48.437999999999995</v>
      </c>
      <c r="G234" s="52">
        <v>1885</v>
      </c>
      <c r="H234" s="161" t="s">
        <v>177</v>
      </c>
      <c r="K234" s="91">
        <f t="shared" ref="K234:K296" si="8">G234/(E234+F234)</f>
        <v>1.7553327614580252</v>
      </c>
    </row>
    <row r="235" spans="1:11" s="2" customFormat="1" ht="16.5" thickBot="1" x14ac:dyDescent="0.3">
      <c r="A235" s="49">
        <v>402</v>
      </c>
      <c r="B235" s="50" t="s">
        <v>175</v>
      </c>
      <c r="C235" s="50">
        <f>10.764*(7.23+74.86+(2.75*0.06+3.35*0.6))</f>
        <v>907.02846</v>
      </c>
      <c r="D235" s="50">
        <f t="shared" si="6"/>
        <v>118.404</v>
      </c>
      <c r="E235" s="50">
        <f t="shared" si="7"/>
        <v>1025.43246</v>
      </c>
      <c r="F235" s="50">
        <f t="shared" si="5"/>
        <v>48.437999999999995</v>
      </c>
      <c r="G235" s="50">
        <v>1885</v>
      </c>
      <c r="H235" s="161"/>
      <c r="K235" s="91">
        <f t="shared" si="8"/>
        <v>1.7553327614580252</v>
      </c>
    </row>
    <row r="236" spans="1:11" s="2" customFormat="1" x14ac:dyDescent="0.25">
      <c r="A236" s="45">
        <v>501</v>
      </c>
      <c r="B236" s="46" t="s">
        <v>175</v>
      </c>
      <c r="C236" s="46">
        <f>10.764*(7.23+74.86+(2.75*0.06+3.1*0.6))</f>
        <v>905.41386</v>
      </c>
      <c r="D236" s="46">
        <f t="shared" si="6"/>
        <v>118.404</v>
      </c>
      <c r="E236" s="46">
        <f t="shared" si="7"/>
        <v>1023.81786</v>
      </c>
      <c r="F236" s="46">
        <f t="shared" si="5"/>
        <v>48.437999999999995</v>
      </c>
      <c r="G236" s="46">
        <v>1885</v>
      </c>
      <c r="H236" s="153" t="s">
        <v>178</v>
      </c>
      <c r="K236" s="91">
        <f t="shared" si="8"/>
        <v>1.7579759368253767</v>
      </c>
    </row>
    <row r="237" spans="1:11" s="2" customFormat="1" ht="16.5" thickBot="1" x14ac:dyDescent="0.3">
      <c r="A237" s="47">
        <v>502</v>
      </c>
      <c r="B237" s="48" t="s">
        <v>175</v>
      </c>
      <c r="C237" s="48">
        <f>10.764*(7.23+74.86+(2.75*0.06+3.1*0.6))</f>
        <v>905.41386</v>
      </c>
      <c r="D237" s="48">
        <f t="shared" si="6"/>
        <v>118.404</v>
      </c>
      <c r="E237" s="48">
        <f t="shared" si="7"/>
        <v>1023.81786</v>
      </c>
      <c r="F237" s="48">
        <f t="shared" si="5"/>
        <v>48.437999999999995</v>
      </c>
      <c r="G237" s="48">
        <v>1885</v>
      </c>
      <c r="H237" s="154"/>
      <c r="K237" s="91">
        <f t="shared" si="8"/>
        <v>1.7579759368253767</v>
      </c>
    </row>
    <row r="238" spans="1:11" s="2" customFormat="1" x14ac:dyDescent="0.25">
      <c r="A238" s="51">
        <v>601</v>
      </c>
      <c r="B238" s="52" t="s">
        <v>175</v>
      </c>
      <c r="C238" s="52">
        <f>10.764*(7.23+74.86+(2.75*0.06+3.35*0.6))</f>
        <v>907.02846</v>
      </c>
      <c r="D238" s="52">
        <f t="shared" si="6"/>
        <v>118.404</v>
      </c>
      <c r="E238" s="52">
        <f t="shared" si="7"/>
        <v>1025.43246</v>
      </c>
      <c r="F238" s="52">
        <f t="shared" si="5"/>
        <v>48.437999999999995</v>
      </c>
      <c r="G238" s="52">
        <v>1885</v>
      </c>
      <c r="H238" s="161" t="s">
        <v>179</v>
      </c>
      <c r="K238" s="91">
        <f t="shared" si="8"/>
        <v>1.7553327614580252</v>
      </c>
    </row>
    <row r="239" spans="1:11" s="2" customFormat="1" ht="16.5" thickBot="1" x14ac:dyDescent="0.3">
      <c r="A239" s="49">
        <v>602</v>
      </c>
      <c r="B239" s="50" t="s">
        <v>175</v>
      </c>
      <c r="C239" s="50">
        <f>10.764*(7.23+74.86+(2.75*0.06+3.35*0.6))</f>
        <v>907.02846</v>
      </c>
      <c r="D239" s="50">
        <f t="shared" si="6"/>
        <v>118.404</v>
      </c>
      <c r="E239" s="50">
        <f t="shared" si="7"/>
        <v>1025.43246</v>
      </c>
      <c r="F239" s="50">
        <f t="shared" si="5"/>
        <v>48.437999999999995</v>
      </c>
      <c r="G239" s="50">
        <v>1885</v>
      </c>
      <c r="H239" s="161"/>
      <c r="K239" s="91">
        <f t="shared" si="8"/>
        <v>1.7553327614580252</v>
      </c>
    </row>
    <row r="240" spans="1:11" s="2" customFormat="1" x14ac:dyDescent="0.25">
      <c r="A240" s="45">
        <v>701</v>
      </c>
      <c r="B240" s="46" t="s">
        <v>175</v>
      </c>
      <c r="C240" s="46">
        <f>10.764*(7.23+74.86+(2.75*0.06+3.1*0.6))</f>
        <v>905.41386</v>
      </c>
      <c r="D240" s="46">
        <f t="shared" si="6"/>
        <v>118.404</v>
      </c>
      <c r="E240" s="46">
        <f t="shared" si="7"/>
        <v>1023.81786</v>
      </c>
      <c r="F240" s="46">
        <f t="shared" si="5"/>
        <v>48.437999999999995</v>
      </c>
      <c r="G240" s="46">
        <v>1885</v>
      </c>
      <c r="H240" s="153" t="s">
        <v>180</v>
      </c>
      <c r="K240" s="91">
        <f t="shared" si="8"/>
        <v>1.7579759368253767</v>
      </c>
    </row>
    <row r="241" spans="1:11" s="2" customFormat="1" ht="16.5" thickBot="1" x14ac:dyDescent="0.3">
      <c r="A241" s="47">
        <v>702</v>
      </c>
      <c r="B241" s="48" t="s">
        <v>175</v>
      </c>
      <c r="C241" s="48">
        <f>10.764*(7.23+74.86+(2.75*0.06+3.1*0.6))</f>
        <v>905.41386</v>
      </c>
      <c r="D241" s="48">
        <f t="shared" si="6"/>
        <v>118.404</v>
      </c>
      <c r="E241" s="48">
        <f t="shared" si="7"/>
        <v>1023.81786</v>
      </c>
      <c r="F241" s="48">
        <f t="shared" si="5"/>
        <v>48.437999999999995</v>
      </c>
      <c r="G241" s="48">
        <v>1885</v>
      </c>
      <c r="H241" s="154"/>
      <c r="K241" s="91">
        <f t="shared" si="8"/>
        <v>1.7579759368253767</v>
      </c>
    </row>
    <row r="242" spans="1:11" s="2" customFormat="1" x14ac:dyDescent="0.25">
      <c r="A242" s="51">
        <v>801</v>
      </c>
      <c r="B242" s="52" t="s">
        <v>175</v>
      </c>
      <c r="C242" s="52">
        <f>10.764*(7.23+74.86+(2.75*0.06+3.35*0.6))</f>
        <v>907.02846</v>
      </c>
      <c r="D242" s="52">
        <f t="shared" si="6"/>
        <v>118.404</v>
      </c>
      <c r="E242" s="52">
        <f t="shared" si="7"/>
        <v>1025.43246</v>
      </c>
      <c r="F242" s="52">
        <f t="shared" si="5"/>
        <v>48.437999999999995</v>
      </c>
      <c r="G242" s="52">
        <v>1885</v>
      </c>
      <c r="H242" s="161" t="s">
        <v>181</v>
      </c>
      <c r="K242" s="91">
        <f t="shared" si="8"/>
        <v>1.7553327614580252</v>
      </c>
    </row>
    <row r="243" spans="1:11" s="2" customFormat="1" ht="16.5" thickBot="1" x14ac:dyDescent="0.3">
      <c r="A243" s="49">
        <v>802</v>
      </c>
      <c r="B243" s="50" t="s">
        <v>175</v>
      </c>
      <c r="C243" s="50">
        <f>10.764*(7.23+74.86+(2.75*0.06+3.35*0.6))</f>
        <v>907.02846</v>
      </c>
      <c r="D243" s="50">
        <f t="shared" si="6"/>
        <v>118.404</v>
      </c>
      <c r="E243" s="50">
        <f t="shared" si="7"/>
        <v>1025.43246</v>
      </c>
      <c r="F243" s="50">
        <f t="shared" si="5"/>
        <v>48.437999999999995</v>
      </c>
      <c r="G243" s="50">
        <v>1885</v>
      </c>
      <c r="H243" s="161"/>
      <c r="K243" s="91">
        <f t="shared" si="8"/>
        <v>1.7553327614580252</v>
      </c>
    </row>
    <row r="244" spans="1:11" s="2" customFormat="1" x14ac:dyDescent="0.25">
      <c r="A244" s="45">
        <v>901</v>
      </c>
      <c r="B244" s="46" t="s">
        <v>175</v>
      </c>
      <c r="C244" s="46">
        <f>10.764*(7.23+74.86+(2.75*0.06+3.1*0.6))</f>
        <v>905.41386</v>
      </c>
      <c r="D244" s="46">
        <f t="shared" si="6"/>
        <v>118.404</v>
      </c>
      <c r="E244" s="46">
        <f t="shared" si="7"/>
        <v>1023.81786</v>
      </c>
      <c r="F244" s="46">
        <f t="shared" si="5"/>
        <v>48.437999999999995</v>
      </c>
      <c r="G244" s="46">
        <v>1885</v>
      </c>
      <c r="H244" s="153" t="s">
        <v>182</v>
      </c>
      <c r="K244" s="91">
        <f t="shared" si="8"/>
        <v>1.7579759368253767</v>
      </c>
    </row>
    <row r="245" spans="1:11" s="2" customFormat="1" ht="16.5" thickBot="1" x14ac:dyDescent="0.3">
      <c r="A245" s="47">
        <v>902</v>
      </c>
      <c r="B245" s="48" t="s">
        <v>175</v>
      </c>
      <c r="C245" s="48">
        <f>10.764*(7.23+74.86+(2.75*0.06+3.1*0.6))</f>
        <v>905.41386</v>
      </c>
      <c r="D245" s="48">
        <f t="shared" si="6"/>
        <v>118.404</v>
      </c>
      <c r="E245" s="48">
        <f t="shared" si="7"/>
        <v>1023.81786</v>
      </c>
      <c r="F245" s="48">
        <f t="shared" si="5"/>
        <v>48.437999999999995</v>
      </c>
      <c r="G245" s="48">
        <v>1885</v>
      </c>
      <c r="H245" s="154"/>
      <c r="K245" s="91">
        <f t="shared" si="8"/>
        <v>1.7579759368253767</v>
      </c>
    </row>
    <row r="246" spans="1:11" s="2" customFormat="1" x14ac:dyDescent="0.25">
      <c r="A246" s="51">
        <v>1001</v>
      </c>
      <c r="B246" s="52" t="s">
        <v>175</v>
      </c>
      <c r="C246" s="52">
        <f>10.764*(7.23+74.86+(2.75*0.06+3.35*0.6))</f>
        <v>907.02846</v>
      </c>
      <c r="D246" s="52">
        <f t="shared" si="6"/>
        <v>118.404</v>
      </c>
      <c r="E246" s="52">
        <f t="shared" si="7"/>
        <v>1025.43246</v>
      </c>
      <c r="F246" s="52">
        <f t="shared" si="5"/>
        <v>48.437999999999995</v>
      </c>
      <c r="G246" s="52">
        <v>1885</v>
      </c>
      <c r="H246" s="161" t="s">
        <v>183</v>
      </c>
      <c r="K246" s="91">
        <f t="shared" si="8"/>
        <v>1.7553327614580252</v>
      </c>
    </row>
    <row r="247" spans="1:11" s="2" customFormat="1" ht="16.5" thickBot="1" x14ac:dyDescent="0.3">
      <c r="A247" s="49">
        <v>1002</v>
      </c>
      <c r="B247" s="50" t="s">
        <v>175</v>
      </c>
      <c r="C247" s="50">
        <f>10.764*(7.23+74.86+(2.75*0.06+3.35*0.6))</f>
        <v>907.02846</v>
      </c>
      <c r="D247" s="50">
        <f t="shared" si="6"/>
        <v>118.404</v>
      </c>
      <c r="E247" s="50">
        <f t="shared" si="7"/>
        <v>1025.43246</v>
      </c>
      <c r="F247" s="50">
        <f t="shared" si="5"/>
        <v>48.437999999999995</v>
      </c>
      <c r="G247" s="50">
        <v>1885</v>
      </c>
      <c r="H247" s="161"/>
      <c r="K247" s="91">
        <f t="shared" si="8"/>
        <v>1.7553327614580252</v>
      </c>
    </row>
    <row r="248" spans="1:11" s="2" customFormat="1" x14ac:dyDescent="0.25">
      <c r="A248" s="45">
        <v>1101</v>
      </c>
      <c r="B248" s="46" t="s">
        <v>175</v>
      </c>
      <c r="C248" s="46">
        <f>10.764*(7.23+74.86+(2.75*0.06+3.1*0.6))</f>
        <v>905.41386</v>
      </c>
      <c r="D248" s="46">
        <f t="shared" si="6"/>
        <v>118.404</v>
      </c>
      <c r="E248" s="46">
        <f t="shared" si="7"/>
        <v>1023.81786</v>
      </c>
      <c r="F248" s="46">
        <f t="shared" si="5"/>
        <v>48.437999999999995</v>
      </c>
      <c r="G248" s="46">
        <v>1885</v>
      </c>
      <c r="H248" s="153" t="s">
        <v>184</v>
      </c>
      <c r="K248" s="91">
        <f t="shared" si="8"/>
        <v>1.7579759368253767</v>
      </c>
    </row>
    <row r="249" spans="1:11" s="2" customFormat="1" ht="16.5" thickBot="1" x14ac:dyDescent="0.3">
      <c r="A249" s="47">
        <v>1102</v>
      </c>
      <c r="B249" s="48" t="s">
        <v>175</v>
      </c>
      <c r="C249" s="48">
        <f>10.764*(7.23+74.86+(2.75*0.06+3.1*0.6))</f>
        <v>905.41386</v>
      </c>
      <c r="D249" s="48">
        <f t="shared" si="6"/>
        <v>118.404</v>
      </c>
      <c r="E249" s="48">
        <f t="shared" si="7"/>
        <v>1023.81786</v>
      </c>
      <c r="F249" s="48">
        <f t="shared" si="5"/>
        <v>48.437999999999995</v>
      </c>
      <c r="G249" s="48">
        <v>1885</v>
      </c>
      <c r="H249" s="154"/>
      <c r="K249" s="91">
        <f t="shared" si="8"/>
        <v>1.7579759368253767</v>
      </c>
    </row>
    <row r="250" spans="1:11" s="2" customFormat="1" x14ac:dyDescent="0.25">
      <c r="A250" s="51">
        <v>1201</v>
      </c>
      <c r="B250" s="52" t="s">
        <v>175</v>
      </c>
      <c r="C250" s="52">
        <f>10.764*(7.23+74.86+(2.75*0.06+3.35*0.6))</f>
        <v>907.02846</v>
      </c>
      <c r="D250" s="52">
        <f t="shared" si="6"/>
        <v>118.404</v>
      </c>
      <c r="E250" s="52">
        <f t="shared" si="7"/>
        <v>1025.43246</v>
      </c>
      <c r="F250" s="52">
        <f t="shared" si="5"/>
        <v>48.437999999999995</v>
      </c>
      <c r="G250" s="52">
        <v>1885</v>
      </c>
      <c r="H250" s="161" t="s">
        <v>185</v>
      </c>
      <c r="K250" s="91">
        <f t="shared" si="8"/>
        <v>1.7553327614580252</v>
      </c>
    </row>
    <row r="251" spans="1:11" s="2" customFormat="1" ht="16.5" thickBot="1" x14ac:dyDescent="0.3">
      <c r="A251" s="49">
        <v>1202</v>
      </c>
      <c r="B251" s="50" t="s">
        <v>175</v>
      </c>
      <c r="C251" s="50">
        <f>10.764*(7.23+74.86+(2.75*0.06+3.35*0.6))</f>
        <v>907.02846</v>
      </c>
      <c r="D251" s="50">
        <f t="shared" si="6"/>
        <v>118.404</v>
      </c>
      <c r="E251" s="50">
        <f t="shared" si="7"/>
        <v>1025.43246</v>
      </c>
      <c r="F251" s="50">
        <f t="shared" si="5"/>
        <v>48.437999999999995</v>
      </c>
      <c r="G251" s="50">
        <v>1885</v>
      </c>
      <c r="H251" s="161"/>
      <c r="K251" s="91">
        <f t="shared" si="8"/>
        <v>1.7553327614580252</v>
      </c>
    </row>
    <row r="252" spans="1:11" s="2" customFormat="1" x14ac:dyDescent="0.25">
      <c r="A252" s="45">
        <v>1301</v>
      </c>
      <c r="B252" s="46" t="s">
        <v>175</v>
      </c>
      <c r="C252" s="46">
        <f>10.764*(7.23+74.86+(2.75*0.06+3.1*0.6))</f>
        <v>905.41386</v>
      </c>
      <c r="D252" s="46">
        <f t="shared" si="6"/>
        <v>118.404</v>
      </c>
      <c r="E252" s="46">
        <f t="shared" si="7"/>
        <v>1023.81786</v>
      </c>
      <c r="F252" s="46">
        <f t="shared" si="5"/>
        <v>48.437999999999995</v>
      </c>
      <c r="G252" s="46">
        <v>1885</v>
      </c>
      <c r="H252" s="153" t="s">
        <v>186</v>
      </c>
      <c r="K252" s="91">
        <f t="shared" si="8"/>
        <v>1.7579759368253767</v>
      </c>
    </row>
    <row r="253" spans="1:11" s="2" customFormat="1" ht="16.5" thickBot="1" x14ac:dyDescent="0.3">
      <c r="A253" s="47">
        <v>1302</v>
      </c>
      <c r="B253" s="48" t="s">
        <v>175</v>
      </c>
      <c r="C253" s="48">
        <f>10.764*(7.23+74.86+(2.75*0.06+3.1*0.6))</f>
        <v>905.41386</v>
      </c>
      <c r="D253" s="48">
        <f t="shared" si="6"/>
        <v>118.404</v>
      </c>
      <c r="E253" s="48">
        <f t="shared" si="7"/>
        <v>1023.81786</v>
      </c>
      <c r="F253" s="48">
        <f t="shared" si="5"/>
        <v>48.437999999999995</v>
      </c>
      <c r="G253" s="48">
        <v>1885</v>
      </c>
      <c r="H253" s="154"/>
      <c r="K253" s="91">
        <f t="shared" si="8"/>
        <v>1.7579759368253767</v>
      </c>
    </row>
    <row r="254" spans="1:11" s="2" customFormat="1" x14ac:dyDescent="0.25">
      <c r="A254" s="45">
        <v>1401</v>
      </c>
      <c r="B254" s="46" t="s">
        <v>175</v>
      </c>
      <c r="C254" s="46">
        <f>10.764*(7.23+74.86+(2.75*0.06+3.35*0.6))</f>
        <v>907.02846</v>
      </c>
      <c r="D254" s="46">
        <f t="shared" si="6"/>
        <v>118.404</v>
      </c>
      <c r="E254" s="46">
        <f t="shared" si="7"/>
        <v>1025.43246</v>
      </c>
      <c r="F254" s="46">
        <f t="shared" si="5"/>
        <v>48.437999999999995</v>
      </c>
      <c r="G254" s="46">
        <v>1885</v>
      </c>
      <c r="H254" s="153" t="s">
        <v>187</v>
      </c>
      <c r="K254" s="91">
        <f t="shared" si="8"/>
        <v>1.7553327614580252</v>
      </c>
    </row>
    <row r="255" spans="1:11" s="2" customFormat="1" ht="16.5" thickBot="1" x14ac:dyDescent="0.3">
      <c r="A255" s="47">
        <v>1402</v>
      </c>
      <c r="B255" s="48" t="s">
        <v>175</v>
      </c>
      <c r="C255" s="48">
        <f>10.764*(7.23+74.86+(2.75*0.06+3.35*0.6))</f>
        <v>907.02846</v>
      </c>
      <c r="D255" s="48">
        <f t="shared" si="6"/>
        <v>118.404</v>
      </c>
      <c r="E255" s="48">
        <f t="shared" si="7"/>
        <v>1025.43246</v>
      </c>
      <c r="F255" s="48">
        <f t="shared" si="5"/>
        <v>48.437999999999995</v>
      </c>
      <c r="G255" s="48">
        <v>1885</v>
      </c>
      <c r="H255" s="154"/>
      <c r="K255" s="91">
        <f t="shared" si="8"/>
        <v>1.7553327614580252</v>
      </c>
    </row>
    <row r="256" spans="1:11" s="2" customFormat="1" ht="15.75" customHeight="1" x14ac:dyDescent="0.25">
      <c r="A256" s="155" t="s">
        <v>190</v>
      </c>
      <c r="B256" s="155"/>
      <c r="C256" s="155"/>
      <c r="D256" s="155"/>
      <c r="E256" s="155"/>
      <c r="F256" s="155"/>
      <c r="G256" s="155"/>
      <c r="H256" s="155"/>
      <c r="K256" s="91" t="e">
        <f t="shared" si="8"/>
        <v>#DIV/0!</v>
      </c>
    </row>
    <row r="257" spans="1:11" s="2" customFormat="1" ht="15.75" customHeight="1" x14ac:dyDescent="0.25">
      <c r="A257" s="155" t="s">
        <v>160</v>
      </c>
      <c r="B257" s="155"/>
      <c r="C257" s="155"/>
      <c r="D257" s="155"/>
      <c r="E257" s="155"/>
      <c r="F257" s="155"/>
      <c r="G257" s="155"/>
      <c r="H257" s="155"/>
      <c r="K257" s="91" t="e">
        <f t="shared" si="8"/>
        <v>#DIV/0!</v>
      </c>
    </row>
    <row r="258" spans="1:11" s="2" customFormat="1" x14ac:dyDescent="0.25">
      <c r="A258" s="155" t="s">
        <v>169</v>
      </c>
      <c r="B258" s="155"/>
      <c r="C258" s="155"/>
      <c r="D258" s="155"/>
      <c r="E258" s="155"/>
      <c r="F258" s="155"/>
      <c r="G258" s="155"/>
      <c r="H258" s="155"/>
      <c r="K258" s="91" t="e">
        <f t="shared" si="8"/>
        <v>#DIV/0!</v>
      </c>
    </row>
    <row r="259" spans="1:11" s="2" customFormat="1" ht="16.5" thickBot="1" x14ac:dyDescent="0.3">
      <c r="A259" s="162" t="s">
        <v>170</v>
      </c>
      <c r="B259" s="163"/>
      <c r="C259" s="163"/>
      <c r="D259" s="163"/>
      <c r="E259" s="163"/>
      <c r="F259" s="163"/>
      <c r="G259" s="163"/>
      <c r="H259" s="164"/>
      <c r="K259" s="91" t="e">
        <f t="shared" si="8"/>
        <v>#DIV/0!</v>
      </c>
    </row>
    <row r="260" spans="1:11" s="2" customFormat="1" x14ac:dyDescent="0.25">
      <c r="A260" s="45">
        <v>201</v>
      </c>
      <c r="B260" s="46" t="s">
        <v>175</v>
      </c>
      <c r="C260" s="46">
        <f>10.764*(7.23+74.86+(2.75*0.06+3.35*0.6))</f>
        <v>907.02846</v>
      </c>
      <c r="D260" s="46">
        <f>10.764*(2.65*3.2+2.1*1.2)</f>
        <v>118.404</v>
      </c>
      <c r="E260" s="46">
        <f>C260+D260</f>
        <v>1025.43246</v>
      </c>
      <c r="F260" s="46">
        <f>4.5*10.764</f>
        <v>48.437999999999995</v>
      </c>
      <c r="G260" s="46">
        <v>1885</v>
      </c>
      <c r="H260" s="153" t="s">
        <v>171</v>
      </c>
      <c r="K260" s="91">
        <f t="shared" si="8"/>
        <v>1.7553327614580252</v>
      </c>
    </row>
    <row r="261" spans="1:11" s="2" customFormat="1" ht="16.5" thickBot="1" x14ac:dyDescent="0.3">
      <c r="A261" s="49">
        <v>202</v>
      </c>
      <c r="B261" s="50" t="s">
        <v>175</v>
      </c>
      <c r="C261" s="50">
        <f>10.764*(7.23+74.86+(2.75*0.06+3.35*0.6))</f>
        <v>907.02846</v>
      </c>
      <c r="D261" s="50">
        <f>10.764*(2.65*3.2+2.1*1.2)</f>
        <v>118.404</v>
      </c>
      <c r="E261" s="50">
        <f>C261+D261</f>
        <v>1025.43246</v>
      </c>
      <c r="F261" s="50">
        <f t="shared" ref="F261:F285" si="9">4.5*10.764</f>
        <v>48.437999999999995</v>
      </c>
      <c r="G261" s="50">
        <v>1885</v>
      </c>
      <c r="H261" s="161"/>
      <c r="K261" s="91">
        <f t="shared" si="8"/>
        <v>1.7553327614580252</v>
      </c>
    </row>
    <row r="262" spans="1:11" s="2" customFormat="1" x14ac:dyDescent="0.25">
      <c r="A262" s="45">
        <v>301</v>
      </c>
      <c r="B262" s="46" t="s">
        <v>175</v>
      </c>
      <c r="C262" s="46">
        <f>10.764*(7.23+74.86+(2.75*0.06+3.1*0.6))</f>
        <v>905.41386</v>
      </c>
      <c r="D262" s="46">
        <f t="shared" ref="D262:D285" si="10">10.764*(2.65*3.2+2.1*1.2)</f>
        <v>118.404</v>
      </c>
      <c r="E262" s="46">
        <f t="shared" ref="E262:E285" si="11">C262+D262</f>
        <v>1023.81786</v>
      </c>
      <c r="F262" s="46">
        <f t="shared" si="9"/>
        <v>48.437999999999995</v>
      </c>
      <c r="G262" s="46">
        <v>1885</v>
      </c>
      <c r="H262" s="153" t="s">
        <v>176</v>
      </c>
      <c r="K262" s="91">
        <f t="shared" si="8"/>
        <v>1.7579759368253767</v>
      </c>
    </row>
    <row r="263" spans="1:11" s="2" customFormat="1" ht="16.5" thickBot="1" x14ac:dyDescent="0.3">
      <c r="A263" s="47">
        <v>302</v>
      </c>
      <c r="B263" s="48" t="s">
        <v>175</v>
      </c>
      <c r="C263" s="48">
        <f>10.764*(7.23+74.86+(2.75*0.06+3.1*0.6))</f>
        <v>905.41386</v>
      </c>
      <c r="D263" s="48">
        <f t="shared" si="10"/>
        <v>118.404</v>
      </c>
      <c r="E263" s="48">
        <f t="shared" si="11"/>
        <v>1023.81786</v>
      </c>
      <c r="F263" s="48">
        <f t="shared" si="9"/>
        <v>48.437999999999995</v>
      </c>
      <c r="G263" s="48">
        <v>1885</v>
      </c>
      <c r="H263" s="154"/>
      <c r="K263" s="91">
        <f t="shared" si="8"/>
        <v>1.7579759368253767</v>
      </c>
    </row>
    <row r="264" spans="1:11" s="2" customFormat="1" x14ac:dyDescent="0.25">
      <c r="A264" s="45">
        <v>401</v>
      </c>
      <c r="B264" s="46" t="s">
        <v>175</v>
      </c>
      <c r="C264" s="46">
        <f>10.764*(7.23+74.86+(2.75*0.06+3.35*0.6))</f>
        <v>907.02846</v>
      </c>
      <c r="D264" s="46">
        <f t="shared" si="10"/>
        <v>118.404</v>
      </c>
      <c r="E264" s="46">
        <f t="shared" si="11"/>
        <v>1025.43246</v>
      </c>
      <c r="F264" s="46">
        <f t="shared" si="9"/>
        <v>48.437999999999995</v>
      </c>
      <c r="G264" s="46">
        <v>1885</v>
      </c>
      <c r="H264" s="153" t="s">
        <v>177</v>
      </c>
      <c r="K264" s="91">
        <f t="shared" si="8"/>
        <v>1.7553327614580252</v>
      </c>
    </row>
    <row r="265" spans="1:11" s="2" customFormat="1" ht="16.5" thickBot="1" x14ac:dyDescent="0.3">
      <c r="A265" s="47">
        <v>402</v>
      </c>
      <c r="B265" s="48" t="s">
        <v>175</v>
      </c>
      <c r="C265" s="48">
        <f>10.764*(7.23+74.86+(2.75*0.06+3.35*0.6))</f>
        <v>907.02846</v>
      </c>
      <c r="D265" s="48">
        <f t="shared" si="10"/>
        <v>118.404</v>
      </c>
      <c r="E265" s="48">
        <f t="shared" si="11"/>
        <v>1025.43246</v>
      </c>
      <c r="F265" s="48">
        <f t="shared" si="9"/>
        <v>48.437999999999995</v>
      </c>
      <c r="G265" s="48">
        <v>1885</v>
      </c>
      <c r="H265" s="154"/>
      <c r="K265" s="91">
        <f t="shared" si="8"/>
        <v>1.7553327614580252</v>
      </c>
    </row>
    <row r="266" spans="1:11" s="2" customFormat="1" x14ac:dyDescent="0.25">
      <c r="A266" s="45">
        <v>501</v>
      </c>
      <c r="B266" s="46" t="s">
        <v>175</v>
      </c>
      <c r="C266" s="46">
        <f>10.764*(7.23+74.86+(2.75*0.06+3.1*0.6))</f>
        <v>905.41386</v>
      </c>
      <c r="D266" s="46">
        <f t="shared" si="10"/>
        <v>118.404</v>
      </c>
      <c r="E266" s="46">
        <f t="shared" si="11"/>
        <v>1023.81786</v>
      </c>
      <c r="F266" s="46">
        <f t="shared" si="9"/>
        <v>48.437999999999995</v>
      </c>
      <c r="G266" s="46">
        <v>1885</v>
      </c>
      <c r="H266" s="153" t="s">
        <v>178</v>
      </c>
      <c r="K266" s="91">
        <f t="shared" si="8"/>
        <v>1.7579759368253767</v>
      </c>
    </row>
    <row r="267" spans="1:11" s="2" customFormat="1" ht="16.5" thickBot="1" x14ac:dyDescent="0.3">
      <c r="A267" s="47">
        <v>502</v>
      </c>
      <c r="B267" s="48" t="s">
        <v>175</v>
      </c>
      <c r="C267" s="48">
        <f>10.764*(7.23+74.86+(2.75*0.06+3.1*0.6))</f>
        <v>905.41386</v>
      </c>
      <c r="D267" s="48">
        <f t="shared" si="10"/>
        <v>118.404</v>
      </c>
      <c r="E267" s="48">
        <f t="shared" si="11"/>
        <v>1023.81786</v>
      </c>
      <c r="F267" s="48">
        <f t="shared" si="9"/>
        <v>48.437999999999995</v>
      </c>
      <c r="G267" s="48">
        <v>1885</v>
      </c>
      <c r="H267" s="154"/>
      <c r="K267" s="91">
        <f t="shared" si="8"/>
        <v>1.7579759368253767</v>
      </c>
    </row>
    <row r="268" spans="1:11" s="2" customFormat="1" x14ac:dyDescent="0.25">
      <c r="A268" s="51">
        <v>601</v>
      </c>
      <c r="B268" s="52" t="s">
        <v>175</v>
      </c>
      <c r="C268" s="52">
        <f>10.764*(7.23+74.86+(2.75*0.06+3.35*0.6))</f>
        <v>907.02846</v>
      </c>
      <c r="D268" s="52">
        <f t="shared" si="10"/>
        <v>118.404</v>
      </c>
      <c r="E268" s="52">
        <f t="shared" si="11"/>
        <v>1025.43246</v>
      </c>
      <c r="F268" s="52">
        <f t="shared" si="9"/>
        <v>48.437999999999995</v>
      </c>
      <c r="G268" s="52">
        <v>1885</v>
      </c>
      <c r="H268" s="161" t="s">
        <v>179</v>
      </c>
      <c r="K268" s="91">
        <f t="shared" si="8"/>
        <v>1.7553327614580252</v>
      </c>
    </row>
    <row r="269" spans="1:11" s="2" customFormat="1" ht="16.5" thickBot="1" x14ac:dyDescent="0.3">
      <c r="A269" s="49">
        <v>602</v>
      </c>
      <c r="B269" s="50" t="s">
        <v>175</v>
      </c>
      <c r="C269" s="50">
        <f>10.764*(7.23+74.86+(2.75*0.06+3.35*0.6))</f>
        <v>907.02846</v>
      </c>
      <c r="D269" s="50">
        <f t="shared" si="10"/>
        <v>118.404</v>
      </c>
      <c r="E269" s="50">
        <f t="shared" si="11"/>
        <v>1025.43246</v>
      </c>
      <c r="F269" s="50">
        <f t="shared" si="9"/>
        <v>48.437999999999995</v>
      </c>
      <c r="G269" s="50">
        <v>1885</v>
      </c>
      <c r="H269" s="161"/>
      <c r="K269" s="91">
        <f t="shared" si="8"/>
        <v>1.7553327614580252</v>
      </c>
    </row>
    <row r="270" spans="1:11" s="2" customFormat="1" x14ac:dyDescent="0.25">
      <c r="A270" s="45">
        <v>701</v>
      </c>
      <c r="B270" s="46" t="s">
        <v>175</v>
      </c>
      <c r="C270" s="46">
        <f>10.764*(7.23+74.86+(2.75*0.06+3.1*0.6))</f>
        <v>905.41386</v>
      </c>
      <c r="D270" s="46">
        <f t="shared" si="10"/>
        <v>118.404</v>
      </c>
      <c r="E270" s="46">
        <f t="shared" si="11"/>
        <v>1023.81786</v>
      </c>
      <c r="F270" s="46">
        <f t="shared" si="9"/>
        <v>48.437999999999995</v>
      </c>
      <c r="G270" s="46">
        <v>1885</v>
      </c>
      <c r="H270" s="153" t="s">
        <v>180</v>
      </c>
      <c r="K270" s="91">
        <f t="shared" si="8"/>
        <v>1.7579759368253767</v>
      </c>
    </row>
    <row r="271" spans="1:11" s="2" customFormat="1" ht="16.5" thickBot="1" x14ac:dyDescent="0.3">
      <c r="A271" s="47">
        <v>702</v>
      </c>
      <c r="B271" s="48" t="s">
        <v>175</v>
      </c>
      <c r="C271" s="48">
        <f>10.764*(7.23+74.86+(2.75*0.06+3.1*0.6))</f>
        <v>905.41386</v>
      </c>
      <c r="D271" s="48">
        <f t="shared" si="10"/>
        <v>118.404</v>
      </c>
      <c r="E271" s="48">
        <f t="shared" si="11"/>
        <v>1023.81786</v>
      </c>
      <c r="F271" s="48">
        <f t="shared" si="9"/>
        <v>48.437999999999995</v>
      </c>
      <c r="G271" s="48">
        <v>1885</v>
      </c>
      <c r="H271" s="154"/>
      <c r="K271" s="91">
        <f t="shared" si="8"/>
        <v>1.7579759368253767</v>
      </c>
    </row>
    <row r="272" spans="1:11" s="2" customFormat="1" x14ac:dyDescent="0.25">
      <c r="A272" s="51">
        <v>801</v>
      </c>
      <c r="B272" s="52" t="s">
        <v>175</v>
      </c>
      <c r="C272" s="52">
        <f>10.764*(7.23+74.86+(2.75*0.06+3.35*0.6))</f>
        <v>907.02846</v>
      </c>
      <c r="D272" s="52">
        <f t="shared" si="10"/>
        <v>118.404</v>
      </c>
      <c r="E272" s="52">
        <f t="shared" si="11"/>
        <v>1025.43246</v>
      </c>
      <c r="F272" s="52">
        <f t="shared" si="9"/>
        <v>48.437999999999995</v>
      </c>
      <c r="G272" s="52">
        <v>1885</v>
      </c>
      <c r="H272" s="161" t="s">
        <v>181</v>
      </c>
      <c r="K272" s="91">
        <f t="shared" si="8"/>
        <v>1.7553327614580252</v>
      </c>
    </row>
    <row r="273" spans="1:11" s="2" customFormat="1" ht="16.5" thickBot="1" x14ac:dyDescent="0.3">
      <c r="A273" s="49">
        <v>802</v>
      </c>
      <c r="B273" s="50" t="s">
        <v>175</v>
      </c>
      <c r="C273" s="50">
        <f>10.764*(7.23+74.86+(2.75*0.06+3.35*0.6))</f>
        <v>907.02846</v>
      </c>
      <c r="D273" s="50">
        <f t="shared" si="10"/>
        <v>118.404</v>
      </c>
      <c r="E273" s="50">
        <f t="shared" si="11"/>
        <v>1025.43246</v>
      </c>
      <c r="F273" s="50">
        <f t="shared" si="9"/>
        <v>48.437999999999995</v>
      </c>
      <c r="G273" s="50">
        <v>1885</v>
      </c>
      <c r="H273" s="161"/>
      <c r="K273" s="91">
        <f t="shared" si="8"/>
        <v>1.7553327614580252</v>
      </c>
    </row>
    <row r="274" spans="1:11" s="2" customFormat="1" x14ac:dyDescent="0.25">
      <c r="A274" s="45">
        <v>901</v>
      </c>
      <c r="B274" s="46" t="s">
        <v>175</v>
      </c>
      <c r="C274" s="46">
        <f>10.764*(7.23+74.86+(2.75*0.06+3.1*0.6))</f>
        <v>905.41386</v>
      </c>
      <c r="D274" s="46">
        <f t="shared" si="10"/>
        <v>118.404</v>
      </c>
      <c r="E274" s="46">
        <f t="shared" si="11"/>
        <v>1023.81786</v>
      </c>
      <c r="F274" s="46">
        <f t="shared" si="9"/>
        <v>48.437999999999995</v>
      </c>
      <c r="G274" s="46">
        <v>1885</v>
      </c>
      <c r="H274" s="153" t="s">
        <v>182</v>
      </c>
      <c r="K274" s="91">
        <f t="shared" si="8"/>
        <v>1.7579759368253767</v>
      </c>
    </row>
    <row r="275" spans="1:11" s="2" customFormat="1" ht="16.5" thickBot="1" x14ac:dyDescent="0.3">
      <c r="A275" s="47">
        <v>902</v>
      </c>
      <c r="B275" s="48" t="s">
        <v>175</v>
      </c>
      <c r="C275" s="48">
        <f>10.764*(7.23+74.86+(2.75*0.06+3.1*0.6))</f>
        <v>905.41386</v>
      </c>
      <c r="D275" s="48">
        <f t="shared" si="10"/>
        <v>118.404</v>
      </c>
      <c r="E275" s="48">
        <f t="shared" si="11"/>
        <v>1023.81786</v>
      </c>
      <c r="F275" s="48">
        <f t="shared" si="9"/>
        <v>48.437999999999995</v>
      </c>
      <c r="G275" s="48">
        <v>1885</v>
      </c>
      <c r="H275" s="154"/>
      <c r="K275" s="91">
        <f t="shared" si="8"/>
        <v>1.7579759368253767</v>
      </c>
    </row>
    <row r="276" spans="1:11" s="2" customFormat="1" x14ac:dyDescent="0.25">
      <c r="A276" s="51">
        <v>1001</v>
      </c>
      <c r="B276" s="52" t="s">
        <v>175</v>
      </c>
      <c r="C276" s="52">
        <f>10.764*(7.23+74.86+(2.75*0.06+3.35*0.6))</f>
        <v>907.02846</v>
      </c>
      <c r="D276" s="52">
        <f t="shared" si="10"/>
        <v>118.404</v>
      </c>
      <c r="E276" s="52">
        <f t="shared" si="11"/>
        <v>1025.43246</v>
      </c>
      <c r="F276" s="52">
        <f t="shared" si="9"/>
        <v>48.437999999999995</v>
      </c>
      <c r="G276" s="52">
        <v>1885</v>
      </c>
      <c r="H276" s="161" t="s">
        <v>183</v>
      </c>
      <c r="K276" s="91">
        <f t="shared" si="8"/>
        <v>1.7553327614580252</v>
      </c>
    </row>
    <row r="277" spans="1:11" s="2" customFormat="1" ht="16.5" thickBot="1" x14ac:dyDescent="0.3">
      <c r="A277" s="49">
        <v>1002</v>
      </c>
      <c r="B277" s="50" t="s">
        <v>175</v>
      </c>
      <c r="C277" s="50">
        <f>10.764*(7.23+74.86+(2.75*0.06+3.35*0.6))</f>
        <v>907.02846</v>
      </c>
      <c r="D277" s="50">
        <f t="shared" si="10"/>
        <v>118.404</v>
      </c>
      <c r="E277" s="50">
        <f t="shared" si="11"/>
        <v>1025.43246</v>
      </c>
      <c r="F277" s="50">
        <f t="shared" si="9"/>
        <v>48.437999999999995</v>
      </c>
      <c r="G277" s="50">
        <v>1885</v>
      </c>
      <c r="H277" s="161"/>
      <c r="K277" s="91">
        <f t="shared" si="8"/>
        <v>1.7553327614580252</v>
      </c>
    </row>
    <row r="278" spans="1:11" s="2" customFormat="1" x14ac:dyDescent="0.25">
      <c r="A278" s="45">
        <v>1101</v>
      </c>
      <c r="B278" s="46" t="s">
        <v>175</v>
      </c>
      <c r="C278" s="46">
        <f>10.764*(7.23+74.86+(2.75*0.06+3.1*0.6))</f>
        <v>905.41386</v>
      </c>
      <c r="D278" s="46">
        <f t="shared" si="10"/>
        <v>118.404</v>
      </c>
      <c r="E278" s="46">
        <f t="shared" si="11"/>
        <v>1023.81786</v>
      </c>
      <c r="F278" s="46">
        <f t="shared" si="9"/>
        <v>48.437999999999995</v>
      </c>
      <c r="G278" s="46">
        <v>1885</v>
      </c>
      <c r="H278" s="153" t="s">
        <v>184</v>
      </c>
      <c r="K278" s="91">
        <f t="shared" si="8"/>
        <v>1.7579759368253767</v>
      </c>
    </row>
    <row r="279" spans="1:11" s="2" customFormat="1" ht="16.5" thickBot="1" x14ac:dyDescent="0.3">
      <c r="A279" s="47">
        <v>1102</v>
      </c>
      <c r="B279" s="48" t="s">
        <v>175</v>
      </c>
      <c r="C279" s="48">
        <f>10.764*(7.23+74.86+(2.75*0.06+3.1*0.6))</f>
        <v>905.41386</v>
      </c>
      <c r="D279" s="48">
        <f t="shared" si="10"/>
        <v>118.404</v>
      </c>
      <c r="E279" s="48">
        <f t="shared" si="11"/>
        <v>1023.81786</v>
      </c>
      <c r="F279" s="48">
        <f t="shared" si="9"/>
        <v>48.437999999999995</v>
      </c>
      <c r="G279" s="48">
        <v>1885</v>
      </c>
      <c r="H279" s="154"/>
      <c r="K279" s="91">
        <f t="shared" si="8"/>
        <v>1.7579759368253767</v>
      </c>
    </row>
    <row r="280" spans="1:11" s="2" customFormat="1" x14ac:dyDescent="0.25">
      <c r="A280" s="51">
        <v>1201</v>
      </c>
      <c r="B280" s="52" t="s">
        <v>175</v>
      </c>
      <c r="C280" s="52">
        <f>10.764*(7.23+74.86+(2.75*0.06+3.35*0.6))</f>
        <v>907.02846</v>
      </c>
      <c r="D280" s="52">
        <f t="shared" si="10"/>
        <v>118.404</v>
      </c>
      <c r="E280" s="52">
        <f t="shared" si="11"/>
        <v>1025.43246</v>
      </c>
      <c r="F280" s="52">
        <f t="shared" si="9"/>
        <v>48.437999999999995</v>
      </c>
      <c r="G280" s="52">
        <v>1885</v>
      </c>
      <c r="H280" s="161" t="s">
        <v>185</v>
      </c>
      <c r="K280" s="91">
        <f t="shared" si="8"/>
        <v>1.7553327614580252</v>
      </c>
    </row>
    <row r="281" spans="1:11" s="2" customFormat="1" ht="16.5" thickBot="1" x14ac:dyDescent="0.3">
      <c r="A281" s="49">
        <v>1202</v>
      </c>
      <c r="B281" s="50" t="s">
        <v>175</v>
      </c>
      <c r="C281" s="50">
        <f>10.764*(7.23+74.86+(2.75*0.06+3.35*0.6))</f>
        <v>907.02846</v>
      </c>
      <c r="D281" s="50">
        <f t="shared" si="10"/>
        <v>118.404</v>
      </c>
      <c r="E281" s="50">
        <f t="shared" si="11"/>
        <v>1025.43246</v>
      </c>
      <c r="F281" s="50">
        <f t="shared" si="9"/>
        <v>48.437999999999995</v>
      </c>
      <c r="G281" s="50">
        <v>1885</v>
      </c>
      <c r="H281" s="161"/>
      <c r="K281" s="91">
        <f t="shared" si="8"/>
        <v>1.7553327614580252</v>
      </c>
    </row>
    <row r="282" spans="1:11" s="2" customFormat="1" x14ac:dyDescent="0.25">
      <c r="A282" s="45">
        <v>1301</v>
      </c>
      <c r="B282" s="46" t="s">
        <v>175</v>
      </c>
      <c r="C282" s="46">
        <f>10.764*(7.23+74.86+(2.75*0.06+3.1*0.6))</f>
        <v>905.41386</v>
      </c>
      <c r="D282" s="46">
        <f t="shared" si="10"/>
        <v>118.404</v>
      </c>
      <c r="E282" s="46">
        <f t="shared" si="11"/>
        <v>1023.81786</v>
      </c>
      <c r="F282" s="46">
        <f t="shared" si="9"/>
        <v>48.437999999999995</v>
      </c>
      <c r="G282" s="46">
        <v>1885</v>
      </c>
      <c r="H282" s="153" t="s">
        <v>186</v>
      </c>
      <c r="K282" s="91">
        <f t="shared" si="8"/>
        <v>1.7579759368253767</v>
      </c>
    </row>
    <row r="283" spans="1:11" s="2" customFormat="1" ht="16.5" thickBot="1" x14ac:dyDescent="0.3">
      <c r="A283" s="47">
        <v>1302</v>
      </c>
      <c r="B283" s="48" t="s">
        <v>175</v>
      </c>
      <c r="C283" s="48">
        <f>10.764*(7.23+74.86+(2.75*0.06+3.1*0.6))</f>
        <v>905.41386</v>
      </c>
      <c r="D283" s="48">
        <f t="shared" si="10"/>
        <v>118.404</v>
      </c>
      <c r="E283" s="48">
        <f t="shared" si="11"/>
        <v>1023.81786</v>
      </c>
      <c r="F283" s="48">
        <f t="shared" si="9"/>
        <v>48.437999999999995</v>
      </c>
      <c r="G283" s="48">
        <v>1885</v>
      </c>
      <c r="H283" s="154"/>
      <c r="K283" s="91">
        <f t="shared" si="8"/>
        <v>1.7579759368253767</v>
      </c>
    </row>
    <row r="284" spans="1:11" s="2" customFormat="1" x14ac:dyDescent="0.25">
      <c r="A284" s="51">
        <v>1401</v>
      </c>
      <c r="B284" s="52" t="s">
        <v>175</v>
      </c>
      <c r="C284" s="52">
        <f>10.764*(7.23+74.86+(2.75*0.06+3.35*0.6))</f>
        <v>907.02846</v>
      </c>
      <c r="D284" s="52">
        <f t="shared" si="10"/>
        <v>118.404</v>
      </c>
      <c r="E284" s="52">
        <f t="shared" si="11"/>
        <v>1025.43246</v>
      </c>
      <c r="F284" s="52">
        <f t="shared" si="9"/>
        <v>48.437999999999995</v>
      </c>
      <c r="G284" s="52">
        <v>1885</v>
      </c>
      <c r="H284" s="161" t="s">
        <v>187</v>
      </c>
      <c r="K284" s="91">
        <f t="shared" si="8"/>
        <v>1.7553327614580252</v>
      </c>
    </row>
    <row r="285" spans="1:11" s="2" customFormat="1" ht="16.5" thickBot="1" x14ac:dyDescent="0.3">
      <c r="A285" s="47">
        <v>1402</v>
      </c>
      <c r="B285" s="48" t="s">
        <v>175</v>
      </c>
      <c r="C285" s="48">
        <f>10.764*(7.23+74.86+(2.75*0.06+3.35*0.6))</f>
        <v>907.02846</v>
      </c>
      <c r="D285" s="48">
        <f t="shared" si="10"/>
        <v>118.404</v>
      </c>
      <c r="E285" s="48">
        <f t="shared" si="11"/>
        <v>1025.43246</v>
      </c>
      <c r="F285" s="48">
        <f t="shared" si="9"/>
        <v>48.437999999999995</v>
      </c>
      <c r="G285" s="48">
        <v>1885</v>
      </c>
      <c r="H285" s="154"/>
      <c r="K285" s="91">
        <f t="shared" si="8"/>
        <v>1.7553327614580252</v>
      </c>
    </row>
    <row r="286" spans="1:11" s="2" customFormat="1" x14ac:dyDescent="0.25">
      <c r="A286" s="165"/>
      <c r="B286" s="166"/>
      <c r="C286" s="166"/>
      <c r="D286" s="166"/>
      <c r="E286" s="166"/>
      <c r="F286" s="166"/>
      <c r="G286" s="166"/>
      <c r="H286" s="167"/>
      <c r="K286" s="91" t="e">
        <f t="shared" si="8"/>
        <v>#DIV/0!</v>
      </c>
    </row>
    <row r="287" spans="1:11" s="2" customFormat="1" ht="15.75" customHeight="1" x14ac:dyDescent="0.25">
      <c r="A287" s="155" t="s">
        <v>189</v>
      </c>
      <c r="B287" s="155"/>
      <c r="C287" s="155"/>
      <c r="D287" s="155"/>
      <c r="E287" s="155"/>
      <c r="F287" s="155"/>
      <c r="G287" s="155"/>
      <c r="H287" s="155"/>
      <c r="K287" s="91" t="e">
        <f t="shared" si="8"/>
        <v>#DIV/0!</v>
      </c>
    </row>
    <row r="288" spans="1:11" s="2" customFormat="1" ht="15.75" customHeight="1" x14ac:dyDescent="0.25">
      <c r="A288" s="155" t="s">
        <v>160</v>
      </c>
      <c r="B288" s="155"/>
      <c r="C288" s="155"/>
      <c r="D288" s="155"/>
      <c r="E288" s="155"/>
      <c r="F288" s="155"/>
      <c r="G288" s="155"/>
      <c r="H288" s="155"/>
      <c r="K288" s="91" t="e">
        <f t="shared" si="8"/>
        <v>#DIV/0!</v>
      </c>
    </row>
    <row r="289" spans="1:11" s="2" customFormat="1" x14ac:dyDescent="0.25">
      <c r="A289" s="155" t="s">
        <v>169</v>
      </c>
      <c r="B289" s="155"/>
      <c r="C289" s="155"/>
      <c r="D289" s="155"/>
      <c r="E289" s="155"/>
      <c r="F289" s="155"/>
      <c r="G289" s="155"/>
      <c r="H289" s="155"/>
      <c r="K289" s="91" t="e">
        <f t="shared" si="8"/>
        <v>#DIV/0!</v>
      </c>
    </row>
    <row r="290" spans="1:11" s="2" customFormat="1" ht="16.5" thickBot="1" x14ac:dyDescent="0.3">
      <c r="A290" s="162" t="s">
        <v>170</v>
      </c>
      <c r="B290" s="163"/>
      <c r="C290" s="163"/>
      <c r="D290" s="163"/>
      <c r="E290" s="163"/>
      <c r="F290" s="163"/>
      <c r="G290" s="163"/>
      <c r="H290" s="164"/>
      <c r="K290" s="91" t="e">
        <f t="shared" si="8"/>
        <v>#DIV/0!</v>
      </c>
    </row>
    <row r="291" spans="1:11" s="2" customFormat="1" x14ac:dyDescent="0.25">
      <c r="A291" s="45">
        <v>201</v>
      </c>
      <c r="B291" s="46" t="s">
        <v>175</v>
      </c>
      <c r="C291" s="46">
        <f>10.764*(7.23+74.86+(2.75*0.06+3.35*0.6))</f>
        <v>907.02846</v>
      </c>
      <c r="D291" s="46">
        <f>10.764*(2.65*3.2+2.1*1.2)</f>
        <v>118.404</v>
      </c>
      <c r="E291" s="46">
        <f>C291+D291</f>
        <v>1025.43246</v>
      </c>
      <c r="F291" s="46">
        <f>4.5*10.764</f>
        <v>48.437999999999995</v>
      </c>
      <c r="G291" s="46">
        <v>1885</v>
      </c>
      <c r="H291" s="153" t="s">
        <v>171</v>
      </c>
      <c r="K291" s="91">
        <f t="shared" si="8"/>
        <v>1.7553327614580252</v>
      </c>
    </row>
    <row r="292" spans="1:11" s="2" customFormat="1" ht="16.5" thickBot="1" x14ac:dyDescent="0.3">
      <c r="A292" s="49">
        <v>202</v>
      </c>
      <c r="B292" s="50" t="s">
        <v>175</v>
      </c>
      <c r="C292" s="50">
        <f>10.764*(7.23+74.86+(2.75*0.06+3.35*0.6))</f>
        <v>907.02846</v>
      </c>
      <c r="D292" s="50">
        <f>10.764*(2.65*3.2+2.1*1.2)</f>
        <v>118.404</v>
      </c>
      <c r="E292" s="50">
        <f>C292+D292</f>
        <v>1025.43246</v>
      </c>
      <c r="F292" s="50">
        <f t="shared" ref="F292:F316" si="12">4.5*10.764</f>
        <v>48.437999999999995</v>
      </c>
      <c r="G292" s="50">
        <v>1885</v>
      </c>
      <c r="H292" s="161"/>
      <c r="K292" s="91">
        <f t="shared" si="8"/>
        <v>1.7553327614580252</v>
      </c>
    </row>
    <row r="293" spans="1:11" s="2" customFormat="1" x14ac:dyDescent="0.25">
      <c r="A293" s="45">
        <v>301</v>
      </c>
      <c r="B293" s="46" t="s">
        <v>175</v>
      </c>
      <c r="C293" s="46">
        <f>10.764*(7.23+74.86+(2.75*0.06+3.1*0.6))</f>
        <v>905.41386</v>
      </c>
      <c r="D293" s="46">
        <f t="shared" ref="D293:D316" si="13">10.764*(2.65*3.2+2.1*1.2)</f>
        <v>118.404</v>
      </c>
      <c r="E293" s="46">
        <f t="shared" ref="E293:E316" si="14">C293+D293</f>
        <v>1023.81786</v>
      </c>
      <c r="F293" s="46">
        <f t="shared" si="12"/>
        <v>48.437999999999995</v>
      </c>
      <c r="G293" s="46">
        <v>1885</v>
      </c>
      <c r="H293" s="153" t="s">
        <v>176</v>
      </c>
      <c r="K293" s="91">
        <f t="shared" si="8"/>
        <v>1.7579759368253767</v>
      </c>
    </row>
    <row r="294" spans="1:11" s="2" customFormat="1" ht="16.5" thickBot="1" x14ac:dyDescent="0.3">
      <c r="A294" s="47">
        <v>302</v>
      </c>
      <c r="B294" s="48" t="s">
        <v>175</v>
      </c>
      <c r="C294" s="48">
        <f>10.764*(7.23+74.86+(2.75*0.06+3.1*0.6))</f>
        <v>905.41386</v>
      </c>
      <c r="D294" s="48">
        <f t="shared" si="13"/>
        <v>118.404</v>
      </c>
      <c r="E294" s="48">
        <f t="shared" si="14"/>
        <v>1023.81786</v>
      </c>
      <c r="F294" s="48">
        <f t="shared" si="12"/>
        <v>48.437999999999995</v>
      </c>
      <c r="G294" s="48">
        <v>1885</v>
      </c>
      <c r="H294" s="154"/>
      <c r="K294" s="91">
        <f t="shared" si="8"/>
        <v>1.7579759368253767</v>
      </c>
    </row>
    <row r="295" spans="1:11" s="2" customFormat="1" x14ac:dyDescent="0.25">
      <c r="A295" s="45">
        <v>401</v>
      </c>
      <c r="B295" s="46" t="s">
        <v>175</v>
      </c>
      <c r="C295" s="46">
        <f>10.764*(7.23+74.86+(2.75*0.06+3.35*0.6))</f>
        <v>907.02846</v>
      </c>
      <c r="D295" s="46">
        <f t="shared" si="13"/>
        <v>118.404</v>
      </c>
      <c r="E295" s="46">
        <f t="shared" si="14"/>
        <v>1025.43246</v>
      </c>
      <c r="F295" s="46">
        <f t="shared" si="12"/>
        <v>48.437999999999995</v>
      </c>
      <c r="G295" s="46">
        <v>1885</v>
      </c>
      <c r="H295" s="153" t="s">
        <v>177</v>
      </c>
      <c r="K295" s="91">
        <f t="shared" si="8"/>
        <v>1.7553327614580252</v>
      </c>
    </row>
    <row r="296" spans="1:11" s="2" customFormat="1" ht="16.5" thickBot="1" x14ac:dyDescent="0.3">
      <c r="A296" s="47">
        <v>402</v>
      </c>
      <c r="B296" s="48" t="s">
        <v>175</v>
      </c>
      <c r="C296" s="48">
        <f>10.764*(7.23+74.86+(2.75*0.06+3.35*0.6))</f>
        <v>907.02846</v>
      </c>
      <c r="D296" s="48">
        <f t="shared" si="13"/>
        <v>118.404</v>
      </c>
      <c r="E296" s="48">
        <f t="shared" si="14"/>
        <v>1025.43246</v>
      </c>
      <c r="F296" s="48">
        <f t="shared" si="12"/>
        <v>48.437999999999995</v>
      </c>
      <c r="G296" s="48">
        <v>1885</v>
      </c>
      <c r="H296" s="154"/>
      <c r="K296" s="91">
        <f t="shared" si="8"/>
        <v>1.7553327614580252</v>
      </c>
    </row>
    <row r="297" spans="1:11" s="2" customFormat="1" x14ac:dyDescent="0.25">
      <c r="A297" s="45">
        <v>501</v>
      </c>
      <c r="B297" s="46" t="s">
        <v>175</v>
      </c>
      <c r="C297" s="46">
        <f>10.764*(7.23+74.86+(2.75*0.06+3.1*0.6))</f>
        <v>905.41386</v>
      </c>
      <c r="D297" s="46">
        <f t="shared" si="13"/>
        <v>118.404</v>
      </c>
      <c r="E297" s="46">
        <f t="shared" si="14"/>
        <v>1023.81786</v>
      </c>
      <c r="F297" s="46">
        <f t="shared" si="12"/>
        <v>48.437999999999995</v>
      </c>
      <c r="G297" s="46">
        <v>1885</v>
      </c>
      <c r="H297" s="153" t="s">
        <v>178</v>
      </c>
      <c r="K297" s="91">
        <f>G297/(E297+F297)</f>
        <v>1.7579759368253767</v>
      </c>
    </row>
    <row r="298" spans="1:11" s="2" customFormat="1" ht="16.5" thickBot="1" x14ac:dyDescent="0.3">
      <c r="A298" s="47">
        <v>502</v>
      </c>
      <c r="B298" s="48" t="s">
        <v>175</v>
      </c>
      <c r="C298" s="48">
        <f>10.764*(7.23+74.86+(2.75*0.06+3.1*0.6))</f>
        <v>905.41386</v>
      </c>
      <c r="D298" s="48">
        <f t="shared" si="13"/>
        <v>118.404</v>
      </c>
      <c r="E298" s="48">
        <f t="shared" si="14"/>
        <v>1023.81786</v>
      </c>
      <c r="F298" s="48">
        <f t="shared" si="12"/>
        <v>48.437999999999995</v>
      </c>
      <c r="G298" s="48">
        <v>1885</v>
      </c>
      <c r="H298" s="154"/>
      <c r="K298" s="91">
        <f t="shared" ref="K298:K361" si="15">G298/(E298+F298)</f>
        <v>1.7579759368253767</v>
      </c>
    </row>
    <row r="299" spans="1:11" s="2" customFormat="1" x14ac:dyDescent="0.25">
      <c r="A299" s="45">
        <v>601</v>
      </c>
      <c r="B299" s="46" t="s">
        <v>175</v>
      </c>
      <c r="C299" s="46">
        <f>10.764*(7.23+74.86+(2.75*0.06+3.35*0.6))</f>
        <v>907.02846</v>
      </c>
      <c r="D299" s="46">
        <f t="shared" si="13"/>
        <v>118.404</v>
      </c>
      <c r="E299" s="46">
        <f t="shared" si="14"/>
        <v>1025.43246</v>
      </c>
      <c r="F299" s="46">
        <f t="shared" si="12"/>
        <v>48.437999999999995</v>
      </c>
      <c r="G299" s="46">
        <v>1885</v>
      </c>
      <c r="H299" s="153" t="s">
        <v>179</v>
      </c>
      <c r="K299" s="91">
        <f t="shared" si="15"/>
        <v>1.7553327614580252</v>
      </c>
    </row>
    <row r="300" spans="1:11" s="2" customFormat="1" ht="16.5" thickBot="1" x14ac:dyDescent="0.3">
      <c r="A300" s="47">
        <v>602</v>
      </c>
      <c r="B300" s="48" t="s">
        <v>175</v>
      </c>
      <c r="C300" s="48">
        <f>10.764*(7.23+74.86+(2.75*0.06+3.35*0.6))</f>
        <v>907.02846</v>
      </c>
      <c r="D300" s="48">
        <f t="shared" si="13"/>
        <v>118.404</v>
      </c>
      <c r="E300" s="48">
        <f t="shared" si="14"/>
        <v>1025.43246</v>
      </c>
      <c r="F300" s="48">
        <f t="shared" si="12"/>
        <v>48.437999999999995</v>
      </c>
      <c r="G300" s="48">
        <v>1885</v>
      </c>
      <c r="H300" s="154"/>
      <c r="K300" s="91">
        <f t="shared" si="15"/>
        <v>1.7553327614580252</v>
      </c>
    </row>
    <row r="301" spans="1:11" s="2" customFormat="1" x14ac:dyDescent="0.25">
      <c r="A301" s="45">
        <v>701</v>
      </c>
      <c r="B301" s="46" t="s">
        <v>175</v>
      </c>
      <c r="C301" s="46">
        <f>10.764*(7.23+74.86+(2.75*0.06+3.1*0.6))</f>
        <v>905.41386</v>
      </c>
      <c r="D301" s="46">
        <f t="shared" si="13"/>
        <v>118.404</v>
      </c>
      <c r="E301" s="46">
        <f t="shared" si="14"/>
        <v>1023.81786</v>
      </c>
      <c r="F301" s="46">
        <f t="shared" si="12"/>
        <v>48.437999999999995</v>
      </c>
      <c r="G301" s="46">
        <v>1885</v>
      </c>
      <c r="H301" s="153" t="s">
        <v>180</v>
      </c>
      <c r="K301" s="91">
        <f t="shared" si="15"/>
        <v>1.7579759368253767</v>
      </c>
    </row>
    <row r="302" spans="1:11" s="2" customFormat="1" ht="16.5" thickBot="1" x14ac:dyDescent="0.3">
      <c r="A302" s="47">
        <v>702</v>
      </c>
      <c r="B302" s="48" t="s">
        <v>175</v>
      </c>
      <c r="C302" s="48">
        <f>10.764*(7.23+74.86+(2.75*0.06+3.1*0.6))</f>
        <v>905.41386</v>
      </c>
      <c r="D302" s="48">
        <f t="shared" si="13"/>
        <v>118.404</v>
      </c>
      <c r="E302" s="48">
        <f t="shared" si="14"/>
        <v>1023.81786</v>
      </c>
      <c r="F302" s="48">
        <f t="shared" si="12"/>
        <v>48.437999999999995</v>
      </c>
      <c r="G302" s="48">
        <v>1885</v>
      </c>
      <c r="H302" s="154"/>
      <c r="K302" s="91">
        <f t="shared" si="15"/>
        <v>1.7579759368253767</v>
      </c>
    </row>
    <row r="303" spans="1:11" s="2" customFormat="1" x14ac:dyDescent="0.25">
      <c r="A303" s="51">
        <v>801</v>
      </c>
      <c r="B303" s="52" t="s">
        <v>175</v>
      </c>
      <c r="C303" s="52">
        <f>10.764*(7.23+74.86+(2.75*0.06+3.35*0.6))</f>
        <v>907.02846</v>
      </c>
      <c r="D303" s="52">
        <f t="shared" si="13"/>
        <v>118.404</v>
      </c>
      <c r="E303" s="52">
        <f t="shared" si="14"/>
        <v>1025.43246</v>
      </c>
      <c r="F303" s="52">
        <f t="shared" si="12"/>
        <v>48.437999999999995</v>
      </c>
      <c r="G303" s="52">
        <v>1885</v>
      </c>
      <c r="H303" s="161" t="s">
        <v>181</v>
      </c>
      <c r="K303" s="91">
        <f t="shared" si="15"/>
        <v>1.7553327614580252</v>
      </c>
    </row>
    <row r="304" spans="1:11" s="2" customFormat="1" ht="16.5" thickBot="1" x14ac:dyDescent="0.3">
      <c r="A304" s="49">
        <v>802</v>
      </c>
      <c r="B304" s="50" t="s">
        <v>175</v>
      </c>
      <c r="C304" s="50">
        <f>10.764*(7.23+74.86+(2.75*0.06+3.35*0.6))</f>
        <v>907.02846</v>
      </c>
      <c r="D304" s="50">
        <f t="shared" si="13"/>
        <v>118.404</v>
      </c>
      <c r="E304" s="50">
        <f t="shared" si="14"/>
        <v>1025.43246</v>
      </c>
      <c r="F304" s="50">
        <f t="shared" si="12"/>
        <v>48.437999999999995</v>
      </c>
      <c r="G304" s="50">
        <v>1885</v>
      </c>
      <c r="H304" s="161"/>
      <c r="K304" s="91">
        <f t="shared" si="15"/>
        <v>1.7553327614580252</v>
      </c>
    </row>
    <row r="305" spans="1:11" s="2" customFormat="1" x14ac:dyDescent="0.25">
      <c r="A305" s="45">
        <v>901</v>
      </c>
      <c r="B305" s="46" t="s">
        <v>175</v>
      </c>
      <c r="C305" s="46">
        <f>10.764*(7.23+74.86+(2.75*0.06+3.1*0.6))</f>
        <v>905.41386</v>
      </c>
      <c r="D305" s="46">
        <f t="shared" si="13"/>
        <v>118.404</v>
      </c>
      <c r="E305" s="46">
        <f t="shared" si="14"/>
        <v>1023.81786</v>
      </c>
      <c r="F305" s="46">
        <f t="shared" si="12"/>
        <v>48.437999999999995</v>
      </c>
      <c r="G305" s="46">
        <v>1885</v>
      </c>
      <c r="H305" s="153" t="s">
        <v>182</v>
      </c>
      <c r="K305" s="91">
        <f t="shared" si="15"/>
        <v>1.7579759368253767</v>
      </c>
    </row>
    <row r="306" spans="1:11" s="2" customFormat="1" ht="16.5" thickBot="1" x14ac:dyDescent="0.3">
      <c r="A306" s="47">
        <v>902</v>
      </c>
      <c r="B306" s="48" t="s">
        <v>175</v>
      </c>
      <c r="C306" s="48">
        <f>10.764*(7.23+74.86+(2.75*0.06+3.1*0.6))</f>
        <v>905.41386</v>
      </c>
      <c r="D306" s="48">
        <f t="shared" si="13"/>
        <v>118.404</v>
      </c>
      <c r="E306" s="48">
        <f t="shared" si="14"/>
        <v>1023.81786</v>
      </c>
      <c r="F306" s="48">
        <f t="shared" si="12"/>
        <v>48.437999999999995</v>
      </c>
      <c r="G306" s="48">
        <v>1885</v>
      </c>
      <c r="H306" s="154"/>
      <c r="K306" s="91">
        <f t="shared" si="15"/>
        <v>1.7579759368253767</v>
      </c>
    </row>
    <row r="307" spans="1:11" s="2" customFormat="1" x14ac:dyDescent="0.25">
      <c r="A307" s="45">
        <v>1001</v>
      </c>
      <c r="B307" s="46" t="s">
        <v>175</v>
      </c>
      <c r="C307" s="46">
        <f>10.764*(7.23+74.86+(2.75*0.06+3.35*0.6))</f>
        <v>907.02846</v>
      </c>
      <c r="D307" s="46">
        <f t="shared" si="13"/>
        <v>118.404</v>
      </c>
      <c r="E307" s="46">
        <f t="shared" si="14"/>
        <v>1025.43246</v>
      </c>
      <c r="F307" s="46">
        <f t="shared" si="12"/>
        <v>48.437999999999995</v>
      </c>
      <c r="G307" s="46">
        <v>1885</v>
      </c>
      <c r="H307" s="153" t="s">
        <v>183</v>
      </c>
      <c r="K307" s="91">
        <f t="shared" si="15"/>
        <v>1.7553327614580252</v>
      </c>
    </row>
    <row r="308" spans="1:11" s="2" customFormat="1" ht="16.5" thickBot="1" x14ac:dyDescent="0.3">
      <c r="A308" s="47">
        <v>1002</v>
      </c>
      <c r="B308" s="48" t="s">
        <v>175</v>
      </c>
      <c r="C308" s="48">
        <f>10.764*(7.23+74.86+(2.75*0.06+3.35*0.6))</f>
        <v>907.02846</v>
      </c>
      <c r="D308" s="48">
        <f t="shared" si="13"/>
        <v>118.404</v>
      </c>
      <c r="E308" s="48">
        <f t="shared" si="14"/>
        <v>1025.43246</v>
      </c>
      <c r="F308" s="48">
        <f t="shared" si="12"/>
        <v>48.437999999999995</v>
      </c>
      <c r="G308" s="48">
        <v>1885</v>
      </c>
      <c r="H308" s="154"/>
      <c r="K308" s="91">
        <f t="shared" si="15"/>
        <v>1.7553327614580252</v>
      </c>
    </row>
    <row r="309" spans="1:11" s="2" customFormat="1" x14ac:dyDescent="0.25">
      <c r="A309" s="45">
        <v>1101</v>
      </c>
      <c r="B309" s="46" t="s">
        <v>175</v>
      </c>
      <c r="C309" s="46">
        <f>10.764*(7.23+74.86+(2.75*0.06+3.1*0.6))</f>
        <v>905.41386</v>
      </c>
      <c r="D309" s="46">
        <f t="shared" si="13"/>
        <v>118.404</v>
      </c>
      <c r="E309" s="46">
        <f t="shared" si="14"/>
        <v>1023.81786</v>
      </c>
      <c r="F309" s="46">
        <f t="shared" si="12"/>
        <v>48.437999999999995</v>
      </c>
      <c r="G309" s="46">
        <v>1885</v>
      </c>
      <c r="H309" s="153" t="s">
        <v>184</v>
      </c>
      <c r="K309" s="91">
        <f t="shared" si="15"/>
        <v>1.7579759368253767</v>
      </c>
    </row>
    <row r="310" spans="1:11" s="2" customFormat="1" ht="16.5" thickBot="1" x14ac:dyDescent="0.3">
      <c r="A310" s="47">
        <v>1102</v>
      </c>
      <c r="B310" s="48" t="s">
        <v>175</v>
      </c>
      <c r="C310" s="48">
        <f>10.764*(7.23+74.86+(2.75*0.06+3.1*0.6))</f>
        <v>905.41386</v>
      </c>
      <c r="D310" s="48">
        <f t="shared" si="13"/>
        <v>118.404</v>
      </c>
      <c r="E310" s="48">
        <f t="shared" si="14"/>
        <v>1023.81786</v>
      </c>
      <c r="F310" s="48">
        <f t="shared" si="12"/>
        <v>48.437999999999995</v>
      </c>
      <c r="G310" s="48">
        <v>1885</v>
      </c>
      <c r="H310" s="154"/>
      <c r="K310" s="91">
        <f t="shared" si="15"/>
        <v>1.7579759368253767</v>
      </c>
    </row>
    <row r="311" spans="1:11" s="2" customFormat="1" x14ac:dyDescent="0.25">
      <c r="A311" s="51">
        <v>1201</v>
      </c>
      <c r="B311" s="52" t="s">
        <v>175</v>
      </c>
      <c r="C311" s="52">
        <f>10.764*(7.23+74.86+(2.75*0.06+3.35*0.6))</f>
        <v>907.02846</v>
      </c>
      <c r="D311" s="52">
        <f t="shared" si="13"/>
        <v>118.404</v>
      </c>
      <c r="E311" s="52">
        <f t="shared" si="14"/>
        <v>1025.43246</v>
      </c>
      <c r="F311" s="52">
        <f t="shared" si="12"/>
        <v>48.437999999999995</v>
      </c>
      <c r="G311" s="52">
        <v>1885</v>
      </c>
      <c r="H311" s="161" t="s">
        <v>185</v>
      </c>
      <c r="K311" s="91">
        <f t="shared" si="15"/>
        <v>1.7553327614580252</v>
      </c>
    </row>
    <row r="312" spans="1:11" s="2" customFormat="1" ht="16.5" thickBot="1" x14ac:dyDescent="0.3">
      <c r="A312" s="49">
        <v>1202</v>
      </c>
      <c r="B312" s="50" t="s">
        <v>175</v>
      </c>
      <c r="C312" s="50">
        <f>10.764*(7.23+74.86+(2.75*0.06+3.35*0.6))</f>
        <v>907.02846</v>
      </c>
      <c r="D312" s="50">
        <f t="shared" si="13"/>
        <v>118.404</v>
      </c>
      <c r="E312" s="50">
        <f t="shared" si="14"/>
        <v>1025.43246</v>
      </c>
      <c r="F312" s="50">
        <f t="shared" si="12"/>
        <v>48.437999999999995</v>
      </c>
      <c r="G312" s="50">
        <v>1885</v>
      </c>
      <c r="H312" s="161"/>
      <c r="K312" s="91">
        <f t="shared" si="15"/>
        <v>1.7553327614580252</v>
      </c>
    </row>
    <row r="313" spans="1:11" s="2" customFormat="1" x14ac:dyDescent="0.25">
      <c r="A313" s="45">
        <v>1301</v>
      </c>
      <c r="B313" s="46" t="s">
        <v>175</v>
      </c>
      <c r="C313" s="46">
        <f>10.764*(7.23+74.86+(2.75*0.06+3.1*0.6))</f>
        <v>905.41386</v>
      </c>
      <c r="D313" s="46">
        <f t="shared" si="13"/>
        <v>118.404</v>
      </c>
      <c r="E313" s="46">
        <f t="shared" si="14"/>
        <v>1023.81786</v>
      </c>
      <c r="F313" s="46">
        <f t="shared" si="12"/>
        <v>48.437999999999995</v>
      </c>
      <c r="G313" s="46">
        <v>1885</v>
      </c>
      <c r="H313" s="153" t="s">
        <v>186</v>
      </c>
      <c r="K313" s="91">
        <f t="shared" si="15"/>
        <v>1.7579759368253767</v>
      </c>
    </row>
    <row r="314" spans="1:11" s="2" customFormat="1" ht="16.5" thickBot="1" x14ac:dyDescent="0.3">
      <c r="A314" s="47">
        <v>1302</v>
      </c>
      <c r="B314" s="48" t="s">
        <v>175</v>
      </c>
      <c r="C314" s="48">
        <f>10.764*(7.23+74.86+(2.75*0.06+3.1*0.6))</f>
        <v>905.41386</v>
      </c>
      <c r="D314" s="48">
        <f t="shared" si="13"/>
        <v>118.404</v>
      </c>
      <c r="E314" s="48">
        <f t="shared" si="14"/>
        <v>1023.81786</v>
      </c>
      <c r="F314" s="48">
        <f t="shared" si="12"/>
        <v>48.437999999999995</v>
      </c>
      <c r="G314" s="48">
        <v>1885</v>
      </c>
      <c r="H314" s="154"/>
      <c r="K314" s="91">
        <f t="shared" si="15"/>
        <v>1.7579759368253767</v>
      </c>
    </row>
    <row r="315" spans="1:11" s="2" customFormat="1" x14ac:dyDescent="0.25">
      <c r="A315" s="51">
        <v>1401</v>
      </c>
      <c r="B315" s="52" t="s">
        <v>175</v>
      </c>
      <c r="C315" s="52">
        <f>10.764*(7.23+74.86+(2.75*0.06+3.35*0.6))</f>
        <v>907.02846</v>
      </c>
      <c r="D315" s="52">
        <f t="shared" si="13"/>
        <v>118.404</v>
      </c>
      <c r="E315" s="52">
        <f t="shared" si="14"/>
        <v>1025.43246</v>
      </c>
      <c r="F315" s="52">
        <f t="shared" si="12"/>
        <v>48.437999999999995</v>
      </c>
      <c r="G315" s="52">
        <v>1885</v>
      </c>
      <c r="H315" s="161" t="s">
        <v>187</v>
      </c>
      <c r="K315" s="91">
        <f t="shared" si="15"/>
        <v>1.7553327614580252</v>
      </c>
    </row>
    <row r="316" spans="1:11" s="2" customFormat="1" ht="16.5" thickBot="1" x14ac:dyDescent="0.3">
      <c r="A316" s="47">
        <v>1402</v>
      </c>
      <c r="B316" s="48" t="s">
        <v>175</v>
      </c>
      <c r="C316" s="48">
        <f>10.764*(7.23+74.86+(2.75*0.06+3.35*0.6))</f>
        <v>907.02846</v>
      </c>
      <c r="D316" s="48">
        <f t="shared" si="13"/>
        <v>118.404</v>
      </c>
      <c r="E316" s="48">
        <f t="shared" si="14"/>
        <v>1025.43246</v>
      </c>
      <c r="F316" s="48">
        <f t="shared" si="12"/>
        <v>48.437999999999995</v>
      </c>
      <c r="G316" s="48">
        <v>1885</v>
      </c>
      <c r="H316" s="154"/>
      <c r="K316" s="91">
        <f t="shared" si="15"/>
        <v>1.7553327614580252</v>
      </c>
    </row>
    <row r="317" spans="1:11" s="2" customFormat="1" x14ac:dyDescent="0.25">
      <c r="A317" s="165"/>
      <c r="B317" s="166"/>
      <c r="C317" s="166"/>
      <c r="D317" s="166"/>
      <c r="E317" s="166"/>
      <c r="F317" s="166"/>
      <c r="G317" s="166"/>
      <c r="H317" s="167"/>
      <c r="K317" s="91" t="e">
        <f t="shared" si="15"/>
        <v>#DIV/0!</v>
      </c>
    </row>
    <row r="318" spans="1:11" s="2" customFormat="1" ht="15.75" customHeight="1" x14ac:dyDescent="0.25">
      <c r="A318" s="155" t="s">
        <v>188</v>
      </c>
      <c r="B318" s="155"/>
      <c r="C318" s="155"/>
      <c r="D318" s="155"/>
      <c r="E318" s="155"/>
      <c r="F318" s="155"/>
      <c r="G318" s="155"/>
      <c r="H318" s="155"/>
      <c r="K318" s="91" t="e">
        <f t="shared" si="15"/>
        <v>#DIV/0!</v>
      </c>
    </row>
    <row r="319" spans="1:11" s="2" customFormat="1" ht="15.75" customHeight="1" x14ac:dyDescent="0.25">
      <c r="A319" s="155" t="s">
        <v>160</v>
      </c>
      <c r="B319" s="155"/>
      <c r="C319" s="155"/>
      <c r="D319" s="155"/>
      <c r="E319" s="155"/>
      <c r="F319" s="155"/>
      <c r="G319" s="155"/>
      <c r="H319" s="155"/>
      <c r="K319" s="91" t="e">
        <f t="shared" si="15"/>
        <v>#DIV/0!</v>
      </c>
    </row>
    <row r="320" spans="1:11" s="2" customFormat="1" x14ac:dyDescent="0.25">
      <c r="A320" s="155" t="s">
        <v>169</v>
      </c>
      <c r="B320" s="155"/>
      <c r="C320" s="155"/>
      <c r="D320" s="155"/>
      <c r="E320" s="155"/>
      <c r="F320" s="155"/>
      <c r="G320" s="155"/>
      <c r="H320" s="155"/>
      <c r="K320" s="91" t="e">
        <f t="shared" si="15"/>
        <v>#DIV/0!</v>
      </c>
    </row>
    <row r="321" spans="1:11" s="2" customFormat="1" ht="16.5" thickBot="1" x14ac:dyDescent="0.3">
      <c r="A321" s="162" t="s">
        <v>170</v>
      </c>
      <c r="B321" s="163"/>
      <c r="C321" s="163"/>
      <c r="D321" s="163"/>
      <c r="E321" s="163"/>
      <c r="F321" s="163"/>
      <c r="G321" s="163"/>
      <c r="H321" s="164"/>
      <c r="K321" s="91" t="e">
        <f t="shared" si="15"/>
        <v>#DIV/0!</v>
      </c>
    </row>
    <row r="322" spans="1:11" s="2" customFormat="1" x14ac:dyDescent="0.25">
      <c r="A322" s="45">
        <v>201</v>
      </c>
      <c r="B322" s="46" t="s">
        <v>175</v>
      </c>
      <c r="C322" s="46">
        <f>10.764*(7.23+74.86+(2.75*0.06+3.35*0.6))</f>
        <v>907.02846</v>
      </c>
      <c r="D322" s="46">
        <f>10.764*(2.65*3.2+2.1*1.2)</f>
        <v>118.404</v>
      </c>
      <c r="E322" s="46">
        <f>C322+D322</f>
        <v>1025.43246</v>
      </c>
      <c r="F322" s="46">
        <f>4.5*10.764</f>
        <v>48.437999999999995</v>
      </c>
      <c r="G322" s="46">
        <v>1885</v>
      </c>
      <c r="H322" s="153" t="s">
        <v>171</v>
      </c>
      <c r="K322" s="91">
        <f t="shared" si="15"/>
        <v>1.7553327614580252</v>
      </c>
    </row>
    <row r="323" spans="1:11" s="2" customFormat="1" ht="16.5" thickBot="1" x14ac:dyDescent="0.3">
      <c r="A323" s="49">
        <v>202</v>
      </c>
      <c r="B323" s="50" t="s">
        <v>175</v>
      </c>
      <c r="C323" s="50">
        <f>10.764*(7.23+74.86+(2.75*0.06+3.35*0.6))</f>
        <v>907.02846</v>
      </c>
      <c r="D323" s="50">
        <f>10.764*(2.65*3.2+2.1*1.2)</f>
        <v>118.404</v>
      </c>
      <c r="E323" s="50">
        <f>C323+D323</f>
        <v>1025.43246</v>
      </c>
      <c r="F323" s="50">
        <f t="shared" ref="F323:F347" si="16">4.5*10.764</f>
        <v>48.437999999999995</v>
      </c>
      <c r="G323" s="50">
        <v>1885</v>
      </c>
      <c r="H323" s="161"/>
      <c r="K323" s="91">
        <f t="shared" si="15"/>
        <v>1.7553327614580252</v>
      </c>
    </row>
    <row r="324" spans="1:11" s="2" customFormat="1" x14ac:dyDescent="0.25">
      <c r="A324" s="45">
        <v>301</v>
      </c>
      <c r="B324" s="46" t="s">
        <v>175</v>
      </c>
      <c r="C324" s="46">
        <f>10.764*(7.23+74.86+(2.75*0.06+3.1*0.6))</f>
        <v>905.41386</v>
      </c>
      <c r="D324" s="46">
        <f t="shared" ref="D324:D347" si="17">10.764*(2.65*3.2+2.1*1.2)</f>
        <v>118.404</v>
      </c>
      <c r="E324" s="46">
        <f t="shared" ref="E324:E347" si="18">C324+D324</f>
        <v>1023.81786</v>
      </c>
      <c r="F324" s="46">
        <f t="shared" si="16"/>
        <v>48.437999999999995</v>
      </c>
      <c r="G324" s="46">
        <v>1885</v>
      </c>
      <c r="H324" s="153" t="s">
        <v>176</v>
      </c>
      <c r="K324" s="91">
        <f t="shared" si="15"/>
        <v>1.7579759368253767</v>
      </c>
    </row>
    <row r="325" spans="1:11" s="2" customFormat="1" ht="16.5" thickBot="1" x14ac:dyDescent="0.3">
      <c r="A325" s="47">
        <v>302</v>
      </c>
      <c r="B325" s="48" t="s">
        <v>175</v>
      </c>
      <c r="C325" s="48">
        <f>10.764*(7.23+74.86+(2.75*0.06+3.1*0.6))</f>
        <v>905.41386</v>
      </c>
      <c r="D325" s="48">
        <f t="shared" si="17"/>
        <v>118.404</v>
      </c>
      <c r="E325" s="48">
        <f t="shared" si="18"/>
        <v>1023.81786</v>
      </c>
      <c r="F325" s="48">
        <f t="shared" si="16"/>
        <v>48.437999999999995</v>
      </c>
      <c r="G325" s="48">
        <v>1885</v>
      </c>
      <c r="H325" s="154"/>
      <c r="K325" s="91">
        <f t="shared" si="15"/>
        <v>1.7579759368253767</v>
      </c>
    </row>
    <row r="326" spans="1:11" s="2" customFormat="1" x14ac:dyDescent="0.25">
      <c r="A326" s="51">
        <v>401</v>
      </c>
      <c r="B326" s="52" t="s">
        <v>175</v>
      </c>
      <c r="C326" s="52">
        <f>10.764*(7.23+74.86+(2.75*0.06+3.35*0.6))</f>
        <v>907.02846</v>
      </c>
      <c r="D326" s="52">
        <f t="shared" si="17"/>
        <v>118.404</v>
      </c>
      <c r="E326" s="52">
        <f t="shared" si="18"/>
        <v>1025.43246</v>
      </c>
      <c r="F326" s="52">
        <f t="shared" si="16"/>
        <v>48.437999999999995</v>
      </c>
      <c r="G326" s="52">
        <v>1885</v>
      </c>
      <c r="H326" s="161" t="s">
        <v>177</v>
      </c>
      <c r="K326" s="91">
        <f t="shared" si="15"/>
        <v>1.7553327614580252</v>
      </c>
    </row>
    <row r="327" spans="1:11" s="2" customFormat="1" ht="16.5" thickBot="1" x14ac:dyDescent="0.3">
      <c r="A327" s="49">
        <v>402</v>
      </c>
      <c r="B327" s="50" t="s">
        <v>175</v>
      </c>
      <c r="C327" s="50">
        <f>10.764*(7.23+74.86+(2.75*0.06+3.35*0.6))</f>
        <v>907.02846</v>
      </c>
      <c r="D327" s="50">
        <f t="shared" si="17"/>
        <v>118.404</v>
      </c>
      <c r="E327" s="50">
        <f t="shared" si="18"/>
        <v>1025.43246</v>
      </c>
      <c r="F327" s="50">
        <f t="shared" si="16"/>
        <v>48.437999999999995</v>
      </c>
      <c r="G327" s="50">
        <v>1885</v>
      </c>
      <c r="H327" s="161"/>
      <c r="K327" s="91">
        <f t="shared" si="15"/>
        <v>1.7553327614580252</v>
      </c>
    </row>
    <row r="328" spans="1:11" s="2" customFormat="1" x14ac:dyDescent="0.25">
      <c r="A328" s="45">
        <v>501</v>
      </c>
      <c r="B328" s="46" t="s">
        <v>175</v>
      </c>
      <c r="C328" s="46">
        <f>10.764*(7.23+74.86+(2.75*0.06+3.1*0.6))</f>
        <v>905.41386</v>
      </c>
      <c r="D328" s="46">
        <f t="shared" si="17"/>
        <v>118.404</v>
      </c>
      <c r="E328" s="46">
        <f t="shared" si="18"/>
        <v>1023.81786</v>
      </c>
      <c r="F328" s="46">
        <f t="shared" si="16"/>
        <v>48.437999999999995</v>
      </c>
      <c r="G328" s="46">
        <v>1885</v>
      </c>
      <c r="H328" s="153" t="s">
        <v>178</v>
      </c>
      <c r="K328" s="91">
        <f t="shared" si="15"/>
        <v>1.7579759368253767</v>
      </c>
    </row>
    <row r="329" spans="1:11" s="2" customFormat="1" ht="16.5" thickBot="1" x14ac:dyDescent="0.3">
      <c r="A329" s="47">
        <v>502</v>
      </c>
      <c r="B329" s="48" t="s">
        <v>175</v>
      </c>
      <c r="C329" s="48">
        <f>10.764*(7.23+74.86+(2.75*0.06+3.1*0.6))</f>
        <v>905.41386</v>
      </c>
      <c r="D329" s="48">
        <f t="shared" si="17"/>
        <v>118.404</v>
      </c>
      <c r="E329" s="48">
        <f t="shared" si="18"/>
        <v>1023.81786</v>
      </c>
      <c r="F329" s="48">
        <f t="shared" si="16"/>
        <v>48.437999999999995</v>
      </c>
      <c r="G329" s="48">
        <v>1885</v>
      </c>
      <c r="H329" s="154"/>
      <c r="K329" s="91">
        <f t="shared" si="15"/>
        <v>1.7579759368253767</v>
      </c>
    </row>
    <row r="330" spans="1:11" s="2" customFormat="1" x14ac:dyDescent="0.25">
      <c r="A330" s="51">
        <v>601</v>
      </c>
      <c r="B330" s="52" t="s">
        <v>175</v>
      </c>
      <c r="C330" s="52">
        <f>10.764*(7.23+74.86+(2.75*0.06+3.35*0.6))</f>
        <v>907.02846</v>
      </c>
      <c r="D330" s="52">
        <f t="shared" si="17"/>
        <v>118.404</v>
      </c>
      <c r="E330" s="52">
        <f t="shared" si="18"/>
        <v>1025.43246</v>
      </c>
      <c r="F330" s="52">
        <f t="shared" si="16"/>
        <v>48.437999999999995</v>
      </c>
      <c r="G330" s="52">
        <v>1885</v>
      </c>
      <c r="H330" s="161" t="s">
        <v>179</v>
      </c>
      <c r="K330" s="91">
        <f t="shared" si="15"/>
        <v>1.7553327614580252</v>
      </c>
    </row>
    <row r="331" spans="1:11" s="2" customFormat="1" ht="16.5" thickBot="1" x14ac:dyDescent="0.3">
      <c r="A331" s="49">
        <v>602</v>
      </c>
      <c r="B331" s="50" t="s">
        <v>175</v>
      </c>
      <c r="C331" s="50">
        <f>10.764*(7.23+74.86+(2.75*0.06+3.35*0.6))</f>
        <v>907.02846</v>
      </c>
      <c r="D331" s="50">
        <f t="shared" si="17"/>
        <v>118.404</v>
      </c>
      <c r="E331" s="50">
        <f t="shared" si="18"/>
        <v>1025.43246</v>
      </c>
      <c r="F331" s="50">
        <f t="shared" si="16"/>
        <v>48.437999999999995</v>
      </c>
      <c r="G331" s="50">
        <v>1885</v>
      </c>
      <c r="H331" s="161"/>
      <c r="K331" s="91">
        <f t="shared" si="15"/>
        <v>1.7553327614580252</v>
      </c>
    </row>
    <row r="332" spans="1:11" s="2" customFormat="1" x14ac:dyDescent="0.25">
      <c r="A332" s="45">
        <v>701</v>
      </c>
      <c r="B332" s="46" t="s">
        <v>175</v>
      </c>
      <c r="C332" s="46">
        <f>10.764*(7.23+74.86+(2.75*0.06+3.1*0.6))</f>
        <v>905.41386</v>
      </c>
      <c r="D332" s="46">
        <f t="shared" si="17"/>
        <v>118.404</v>
      </c>
      <c r="E332" s="46">
        <f t="shared" si="18"/>
        <v>1023.81786</v>
      </c>
      <c r="F332" s="46">
        <f t="shared" si="16"/>
        <v>48.437999999999995</v>
      </c>
      <c r="G332" s="46">
        <v>1885</v>
      </c>
      <c r="H332" s="153" t="s">
        <v>180</v>
      </c>
      <c r="K332" s="91">
        <f t="shared" si="15"/>
        <v>1.7579759368253767</v>
      </c>
    </row>
    <row r="333" spans="1:11" s="2" customFormat="1" ht="16.5" thickBot="1" x14ac:dyDescent="0.3">
      <c r="A333" s="47">
        <v>702</v>
      </c>
      <c r="B333" s="48" t="s">
        <v>175</v>
      </c>
      <c r="C333" s="48">
        <f>10.764*(7.23+74.86+(2.75*0.06+3.1*0.6))</f>
        <v>905.41386</v>
      </c>
      <c r="D333" s="48">
        <f t="shared" si="17"/>
        <v>118.404</v>
      </c>
      <c r="E333" s="48">
        <f t="shared" si="18"/>
        <v>1023.81786</v>
      </c>
      <c r="F333" s="48">
        <f t="shared" si="16"/>
        <v>48.437999999999995</v>
      </c>
      <c r="G333" s="48">
        <v>1885</v>
      </c>
      <c r="H333" s="154"/>
      <c r="K333" s="91">
        <f t="shared" si="15"/>
        <v>1.7579759368253767</v>
      </c>
    </row>
    <row r="334" spans="1:11" s="2" customFormat="1" x14ac:dyDescent="0.25">
      <c r="A334" s="51">
        <v>801</v>
      </c>
      <c r="B334" s="52" t="s">
        <v>175</v>
      </c>
      <c r="C334" s="52">
        <f>10.764*(7.23+74.86+(2.75*0.06+3.35*0.6))</f>
        <v>907.02846</v>
      </c>
      <c r="D334" s="52">
        <f t="shared" si="17"/>
        <v>118.404</v>
      </c>
      <c r="E334" s="52">
        <f t="shared" si="18"/>
        <v>1025.43246</v>
      </c>
      <c r="F334" s="52">
        <f t="shared" si="16"/>
        <v>48.437999999999995</v>
      </c>
      <c r="G334" s="52">
        <v>1885</v>
      </c>
      <c r="H334" s="161" t="s">
        <v>181</v>
      </c>
      <c r="K334" s="91">
        <f t="shared" si="15"/>
        <v>1.7553327614580252</v>
      </c>
    </row>
    <row r="335" spans="1:11" s="2" customFormat="1" ht="16.5" thickBot="1" x14ac:dyDescent="0.3">
      <c r="A335" s="49">
        <v>802</v>
      </c>
      <c r="B335" s="50" t="s">
        <v>175</v>
      </c>
      <c r="C335" s="50">
        <f>10.764*(7.23+74.86+(2.75*0.06+3.35*0.6))</f>
        <v>907.02846</v>
      </c>
      <c r="D335" s="50">
        <f t="shared" si="17"/>
        <v>118.404</v>
      </c>
      <c r="E335" s="50">
        <f t="shared" si="18"/>
        <v>1025.43246</v>
      </c>
      <c r="F335" s="50">
        <f t="shared" si="16"/>
        <v>48.437999999999995</v>
      </c>
      <c r="G335" s="50">
        <v>1885</v>
      </c>
      <c r="H335" s="161"/>
      <c r="K335" s="91">
        <f t="shared" si="15"/>
        <v>1.7553327614580252</v>
      </c>
    </row>
    <row r="336" spans="1:11" s="2" customFormat="1" x14ac:dyDescent="0.25">
      <c r="A336" s="45">
        <v>901</v>
      </c>
      <c r="B336" s="46" t="s">
        <v>175</v>
      </c>
      <c r="C336" s="46">
        <f>10.764*(7.23+74.86+(2.75*0.06+3.1*0.6))</f>
        <v>905.41386</v>
      </c>
      <c r="D336" s="46">
        <f t="shared" si="17"/>
        <v>118.404</v>
      </c>
      <c r="E336" s="46">
        <f t="shared" si="18"/>
        <v>1023.81786</v>
      </c>
      <c r="F336" s="46">
        <f t="shared" si="16"/>
        <v>48.437999999999995</v>
      </c>
      <c r="G336" s="46">
        <v>1885</v>
      </c>
      <c r="H336" s="153" t="s">
        <v>182</v>
      </c>
      <c r="K336" s="91">
        <f t="shared" si="15"/>
        <v>1.7579759368253767</v>
      </c>
    </row>
    <row r="337" spans="1:11" s="2" customFormat="1" ht="16.5" thickBot="1" x14ac:dyDescent="0.3">
      <c r="A337" s="47">
        <v>902</v>
      </c>
      <c r="B337" s="48" t="s">
        <v>175</v>
      </c>
      <c r="C337" s="48">
        <f>10.764*(7.23+74.86+(2.75*0.06+3.1*0.6))</f>
        <v>905.41386</v>
      </c>
      <c r="D337" s="48">
        <f t="shared" si="17"/>
        <v>118.404</v>
      </c>
      <c r="E337" s="48">
        <f t="shared" si="18"/>
        <v>1023.81786</v>
      </c>
      <c r="F337" s="48">
        <f t="shared" si="16"/>
        <v>48.437999999999995</v>
      </c>
      <c r="G337" s="48">
        <v>1885</v>
      </c>
      <c r="H337" s="154"/>
      <c r="K337" s="91">
        <f t="shared" si="15"/>
        <v>1.7579759368253767</v>
      </c>
    </row>
    <row r="338" spans="1:11" s="2" customFormat="1" x14ac:dyDescent="0.25">
      <c r="A338" s="51">
        <v>1001</v>
      </c>
      <c r="B338" s="52" t="s">
        <v>175</v>
      </c>
      <c r="C338" s="52">
        <f>10.764*(7.23+74.86+(2.75*0.06+3.35*0.6))</f>
        <v>907.02846</v>
      </c>
      <c r="D338" s="52">
        <f t="shared" si="17"/>
        <v>118.404</v>
      </c>
      <c r="E338" s="52">
        <f t="shared" si="18"/>
        <v>1025.43246</v>
      </c>
      <c r="F338" s="52">
        <f t="shared" si="16"/>
        <v>48.437999999999995</v>
      </c>
      <c r="G338" s="52">
        <v>1885</v>
      </c>
      <c r="H338" s="161" t="s">
        <v>183</v>
      </c>
      <c r="K338" s="91">
        <f t="shared" si="15"/>
        <v>1.7553327614580252</v>
      </c>
    </row>
    <row r="339" spans="1:11" s="2" customFormat="1" ht="16.5" thickBot="1" x14ac:dyDescent="0.3">
      <c r="A339" s="49">
        <v>1002</v>
      </c>
      <c r="B339" s="50" t="s">
        <v>175</v>
      </c>
      <c r="C339" s="50">
        <f>10.764*(7.23+74.86+(2.75*0.06+3.35*0.6))</f>
        <v>907.02846</v>
      </c>
      <c r="D339" s="50">
        <f t="shared" si="17"/>
        <v>118.404</v>
      </c>
      <c r="E339" s="50">
        <f t="shared" si="18"/>
        <v>1025.43246</v>
      </c>
      <c r="F339" s="50">
        <f t="shared" si="16"/>
        <v>48.437999999999995</v>
      </c>
      <c r="G339" s="50">
        <v>1885</v>
      </c>
      <c r="H339" s="161"/>
      <c r="K339" s="91">
        <f t="shared" si="15"/>
        <v>1.7553327614580252</v>
      </c>
    </row>
    <row r="340" spans="1:11" s="2" customFormat="1" x14ac:dyDescent="0.25">
      <c r="A340" s="45">
        <v>1101</v>
      </c>
      <c r="B340" s="46" t="s">
        <v>175</v>
      </c>
      <c r="C340" s="46">
        <f>10.764*(7.23+74.86+(2.75*0.06+3.1*0.6))</f>
        <v>905.41386</v>
      </c>
      <c r="D340" s="46">
        <f t="shared" si="17"/>
        <v>118.404</v>
      </c>
      <c r="E340" s="46">
        <f t="shared" si="18"/>
        <v>1023.81786</v>
      </c>
      <c r="F340" s="46">
        <f t="shared" si="16"/>
        <v>48.437999999999995</v>
      </c>
      <c r="G340" s="46">
        <v>1885</v>
      </c>
      <c r="H340" s="153" t="s">
        <v>184</v>
      </c>
      <c r="K340" s="91">
        <f t="shared" si="15"/>
        <v>1.7579759368253767</v>
      </c>
    </row>
    <row r="341" spans="1:11" s="2" customFormat="1" ht="16.5" thickBot="1" x14ac:dyDescent="0.3">
      <c r="A341" s="47">
        <v>1102</v>
      </c>
      <c r="B341" s="48" t="s">
        <v>175</v>
      </c>
      <c r="C341" s="48">
        <f>10.764*(7.23+74.86+(2.75*0.06+3.1*0.6))</f>
        <v>905.41386</v>
      </c>
      <c r="D341" s="48">
        <f t="shared" si="17"/>
        <v>118.404</v>
      </c>
      <c r="E341" s="48">
        <f t="shared" si="18"/>
        <v>1023.81786</v>
      </c>
      <c r="F341" s="48">
        <f t="shared" si="16"/>
        <v>48.437999999999995</v>
      </c>
      <c r="G341" s="48">
        <v>1885</v>
      </c>
      <c r="H341" s="154"/>
      <c r="K341" s="91">
        <f t="shared" si="15"/>
        <v>1.7579759368253767</v>
      </c>
    </row>
    <row r="342" spans="1:11" s="2" customFormat="1" x14ac:dyDescent="0.25">
      <c r="A342" s="45">
        <v>1201</v>
      </c>
      <c r="B342" s="46" t="s">
        <v>175</v>
      </c>
      <c r="C342" s="46">
        <f>10.764*(7.23+74.86+(2.75*0.06+3.35*0.6))</f>
        <v>907.02846</v>
      </c>
      <c r="D342" s="46">
        <f t="shared" si="17"/>
        <v>118.404</v>
      </c>
      <c r="E342" s="46">
        <f t="shared" si="18"/>
        <v>1025.43246</v>
      </c>
      <c r="F342" s="46">
        <f t="shared" si="16"/>
        <v>48.437999999999995</v>
      </c>
      <c r="G342" s="46">
        <v>1885</v>
      </c>
      <c r="H342" s="153" t="s">
        <v>185</v>
      </c>
      <c r="K342" s="91">
        <f t="shared" si="15"/>
        <v>1.7553327614580252</v>
      </c>
    </row>
    <row r="343" spans="1:11" s="2" customFormat="1" ht="16.5" thickBot="1" x14ac:dyDescent="0.3">
      <c r="A343" s="47">
        <v>1202</v>
      </c>
      <c r="B343" s="48" t="s">
        <v>175</v>
      </c>
      <c r="C343" s="48">
        <f>10.764*(7.23+74.86+(2.75*0.06+3.35*0.6))</f>
        <v>907.02846</v>
      </c>
      <c r="D343" s="48">
        <f t="shared" si="17"/>
        <v>118.404</v>
      </c>
      <c r="E343" s="48">
        <f t="shared" si="18"/>
        <v>1025.43246</v>
      </c>
      <c r="F343" s="48">
        <f t="shared" si="16"/>
        <v>48.437999999999995</v>
      </c>
      <c r="G343" s="48">
        <v>1885</v>
      </c>
      <c r="H343" s="154"/>
      <c r="K343" s="91">
        <f t="shared" si="15"/>
        <v>1.7553327614580252</v>
      </c>
    </row>
    <row r="344" spans="1:11" s="2" customFormat="1" x14ac:dyDescent="0.25">
      <c r="A344" s="45">
        <v>1301</v>
      </c>
      <c r="B344" s="46" t="s">
        <v>175</v>
      </c>
      <c r="C344" s="46">
        <f>10.764*(7.23+74.86+(2.75*0.06+3.1*0.6))</f>
        <v>905.41386</v>
      </c>
      <c r="D344" s="46">
        <f t="shared" si="17"/>
        <v>118.404</v>
      </c>
      <c r="E344" s="46">
        <f t="shared" si="18"/>
        <v>1023.81786</v>
      </c>
      <c r="F344" s="46">
        <f t="shared" si="16"/>
        <v>48.437999999999995</v>
      </c>
      <c r="G344" s="46">
        <v>1885</v>
      </c>
      <c r="H344" s="153" t="s">
        <v>186</v>
      </c>
      <c r="K344" s="91">
        <f t="shared" si="15"/>
        <v>1.7579759368253767</v>
      </c>
    </row>
    <row r="345" spans="1:11" s="2" customFormat="1" ht="16.5" thickBot="1" x14ac:dyDescent="0.3">
      <c r="A345" s="47">
        <v>1302</v>
      </c>
      <c r="B345" s="48" t="s">
        <v>175</v>
      </c>
      <c r="C345" s="48">
        <f>10.764*(7.23+74.86+(2.75*0.06+3.1*0.6))</f>
        <v>905.41386</v>
      </c>
      <c r="D345" s="48">
        <f t="shared" si="17"/>
        <v>118.404</v>
      </c>
      <c r="E345" s="48">
        <f t="shared" si="18"/>
        <v>1023.81786</v>
      </c>
      <c r="F345" s="48">
        <f t="shared" si="16"/>
        <v>48.437999999999995</v>
      </c>
      <c r="G345" s="48">
        <v>1885</v>
      </c>
      <c r="H345" s="154"/>
      <c r="K345" s="91">
        <f t="shared" si="15"/>
        <v>1.7579759368253767</v>
      </c>
    </row>
    <row r="346" spans="1:11" s="2" customFormat="1" x14ac:dyDescent="0.25">
      <c r="A346" s="51">
        <v>1401</v>
      </c>
      <c r="B346" s="52" t="s">
        <v>175</v>
      </c>
      <c r="C346" s="52">
        <f>10.764*(7.23+74.86+(2.75*0.06+3.35*0.6))</f>
        <v>907.02846</v>
      </c>
      <c r="D346" s="52">
        <f t="shared" si="17"/>
        <v>118.404</v>
      </c>
      <c r="E346" s="52">
        <f t="shared" si="18"/>
        <v>1025.43246</v>
      </c>
      <c r="F346" s="52">
        <f t="shared" si="16"/>
        <v>48.437999999999995</v>
      </c>
      <c r="G346" s="52">
        <v>1885</v>
      </c>
      <c r="H346" s="161" t="s">
        <v>187</v>
      </c>
      <c r="K346" s="91">
        <f t="shared" si="15"/>
        <v>1.7553327614580252</v>
      </c>
    </row>
    <row r="347" spans="1:11" s="2" customFormat="1" ht="16.5" thickBot="1" x14ac:dyDescent="0.3">
      <c r="A347" s="47">
        <v>1402</v>
      </c>
      <c r="B347" s="48" t="s">
        <v>175</v>
      </c>
      <c r="C347" s="48">
        <f>10.764*(7.23+74.86+(2.75*0.06+3.35*0.6))</f>
        <v>907.02846</v>
      </c>
      <c r="D347" s="48">
        <f t="shared" si="17"/>
        <v>118.404</v>
      </c>
      <c r="E347" s="48">
        <f t="shared" si="18"/>
        <v>1025.43246</v>
      </c>
      <c r="F347" s="48">
        <f t="shared" si="16"/>
        <v>48.437999999999995</v>
      </c>
      <c r="G347" s="48">
        <v>1885</v>
      </c>
      <c r="H347" s="154"/>
      <c r="K347" s="91">
        <f t="shared" si="15"/>
        <v>1.7553327614580252</v>
      </c>
    </row>
    <row r="348" spans="1:11" s="2" customFormat="1" x14ac:dyDescent="0.25">
      <c r="A348" s="165"/>
      <c r="B348" s="166"/>
      <c r="C348" s="166"/>
      <c r="D348" s="166"/>
      <c r="E348" s="166"/>
      <c r="F348" s="166"/>
      <c r="G348" s="166"/>
      <c r="H348" s="167"/>
      <c r="K348" s="91" t="e">
        <f t="shared" si="15"/>
        <v>#DIV/0!</v>
      </c>
    </row>
    <row r="349" spans="1:11" s="2" customFormat="1" ht="15.75" customHeight="1" x14ac:dyDescent="0.25">
      <c r="A349" s="155" t="s">
        <v>191</v>
      </c>
      <c r="B349" s="155"/>
      <c r="C349" s="155"/>
      <c r="D349" s="155"/>
      <c r="E349" s="155"/>
      <c r="F349" s="155"/>
      <c r="G349" s="155"/>
      <c r="H349" s="155"/>
      <c r="K349" s="91" t="e">
        <f t="shared" si="15"/>
        <v>#DIV/0!</v>
      </c>
    </row>
    <row r="350" spans="1:11" s="2" customFormat="1" ht="15.75" customHeight="1" x14ac:dyDescent="0.25">
      <c r="A350" s="155" t="s">
        <v>160</v>
      </c>
      <c r="B350" s="155"/>
      <c r="C350" s="155"/>
      <c r="D350" s="155"/>
      <c r="E350" s="155"/>
      <c r="F350" s="155"/>
      <c r="G350" s="155"/>
      <c r="H350" s="155"/>
      <c r="K350" s="91" t="e">
        <f t="shared" si="15"/>
        <v>#DIV/0!</v>
      </c>
    </row>
    <row r="351" spans="1:11" s="2" customFormat="1" x14ac:dyDescent="0.25">
      <c r="A351" s="155" t="s">
        <v>169</v>
      </c>
      <c r="B351" s="155"/>
      <c r="C351" s="155"/>
      <c r="D351" s="155"/>
      <c r="E351" s="155"/>
      <c r="F351" s="155"/>
      <c r="G351" s="155"/>
      <c r="H351" s="155"/>
      <c r="K351" s="91" t="e">
        <f t="shared" si="15"/>
        <v>#DIV/0!</v>
      </c>
    </row>
    <row r="352" spans="1:11" s="2" customFormat="1" ht="16.5" thickBot="1" x14ac:dyDescent="0.3">
      <c r="A352" s="162" t="s">
        <v>170</v>
      </c>
      <c r="B352" s="163"/>
      <c r="C352" s="163"/>
      <c r="D352" s="163"/>
      <c r="E352" s="163"/>
      <c r="F352" s="163"/>
      <c r="G352" s="163"/>
      <c r="H352" s="164"/>
      <c r="K352" s="91" t="e">
        <f t="shared" si="15"/>
        <v>#DIV/0!</v>
      </c>
    </row>
    <row r="353" spans="1:11" s="2" customFormat="1" x14ac:dyDescent="0.25">
      <c r="A353" s="38">
        <v>101</v>
      </c>
      <c r="B353" s="42" t="s">
        <v>175</v>
      </c>
      <c r="C353" s="42">
        <f>10.764*(65.229+4.17)</f>
        <v>747.01083599999993</v>
      </c>
      <c r="D353" s="42">
        <v>0</v>
      </c>
      <c r="E353" s="42">
        <f>C353+D353</f>
        <v>747.01083599999993</v>
      </c>
      <c r="F353" s="42">
        <v>0</v>
      </c>
      <c r="G353" s="42">
        <v>1885</v>
      </c>
      <c r="H353" s="153" t="s">
        <v>194</v>
      </c>
      <c r="J353" s="2">
        <f>18500000/G353</f>
        <v>9814.3236074270553</v>
      </c>
      <c r="K353" s="92">
        <f>G353/(E353+F353)</f>
        <v>2.5233904371368454</v>
      </c>
    </row>
    <row r="354" spans="1:11" s="2" customFormat="1" x14ac:dyDescent="0.25">
      <c r="A354" s="39">
        <v>102</v>
      </c>
      <c r="B354" s="23" t="s">
        <v>192</v>
      </c>
      <c r="C354" s="23">
        <f>10.764*(43.471+6.428)</f>
        <v>537.1128359999999</v>
      </c>
      <c r="D354" s="23">
        <v>0</v>
      </c>
      <c r="E354" s="23">
        <f t="shared" ref="E354:E412" si="19">C354+D354</f>
        <v>537.1128359999999</v>
      </c>
      <c r="F354" s="23">
        <v>0</v>
      </c>
      <c r="G354" s="23">
        <v>1230</v>
      </c>
      <c r="H354" s="161"/>
      <c r="K354" s="92">
        <f t="shared" si="15"/>
        <v>2.2900216073033866</v>
      </c>
    </row>
    <row r="355" spans="1:11" s="2" customFormat="1" x14ac:dyDescent="0.25">
      <c r="A355" s="39">
        <v>103</v>
      </c>
      <c r="B355" s="23" t="s">
        <v>192</v>
      </c>
      <c r="C355" s="23">
        <f t="shared" ref="C355:C356" si="20">10.764*(43.471+6.428)</f>
        <v>537.1128359999999</v>
      </c>
      <c r="D355" s="23">
        <v>0</v>
      </c>
      <c r="E355" s="23">
        <f t="shared" si="19"/>
        <v>537.1128359999999</v>
      </c>
      <c r="F355" s="23">
        <v>0</v>
      </c>
      <c r="G355" s="23">
        <v>1230</v>
      </c>
      <c r="H355" s="161"/>
      <c r="K355" s="92">
        <f t="shared" si="15"/>
        <v>2.2900216073033866</v>
      </c>
    </row>
    <row r="356" spans="1:11" s="2" customFormat="1" ht="16.5" thickBot="1" x14ac:dyDescent="0.3">
      <c r="A356" s="40">
        <v>104</v>
      </c>
      <c r="B356" s="41" t="s">
        <v>192</v>
      </c>
      <c r="C356" s="41">
        <f t="shared" si="20"/>
        <v>537.1128359999999</v>
      </c>
      <c r="D356" s="41">
        <v>0</v>
      </c>
      <c r="E356" s="41">
        <f t="shared" si="19"/>
        <v>537.1128359999999</v>
      </c>
      <c r="F356" s="41">
        <v>0</v>
      </c>
      <c r="G356" s="41">
        <v>1230</v>
      </c>
      <c r="H356" s="154"/>
      <c r="K356" s="92">
        <f t="shared" si="15"/>
        <v>2.2900216073033866</v>
      </c>
    </row>
    <row r="357" spans="1:11" s="2" customFormat="1" x14ac:dyDescent="0.25">
      <c r="A357" s="44">
        <v>201</v>
      </c>
      <c r="B357" s="33" t="s">
        <v>175</v>
      </c>
      <c r="C357" s="33">
        <f>10.764*(65.229+(3*0.6+2.75*0.6)+4.17)</f>
        <v>784.14663599999994</v>
      </c>
      <c r="D357" s="33">
        <v>0</v>
      </c>
      <c r="E357" s="33">
        <f t="shared" si="19"/>
        <v>784.14663599999994</v>
      </c>
      <c r="F357" s="33">
        <v>0</v>
      </c>
      <c r="G357" s="33">
        <v>1885</v>
      </c>
      <c r="H357" s="161" t="s">
        <v>171</v>
      </c>
      <c r="K357" s="92">
        <f t="shared" si="15"/>
        <v>2.4038871219489617</v>
      </c>
    </row>
    <row r="358" spans="1:11" s="2" customFormat="1" x14ac:dyDescent="0.25">
      <c r="A358" s="39">
        <v>202</v>
      </c>
      <c r="B358" s="23" t="s">
        <v>192</v>
      </c>
      <c r="C358" s="23">
        <f>10.764*(43.471+2.7+6.428)</f>
        <v>566.17563599999994</v>
      </c>
      <c r="D358" s="23">
        <v>0</v>
      </c>
      <c r="E358" s="23">
        <f t="shared" si="19"/>
        <v>566.17563599999994</v>
      </c>
      <c r="F358" s="23">
        <v>0</v>
      </c>
      <c r="G358" s="23">
        <v>1230</v>
      </c>
      <c r="H358" s="161"/>
      <c r="K358" s="92">
        <f t="shared" si="15"/>
        <v>2.1724707348586794</v>
      </c>
    </row>
    <row r="359" spans="1:11" s="2" customFormat="1" x14ac:dyDescent="0.25">
      <c r="A359" s="39">
        <v>203</v>
      </c>
      <c r="B359" s="23" t="s">
        <v>192</v>
      </c>
      <c r="C359" s="23">
        <f t="shared" ref="C359:C360" si="21">10.764*(43.471+2.7+6.428)</f>
        <v>566.17563599999994</v>
      </c>
      <c r="D359" s="23">
        <v>0</v>
      </c>
      <c r="E359" s="23">
        <f t="shared" si="19"/>
        <v>566.17563599999994</v>
      </c>
      <c r="F359" s="23">
        <v>0</v>
      </c>
      <c r="G359" s="23">
        <v>1230</v>
      </c>
      <c r="H359" s="161"/>
      <c r="K359" s="92">
        <f t="shared" si="15"/>
        <v>2.1724707348586794</v>
      </c>
    </row>
    <row r="360" spans="1:11" s="2" customFormat="1" x14ac:dyDescent="0.25">
      <c r="A360" s="39">
        <v>204</v>
      </c>
      <c r="B360" s="23" t="s">
        <v>192</v>
      </c>
      <c r="C360" s="23">
        <f t="shared" si="21"/>
        <v>566.17563599999994</v>
      </c>
      <c r="D360" s="23">
        <v>0</v>
      </c>
      <c r="E360" s="23">
        <f t="shared" si="19"/>
        <v>566.17563599999994</v>
      </c>
      <c r="F360" s="23">
        <v>0</v>
      </c>
      <c r="G360" s="23">
        <v>1230</v>
      </c>
      <c r="H360" s="161"/>
      <c r="K360" s="92">
        <f t="shared" si="15"/>
        <v>2.1724707348586794</v>
      </c>
    </row>
    <row r="361" spans="1:11" s="2" customFormat="1" x14ac:dyDescent="0.25">
      <c r="A361" s="39">
        <v>205</v>
      </c>
      <c r="B361" s="23" t="s">
        <v>192</v>
      </c>
      <c r="C361" s="23">
        <f>10.764*(53.05+2.91+5.94)</f>
        <v>666.2915999999999</v>
      </c>
      <c r="D361" s="23">
        <v>0</v>
      </c>
      <c r="E361" s="23">
        <f t="shared" si="19"/>
        <v>666.2915999999999</v>
      </c>
      <c r="F361" s="23">
        <f>10.764*4.5</f>
        <v>48.437999999999995</v>
      </c>
      <c r="G361" s="23">
        <v>1230</v>
      </c>
      <c r="H361" s="161"/>
      <c r="K361" s="92">
        <f t="shared" si="15"/>
        <v>1.7209305449221639</v>
      </c>
    </row>
    <row r="362" spans="1:11" s="2" customFormat="1" x14ac:dyDescent="0.25">
      <c r="A362" s="39">
        <v>206</v>
      </c>
      <c r="B362" s="23" t="s">
        <v>192</v>
      </c>
      <c r="C362" s="23">
        <f t="shared" ref="C362:C363" si="22">10.764*(53.05+2.91+5.94)</f>
        <v>666.2915999999999</v>
      </c>
      <c r="D362" s="23">
        <v>0</v>
      </c>
      <c r="E362" s="23">
        <f t="shared" si="19"/>
        <v>666.2915999999999</v>
      </c>
      <c r="F362" s="23">
        <f t="shared" ref="F362:F364" si="23">10.764*4.5</f>
        <v>48.437999999999995</v>
      </c>
      <c r="G362" s="23">
        <v>1230</v>
      </c>
      <c r="H362" s="161"/>
      <c r="K362" s="92">
        <f t="shared" ref="K362:K425" si="24">G362/(E362+F362)</f>
        <v>1.7209305449221639</v>
      </c>
    </row>
    <row r="363" spans="1:11" s="2" customFormat="1" x14ac:dyDescent="0.25">
      <c r="A363" s="39">
        <v>207</v>
      </c>
      <c r="B363" s="23" t="s">
        <v>192</v>
      </c>
      <c r="C363" s="23">
        <f t="shared" si="22"/>
        <v>666.2915999999999</v>
      </c>
      <c r="D363" s="23">
        <v>0</v>
      </c>
      <c r="E363" s="23">
        <f t="shared" si="19"/>
        <v>666.2915999999999</v>
      </c>
      <c r="F363" s="23">
        <f t="shared" si="23"/>
        <v>48.437999999999995</v>
      </c>
      <c r="G363" s="23">
        <v>1230</v>
      </c>
      <c r="H363" s="161"/>
      <c r="K363" s="92">
        <f t="shared" si="24"/>
        <v>1.7209305449221639</v>
      </c>
    </row>
    <row r="364" spans="1:11" s="2" customFormat="1" ht="16.5" thickBot="1" x14ac:dyDescent="0.3">
      <c r="A364" s="43">
        <v>208</v>
      </c>
      <c r="B364" s="32" t="s">
        <v>175</v>
      </c>
      <c r="C364" s="32">
        <f>10.764*(65.229+(3*0.6+2.75*0.6)+4.17)</f>
        <v>784.14663599999994</v>
      </c>
      <c r="D364" s="32">
        <v>0</v>
      </c>
      <c r="E364" s="32">
        <f t="shared" si="19"/>
        <v>784.14663599999994</v>
      </c>
      <c r="F364" s="32">
        <f t="shared" si="23"/>
        <v>48.437999999999995</v>
      </c>
      <c r="G364" s="32">
        <v>1885</v>
      </c>
      <c r="H364" s="161"/>
      <c r="K364" s="92">
        <f t="shared" si="24"/>
        <v>2.264034091544298</v>
      </c>
    </row>
    <row r="365" spans="1:11" s="2" customFormat="1" x14ac:dyDescent="0.25">
      <c r="A365" s="38">
        <v>301</v>
      </c>
      <c r="B365" s="42" t="s">
        <v>175</v>
      </c>
      <c r="C365" s="42">
        <f>10.764*(65.229+(3.8*0.6+2.75*0.6)+4.17)</f>
        <v>789.31335599999989</v>
      </c>
      <c r="D365" s="42">
        <v>0</v>
      </c>
      <c r="E365" s="42">
        <f t="shared" si="19"/>
        <v>789.31335599999989</v>
      </c>
      <c r="F365" s="42">
        <f>10.764*4.5</f>
        <v>48.437999999999995</v>
      </c>
      <c r="G365" s="42">
        <v>1885</v>
      </c>
      <c r="H365" s="153" t="s">
        <v>176</v>
      </c>
      <c r="K365" s="92">
        <f t="shared" si="24"/>
        <v>2.250070962582841</v>
      </c>
    </row>
    <row r="366" spans="1:11" s="2" customFormat="1" x14ac:dyDescent="0.25">
      <c r="A366" s="39">
        <v>302</v>
      </c>
      <c r="B366" s="23" t="s">
        <v>192</v>
      </c>
      <c r="C366" s="23">
        <f>10.764*(43.471+(3.35*0.6+1.7*0.6)+6.428)</f>
        <v>569.72775599999989</v>
      </c>
      <c r="D366" s="23">
        <v>0</v>
      </c>
      <c r="E366" s="23">
        <f t="shared" si="19"/>
        <v>569.72775599999989</v>
      </c>
      <c r="F366" s="23">
        <f>10.764*4.2</f>
        <v>45.208799999999997</v>
      </c>
      <c r="G366" s="23">
        <v>1230</v>
      </c>
      <c r="H366" s="161"/>
      <c r="J366" s="2">
        <f>18000000/G366</f>
        <v>14634.146341463415</v>
      </c>
      <c r="K366" s="92">
        <f>G366/(E366+F366)</f>
        <v>2.0002063432377897</v>
      </c>
    </row>
    <row r="367" spans="1:11" s="2" customFormat="1" x14ac:dyDescent="0.25">
      <c r="A367" s="39">
        <v>303</v>
      </c>
      <c r="B367" s="23" t="s">
        <v>192</v>
      </c>
      <c r="C367" s="23">
        <f t="shared" ref="C367:C368" si="25">10.764*(43.471+(3.35*0.6+1.7*0.6)+6.428)</f>
        <v>569.72775599999989</v>
      </c>
      <c r="D367" s="23">
        <v>0</v>
      </c>
      <c r="E367" s="23">
        <f t="shared" si="19"/>
        <v>569.72775599999989</v>
      </c>
      <c r="F367" s="23">
        <f>10.764*4.35</f>
        <v>46.823399999999992</v>
      </c>
      <c r="G367" s="23">
        <v>1230</v>
      </c>
      <c r="H367" s="161"/>
      <c r="K367" s="92">
        <f>G367/(E367+F367)</f>
        <v>1.99496828126943</v>
      </c>
    </row>
    <row r="368" spans="1:11" s="2" customFormat="1" x14ac:dyDescent="0.25">
      <c r="A368" s="39">
        <v>304</v>
      </c>
      <c r="B368" s="23" t="s">
        <v>192</v>
      </c>
      <c r="C368" s="23">
        <f t="shared" si="25"/>
        <v>569.72775599999989</v>
      </c>
      <c r="D368" s="23">
        <v>0</v>
      </c>
      <c r="E368" s="23">
        <f t="shared" si="19"/>
        <v>569.72775599999989</v>
      </c>
      <c r="F368" s="23">
        <f>10.764*4.35</f>
        <v>46.823399999999992</v>
      </c>
      <c r="G368" s="23">
        <v>1230</v>
      </c>
      <c r="H368" s="161"/>
      <c r="K368" s="92">
        <f t="shared" si="24"/>
        <v>1.99496828126943</v>
      </c>
    </row>
    <row r="369" spans="1:11" s="2" customFormat="1" x14ac:dyDescent="0.25">
      <c r="A369" s="39">
        <v>305</v>
      </c>
      <c r="B369" s="23" t="s">
        <v>192</v>
      </c>
      <c r="C369" s="23">
        <f>10.764*(53.05+(3.05*0.6+1.85*0.6)+5.94)</f>
        <v>666.61451999999986</v>
      </c>
      <c r="D369" s="23">
        <v>0</v>
      </c>
      <c r="E369" s="23">
        <f t="shared" si="19"/>
        <v>666.61451999999986</v>
      </c>
      <c r="F369" s="23">
        <f>10.764*4.5</f>
        <v>48.437999999999995</v>
      </c>
      <c r="G369" s="23">
        <v>1230</v>
      </c>
      <c r="H369" s="161"/>
      <c r="K369" s="92">
        <f t="shared" si="24"/>
        <v>1.7201533671960212</v>
      </c>
    </row>
    <row r="370" spans="1:11" s="2" customFormat="1" x14ac:dyDescent="0.25">
      <c r="A370" s="39">
        <v>306</v>
      </c>
      <c r="B370" s="23" t="s">
        <v>192</v>
      </c>
      <c r="C370" s="23">
        <f t="shared" ref="C370:C371" si="26">10.764*(53.05+(3.05*0.6+1.85*0.6)+5.94)</f>
        <v>666.61451999999986</v>
      </c>
      <c r="D370" s="23">
        <v>0</v>
      </c>
      <c r="E370" s="23">
        <f t="shared" si="19"/>
        <v>666.61451999999986</v>
      </c>
      <c r="F370" s="23">
        <f t="shared" ref="F370:F371" si="27">10.764*4.5</f>
        <v>48.437999999999995</v>
      </c>
      <c r="G370" s="23">
        <v>1230</v>
      </c>
      <c r="H370" s="161"/>
      <c r="K370" s="92">
        <f>G370/(E370+F370)</f>
        <v>1.7201533671960212</v>
      </c>
    </row>
    <row r="371" spans="1:11" s="2" customFormat="1" x14ac:dyDescent="0.25">
      <c r="A371" s="39">
        <v>307</v>
      </c>
      <c r="B371" s="23" t="s">
        <v>192</v>
      </c>
      <c r="C371" s="23">
        <f t="shared" si="26"/>
        <v>666.61451999999986</v>
      </c>
      <c r="D371" s="23">
        <v>0</v>
      </c>
      <c r="E371" s="23">
        <f t="shared" si="19"/>
        <v>666.61451999999986</v>
      </c>
      <c r="F371" s="23">
        <f t="shared" si="27"/>
        <v>48.437999999999995</v>
      </c>
      <c r="G371" s="23">
        <v>1230</v>
      </c>
      <c r="H371" s="161"/>
      <c r="K371" s="92">
        <f t="shared" si="24"/>
        <v>1.7201533671960212</v>
      </c>
    </row>
    <row r="372" spans="1:11" s="2" customFormat="1" ht="16.5" thickBot="1" x14ac:dyDescent="0.3">
      <c r="A372" s="40">
        <v>308</v>
      </c>
      <c r="B372" s="41" t="s">
        <v>175</v>
      </c>
      <c r="C372" s="41">
        <f>10.764*(65.229+(3.8*0.6+2.75*0.6)+4.17)</f>
        <v>789.31335599999989</v>
      </c>
      <c r="D372" s="41">
        <v>0</v>
      </c>
      <c r="E372" s="41">
        <f t="shared" si="19"/>
        <v>789.31335599999989</v>
      </c>
      <c r="F372" s="41">
        <f>10.764*4.5</f>
        <v>48.437999999999995</v>
      </c>
      <c r="G372" s="41">
        <v>1885</v>
      </c>
      <c r="H372" s="154"/>
      <c r="K372" s="91">
        <f t="shared" si="24"/>
        <v>2.250070962582841</v>
      </c>
    </row>
    <row r="373" spans="1:11" s="2" customFormat="1" x14ac:dyDescent="0.25">
      <c r="A373" s="44">
        <v>401</v>
      </c>
      <c r="B373" s="33" t="s">
        <v>175</v>
      </c>
      <c r="C373" s="33">
        <f>10.764*(65.229+(3*0.6+2.75*0.6)+4.17)</f>
        <v>784.14663599999994</v>
      </c>
      <c r="D373" s="33">
        <v>0</v>
      </c>
      <c r="E373" s="33">
        <f t="shared" si="19"/>
        <v>784.14663599999994</v>
      </c>
      <c r="F373" s="33">
        <f>10.764*4.5</f>
        <v>48.437999999999995</v>
      </c>
      <c r="G373" s="33">
        <v>1885</v>
      </c>
      <c r="H373" s="161" t="s">
        <v>177</v>
      </c>
      <c r="K373" s="91">
        <f t="shared" si="24"/>
        <v>2.264034091544298</v>
      </c>
    </row>
    <row r="374" spans="1:11" s="2" customFormat="1" x14ac:dyDescent="0.25">
      <c r="A374" s="39">
        <v>402</v>
      </c>
      <c r="B374" s="23" t="s">
        <v>192</v>
      </c>
      <c r="C374" s="23">
        <f>10.764*(43.471+(2.8*0.6+1.7*0.6)+6.428)</f>
        <v>566.17563599999994</v>
      </c>
      <c r="D374" s="23">
        <v>0</v>
      </c>
      <c r="E374" s="23">
        <f t="shared" si="19"/>
        <v>566.17563599999994</v>
      </c>
      <c r="F374" s="23">
        <f t="shared" ref="F374:F380" si="28">10.764*4.5</f>
        <v>48.437999999999995</v>
      </c>
      <c r="G374" s="23">
        <v>1230</v>
      </c>
      <c r="H374" s="161"/>
      <c r="K374" s="91">
        <f t="shared" si="24"/>
        <v>2.0012572581451806</v>
      </c>
    </row>
    <row r="375" spans="1:11" s="2" customFormat="1" x14ac:dyDescent="0.25">
      <c r="A375" s="39">
        <v>403</v>
      </c>
      <c r="B375" s="23" t="s">
        <v>192</v>
      </c>
      <c r="C375" s="23">
        <f t="shared" ref="C375:C376" si="29">10.764*(43.471+(2.8*0.6+1.7*0.6)+6.428)</f>
        <v>566.17563599999994</v>
      </c>
      <c r="D375" s="23">
        <v>0</v>
      </c>
      <c r="E375" s="23">
        <f t="shared" si="19"/>
        <v>566.17563599999994</v>
      </c>
      <c r="F375" s="23">
        <f t="shared" si="28"/>
        <v>48.437999999999995</v>
      </c>
      <c r="G375" s="23">
        <v>1230</v>
      </c>
      <c r="H375" s="161"/>
      <c r="K375" s="91">
        <f t="shared" si="24"/>
        <v>2.0012572581451806</v>
      </c>
    </row>
    <row r="376" spans="1:11" s="2" customFormat="1" x14ac:dyDescent="0.25">
      <c r="A376" s="39">
        <v>404</v>
      </c>
      <c r="B376" s="23" t="s">
        <v>192</v>
      </c>
      <c r="C376" s="23">
        <f t="shared" si="29"/>
        <v>566.17563599999994</v>
      </c>
      <c r="D376" s="23">
        <v>0</v>
      </c>
      <c r="E376" s="23">
        <f t="shared" si="19"/>
        <v>566.17563599999994</v>
      </c>
      <c r="F376" s="23">
        <f t="shared" si="28"/>
        <v>48.437999999999995</v>
      </c>
      <c r="G376" s="23">
        <v>1230</v>
      </c>
      <c r="H376" s="161"/>
      <c r="K376" s="91">
        <f t="shared" si="24"/>
        <v>2.0012572581451806</v>
      </c>
    </row>
    <row r="377" spans="1:11" s="2" customFormat="1" x14ac:dyDescent="0.25">
      <c r="A377" s="39">
        <v>405</v>
      </c>
      <c r="B377" s="23" t="s">
        <v>192</v>
      </c>
      <c r="C377" s="23">
        <f>10.764*(53.05+(3*0.6+1.85*0.6)+5.94)</f>
        <v>666.2915999999999</v>
      </c>
      <c r="D377" s="23">
        <v>0</v>
      </c>
      <c r="E377" s="23">
        <f t="shared" si="19"/>
        <v>666.2915999999999</v>
      </c>
      <c r="F377" s="23">
        <f t="shared" si="28"/>
        <v>48.437999999999995</v>
      </c>
      <c r="G377" s="23">
        <v>1230</v>
      </c>
      <c r="H377" s="161"/>
      <c r="K377" s="91">
        <f t="shared" si="24"/>
        <v>1.7209305449221639</v>
      </c>
    </row>
    <row r="378" spans="1:11" s="2" customFormat="1" x14ac:dyDescent="0.25">
      <c r="A378" s="39">
        <v>406</v>
      </c>
      <c r="B378" s="23" t="s">
        <v>192</v>
      </c>
      <c r="C378" s="23">
        <f t="shared" ref="C378:C379" si="30">10.764*(53.05+(3*0.6+1.85*0.6)+5.94)</f>
        <v>666.2915999999999</v>
      </c>
      <c r="D378" s="23">
        <v>0</v>
      </c>
      <c r="E378" s="23">
        <f t="shared" si="19"/>
        <v>666.2915999999999</v>
      </c>
      <c r="F378" s="23">
        <f t="shared" si="28"/>
        <v>48.437999999999995</v>
      </c>
      <c r="G378" s="23">
        <v>1230</v>
      </c>
      <c r="H378" s="161"/>
      <c r="K378" s="91">
        <f t="shared" si="24"/>
        <v>1.7209305449221639</v>
      </c>
    </row>
    <row r="379" spans="1:11" s="2" customFormat="1" x14ac:dyDescent="0.25">
      <c r="A379" s="39">
        <v>407</v>
      </c>
      <c r="B379" s="23" t="s">
        <v>192</v>
      </c>
      <c r="C379" s="23">
        <f t="shared" si="30"/>
        <v>666.2915999999999</v>
      </c>
      <c r="D379" s="23">
        <v>0</v>
      </c>
      <c r="E379" s="23">
        <f t="shared" si="19"/>
        <v>666.2915999999999</v>
      </c>
      <c r="F379" s="23">
        <f t="shared" si="28"/>
        <v>48.437999999999995</v>
      </c>
      <c r="G379" s="23">
        <v>1230</v>
      </c>
      <c r="H379" s="161"/>
      <c r="J379" s="2">
        <f>16700000/G379</f>
        <v>13577.235772357724</v>
      </c>
      <c r="K379" s="91">
        <f t="shared" si="24"/>
        <v>1.7209305449221639</v>
      </c>
    </row>
    <row r="380" spans="1:11" s="2" customFormat="1" ht="16.5" thickBot="1" x14ac:dyDescent="0.3">
      <c r="A380" s="43">
        <v>408</v>
      </c>
      <c r="B380" s="32" t="s">
        <v>175</v>
      </c>
      <c r="C380" s="32">
        <f>10.764*(65.229+(3*0.6+2.75*0.6)+4.17)</f>
        <v>784.14663599999994</v>
      </c>
      <c r="D380" s="32">
        <v>0</v>
      </c>
      <c r="E380" s="32">
        <f t="shared" si="19"/>
        <v>784.14663599999994</v>
      </c>
      <c r="F380" s="32">
        <f t="shared" si="28"/>
        <v>48.437999999999995</v>
      </c>
      <c r="G380" s="32">
        <v>1885</v>
      </c>
      <c r="H380" s="161"/>
      <c r="K380" s="91">
        <f>G380/(E380+F380)</f>
        <v>2.264034091544298</v>
      </c>
    </row>
    <row r="381" spans="1:11" s="2" customFormat="1" x14ac:dyDescent="0.25">
      <c r="A381" s="38">
        <v>501</v>
      </c>
      <c r="B381" s="42" t="s">
        <v>175</v>
      </c>
      <c r="C381" s="42">
        <f>10.764*(65.229+(3.8*0.6+2.75*0.6)+4.17)</f>
        <v>789.31335599999989</v>
      </c>
      <c r="D381" s="42">
        <v>0</v>
      </c>
      <c r="E381" s="42">
        <f t="shared" si="19"/>
        <v>789.31335599999989</v>
      </c>
      <c r="F381" s="42">
        <f>10.764*4.5</f>
        <v>48.437999999999995</v>
      </c>
      <c r="G381" s="42">
        <v>1885</v>
      </c>
      <c r="H381" s="153" t="s">
        <v>178</v>
      </c>
      <c r="K381" s="91">
        <f t="shared" si="24"/>
        <v>2.250070962582841</v>
      </c>
    </row>
    <row r="382" spans="1:11" s="2" customFormat="1" x14ac:dyDescent="0.25">
      <c r="A382" s="39">
        <v>502</v>
      </c>
      <c r="B382" s="23" t="s">
        <v>192</v>
      </c>
      <c r="C382" s="23">
        <f>10.764*(43.471+(3.35*0.6+1.7*0.6)+6.428)</f>
        <v>569.72775599999989</v>
      </c>
      <c r="D382" s="23">
        <v>0</v>
      </c>
      <c r="E382" s="23">
        <f t="shared" si="19"/>
        <v>569.72775599999989</v>
      </c>
      <c r="F382" s="23">
        <f>10.764*4.2</f>
        <v>45.208799999999997</v>
      </c>
      <c r="G382" s="23">
        <v>1230</v>
      </c>
      <c r="H382" s="161"/>
      <c r="K382" s="91">
        <f t="shared" si="24"/>
        <v>2.0002063432377897</v>
      </c>
    </row>
    <row r="383" spans="1:11" s="2" customFormat="1" x14ac:dyDescent="0.25">
      <c r="A383" s="39">
        <v>503</v>
      </c>
      <c r="B383" s="23" t="s">
        <v>192</v>
      </c>
      <c r="C383" s="23">
        <f t="shared" ref="C383:C384" si="31">10.764*(43.471+(3.35*0.6+1.7*0.6)+6.428)</f>
        <v>569.72775599999989</v>
      </c>
      <c r="D383" s="23">
        <v>0</v>
      </c>
      <c r="E383" s="23">
        <f t="shared" si="19"/>
        <v>569.72775599999989</v>
      </c>
      <c r="F383" s="23">
        <f>10.764*4.35</f>
        <v>46.823399999999992</v>
      </c>
      <c r="G383" s="23">
        <v>1230</v>
      </c>
      <c r="H383" s="161"/>
      <c r="K383" s="91">
        <f t="shared" si="24"/>
        <v>1.99496828126943</v>
      </c>
    </row>
    <row r="384" spans="1:11" s="2" customFormat="1" x14ac:dyDescent="0.25">
      <c r="A384" s="39">
        <v>504</v>
      </c>
      <c r="B384" s="23" t="s">
        <v>192</v>
      </c>
      <c r="C384" s="23">
        <f t="shared" si="31"/>
        <v>569.72775599999989</v>
      </c>
      <c r="D384" s="23">
        <v>0</v>
      </c>
      <c r="E384" s="23">
        <f t="shared" si="19"/>
        <v>569.72775599999989</v>
      </c>
      <c r="F384" s="23">
        <f>10.764*4.35</f>
        <v>46.823399999999992</v>
      </c>
      <c r="G384" s="23">
        <v>1230</v>
      </c>
      <c r="H384" s="161"/>
      <c r="K384" s="91">
        <f t="shared" si="24"/>
        <v>1.99496828126943</v>
      </c>
    </row>
    <row r="385" spans="1:11" s="2" customFormat="1" x14ac:dyDescent="0.25">
      <c r="A385" s="39">
        <v>505</v>
      </c>
      <c r="B385" s="23" t="s">
        <v>192</v>
      </c>
      <c r="C385" s="23">
        <f>10.764*(53.05+(3.05*0.6+1.85*0.6)+5.94)</f>
        <v>666.61451999999986</v>
      </c>
      <c r="D385" s="23">
        <v>0</v>
      </c>
      <c r="E385" s="23">
        <f t="shared" si="19"/>
        <v>666.61451999999986</v>
      </c>
      <c r="F385" s="23">
        <f>10.764*4.5</f>
        <v>48.437999999999995</v>
      </c>
      <c r="G385" s="23">
        <v>1230</v>
      </c>
      <c r="H385" s="161"/>
      <c r="K385" s="91">
        <f t="shared" si="24"/>
        <v>1.7201533671960212</v>
      </c>
    </row>
    <row r="386" spans="1:11" s="2" customFormat="1" x14ac:dyDescent="0.25">
      <c r="A386" s="39">
        <v>506</v>
      </c>
      <c r="B386" s="23" t="s">
        <v>192</v>
      </c>
      <c r="C386" s="23">
        <f t="shared" ref="C386:C387" si="32">10.764*(53.05+(3.05*0.6+1.85*0.6)+5.94)</f>
        <v>666.61451999999986</v>
      </c>
      <c r="D386" s="23">
        <v>0</v>
      </c>
      <c r="E386" s="23">
        <f t="shared" si="19"/>
        <v>666.61451999999986</v>
      </c>
      <c r="F386" s="23">
        <f t="shared" ref="F386:F387" si="33">10.764*4.5</f>
        <v>48.437999999999995</v>
      </c>
      <c r="G386" s="23">
        <v>1230</v>
      </c>
      <c r="H386" s="161"/>
      <c r="K386" s="91">
        <f t="shared" si="24"/>
        <v>1.7201533671960212</v>
      </c>
    </row>
    <row r="387" spans="1:11" s="2" customFormat="1" x14ac:dyDescent="0.25">
      <c r="A387" s="39">
        <v>507</v>
      </c>
      <c r="B387" s="23" t="s">
        <v>192</v>
      </c>
      <c r="C387" s="23">
        <f t="shared" si="32"/>
        <v>666.61451999999986</v>
      </c>
      <c r="D387" s="23">
        <v>0</v>
      </c>
      <c r="E387" s="23">
        <f t="shared" si="19"/>
        <v>666.61451999999986</v>
      </c>
      <c r="F387" s="23">
        <f t="shared" si="33"/>
        <v>48.437999999999995</v>
      </c>
      <c r="G387" s="23">
        <v>1230</v>
      </c>
      <c r="H387" s="161"/>
      <c r="K387" s="91">
        <f t="shared" si="24"/>
        <v>1.7201533671960212</v>
      </c>
    </row>
    <row r="388" spans="1:11" s="2" customFormat="1" ht="16.5" thickBot="1" x14ac:dyDescent="0.3">
      <c r="A388" s="43">
        <v>508</v>
      </c>
      <c r="B388" s="32" t="s">
        <v>175</v>
      </c>
      <c r="C388" s="32">
        <f>10.764*(65.229+(3.8*0.6+2.75*0.6)+4.17)</f>
        <v>789.31335599999989</v>
      </c>
      <c r="D388" s="32">
        <v>0</v>
      </c>
      <c r="E388" s="32">
        <f t="shared" si="19"/>
        <v>789.31335599999989</v>
      </c>
      <c r="F388" s="32">
        <f>10.764*4.5</f>
        <v>48.437999999999995</v>
      </c>
      <c r="G388" s="32">
        <v>1885</v>
      </c>
      <c r="H388" s="161"/>
      <c r="K388" s="91">
        <f t="shared" si="24"/>
        <v>2.250070962582841</v>
      </c>
    </row>
    <row r="389" spans="1:11" s="2" customFormat="1" x14ac:dyDescent="0.25">
      <c r="A389" s="38">
        <v>601</v>
      </c>
      <c r="B389" s="42" t="s">
        <v>175</v>
      </c>
      <c r="C389" s="42">
        <f>10.764*(65.229+(3*0.6+2.75*0.6)+4.17)</f>
        <v>784.14663599999994</v>
      </c>
      <c r="D389" s="42">
        <v>0</v>
      </c>
      <c r="E389" s="42">
        <f t="shared" si="19"/>
        <v>784.14663599999994</v>
      </c>
      <c r="F389" s="42">
        <f>10.764*4.5</f>
        <v>48.437999999999995</v>
      </c>
      <c r="G389" s="42">
        <v>1885</v>
      </c>
      <c r="H389" s="153" t="s">
        <v>179</v>
      </c>
      <c r="K389" s="91">
        <f t="shared" si="24"/>
        <v>2.264034091544298</v>
      </c>
    </row>
    <row r="390" spans="1:11" s="2" customFormat="1" x14ac:dyDescent="0.25">
      <c r="A390" s="39">
        <v>602</v>
      </c>
      <c r="B390" s="23" t="s">
        <v>192</v>
      </c>
      <c r="C390" s="23">
        <f>10.764*(43.471+(2.8*0.6+1.7*0.6)+6.428)</f>
        <v>566.17563599999994</v>
      </c>
      <c r="D390" s="23">
        <v>0</v>
      </c>
      <c r="E390" s="23">
        <f t="shared" si="19"/>
        <v>566.17563599999994</v>
      </c>
      <c r="F390" s="23">
        <f t="shared" ref="F390:F396" si="34">10.764*4.5</f>
        <v>48.437999999999995</v>
      </c>
      <c r="G390" s="23">
        <v>1230</v>
      </c>
      <c r="H390" s="161"/>
      <c r="K390" s="91">
        <f t="shared" si="24"/>
        <v>2.0012572581451806</v>
      </c>
    </row>
    <row r="391" spans="1:11" s="2" customFormat="1" x14ac:dyDescent="0.25">
      <c r="A391" s="39">
        <v>603</v>
      </c>
      <c r="B391" s="23" t="s">
        <v>192</v>
      </c>
      <c r="C391" s="23">
        <f t="shared" ref="C391:C392" si="35">10.764*(43.471+(2.8*0.6+1.7*0.6)+6.428)</f>
        <v>566.17563599999994</v>
      </c>
      <c r="D391" s="23">
        <v>0</v>
      </c>
      <c r="E391" s="23">
        <f t="shared" si="19"/>
        <v>566.17563599999994</v>
      </c>
      <c r="F391" s="23">
        <f t="shared" si="34"/>
        <v>48.437999999999995</v>
      </c>
      <c r="G391" s="23">
        <v>1230</v>
      </c>
      <c r="H391" s="161"/>
      <c r="K391" s="91">
        <f t="shared" si="24"/>
        <v>2.0012572581451806</v>
      </c>
    </row>
    <row r="392" spans="1:11" s="2" customFormat="1" x14ac:dyDescent="0.25">
      <c r="A392" s="39">
        <v>604</v>
      </c>
      <c r="B392" s="23" t="s">
        <v>192</v>
      </c>
      <c r="C392" s="23">
        <f t="shared" si="35"/>
        <v>566.17563599999994</v>
      </c>
      <c r="D392" s="23">
        <v>0</v>
      </c>
      <c r="E392" s="23">
        <f t="shared" si="19"/>
        <v>566.17563599999994</v>
      </c>
      <c r="F392" s="23">
        <f t="shared" si="34"/>
        <v>48.437999999999995</v>
      </c>
      <c r="G392" s="23">
        <v>1230</v>
      </c>
      <c r="H392" s="161"/>
      <c r="K392" s="91">
        <f t="shared" si="24"/>
        <v>2.0012572581451806</v>
      </c>
    </row>
    <row r="393" spans="1:11" s="2" customFormat="1" x14ac:dyDescent="0.25">
      <c r="A393" s="39">
        <v>605</v>
      </c>
      <c r="B393" s="23" t="s">
        <v>192</v>
      </c>
      <c r="C393" s="23">
        <f>10.764*(53.05+(3*0.6+1.85*0.6)+5.94)</f>
        <v>666.2915999999999</v>
      </c>
      <c r="D393" s="23">
        <v>0</v>
      </c>
      <c r="E393" s="23">
        <f t="shared" si="19"/>
        <v>666.2915999999999</v>
      </c>
      <c r="F393" s="23">
        <f t="shared" si="34"/>
        <v>48.437999999999995</v>
      </c>
      <c r="G393" s="23">
        <v>1230</v>
      </c>
      <c r="H393" s="161"/>
      <c r="K393" s="91">
        <f t="shared" si="24"/>
        <v>1.7209305449221639</v>
      </c>
    </row>
    <row r="394" spans="1:11" s="2" customFormat="1" x14ac:dyDescent="0.25">
      <c r="A394" s="39">
        <v>606</v>
      </c>
      <c r="B394" s="23" t="s">
        <v>192</v>
      </c>
      <c r="C394" s="23">
        <f t="shared" ref="C394:C395" si="36">10.764*(53.05+(3*0.6+1.85*0.6)+5.94)</f>
        <v>666.2915999999999</v>
      </c>
      <c r="D394" s="23">
        <v>0</v>
      </c>
      <c r="E394" s="23">
        <f t="shared" si="19"/>
        <v>666.2915999999999</v>
      </c>
      <c r="F394" s="23">
        <f t="shared" si="34"/>
        <v>48.437999999999995</v>
      </c>
      <c r="G394" s="23">
        <v>1230</v>
      </c>
      <c r="H394" s="161"/>
      <c r="K394" s="91">
        <f t="shared" si="24"/>
        <v>1.7209305449221639</v>
      </c>
    </row>
    <row r="395" spans="1:11" s="2" customFormat="1" x14ac:dyDescent="0.25">
      <c r="A395" s="39">
        <v>607</v>
      </c>
      <c r="B395" s="23" t="s">
        <v>192</v>
      </c>
      <c r="C395" s="23">
        <f t="shared" si="36"/>
        <v>666.2915999999999</v>
      </c>
      <c r="D395" s="23">
        <v>0</v>
      </c>
      <c r="E395" s="23">
        <f t="shared" si="19"/>
        <v>666.2915999999999</v>
      </c>
      <c r="F395" s="23">
        <f t="shared" si="34"/>
        <v>48.437999999999995</v>
      </c>
      <c r="G395" s="23">
        <v>1230</v>
      </c>
      <c r="H395" s="161"/>
      <c r="K395" s="91">
        <f t="shared" si="24"/>
        <v>1.7209305449221639</v>
      </c>
    </row>
    <row r="396" spans="1:11" s="2" customFormat="1" ht="16.5" thickBot="1" x14ac:dyDescent="0.3">
      <c r="A396" s="40">
        <v>608</v>
      </c>
      <c r="B396" s="41" t="s">
        <v>175</v>
      </c>
      <c r="C396" s="41">
        <f>10.764*(65.229+(3*0.6+2.75*0.6)+4.17)</f>
        <v>784.14663599999994</v>
      </c>
      <c r="D396" s="41">
        <v>0</v>
      </c>
      <c r="E396" s="41">
        <f t="shared" si="19"/>
        <v>784.14663599999994</v>
      </c>
      <c r="F396" s="41">
        <f t="shared" si="34"/>
        <v>48.437999999999995</v>
      </c>
      <c r="G396" s="41">
        <v>1885</v>
      </c>
      <c r="H396" s="154"/>
      <c r="K396" s="91">
        <f t="shared" si="24"/>
        <v>2.264034091544298</v>
      </c>
    </row>
    <row r="397" spans="1:11" s="2" customFormat="1" x14ac:dyDescent="0.25">
      <c r="A397" s="44">
        <v>701</v>
      </c>
      <c r="B397" s="33" t="s">
        <v>175</v>
      </c>
      <c r="C397" s="33">
        <f>10.764*(65.229+(3.8*0.6+2.75*0.6)+4.17)</f>
        <v>789.31335599999989</v>
      </c>
      <c r="D397" s="33">
        <v>0</v>
      </c>
      <c r="E397" s="33">
        <f t="shared" si="19"/>
        <v>789.31335599999989</v>
      </c>
      <c r="F397" s="33">
        <f>10.764*4.5</f>
        <v>48.437999999999995</v>
      </c>
      <c r="G397" s="33">
        <v>1885</v>
      </c>
      <c r="H397" s="161" t="s">
        <v>180</v>
      </c>
      <c r="K397" s="91">
        <f t="shared" si="24"/>
        <v>2.250070962582841</v>
      </c>
    </row>
    <row r="398" spans="1:11" s="2" customFormat="1" x14ac:dyDescent="0.25">
      <c r="A398" s="39">
        <v>702</v>
      </c>
      <c r="B398" s="23" t="s">
        <v>192</v>
      </c>
      <c r="C398" s="23">
        <f>10.764*(43.471+(3.35*0.6+1.7*0.6)+6.428)</f>
        <v>569.72775599999989</v>
      </c>
      <c r="D398" s="23">
        <v>0</v>
      </c>
      <c r="E398" s="23">
        <f t="shared" si="19"/>
        <v>569.72775599999989</v>
      </c>
      <c r="F398" s="23">
        <f>10.764*4.2</f>
        <v>45.208799999999997</v>
      </c>
      <c r="G398" s="23">
        <v>1230</v>
      </c>
      <c r="H398" s="161"/>
      <c r="K398" s="91">
        <f t="shared" si="24"/>
        <v>2.0002063432377897</v>
      </c>
    </row>
    <row r="399" spans="1:11" s="2" customFormat="1" x14ac:dyDescent="0.25">
      <c r="A399" s="39">
        <v>703</v>
      </c>
      <c r="B399" s="23" t="s">
        <v>192</v>
      </c>
      <c r="C399" s="23">
        <f t="shared" ref="C399:C400" si="37">10.764*(43.471+(3.35*0.6+1.7*0.6)+6.428)</f>
        <v>569.72775599999989</v>
      </c>
      <c r="D399" s="23">
        <v>0</v>
      </c>
      <c r="E399" s="23">
        <f t="shared" si="19"/>
        <v>569.72775599999989</v>
      </c>
      <c r="F399" s="23">
        <f>10.764*4.35</f>
        <v>46.823399999999992</v>
      </c>
      <c r="G399" s="23">
        <v>1230</v>
      </c>
      <c r="H399" s="161"/>
      <c r="K399" s="91">
        <f t="shared" si="24"/>
        <v>1.99496828126943</v>
      </c>
    </row>
    <row r="400" spans="1:11" s="2" customFormat="1" x14ac:dyDescent="0.25">
      <c r="A400" s="39">
        <v>704</v>
      </c>
      <c r="B400" s="23" t="s">
        <v>192</v>
      </c>
      <c r="C400" s="23">
        <f t="shared" si="37"/>
        <v>569.72775599999989</v>
      </c>
      <c r="D400" s="23">
        <v>0</v>
      </c>
      <c r="E400" s="23">
        <f t="shared" si="19"/>
        <v>569.72775599999989</v>
      </c>
      <c r="F400" s="23">
        <f>10.764*4.35</f>
        <v>46.823399999999992</v>
      </c>
      <c r="G400" s="23">
        <v>1230</v>
      </c>
      <c r="H400" s="161"/>
      <c r="K400" s="91">
        <f t="shared" si="24"/>
        <v>1.99496828126943</v>
      </c>
    </row>
    <row r="401" spans="1:11" s="2" customFormat="1" x14ac:dyDescent="0.25">
      <c r="A401" s="39">
        <v>705</v>
      </c>
      <c r="B401" s="23" t="s">
        <v>192</v>
      </c>
      <c r="C401" s="23">
        <f>10.764*(53.05+(3.05*0.6+1.85*0.6)+5.94)</f>
        <v>666.61451999999986</v>
      </c>
      <c r="D401" s="23">
        <v>0</v>
      </c>
      <c r="E401" s="23">
        <f t="shared" si="19"/>
        <v>666.61451999999986</v>
      </c>
      <c r="F401" s="23">
        <f>10.764*4.5</f>
        <v>48.437999999999995</v>
      </c>
      <c r="G401" s="23">
        <v>1230</v>
      </c>
      <c r="H401" s="161"/>
      <c r="K401" s="91">
        <f t="shared" si="24"/>
        <v>1.7201533671960212</v>
      </c>
    </row>
    <row r="402" spans="1:11" s="2" customFormat="1" x14ac:dyDescent="0.25">
      <c r="A402" s="39">
        <v>707</v>
      </c>
      <c r="B402" s="23" t="s">
        <v>192</v>
      </c>
      <c r="C402" s="23">
        <f t="shared" ref="C402:C403" si="38">10.764*(53.05+(3.05*0.6+1.85*0.6)+5.94)</f>
        <v>666.61451999999986</v>
      </c>
      <c r="D402" s="23">
        <v>0</v>
      </c>
      <c r="E402" s="23">
        <f t="shared" si="19"/>
        <v>666.61451999999986</v>
      </c>
      <c r="F402" s="23">
        <f t="shared" ref="F402:F403" si="39">10.764*4.5</f>
        <v>48.437999999999995</v>
      </c>
      <c r="G402" s="23">
        <v>1230</v>
      </c>
      <c r="H402" s="161"/>
      <c r="K402" s="91">
        <f t="shared" si="24"/>
        <v>1.7201533671960212</v>
      </c>
    </row>
    <row r="403" spans="1:11" s="2" customFormat="1" x14ac:dyDescent="0.25">
      <c r="A403" s="39">
        <v>707</v>
      </c>
      <c r="B403" s="23" t="s">
        <v>192</v>
      </c>
      <c r="C403" s="23">
        <f t="shared" si="38"/>
        <v>666.61451999999986</v>
      </c>
      <c r="D403" s="23">
        <v>0</v>
      </c>
      <c r="E403" s="23">
        <f t="shared" si="19"/>
        <v>666.61451999999986</v>
      </c>
      <c r="F403" s="23">
        <f t="shared" si="39"/>
        <v>48.437999999999995</v>
      </c>
      <c r="G403" s="23">
        <v>1230</v>
      </c>
      <c r="H403" s="161"/>
      <c r="K403" s="91">
        <f t="shared" si="24"/>
        <v>1.7201533671960212</v>
      </c>
    </row>
    <row r="404" spans="1:11" s="2" customFormat="1" ht="16.5" thickBot="1" x14ac:dyDescent="0.3">
      <c r="A404" s="40">
        <v>708</v>
      </c>
      <c r="B404" s="41" t="s">
        <v>175</v>
      </c>
      <c r="C404" s="41">
        <f>10.764*(65.229+(3.8*0.6+2.75*0.6)+4.17)</f>
        <v>789.31335599999989</v>
      </c>
      <c r="D404" s="41">
        <v>0</v>
      </c>
      <c r="E404" s="41">
        <f t="shared" si="19"/>
        <v>789.31335599999989</v>
      </c>
      <c r="F404" s="41">
        <f>10.764*4.5</f>
        <v>48.437999999999995</v>
      </c>
      <c r="G404" s="41">
        <v>1885</v>
      </c>
      <c r="H404" s="154"/>
      <c r="K404" s="91">
        <f t="shared" si="24"/>
        <v>2.250070962582841</v>
      </c>
    </row>
    <row r="405" spans="1:11" s="2" customFormat="1" ht="15.75" customHeight="1" x14ac:dyDescent="0.25">
      <c r="A405" s="44">
        <v>801</v>
      </c>
      <c r="B405" s="229" t="s">
        <v>195</v>
      </c>
      <c r="C405" s="230"/>
      <c r="D405" s="230"/>
      <c r="E405" s="230"/>
      <c r="F405" s="230"/>
      <c r="G405" s="231"/>
      <c r="H405" s="161" t="s">
        <v>181</v>
      </c>
      <c r="K405" s="91" t="e">
        <f t="shared" si="24"/>
        <v>#DIV/0!</v>
      </c>
    </row>
    <row r="406" spans="1:11" s="2" customFormat="1" x14ac:dyDescent="0.25">
      <c r="A406" s="39">
        <v>802</v>
      </c>
      <c r="B406" s="23" t="s">
        <v>192</v>
      </c>
      <c r="C406" s="23">
        <f>10.764*(43.471+2.7+6.428)</f>
        <v>566.17563599999994</v>
      </c>
      <c r="D406" s="23">
        <v>0</v>
      </c>
      <c r="E406" s="23">
        <f t="shared" si="19"/>
        <v>566.17563599999994</v>
      </c>
      <c r="F406" s="23">
        <f>10.764*(4.5+22.805)</f>
        <v>293.91101999999995</v>
      </c>
      <c r="G406" s="23">
        <v>1230</v>
      </c>
      <c r="H406" s="161"/>
      <c r="K406" s="91">
        <f t="shared" si="24"/>
        <v>1.4300884584355185</v>
      </c>
    </row>
    <row r="407" spans="1:11" s="2" customFormat="1" x14ac:dyDescent="0.25">
      <c r="A407" s="39">
        <v>803</v>
      </c>
      <c r="B407" s="23" t="s">
        <v>192</v>
      </c>
      <c r="C407" s="23">
        <f>10.764*(43.471+2.73+6.428)</f>
        <v>566.49855599999989</v>
      </c>
      <c r="D407" s="23">
        <v>0</v>
      </c>
      <c r="E407" s="23">
        <f t="shared" si="19"/>
        <v>566.49855599999989</v>
      </c>
      <c r="F407" s="23">
        <f t="shared" ref="F407:F412" si="40">10.764*4.5</f>
        <v>48.437999999999995</v>
      </c>
      <c r="G407" s="23">
        <v>1230</v>
      </c>
      <c r="H407" s="161"/>
      <c r="K407" s="91">
        <f t="shared" si="24"/>
        <v>2.0002063432377897</v>
      </c>
    </row>
    <row r="408" spans="1:11" s="2" customFormat="1" x14ac:dyDescent="0.25">
      <c r="A408" s="39">
        <v>804</v>
      </c>
      <c r="B408" s="23" t="s">
        <v>192</v>
      </c>
      <c r="C408" s="23">
        <f t="shared" ref="C408" si="41">10.764*(43.471+2.7+6.428)</f>
        <v>566.17563599999994</v>
      </c>
      <c r="D408" s="23">
        <v>0</v>
      </c>
      <c r="E408" s="23">
        <f t="shared" si="19"/>
        <v>566.17563599999994</v>
      </c>
      <c r="F408" s="23">
        <f t="shared" si="40"/>
        <v>48.437999999999995</v>
      </c>
      <c r="G408" s="23">
        <v>1230</v>
      </c>
      <c r="H408" s="161"/>
      <c r="K408" s="91">
        <f t="shared" si="24"/>
        <v>2.0012572581451806</v>
      </c>
    </row>
    <row r="409" spans="1:11" s="2" customFormat="1" x14ac:dyDescent="0.25">
      <c r="A409" s="39">
        <v>805</v>
      </c>
      <c r="B409" s="23" t="s">
        <v>192</v>
      </c>
      <c r="C409" s="23">
        <f>10.764*(43.471+2.91+6.94)</f>
        <v>573.94724399999996</v>
      </c>
      <c r="D409" s="23">
        <v>0</v>
      </c>
      <c r="E409" s="23">
        <f t="shared" si="19"/>
        <v>573.94724399999996</v>
      </c>
      <c r="F409" s="23">
        <f t="shared" si="40"/>
        <v>48.437999999999995</v>
      </c>
      <c r="G409" s="23">
        <v>1230</v>
      </c>
      <c r="H409" s="161"/>
      <c r="K409" s="91">
        <f t="shared" si="24"/>
        <v>1.9762679334987578</v>
      </c>
    </row>
    <row r="410" spans="1:11" s="2" customFormat="1" x14ac:dyDescent="0.25">
      <c r="A410" s="39">
        <v>806</v>
      </c>
      <c r="B410" s="23" t="s">
        <v>192</v>
      </c>
      <c r="C410" s="23">
        <f t="shared" ref="C410:C411" si="42">10.764*(43.471+2.91+6.94)</f>
        <v>573.94724399999996</v>
      </c>
      <c r="D410" s="23">
        <v>0</v>
      </c>
      <c r="E410" s="23">
        <f t="shared" si="19"/>
        <v>573.94724399999996</v>
      </c>
      <c r="F410" s="23">
        <f t="shared" si="40"/>
        <v>48.437999999999995</v>
      </c>
      <c r="G410" s="23">
        <v>1230</v>
      </c>
      <c r="H410" s="161"/>
      <c r="K410" s="91">
        <f t="shared" si="24"/>
        <v>1.9762679334987578</v>
      </c>
    </row>
    <row r="411" spans="1:11" s="2" customFormat="1" x14ac:dyDescent="0.25">
      <c r="A411" s="39">
        <v>807</v>
      </c>
      <c r="B411" s="23" t="s">
        <v>192</v>
      </c>
      <c r="C411" s="23">
        <f t="shared" si="42"/>
        <v>573.94724399999996</v>
      </c>
      <c r="D411" s="23">
        <v>0</v>
      </c>
      <c r="E411" s="23">
        <f t="shared" si="19"/>
        <v>573.94724399999996</v>
      </c>
      <c r="F411" s="23">
        <f t="shared" si="40"/>
        <v>48.437999999999995</v>
      </c>
      <c r="G411" s="23">
        <v>1230</v>
      </c>
      <c r="H411" s="161"/>
      <c r="K411" s="91">
        <f t="shared" si="24"/>
        <v>1.9762679334987578</v>
      </c>
    </row>
    <row r="412" spans="1:11" s="2" customFormat="1" ht="16.5" thickBot="1" x14ac:dyDescent="0.3">
      <c r="A412" s="43">
        <v>808</v>
      </c>
      <c r="B412" s="32" t="s">
        <v>175</v>
      </c>
      <c r="C412" s="32">
        <f>10.764*(65.229+3.45+4.17)</f>
        <v>784.14663599999994</v>
      </c>
      <c r="D412" s="32">
        <v>0</v>
      </c>
      <c r="E412" s="32">
        <f t="shared" si="19"/>
        <v>784.14663599999994</v>
      </c>
      <c r="F412" s="32">
        <f t="shared" si="40"/>
        <v>48.437999999999995</v>
      </c>
      <c r="G412" s="32">
        <v>1885</v>
      </c>
      <c r="H412" s="161"/>
      <c r="K412" s="91">
        <f t="shared" si="24"/>
        <v>2.264034091544298</v>
      </c>
    </row>
    <row r="413" spans="1:11" s="2" customFormat="1" x14ac:dyDescent="0.25">
      <c r="A413" s="38">
        <v>901</v>
      </c>
      <c r="B413" s="42" t="s">
        <v>175</v>
      </c>
      <c r="C413" s="42">
        <f>10.764*(65.229+(3.8*0.6+2.75*0.6)+4.17)</f>
        <v>789.31335599999989</v>
      </c>
      <c r="D413" s="42">
        <v>0</v>
      </c>
      <c r="E413" s="42">
        <f t="shared" ref="E413:E428" si="43">C413+D413</f>
        <v>789.31335599999989</v>
      </c>
      <c r="F413" s="42">
        <f>10.764*4.5</f>
        <v>48.437999999999995</v>
      </c>
      <c r="G413" s="42">
        <v>1885</v>
      </c>
      <c r="H413" s="153" t="s">
        <v>182</v>
      </c>
      <c r="K413" s="91">
        <f t="shared" si="24"/>
        <v>2.250070962582841</v>
      </c>
    </row>
    <row r="414" spans="1:11" s="2" customFormat="1" x14ac:dyDescent="0.25">
      <c r="A414" s="39">
        <v>902</v>
      </c>
      <c r="B414" s="23" t="s">
        <v>192</v>
      </c>
      <c r="C414" s="23">
        <f>10.764*(43.471+(3.35*0.6+1.7*0.6)+6.428)</f>
        <v>569.72775599999989</v>
      </c>
      <c r="D414" s="23">
        <v>0</v>
      </c>
      <c r="E414" s="23">
        <f t="shared" si="43"/>
        <v>569.72775599999989</v>
      </c>
      <c r="F414" s="23">
        <f>10.764*4.2</f>
        <v>45.208799999999997</v>
      </c>
      <c r="G414" s="23">
        <v>1230</v>
      </c>
      <c r="H414" s="161"/>
      <c r="K414" s="91">
        <f t="shared" si="24"/>
        <v>2.0002063432377897</v>
      </c>
    </row>
    <row r="415" spans="1:11" s="2" customFormat="1" x14ac:dyDescent="0.25">
      <c r="A415" s="39">
        <v>903</v>
      </c>
      <c r="B415" s="23" t="s">
        <v>192</v>
      </c>
      <c r="C415" s="23">
        <f t="shared" ref="C415:C416" si="44">10.764*(43.471+(3.35*0.6+1.7*0.6)+6.428)</f>
        <v>569.72775599999989</v>
      </c>
      <c r="D415" s="23">
        <v>0</v>
      </c>
      <c r="E415" s="23">
        <f t="shared" si="43"/>
        <v>569.72775599999989</v>
      </c>
      <c r="F415" s="23">
        <f>10.764*4.35</f>
        <v>46.823399999999992</v>
      </c>
      <c r="G415" s="23">
        <v>1230</v>
      </c>
      <c r="H415" s="161"/>
      <c r="K415" s="91">
        <f t="shared" si="24"/>
        <v>1.99496828126943</v>
      </c>
    </row>
    <row r="416" spans="1:11" s="2" customFormat="1" x14ac:dyDescent="0.25">
      <c r="A416" s="39">
        <v>904</v>
      </c>
      <c r="B416" s="23" t="s">
        <v>192</v>
      </c>
      <c r="C416" s="23">
        <f t="shared" si="44"/>
        <v>569.72775599999989</v>
      </c>
      <c r="D416" s="23">
        <v>0</v>
      </c>
      <c r="E416" s="23">
        <f t="shared" si="43"/>
        <v>569.72775599999989</v>
      </c>
      <c r="F416" s="23">
        <f>10.764*4.35</f>
        <v>46.823399999999992</v>
      </c>
      <c r="G416" s="23">
        <v>1230</v>
      </c>
      <c r="H416" s="161"/>
      <c r="K416" s="91">
        <f t="shared" si="24"/>
        <v>1.99496828126943</v>
      </c>
    </row>
    <row r="417" spans="1:11" s="2" customFormat="1" x14ac:dyDescent="0.25">
      <c r="A417" s="39">
        <v>905</v>
      </c>
      <c r="B417" s="23" t="s">
        <v>192</v>
      </c>
      <c r="C417" s="23">
        <f>10.764*(53.05+(3.05*0.6+1.85*0.6)+5.94)</f>
        <v>666.61451999999986</v>
      </c>
      <c r="D417" s="23">
        <v>0</v>
      </c>
      <c r="E417" s="23">
        <f t="shared" si="43"/>
        <v>666.61451999999986</v>
      </c>
      <c r="F417" s="23">
        <f>10.764*4.5</f>
        <v>48.437999999999995</v>
      </c>
      <c r="G417" s="23">
        <v>1230</v>
      </c>
      <c r="H417" s="161"/>
      <c r="K417" s="91">
        <f t="shared" si="24"/>
        <v>1.7201533671960212</v>
      </c>
    </row>
    <row r="418" spans="1:11" s="2" customFormat="1" x14ac:dyDescent="0.25">
      <c r="A418" s="39">
        <v>906</v>
      </c>
      <c r="B418" s="23" t="s">
        <v>192</v>
      </c>
      <c r="C418" s="23">
        <f t="shared" ref="C418:C419" si="45">10.764*(53.05+(3.05*0.6+1.85*0.6)+5.94)</f>
        <v>666.61451999999986</v>
      </c>
      <c r="D418" s="23">
        <v>0</v>
      </c>
      <c r="E418" s="23">
        <f t="shared" si="43"/>
        <v>666.61451999999986</v>
      </c>
      <c r="F418" s="23">
        <f t="shared" ref="F418:F419" si="46">10.764*4.5</f>
        <v>48.437999999999995</v>
      </c>
      <c r="G418" s="23">
        <v>1230</v>
      </c>
      <c r="H418" s="161"/>
      <c r="K418" s="91">
        <f t="shared" si="24"/>
        <v>1.7201533671960212</v>
      </c>
    </row>
    <row r="419" spans="1:11" s="2" customFormat="1" x14ac:dyDescent="0.25">
      <c r="A419" s="39">
        <v>907</v>
      </c>
      <c r="B419" s="23" t="s">
        <v>192</v>
      </c>
      <c r="C419" s="23">
        <f t="shared" si="45"/>
        <v>666.61451999999986</v>
      </c>
      <c r="D419" s="23">
        <v>0</v>
      </c>
      <c r="E419" s="23">
        <f t="shared" si="43"/>
        <v>666.61451999999986</v>
      </c>
      <c r="F419" s="23">
        <f t="shared" si="46"/>
        <v>48.437999999999995</v>
      </c>
      <c r="G419" s="23">
        <v>1230</v>
      </c>
      <c r="H419" s="161"/>
      <c r="K419" s="91">
        <f t="shared" si="24"/>
        <v>1.7201533671960212</v>
      </c>
    </row>
    <row r="420" spans="1:11" s="2" customFormat="1" ht="16.5" thickBot="1" x14ac:dyDescent="0.3">
      <c r="A420" s="40">
        <v>908</v>
      </c>
      <c r="B420" s="41" t="s">
        <v>175</v>
      </c>
      <c r="C420" s="41">
        <f>10.764*(65.229+(3.8*0.6+2.75*0.6)+4.17)</f>
        <v>789.31335599999989</v>
      </c>
      <c r="D420" s="41">
        <v>0</v>
      </c>
      <c r="E420" s="41">
        <f t="shared" si="43"/>
        <v>789.31335599999989</v>
      </c>
      <c r="F420" s="41">
        <f>10.764*4.5</f>
        <v>48.437999999999995</v>
      </c>
      <c r="G420" s="41">
        <v>1885</v>
      </c>
      <c r="H420" s="154"/>
      <c r="K420" s="91">
        <f t="shared" si="24"/>
        <v>2.250070962582841</v>
      </c>
    </row>
    <row r="421" spans="1:11" s="2" customFormat="1" x14ac:dyDescent="0.25">
      <c r="A421" s="44">
        <v>1001</v>
      </c>
      <c r="B421" s="33" t="s">
        <v>175</v>
      </c>
      <c r="C421" s="33">
        <f>10.764*(65.229+(3*0.6+2.75*0.6)+4.17)</f>
        <v>784.14663599999994</v>
      </c>
      <c r="D421" s="33">
        <v>0</v>
      </c>
      <c r="E421" s="33">
        <f t="shared" si="43"/>
        <v>784.14663599999994</v>
      </c>
      <c r="F421" s="33">
        <f>10.764*4.5</f>
        <v>48.437999999999995</v>
      </c>
      <c r="G421" s="33">
        <v>1885</v>
      </c>
      <c r="H421" s="161" t="s">
        <v>183</v>
      </c>
      <c r="K421" s="91">
        <f t="shared" si="24"/>
        <v>2.264034091544298</v>
      </c>
    </row>
    <row r="422" spans="1:11" s="2" customFormat="1" x14ac:dyDescent="0.25">
      <c r="A422" s="39">
        <v>1002</v>
      </c>
      <c r="B422" s="23" t="s">
        <v>192</v>
      </c>
      <c r="C422" s="23">
        <f>10.764*(43.471+(2.8*0.6+1.7*0.6)+6.428)</f>
        <v>566.17563599999994</v>
      </c>
      <c r="D422" s="23">
        <v>0</v>
      </c>
      <c r="E422" s="23">
        <f t="shared" si="43"/>
        <v>566.17563599999994</v>
      </c>
      <c r="F422" s="23">
        <f t="shared" ref="F422:F428" si="47">10.764*4.5</f>
        <v>48.437999999999995</v>
      </c>
      <c r="G422" s="23">
        <v>1230</v>
      </c>
      <c r="H422" s="161"/>
      <c r="K422" s="91">
        <f t="shared" si="24"/>
        <v>2.0012572581451806</v>
      </c>
    </row>
    <row r="423" spans="1:11" s="2" customFormat="1" x14ac:dyDescent="0.25">
      <c r="A423" s="39">
        <v>1003</v>
      </c>
      <c r="B423" s="23" t="s">
        <v>192</v>
      </c>
      <c r="C423" s="23">
        <f t="shared" ref="C423:C424" si="48">10.764*(43.471+(2.8*0.6+1.7*0.6)+6.428)</f>
        <v>566.17563599999994</v>
      </c>
      <c r="D423" s="23">
        <v>0</v>
      </c>
      <c r="E423" s="23">
        <f t="shared" si="43"/>
        <v>566.17563599999994</v>
      </c>
      <c r="F423" s="23">
        <f t="shared" si="47"/>
        <v>48.437999999999995</v>
      </c>
      <c r="G423" s="23">
        <v>1230</v>
      </c>
      <c r="H423" s="161"/>
      <c r="K423" s="91">
        <f t="shared" si="24"/>
        <v>2.0012572581451806</v>
      </c>
    </row>
    <row r="424" spans="1:11" s="2" customFormat="1" x14ac:dyDescent="0.25">
      <c r="A424" s="39">
        <v>1004</v>
      </c>
      <c r="B424" s="23" t="s">
        <v>192</v>
      </c>
      <c r="C424" s="23">
        <f t="shared" si="48"/>
        <v>566.17563599999994</v>
      </c>
      <c r="D424" s="23">
        <v>0</v>
      </c>
      <c r="E424" s="23">
        <f t="shared" si="43"/>
        <v>566.17563599999994</v>
      </c>
      <c r="F424" s="23">
        <f t="shared" si="47"/>
        <v>48.437999999999995</v>
      </c>
      <c r="G424" s="23">
        <v>1230</v>
      </c>
      <c r="H424" s="161"/>
      <c r="K424" s="91">
        <f t="shared" si="24"/>
        <v>2.0012572581451806</v>
      </c>
    </row>
    <row r="425" spans="1:11" s="2" customFormat="1" x14ac:dyDescent="0.25">
      <c r="A425" s="39">
        <v>1005</v>
      </c>
      <c r="B425" s="23" t="s">
        <v>192</v>
      </c>
      <c r="C425" s="23">
        <f>10.764*(53.05+(3*0.6+1.85*0.6)+5.94)</f>
        <v>666.2915999999999</v>
      </c>
      <c r="D425" s="23">
        <v>0</v>
      </c>
      <c r="E425" s="23">
        <f t="shared" si="43"/>
        <v>666.2915999999999</v>
      </c>
      <c r="F425" s="23">
        <f t="shared" si="47"/>
        <v>48.437999999999995</v>
      </c>
      <c r="G425" s="23">
        <v>1230</v>
      </c>
      <c r="H425" s="161"/>
      <c r="K425" s="91">
        <f t="shared" si="24"/>
        <v>1.7209305449221639</v>
      </c>
    </row>
    <row r="426" spans="1:11" s="2" customFormat="1" x14ac:dyDescent="0.25">
      <c r="A426" s="39">
        <v>1006</v>
      </c>
      <c r="B426" s="23" t="s">
        <v>192</v>
      </c>
      <c r="C426" s="23">
        <f t="shared" ref="C426:C427" si="49">10.764*(53.05+(3*0.6+1.85*0.6)+5.94)</f>
        <v>666.2915999999999</v>
      </c>
      <c r="D426" s="23">
        <v>0</v>
      </c>
      <c r="E426" s="23">
        <f t="shared" si="43"/>
        <v>666.2915999999999</v>
      </c>
      <c r="F426" s="23">
        <f t="shared" si="47"/>
        <v>48.437999999999995</v>
      </c>
      <c r="G426" s="23">
        <v>1230</v>
      </c>
      <c r="H426" s="161"/>
      <c r="K426" s="91">
        <f t="shared" ref="K426:K459" si="50">G426/(E426+F426)</f>
        <v>1.7209305449221639</v>
      </c>
    </row>
    <row r="427" spans="1:11" s="2" customFormat="1" x14ac:dyDescent="0.25">
      <c r="A427" s="39">
        <v>1007</v>
      </c>
      <c r="B427" s="23" t="s">
        <v>192</v>
      </c>
      <c r="C427" s="23">
        <f t="shared" si="49"/>
        <v>666.2915999999999</v>
      </c>
      <c r="D427" s="23">
        <v>0</v>
      </c>
      <c r="E427" s="23">
        <f t="shared" si="43"/>
        <v>666.2915999999999</v>
      </c>
      <c r="F427" s="23">
        <f t="shared" si="47"/>
        <v>48.437999999999995</v>
      </c>
      <c r="G427" s="23">
        <v>1230</v>
      </c>
      <c r="H427" s="161"/>
      <c r="K427" s="91">
        <f t="shared" si="50"/>
        <v>1.7209305449221639</v>
      </c>
    </row>
    <row r="428" spans="1:11" s="2" customFormat="1" ht="16.5" thickBot="1" x14ac:dyDescent="0.3">
      <c r="A428" s="43">
        <v>1008</v>
      </c>
      <c r="B428" s="32" t="s">
        <v>175</v>
      </c>
      <c r="C428" s="32">
        <f>10.764*(65.229+(3*0.6+2.75*0.6)+4.17)</f>
        <v>784.14663599999994</v>
      </c>
      <c r="D428" s="32">
        <v>0</v>
      </c>
      <c r="E428" s="32">
        <f t="shared" si="43"/>
        <v>784.14663599999994</v>
      </c>
      <c r="F428" s="32">
        <f t="shared" si="47"/>
        <v>48.437999999999995</v>
      </c>
      <c r="G428" s="32">
        <v>1885</v>
      </c>
      <c r="H428" s="161"/>
      <c r="K428" s="91">
        <f t="shared" si="50"/>
        <v>2.264034091544298</v>
      </c>
    </row>
    <row r="429" spans="1:11" s="2" customFormat="1" x14ac:dyDescent="0.25">
      <c r="A429" s="38">
        <v>1101</v>
      </c>
      <c r="B429" s="42" t="s">
        <v>175</v>
      </c>
      <c r="C429" s="42">
        <f>10.764*(65.229+(3.8*0.6+2.75*0.6)+4.17)</f>
        <v>789.31335599999989</v>
      </c>
      <c r="D429" s="42">
        <v>0</v>
      </c>
      <c r="E429" s="42">
        <f t="shared" ref="E429:E460" si="51">C429+D429</f>
        <v>789.31335599999989</v>
      </c>
      <c r="F429" s="42">
        <f>10.764*4.5</f>
        <v>48.437999999999995</v>
      </c>
      <c r="G429" s="42">
        <v>1885</v>
      </c>
      <c r="H429" s="153" t="s">
        <v>184</v>
      </c>
      <c r="K429" s="91">
        <f t="shared" si="50"/>
        <v>2.250070962582841</v>
      </c>
    </row>
    <row r="430" spans="1:11" s="2" customFormat="1" x14ac:dyDescent="0.25">
      <c r="A430" s="39">
        <v>1102</v>
      </c>
      <c r="B430" s="23" t="s">
        <v>192</v>
      </c>
      <c r="C430" s="23">
        <f>10.764*(43.471+(3.35*0.6+1.7*0.6)+6.428)</f>
        <v>569.72775599999989</v>
      </c>
      <c r="D430" s="23">
        <v>0</v>
      </c>
      <c r="E430" s="23">
        <f t="shared" si="51"/>
        <v>569.72775599999989</v>
      </c>
      <c r="F430" s="23">
        <f>10.764*4.2</f>
        <v>45.208799999999997</v>
      </c>
      <c r="G430" s="23">
        <v>1230</v>
      </c>
      <c r="H430" s="161"/>
      <c r="K430" s="91">
        <f t="shared" si="50"/>
        <v>2.0002063432377897</v>
      </c>
    </row>
    <row r="431" spans="1:11" s="2" customFormat="1" x14ac:dyDescent="0.25">
      <c r="A431" s="39">
        <v>1103</v>
      </c>
      <c r="B431" s="23" t="s">
        <v>192</v>
      </c>
      <c r="C431" s="23">
        <f t="shared" ref="C431:C432" si="52">10.764*(43.471+(3.35*0.6+1.7*0.6)+6.428)</f>
        <v>569.72775599999989</v>
      </c>
      <c r="D431" s="23">
        <v>0</v>
      </c>
      <c r="E431" s="23">
        <f t="shared" si="51"/>
        <v>569.72775599999989</v>
      </c>
      <c r="F431" s="23">
        <f>10.764*4.35</f>
        <v>46.823399999999992</v>
      </c>
      <c r="G431" s="23">
        <v>1230</v>
      </c>
      <c r="H431" s="161"/>
      <c r="K431" s="91">
        <f t="shared" si="50"/>
        <v>1.99496828126943</v>
      </c>
    </row>
    <row r="432" spans="1:11" s="2" customFormat="1" x14ac:dyDescent="0.25">
      <c r="A432" s="39">
        <v>1104</v>
      </c>
      <c r="B432" s="23" t="s">
        <v>192</v>
      </c>
      <c r="C432" s="23">
        <f t="shared" si="52"/>
        <v>569.72775599999989</v>
      </c>
      <c r="D432" s="23">
        <v>0</v>
      </c>
      <c r="E432" s="23">
        <f t="shared" si="51"/>
        <v>569.72775599999989</v>
      </c>
      <c r="F432" s="23">
        <f>10.764*4.35</f>
        <v>46.823399999999992</v>
      </c>
      <c r="G432" s="23">
        <v>1230</v>
      </c>
      <c r="H432" s="161"/>
      <c r="K432" s="91">
        <f t="shared" si="50"/>
        <v>1.99496828126943</v>
      </c>
    </row>
    <row r="433" spans="1:11" s="2" customFormat="1" x14ac:dyDescent="0.25">
      <c r="A433" s="39">
        <v>1105</v>
      </c>
      <c r="B433" s="23" t="s">
        <v>192</v>
      </c>
      <c r="C433" s="23">
        <f>10.764*(53.05+(3.05*0.6+1.85*0.6)+5.94)</f>
        <v>666.61451999999986</v>
      </c>
      <c r="D433" s="23">
        <v>0</v>
      </c>
      <c r="E433" s="23">
        <f t="shared" si="51"/>
        <v>666.61451999999986</v>
      </c>
      <c r="F433" s="23">
        <f>10.764*4.5</f>
        <v>48.437999999999995</v>
      </c>
      <c r="G433" s="23">
        <v>1230</v>
      </c>
      <c r="H433" s="161"/>
      <c r="K433" s="91">
        <f t="shared" si="50"/>
        <v>1.7201533671960212</v>
      </c>
    </row>
    <row r="434" spans="1:11" s="2" customFormat="1" x14ac:dyDescent="0.25">
      <c r="A434" s="39">
        <v>1106</v>
      </c>
      <c r="B434" s="23" t="s">
        <v>192</v>
      </c>
      <c r="C434" s="23">
        <f t="shared" ref="C434:C435" si="53">10.764*(53.05+(3.05*0.6+1.85*0.6)+5.94)</f>
        <v>666.61451999999986</v>
      </c>
      <c r="D434" s="23">
        <v>0</v>
      </c>
      <c r="E434" s="23">
        <f t="shared" si="51"/>
        <v>666.61451999999986</v>
      </c>
      <c r="F434" s="23">
        <f t="shared" ref="F434:F435" si="54">10.764*4.5</f>
        <v>48.437999999999995</v>
      </c>
      <c r="G434" s="23">
        <v>1230</v>
      </c>
      <c r="H434" s="161"/>
      <c r="K434" s="91">
        <f t="shared" si="50"/>
        <v>1.7201533671960212</v>
      </c>
    </row>
    <row r="435" spans="1:11" s="2" customFormat="1" x14ac:dyDescent="0.25">
      <c r="A435" s="39">
        <v>1107</v>
      </c>
      <c r="B435" s="23" t="s">
        <v>192</v>
      </c>
      <c r="C435" s="23">
        <f t="shared" si="53"/>
        <v>666.61451999999986</v>
      </c>
      <c r="D435" s="23">
        <v>0</v>
      </c>
      <c r="E435" s="23">
        <f t="shared" si="51"/>
        <v>666.61451999999986</v>
      </c>
      <c r="F435" s="23">
        <f t="shared" si="54"/>
        <v>48.437999999999995</v>
      </c>
      <c r="G435" s="23">
        <v>1230</v>
      </c>
      <c r="H435" s="161"/>
      <c r="K435" s="91">
        <f t="shared" si="50"/>
        <v>1.7201533671960212</v>
      </c>
    </row>
    <row r="436" spans="1:11" s="2" customFormat="1" ht="16.5" thickBot="1" x14ac:dyDescent="0.3">
      <c r="A436" s="40">
        <v>1108</v>
      </c>
      <c r="B436" s="41" t="s">
        <v>175</v>
      </c>
      <c r="C436" s="41">
        <f>10.764*(65.229+(3.8*0.6+2.75*0.6)+4.17)</f>
        <v>789.31335599999989</v>
      </c>
      <c r="D436" s="41">
        <v>0</v>
      </c>
      <c r="E436" s="41">
        <f t="shared" si="51"/>
        <v>789.31335599999989</v>
      </c>
      <c r="F436" s="41">
        <f>10.764*4.5</f>
        <v>48.437999999999995</v>
      </c>
      <c r="G436" s="41">
        <v>1885</v>
      </c>
      <c r="H436" s="154"/>
      <c r="K436" s="91">
        <f t="shared" si="50"/>
        <v>2.250070962582841</v>
      </c>
    </row>
    <row r="437" spans="1:11" s="2" customFormat="1" x14ac:dyDescent="0.25">
      <c r="A437" s="38">
        <v>1201</v>
      </c>
      <c r="B437" s="42" t="s">
        <v>175</v>
      </c>
      <c r="C437" s="42">
        <f>10.764*(65.229+(3*0.6+2.75*0.6)+4.17)</f>
        <v>784.14663599999994</v>
      </c>
      <c r="D437" s="42">
        <v>0</v>
      </c>
      <c r="E437" s="42">
        <f t="shared" si="51"/>
        <v>784.14663599999994</v>
      </c>
      <c r="F437" s="42">
        <f>10.764*4.5</f>
        <v>48.437999999999995</v>
      </c>
      <c r="G437" s="42">
        <v>1885</v>
      </c>
      <c r="H437" s="153" t="s">
        <v>185</v>
      </c>
      <c r="K437" s="91">
        <f t="shared" si="50"/>
        <v>2.264034091544298</v>
      </c>
    </row>
    <row r="438" spans="1:11" s="2" customFormat="1" x14ac:dyDescent="0.25">
      <c r="A438" s="39">
        <v>1202</v>
      </c>
      <c r="B438" s="23" t="s">
        <v>192</v>
      </c>
      <c r="C438" s="23">
        <f>10.764*(43.471+(2.8*0.6+1.7*0.6)+6.428)</f>
        <v>566.17563599999994</v>
      </c>
      <c r="D438" s="23">
        <v>0</v>
      </c>
      <c r="E438" s="23">
        <f t="shared" si="51"/>
        <v>566.17563599999994</v>
      </c>
      <c r="F438" s="23">
        <f t="shared" ref="F438:F460" si="55">10.764*4.5</f>
        <v>48.437999999999995</v>
      </c>
      <c r="G438" s="23">
        <v>1230</v>
      </c>
      <c r="H438" s="161"/>
      <c r="K438" s="91">
        <f t="shared" si="50"/>
        <v>2.0012572581451806</v>
      </c>
    </row>
    <row r="439" spans="1:11" s="2" customFormat="1" x14ac:dyDescent="0.25">
      <c r="A439" s="39">
        <v>1203</v>
      </c>
      <c r="B439" s="23" t="s">
        <v>192</v>
      </c>
      <c r="C439" s="23">
        <f t="shared" ref="C439:C440" si="56">10.764*(43.471+(2.8*0.6+1.7*0.6)+6.428)</f>
        <v>566.17563599999994</v>
      </c>
      <c r="D439" s="23">
        <v>0</v>
      </c>
      <c r="E439" s="23">
        <f t="shared" si="51"/>
        <v>566.17563599999994</v>
      </c>
      <c r="F439" s="23">
        <f t="shared" si="55"/>
        <v>48.437999999999995</v>
      </c>
      <c r="G439" s="23">
        <v>1230</v>
      </c>
      <c r="H439" s="161"/>
      <c r="K439" s="91">
        <f t="shared" si="50"/>
        <v>2.0012572581451806</v>
      </c>
    </row>
    <row r="440" spans="1:11" s="2" customFormat="1" x14ac:dyDescent="0.25">
      <c r="A440" s="39">
        <v>1204</v>
      </c>
      <c r="B440" s="23" t="s">
        <v>192</v>
      </c>
      <c r="C440" s="23">
        <f t="shared" si="56"/>
        <v>566.17563599999994</v>
      </c>
      <c r="D440" s="23">
        <v>0</v>
      </c>
      <c r="E440" s="23">
        <f t="shared" si="51"/>
        <v>566.17563599999994</v>
      </c>
      <c r="F440" s="23">
        <f t="shared" si="55"/>
        <v>48.437999999999995</v>
      </c>
      <c r="G440" s="23">
        <v>1230</v>
      </c>
      <c r="H440" s="161"/>
      <c r="K440" s="91">
        <f t="shared" si="50"/>
        <v>2.0012572581451806</v>
      </c>
    </row>
    <row r="441" spans="1:11" s="2" customFormat="1" x14ac:dyDescent="0.25">
      <c r="A441" s="39">
        <v>1205</v>
      </c>
      <c r="B441" s="23" t="s">
        <v>192</v>
      </c>
      <c r="C441" s="23">
        <f>10.764*(53.05+(3*0.6+1.85*0.6)+5.94)</f>
        <v>666.2915999999999</v>
      </c>
      <c r="D441" s="23">
        <v>0</v>
      </c>
      <c r="E441" s="23">
        <f t="shared" si="51"/>
        <v>666.2915999999999</v>
      </c>
      <c r="F441" s="23">
        <f t="shared" si="55"/>
        <v>48.437999999999995</v>
      </c>
      <c r="G441" s="23">
        <v>1230</v>
      </c>
      <c r="H441" s="161"/>
      <c r="K441" s="91">
        <f t="shared" si="50"/>
        <v>1.7209305449221639</v>
      </c>
    </row>
    <row r="442" spans="1:11" s="2" customFormat="1" x14ac:dyDescent="0.25">
      <c r="A442" s="39">
        <v>1206</v>
      </c>
      <c r="B442" s="23" t="s">
        <v>192</v>
      </c>
      <c r="C442" s="23">
        <f t="shared" ref="C442:C443" si="57">10.764*(53.05+(3*0.6+1.85*0.6)+5.94)</f>
        <v>666.2915999999999</v>
      </c>
      <c r="D442" s="23">
        <v>0</v>
      </c>
      <c r="E442" s="23">
        <f t="shared" si="51"/>
        <v>666.2915999999999</v>
      </c>
      <c r="F442" s="23">
        <f t="shared" si="55"/>
        <v>48.437999999999995</v>
      </c>
      <c r="G442" s="23">
        <v>1230</v>
      </c>
      <c r="H442" s="161"/>
      <c r="K442" s="91">
        <f t="shared" si="50"/>
        <v>1.7209305449221639</v>
      </c>
    </row>
    <row r="443" spans="1:11" s="2" customFormat="1" x14ac:dyDescent="0.25">
      <c r="A443" s="39">
        <v>1207</v>
      </c>
      <c r="B443" s="23" t="s">
        <v>192</v>
      </c>
      <c r="C443" s="23">
        <f t="shared" si="57"/>
        <v>666.2915999999999</v>
      </c>
      <c r="D443" s="23">
        <v>0</v>
      </c>
      <c r="E443" s="23">
        <f t="shared" si="51"/>
        <v>666.2915999999999</v>
      </c>
      <c r="F443" s="23">
        <f t="shared" si="55"/>
        <v>48.437999999999995</v>
      </c>
      <c r="G443" s="23">
        <v>1230</v>
      </c>
      <c r="H443" s="161"/>
      <c r="K443" s="91">
        <f t="shared" si="50"/>
        <v>1.7209305449221639</v>
      </c>
    </row>
    <row r="444" spans="1:11" s="2" customFormat="1" ht="16.5" thickBot="1" x14ac:dyDescent="0.3">
      <c r="A444" s="40">
        <v>1208</v>
      </c>
      <c r="B444" s="41" t="s">
        <v>175</v>
      </c>
      <c r="C444" s="41">
        <f>10.764*(65.229+(3*0.6+2.75*0.6)+4.17)</f>
        <v>784.14663599999994</v>
      </c>
      <c r="D444" s="41">
        <v>0</v>
      </c>
      <c r="E444" s="41">
        <f t="shared" si="51"/>
        <v>784.14663599999994</v>
      </c>
      <c r="F444" s="41">
        <f t="shared" si="55"/>
        <v>48.437999999999995</v>
      </c>
      <c r="G444" s="41">
        <v>1885</v>
      </c>
      <c r="H444" s="154"/>
      <c r="K444" s="91">
        <f t="shared" si="50"/>
        <v>2.264034091544298</v>
      </c>
    </row>
    <row r="445" spans="1:11" s="2" customFormat="1" ht="15.75" customHeight="1" x14ac:dyDescent="0.25">
      <c r="A445" s="38">
        <v>1301</v>
      </c>
      <c r="B445" s="213" t="s">
        <v>196</v>
      </c>
      <c r="C445" s="214"/>
      <c r="D445" s="214"/>
      <c r="E445" s="214"/>
      <c r="F445" s="214"/>
      <c r="G445" s="215"/>
      <c r="H445" s="153" t="s">
        <v>186</v>
      </c>
      <c r="K445" s="91" t="e">
        <f t="shared" si="50"/>
        <v>#DIV/0!</v>
      </c>
    </row>
    <row r="446" spans="1:11" s="2" customFormat="1" x14ac:dyDescent="0.25">
      <c r="A446" s="39">
        <v>1302</v>
      </c>
      <c r="B446" s="23" t="s">
        <v>192</v>
      </c>
      <c r="C446" s="23">
        <f>10.764*(43.471+3.03+6.428)</f>
        <v>569.72775599999989</v>
      </c>
      <c r="D446" s="23">
        <v>0</v>
      </c>
      <c r="E446" s="23">
        <f t="shared" si="51"/>
        <v>569.72775599999989</v>
      </c>
      <c r="F446" s="23">
        <f>10.764*(4.2+22.805)</f>
        <v>290.68181999999996</v>
      </c>
      <c r="G446" s="23">
        <v>1230</v>
      </c>
      <c r="H446" s="161"/>
      <c r="K446" s="91">
        <f t="shared" si="50"/>
        <v>1.4295517324646794</v>
      </c>
    </row>
    <row r="447" spans="1:11" s="2" customFormat="1" x14ac:dyDescent="0.25">
      <c r="A447" s="39">
        <v>1303</v>
      </c>
      <c r="B447" s="23" t="s">
        <v>192</v>
      </c>
      <c r="C447" s="23">
        <f t="shared" ref="C447:C448" si="58">10.764*(43.471+3.03+6.428)</f>
        <v>569.72775599999989</v>
      </c>
      <c r="D447" s="23">
        <v>0</v>
      </c>
      <c r="E447" s="23">
        <f t="shared" si="51"/>
        <v>569.72775599999989</v>
      </c>
      <c r="F447" s="23">
        <f>10.764*4.35</f>
        <v>46.823399999999992</v>
      </c>
      <c r="G447" s="23">
        <v>1230</v>
      </c>
      <c r="H447" s="161"/>
      <c r="K447" s="91">
        <f t="shared" si="50"/>
        <v>1.99496828126943</v>
      </c>
    </row>
    <row r="448" spans="1:11" s="2" customFormat="1" x14ac:dyDescent="0.25">
      <c r="A448" s="39">
        <v>1304</v>
      </c>
      <c r="B448" s="23" t="s">
        <v>192</v>
      </c>
      <c r="C448" s="23">
        <f t="shared" si="58"/>
        <v>569.72775599999989</v>
      </c>
      <c r="D448" s="23">
        <v>0</v>
      </c>
      <c r="E448" s="23">
        <f t="shared" si="51"/>
        <v>569.72775599999989</v>
      </c>
      <c r="F448" s="23">
        <f>10.764*4.35</f>
        <v>46.823399999999992</v>
      </c>
      <c r="G448" s="23">
        <v>1230</v>
      </c>
      <c r="H448" s="161"/>
      <c r="K448" s="91">
        <f t="shared" si="50"/>
        <v>1.99496828126943</v>
      </c>
    </row>
    <row r="449" spans="1:11" s="2" customFormat="1" x14ac:dyDescent="0.25">
      <c r="A449" s="39">
        <v>1305</v>
      </c>
      <c r="B449" s="23" t="s">
        <v>192</v>
      </c>
      <c r="C449" s="23">
        <f>10.764*(43.471+2.94+6.94)</f>
        <v>574.27016399999991</v>
      </c>
      <c r="D449" s="23">
        <v>0</v>
      </c>
      <c r="E449" s="23">
        <f t="shared" si="51"/>
        <v>574.27016399999991</v>
      </c>
      <c r="F449" s="23">
        <f t="shared" si="55"/>
        <v>48.437999999999995</v>
      </c>
      <c r="G449" s="23">
        <v>1230</v>
      </c>
      <c r="H449" s="161"/>
      <c r="K449" s="91">
        <f t="shared" si="50"/>
        <v>1.9752430931674765</v>
      </c>
    </row>
    <row r="450" spans="1:11" s="2" customFormat="1" x14ac:dyDescent="0.25">
      <c r="A450" s="39">
        <v>1306</v>
      </c>
      <c r="B450" s="23" t="s">
        <v>192</v>
      </c>
      <c r="C450" s="23">
        <f t="shared" ref="C450:C451" si="59">10.764*(43.471+2.94+6.94)</f>
        <v>574.27016399999991</v>
      </c>
      <c r="D450" s="23">
        <v>0</v>
      </c>
      <c r="E450" s="23">
        <f t="shared" si="51"/>
        <v>574.27016399999991</v>
      </c>
      <c r="F450" s="23">
        <f t="shared" si="55"/>
        <v>48.437999999999995</v>
      </c>
      <c r="G450" s="23">
        <v>1230</v>
      </c>
      <c r="H450" s="161"/>
      <c r="K450" s="91">
        <f t="shared" si="50"/>
        <v>1.9752430931674765</v>
      </c>
    </row>
    <row r="451" spans="1:11" s="2" customFormat="1" x14ac:dyDescent="0.25">
      <c r="A451" s="39">
        <v>1307</v>
      </c>
      <c r="B451" s="23" t="s">
        <v>192</v>
      </c>
      <c r="C451" s="23">
        <f t="shared" si="59"/>
        <v>574.27016399999991</v>
      </c>
      <c r="D451" s="23">
        <v>0</v>
      </c>
      <c r="E451" s="23">
        <f t="shared" si="51"/>
        <v>574.27016399999991</v>
      </c>
      <c r="F451" s="23">
        <f t="shared" si="55"/>
        <v>48.437999999999995</v>
      </c>
      <c r="G451" s="23">
        <v>1230</v>
      </c>
      <c r="H451" s="161"/>
      <c r="K451" s="91">
        <f t="shared" si="50"/>
        <v>1.9752430931674765</v>
      </c>
    </row>
    <row r="452" spans="1:11" s="2" customFormat="1" ht="16.5" thickBot="1" x14ac:dyDescent="0.3">
      <c r="A452" s="40">
        <v>1308</v>
      </c>
      <c r="B452" s="41" t="s">
        <v>175</v>
      </c>
      <c r="C452" s="41">
        <f>10.764*(65.229+3.93+4.17)</f>
        <v>789.313356</v>
      </c>
      <c r="D452" s="41">
        <v>0</v>
      </c>
      <c r="E452" s="41">
        <f t="shared" si="51"/>
        <v>789.313356</v>
      </c>
      <c r="F452" s="41">
        <f t="shared" si="55"/>
        <v>48.437999999999995</v>
      </c>
      <c r="G452" s="41">
        <v>1885</v>
      </c>
      <c r="H452" s="154"/>
      <c r="K452" s="91">
        <f t="shared" si="50"/>
        <v>2.2500709625828406</v>
      </c>
    </row>
    <row r="453" spans="1:11" s="2" customFormat="1" x14ac:dyDescent="0.25">
      <c r="A453" s="38">
        <v>1401</v>
      </c>
      <c r="B453" s="42" t="s">
        <v>175</v>
      </c>
      <c r="C453" s="42">
        <f>10.764*(65.229+3.45+4.17)</f>
        <v>784.14663599999994</v>
      </c>
      <c r="D453" s="42">
        <v>0</v>
      </c>
      <c r="E453" s="42">
        <f t="shared" si="51"/>
        <v>784.14663599999994</v>
      </c>
      <c r="F453" s="42">
        <f>10.764*(4.5+25.159)</f>
        <v>319.24947599999996</v>
      </c>
      <c r="G453" s="42">
        <v>1885</v>
      </c>
      <c r="H453" s="153" t="s">
        <v>187</v>
      </c>
      <c r="K453" s="91">
        <f t="shared" si="50"/>
        <v>1.7083620102514918</v>
      </c>
    </row>
    <row r="454" spans="1:11" s="2" customFormat="1" x14ac:dyDescent="0.25">
      <c r="A454" s="39">
        <v>1402</v>
      </c>
      <c r="B454" s="168" t="s">
        <v>204</v>
      </c>
      <c r="C454" s="168"/>
      <c r="D454" s="168"/>
      <c r="E454" s="168"/>
      <c r="F454" s="168"/>
      <c r="G454" s="168"/>
      <c r="H454" s="161"/>
      <c r="K454" s="91" t="e">
        <f t="shared" si="50"/>
        <v>#DIV/0!</v>
      </c>
    </row>
    <row r="455" spans="1:11" s="2" customFormat="1" x14ac:dyDescent="0.25">
      <c r="A455" s="39">
        <v>1403</v>
      </c>
      <c r="B455" s="23" t="s">
        <v>192</v>
      </c>
      <c r="C455" s="23">
        <f>10.764*(43.471+2.73+6.428)</f>
        <v>566.49855599999989</v>
      </c>
      <c r="D455" s="23">
        <v>0</v>
      </c>
      <c r="E455" s="23">
        <f t="shared" si="51"/>
        <v>566.49855599999989</v>
      </c>
      <c r="F455" s="23">
        <f>10.764*(4.5+33.251)</f>
        <v>406.35176399999995</v>
      </c>
      <c r="G455" s="23">
        <v>1230</v>
      </c>
      <c r="H455" s="161"/>
      <c r="K455" s="91">
        <f t="shared" si="50"/>
        <v>1.2643260476082285</v>
      </c>
    </row>
    <row r="456" spans="1:11" s="2" customFormat="1" x14ac:dyDescent="0.25">
      <c r="A456" s="39">
        <v>1404</v>
      </c>
      <c r="B456" s="23" t="s">
        <v>192</v>
      </c>
      <c r="C456" s="23">
        <f>10.764*(43.471+2.73+6.428)</f>
        <v>566.49855599999989</v>
      </c>
      <c r="D456" s="23">
        <v>0</v>
      </c>
      <c r="E456" s="23">
        <f t="shared" si="51"/>
        <v>566.49855599999989</v>
      </c>
      <c r="F456" s="23">
        <f>10.764*(4.5+58.418)</f>
        <v>677.24935199999993</v>
      </c>
      <c r="G456" s="23">
        <v>1230</v>
      </c>
      <c r="H456" s="161"/>
      <c r="K456" s="91">
        <f t="shared" si="50"/>
        <v>0.98894638703585269</v>
      </c>
    </row>
    <row r="457" spans="1:11" s="2" customFormat="1" x14ac:dyDescent="0.25">
      <c r="A457" s="39">
        <v>1405</v>
      </c>
      <c r="B457" s="23" t="s">
        <v>192</v>
      </c>
      <c r="C457" s="23">
        <f>10.764*(53.05+2.91+5.94)</f>
        <v>666.2915999999999</v>
      </c>
      <c r="D457" s="23">
        <v>0</v>
      </c>
      <c r="E457" s="23">
        <f t="shared" si="51"/>
        <v>666.2915999999999</v>
      </c>
      <c r="F457" s="23">
        <f t="shared" si="55"/>
        <v>48.437999999999995</v>
      </c>
      <c r="G457" s="23">
        <v>1230</v>
      </c>
      <c r="H457" s="161"/>
      <c r="K457" s="91">
        <f t="shared" si="50"/>
        <v>1.7209305449221639</v>
      </c>
    </row>
    <row r="458" spans="1:11" s="2" customFormat="1" x14ac:dyDescent="0.25">
      <c r="A458" s="39">
        <v>1406</v>
      </c>
      <c r="B458" s="23" t="s">
        <v>192</v>
      </c>
      <c r="C458" s="23">
        <f t="shared" ref="C458:C459" si="60">10.764*(53.05+2.91+5.94)</f>
        <v>666.2915999999999</v>
      </c>
      <c r="D458" s="23">
        <v>0</v>
      </c>
      <c r="E458" s="23">
        <f t="shared" si="51"/>
        <v>666.2915999999999</v>
      </c>
      <c r="F458" s="23">
        <f t="shared" si="55"/>
        <v>48.437999999999995</v>
      </c>
      <c r="G458" s="23">
        <v>1230</v>
      </c>
      <c r="H458" s="161"/>
      <c r="K458" s="91">
        <f t="shared" si="50"/>
        <v>1.7209305449221639</v>
      </c>
    </row>
    <row r="459" spans="1:11" s="2" customFormat="1" x14ac:dyDescent="0.25">
      <c r="A459" s="39">
        <v>1407</v>
      </c>
      <c r="B459" s="23" t="s">
        <v>192</v>
      </c>
      <c r="C459" s="23">
        <f t="shared" si="60"/>
        <v>666.2915999999999</v>
      </c>
      <c r="D459" s="23">
        <v>0</v>
      </c>
      <c r="E459" s="23">
        <f t="shared" si="51"/>
        <v>666.2915999999999</v>
      </c>
      <c r="F459" s="23">
        <f t="shared" si="55"/>
        <v>48.437999999999995</v>
      </c>
      <c r="G459" s="23">
        <v>1230</v>
      </c>
      <c r="H459" s="161"/>
      <c r="K459" s="91">
        <f t="shared" si="50"/>
        <v>1.7209305449221639</v>
      </c>
    </row>
    <row r="460" spans="1:11" s="2" customFormat="1" ht="16.5" thickBot="1" x14ac:dyDescent="0.3">
      <c r="A460" s="40">
        <v>1408</v>
      </c>
      <c r="B460" s="41" t="s">
        <v>175</v>
      </c>
      <c r="C460" s="41">
        <f>10.764*(65.229+3.45+4.17)</f>
        <v>784.14663599999994</v>
      </c>
      <c r="D460" s="41">
        <v>0</v>
      </c>
      <c r="E460" s="41">
        <f t="shared" si="51"/>
        <v>784.14663599999994</v>
      </c>
      <c r="F460" s="41">
        <f t="shared" si="55"/>
        <v>48.437999999999995</v>
      </c>
      <c r="G460" s="41">
        <v>1885</v>
      </c>
      <c r="H460" s="154"/>
      <c r="K460" s="91">
        <f>G460/(E460+F460)</f>
        <v>2.264034091544298</v>
      </c>
    </row>
    <row r="461" spans="1:11" s="2" customFormat="1" x14ac:dyDescent="0.25">
      <c r="A461" s="213"/>
      <c r="B461" s="214"/>
      <c r="C461" s="214"/>
      <c r="D461" s="214"/>
      <c r="E461" s="214"/>
      <c r="F461" s="214"/>
      <c r="G461" s="214"/>
      <c r="H461" s="215"/>
      <c r="K461" s="91" t="e">
        <f t="shared" ref="K461:K524" si="61">G461/(E461+F461)</f>
        <v>#DIV/0!</v>
      </c>
    </row>
    <row r="462" spans="1:11" s="2" customFormat="1" ht="15.75" customHeight="1" x14ac:dyDescent="0.25">
      <c r="A462" s="155" t="s">
        <v>193</v>
      </c>
      <c r="B462" s="155"/>
      <c r="C462" s="155"/>
      <c r="D462" s="155"/>
      <c r="E462" s="155"/>
      <c r="F462" s="155"/>
      <c r="G462" s="155"/>
      <c r="H462" s="155"/>
      <c r="K462" s="91" t="e">
        <f t="shared" si="61"/>
        <v>#DIV/0!</v>
      </c>
    </row>
    <row r="463" spans="1:11" s="2" customFormat="1" ht="15.75" customHeight="1" x14ac:dyDescent="0.25">
      <c r="A463" s="155" t="s">
        <v>160</v>
      </c>
      <c r="B463" s="155"/>
      <c r="C463" s="155"/>
      <c r="D463" s="155"/>
      <c r="E463" s="155"/>
      <c r="F463" s="155"/>
      <c r="G463" s="155"/>
      <c r="H463" s="155"/>
      <c r="K463" s="91" t="e">
        <f t="shared" si="61"/>
        <v>#DIV/0!</v>
      </c>
    </row>
    <row r="464" spans="1:11" s="2" customFormat="1" x14ac:dyDescent="0.25">
      <c r="A464" s="155" t="s">
        <v>169</v>
      </c>
      <c r="B464" s="155"/>
      <c r="C464" s="155"/>
      <c r="D464" s="155"/>
      <c r="E464" s="155"/>
      <c r="F464" s="155"/>
      <c r="G464" s="155"/>
      <c r="H464" s="155"/>
      <c r="K464" s="91" t="e">
        <f t="shared" si="61"/>
        <v>#DIV/0!</v>
      </c>
    </row>
    <row r="465" spans="1:11" s="2" customFormat="1" ht="16.5" thickBot="1" x14ac:dyDescent="0.3">
      <c r="A465" s="162" t="s">
        <v>170</v>
      </c>
      <c r="B465" s="163"/>
      <c r="C465" s="163"/>
      <c r="D465" s="163"/>
      <c r="E465" s="163"/>
      <c r="F465" s="163"/>
      <c r="G465" s="163"/>
      <c r="H465" s="164"/>
      <c r="K465" s="91" t="e">
        <f t="shared" si="61"/>
        <v>#DIV/0!</v>
      </c>
    </row>
    <row r="466" spans="1:11" s="2" customFormat="1" x14ac:dyDescent="0.25">
      <c r="A466" s="38">
        <v>101</v>
      </c>
      <c r="B466" s="42" t="s">
        <v>175</v>
      </c>
      <c r="C466" s="42">
        <f>10.764*(65.229+4.17)</f>
        <v>747.01083599999993</v>
      </c>
      <c r="D466" s="42">
        <v>0</v>
      </c>
      <c r="E466" s="42">
        <f>C466+D466</f>
        <v>747.01083599999993</v>
      </c>
      <c r="F466" s="42">
        <v>0</v>
      </c>
      <c r="G466" s="42">
        <v>1885</v>
      </c>
      <c r="H466" s="153" t="s">
        <v>194</v>
      </c>
      <c r="K466" s="91">
        <f t="shared" si="61"/>
        <v>2.5233904371368454</v>
      </c>
    </row>
    <row r="467" spans="1:11" s="2" customFormat="1" x14ac:dyDescent="0.25">
      <c r="A467" s="39">
        <v>102</v>
      </c>
      <c r="B467" s="23" t="s">
        <v>192</v>
      </c>
      <c r="C467" s="23">
        <f>10.764*(43.471+6.428)</f>
        <v>537.1128359999999</v>
      </c>
      <c r="D467" s="23">
        <v>0</v>
      </c>
      <c r="E467" s="23">
        <f t="shared" ref="E467:E531" si="62">C467+D467</f>
        <v>537.1128359999999</v>
      </c>
      <c r="F467" s="23">
        <v>0</v>
      </c>
      <c r="G467" s="23">
        <v>1230</v>
      </c>
      <c r="H467" s="161"/>
      <c r="K467" s="91">
        <f t="shared" si="61"/>
        <v>2.2900216073033866</v>
      </c>
    </row>
    <row r="468" spans="1:11" s="2" customFormat="1" x14ac:dyDescent="0.25">
      <c r="A468" s="39">
        <v>103</v>
      </c>
      <c r="B468" s="23" t="s">
        <v>192</v>
      </c>
      <c r="C468" s="23">
        <f t="shared" ref="C468:C469" si="63">10.764*(43.471+6.428)</f>
        <v>537.1128359999999</v>
      </c>
      <c r="D468" s="23">
        <v>0</v>
      </c>
      <c r="E468" s="23">
        <f t="shared" si="62"/>
        <v>537.1128359999999</v>
      </c>
      <c r="F468" s="23">
        <v>0</v>
      </c>
      <c r="G468" s="23">
        <v>1230</v>
      </c>
      <c r="H468" s="161"/>
      <c r="K468" s="91">
        <f t="shared" si="61"/>
        <v>2.2900216073033866</v>
      </c>
    </row>
    <row r="469" spans="1:11" s="2" customFormat="1" ht="16.5" thickBot="1" x14ac:dyDescent="0.3">
      <c r="A469" s="43">
        <v>104</v>
      </c>
      <c r="B469" s="32" t="s">
        <v>192</v>
      </c>
      <c r="C469" s="32">
        <f t="shared" si="63"/>
        <v>537.1128359999999</v>
      </c>
      <c r="D469" s="32">
        <v>0</v>
      </c>
      <c r="E469" s="32">
        <f t="shared" si="62"/>
        <v>537.1128359999999</v>
      </c>
      <c r="F469" s="32">
        <v>0</v>
      </c>
      <c r="G469" s="32">
        <v>1230</v>
      </c>
      <c r="H469" s="161"/>
      <c r="K469" s="91">
        <f t="shared" si="61"/>
        <v>2.2900216073033866</v>
      </c>
    </row>
    <row r="470" spans="1:11" s="2" customFormat="1" x14ac:dyDescent="0.25">
      <c r="A470" s="38">
        <v>201</v>
      </c>
      <c r="B470" s="42" t="s">
        <v>175</v>
      </c>
      <c r="C470" s="42">
        <f>10.764*(65.229+(3*0.6+2.75*0.6)+4.17)</f>
        <v>784.14663599999994</v>
      </c>
      <c r="D470" s="42">
        <v>0</v>
      </c>
      <c r="E470" s="42">
        <f t="shared" si="62"/>
        <v>784.14663599999994</v>
      </c>
      <c r="F470" s="42">
        <v>0</v>
      </c>
      <c r="G470" s="42">
        <v>1885</v>
      </c>
      <c r="H470" s="153" t="s">
        <v>171</v>
      </c>
      <c r="K470" s="91">
        <f t="shared" si="61"/>
        <v>2.4038871219489617</v>
      </c>
    </row>
    <row r="471" spans="1:11" s="2" customFormat="1" x14ac:dyDescent="0.25">
      <c r="A471" s="39">
        <v>202</v>
      </c>
      <c r="B471" s="23" t="s">
        <v>192</v>
      </c>
      <c r="C471" s="23">
        <f>10.764*(43.471+2.7+6.428)</f>
        <v>566.17563599999994</v>
      </c>
      <c r="D471" s="23">
        <v>0</v>
      </c>
      <c r="E471" s="23">
        <f t="shared" si="62"/>
        <v>566.17563599999994</v>
      </c>
      <c r="F471" s="23">
        <v>0</v>
      </c>
      <c r="G471" s="23">
        <v>1230</v>
      </c>
      <c r="H471" s="161"/>
      <c r="K471" s="91">
        <f t="shared" si="61"/>
        <v>2.1724707348586794</v>
      </c>
    </row>
    <row r="472" spans="1:11" s="2" customFormat="1" x14ac:dyDescent="0.25">
      <c r="A472" s="39">
        <v>203</v>
      </c>
      <c r="B472" s="23" t="s">
        <v>192</v>
      </c>
      <c r="C472" s="23">
        <f t="shared" ref="C472:C473" si="64">10.764*(43.471+2.7+6.428)</f>
        <v>566.17563599999994</v>
      </c>
      <c r="D472" s="23">
        <v>0</v>
      </c>
      <c r="E472" s="23">
        <f t="shared" si="62"/>
        <v>566.17563599999994</v>
      </c>
      <c r="F472" s="23">
        <v>0</v>
      </c>
      <c r="G472" s="23">
        <v>1230</v>
      </c>
      <c r="H472" s="161"/>
      <c r="K472" s="91">
        <f t="shared" si="61"/>
        <v>2.1724707348586794</v>
      </c>
    </row>
    <row r="473" spans="1:11" s="2" customFormat="1" x14ac:dyDescent="0.25">
      <c r="A473" s="39">
        <v>204</v>
      </c>
      <c r="B473" s="23" t="s">
        <v>192</v>
      </c>
      <c r="C473" s="23">
        <f t="shared" si="64"/>
        <v>566.17563599999994</v>
      </c>
      <c r="D473" s="23">
        <v>0</v>
      </c>
      <c r="E473" s="23">
        <f t="shared" si="62"/>
        <v>566.17563599999994</v>
      </c>
      <c r="F473" s="23">
        <v>0</v>
      </c>
      <c r="G473" s="23">
        <v>1230</v>
      </c>
      <c r="H473" s="161"/>
      <c r="K473" s="91">
        <f t="shared" si="61"/>
        <v>2.1724707348586794</v>
      </c>
    </row>
    <row r="474" spans="1:11" s="2" customFormat="1" x14ac:dyDescent="0.25">
      <c r="A474" s="39">
        <v>205</v>
      </c>
      <c r="B474" s="23" t="s">
        <v>192</v>
      </c>
      <c r="C474" s="23">
        <f>10.764*(53.05+2.91+5.94)</f>
        <v>666.2915999999999</v>
      </c>
      <c r="D474" s="23">
        <v>0</v>
      </c>
      <c r="E474" s="23">
        <f t="shared" si="62"/>
        <v>666.2915999999999</v>
      </c>
      <c r="F474" s="23">
        <f>10.764*4.5</f>
        <v>48.437999999999995</v>
      </c>
      <c r="G474" s="23">
        <v>1230</v>
      </c>
      <c r="H474" s="161"/>
      <c r="K474" s="91">
        <f t="shared" si="61"/>
        <v>1.7209305449221639</v>
      </c>
    </row>
    <row r="475" spans="1:11" s="2" customFormat="1" x14ac:dyDescent="0.25">
      <c r="A475" s="39">
        <v>206</v>
      </c>
      <c r="B475" s="23" t="s">
        <v>192</v>
      </c>
      <c r="C475" s="23">
        <f t="shared" ref="C475:C476" si="65">10.764*(53.05+2.91+5.94)</f>
        <v>666.2915999999999</v>
      </c>
      <c r="D475" s="23">
        <v>0</v>
      </c>
      <c r="E475" s="23">
        <f t="shared" si="62"/>
        <v>666.2915999999999</v>
      </c>
      <c r="F475" s="23">
        <f t="shared" ref="F475:F477" si="66">10.764*4.5</f>
        <v>48.437999999999995</v>
      </c>
      <c r="G475" s="23">
        <v>1230</v>
      </c>
      <c r="H475" s="161"/>
      <c r="K475" s="91">
        <f t="shared" si="61"/>
        <v>1.7209305449221639</v>
      </c>
    </row>
    <row r="476" spans="1:11" s="2" customFormat="1" x14ac:dyDescent="0.25">
      <c r="A476" s="39">
        <v>207</v>
      </c>
      <c r="B476" s="23" t="s">
        <v>192</v>
      </c>
      <c r="C476" s="23">
        <f t="shared" si="65"/>
        <v>666.2915999999999</v>
      </c>
      <c r="D476" s="23">
        <v>0</v>
      </c>
      <c r="E476" s="23">
        <f t="shared" si="62"/>
        <v>666.2915999999999</v>
      </c>
      <c r="F476" s="23">
        <f t="shared" si="66"/>
        <v>48.437999999999995</v>
      </c>
      <c r="G476" s="23">
        <v>1230</v>
      </c>
      <c r="H476" s="161"/>
      <c r="K476" s="91">
        <f t="shared" si="61"/>
        <v>1.7209305449221639</v>
      </c>
    </row>
    <row r="477" spans="1:11" s="2" customFormat="1" ht="16.5" thickBot="1" x14ac:dyDescent="0.3">
      <c r="A477" s="40">
        <v>208</v>
      </c>
      <c r="B477" s="41" t="s">
        <v>175</v>
      </c>
      <c r="C477" s="41">
        <f>10.764*(65.229+(3*0.6+2.75*0.6)+4.17)</f>
        <v>784.14663599999994</v>
      </c>
      <c r="D477" s="41">
        <v>0</v>
      </c>
      <c r="E477" s="41">
        <f t="shared" si="62"/>
        <v>784.14663599999994</v>
      </c>
      <c r="F477" s="41">
        <f t="shared" si="66"/>
        <v>48.437999999999995</v>
      </c>
      <c r="G477" s="41">
        <v>1885</v>
      </c>
      <c r="H477" s="154"/>
      <c r="K477" s="91">
        <f t="shared" si="61"/>
        <v>2.264034091544298</v>
      </c>
    </row>
    <row r="478" spans="1:11" s="2" customFormat="1" x14ac:dyDescent="0.25">
      <c r="A478" s="38">
        <v>301</v>
      </c>
      <c r="B478" s="42" t="s">
        <v>175</v>
      </c>
      <c r="C478" s="42">
        <f>10.764*(65.229+(3.8*0.6+2.75*0.6)+4.17)</f>
        <v>789.31335599999989</v>
      </c>
      <c r="D478" s="42">
        <v>0</v>
      </c>
      <c r="E478" s="42">
        <f t="shared" si="62"/>
        <v>789.31335599999989</v>
      </c>
      <c r="F478" s="42">
        <f>10.764*4.5</f>
        <v>48.437999999999995</v>
      </c>
      <c r="G478" s="42">
        <v>1885</v>
      </c>
      <c r="H478" s="153" t="s">
        <v>176</v>
      </c>
      <c r="K478" s="91">
        <f t="shared" si="61"/>
        <v>2.250070962582841</v>
      </c>
    </row>
    <row r="479" spans="1:11" s="2" customFormat="1" x14ac:dyDescent="0.25">
      <c r="A479" s="39">
        <v>302</v>
      </c>
      <c r="B479" s="23" t="s">
        <v>192</v>
      </c>
      <c r="C479" s="23">
        <f>10.764*(43.471+(3.35*0.6+1.7*0.6)+6.428)</f>
        <v>569.72775599999989</v>
      </c>
      <c r="D479" s="23">
        <v>0</v>
      </c>
      <c r="E479" s="23">
        <f t="shared" si="62"/>
        <v>569.72775599999989</v>
      </c>
      <c r="F479" s="23">
        <f>10.764*4.2</f>
        <v>45.208799999999997</v>
      </c>
      <c r="G479" s="23">
        <v>1230</v>
      </c>
      <c r="H479" s="161"/>
      <c r="K479" s="91">
        <f t="shared" si="61"/>
        <v>2.0002063432377897</v>
      </c>
    </row>
    <row r="480" spans="1:11" s="2" customFormat="1" x14ac:dyDescent="0.25">
      <c r="A480" s="39">
        <v>303</v>
      </c>
      <c r="B480" s="23" t="s">
        <v>192</v>
      </c>
      <c r="C480" s="23">
        <f t="shared" ref="C480:C481" si="67">10.764*(43.471+(3.35*0.6+1.7*0.6)+6.428)</f>
        <v>569.72775599999989</v>
      </c>
      <c r="D480" s="23">
        <v>0</v>
      </c>
      <c r="E480" s="23">
        <f t="shared" si="62"/>
        <v>569.72775599999989</v>
      </c>
      <c r="F480" s="23">
        <f>10.764*4.35</f>
        <v>46.823399999999992</v>
      </c>
      <c r="G480" s="23">
        <v>1230</v>
      </c>
      <c r="H480" s="161"/>
      <c r="K480" s="91">
        <f t="shared" si="61"/>
        <v>1.99496828126943</v>
      </c>
    </row>
    <row r="481" spans="1:11" s="2" customFormat="1" x14ac:dyDescent="0.25">
      <c r="A481" s="39">
        <v>304</v>
      </c>
      <c r="B481" s="23" t="s">
        <v>192</v>
      </c>
      <c r="C481" s="23">
        <f t="shared" si="67"/>
        <v>569.72775599999989</v>
      </c>
      <c r="D481" s="23">
        <v>0</v>
      </c>
      <c r="E481" s="23">
        <f t="shared" si="62"/>
        <v>569.72775599999989</v>
      </c>
      <c r="F481" s="23">
        <f>10.764*4.35</f>
        <v>46.823399999999992</v>
      </c>
      <c r="G481" s="23">
        <v>1230</v>
      </c>
      <c r="H481" s="161"/>
      <c r="K481" s="91">
        <f t="shared" si="61"/>
        <v>1.99496828126943</v>
      </c>
    </row>
    <row r="482" spans="1:11" s="2" customFormat="1" x14ac:dyDescent="0.25">
      <c r="A482" s="39">
        <v>305</v>
      </c>
      <c r="B482" s="23" t="s">
        <v>192</v>
      </c>
      <c r="C482" s="23">
        <f>10.764*(53.05+(3.05*0.6+1.85*0.6)+5.94)</f>
        <v>666.61451999999986</v>
      </c>
      <c r="D482" s="23">
        <v>0</v>
      </c>
      <c r="E482" s="23">
        <f t="shared" si="62"/>
        <v>666.61451999999986</v>
      </c>
      <c r="F482" s="23">
        <f>10.764*4.5</f>
        <v>48.437999999999995</v>
      </c>
      <c r="G482" s="23">
        <v>1230</v>
      </c>
      <c r="H482" s="161"/>
      <c r="K482" s="91">
        <f t="shared" si="61"/>
        <v>1.7201533671960212</v>
      </c>
    </row>
    <row r="483" spans="1:11" s="2" customFormat="1" x14ac:dyDescent="0.25">
      <c r="A483" s="39">
        <v>306</v>
      </c>
      <c r="B483" s="23" t="s">
        <v>192</v>
      </c>
      <c r="C483" s="23">
        <f t="shared" ref="C483:C484" si="68">10.764*(53.05+(3.05*0.6+1.85*0.6)+5.94)</f>
        <v>666.61451999999986</v>
      </c>
      <c r="D483" s="23">
        <v>0</v>
      </c>
      <c r="E483" s="23">
        <f t="shared" si="62"/>
        <v>666.61451999999986</v>
      </c>
      <c r="F483" s="23">
        <f t="shared" ref="F483:F484" si="69">10.764*4.5</f>
        <v>48.437999999999995</v>
      </c>
      <c r="G483" s="23">
        <v>1230</v>
      </c>
      <c r="H483" s="161"/>
      <c r="K483" s="91">
        <f t="shared" si="61"/>
        <v>1.7201533671960212</v>
      </c>
    </row>
    <row r="484" spans="1:11" s="2" customFormat="1" x14ac:dyDescent="0.25">
      <c r="A484" s="39">
        <v>307</v>
      </c>
      <c r="B484" s="23" t="s">
        <v>192</v>
      </c>
      <c r="C484" s="23">
        <f t="shared" si="68"/>
        <v>666.61451999999986</v>
      </c>
      <c r="D484" s="23">
        <v>0</v>
      </c>
      <c r="E484" s="23">
        <f t="shared" si="62"/>
        <v>666.61451999999986</v>
      </c>
      <c r="F484" s="23">
        <f t="shared" si="69"/>
        <v>48.437999999999995</v>
      </c>
      <c r="G484" s="23">
        <v>1230</v>
      </c>
      <c r="H484" s="161"/>
      <c r="K484" s="91">
        <f t="shared" si="61"/>
        <v>1.7201533671960212</v>
      </c>
    </row>
    <row r="485" spans="1:11" s="2" customFormat="1" ht="16.5" thickBot="1" x14ac:dyDescent="0.3">
      <c r="A485" s="40">
        <v>308</v>
      </c>
      <c r="B485" s="41" t="s">
        <v>175</v>
      </c>
      <c r="C485" s="41">
        <f>10.764*(65.229+(3.8*0.6+2.75*0.6)+4.17)</f>
        <v>789.31335599999989</v>
      </c>
      <c r="D485" s="41">
        <v>0</v>
      </c>
      <c r="E485" s="41">
        <f t="shared" si="62"/>
        <v>789.31335599999989</v>
      </c>
      <c r="F485" s="41">
        <f>10.764*4.5</f>
        <v>48.437999999999995</v>
      </c>
      <c r="G485" s="41">
        <v>1885</v>
      </c>
      <c r="H485" s="154"/>
      <c r="K485" s="91">
        <f t="shared" si="61"/>
        <v>2.250070962582841</v>
      </c>
    </row>
    <row r="486" spans="1:11" s="2" customFormat="1" x14ac:dyDescent="0.25">
      <c r="A486" s="38">
        <v>401</v>
      </c>
      <c r="B486" s="42" t="s">
        <v>175</v>
      </c>
      <c r="C486" s="42">
        <f>10.764*(65.229+(3*0.6+2.75*0.6)+4.17)</f>
        <v>784.14663599999994</v>
      </c>
      <c r="D486" s="42">
        <v>0</v>
      </c>
      <c r="E486" s="42">
        <f t="shared" si="62"/>
        <v>784.14663599999994</v>
      </c>
      <c r="F486" s="42">
        <f>10.764*4.5</f>
        <v>48.437999999999995</v>
      </c>
      <c r="G486" s="42">
        <v>1885</v>
      </c>
      <c r="H486" s="153" t="s">
        <v>177</v>
      </c>
      <c r="K486" s="91">
        <f t="shared" si="61"/>
        <v>2.264034091544298</v>
      </c>
    </row>
    <row r="487" spans="1:11" s="2" customFormat="1" x14ac:dyDescent="0.25">
      <c r="A487" s="39">
        <v>402</v>
      </c>
      <c r="B487" s="23" t="s">
        <v>192</v>
      </c>
      <c r="C487" s="23">
        <f>10.764*(43.471+(2.8*0.6+1.7*0.6)+6.428)</f>
        <v>566.17563599999994</v>
      </c>
      <c r="D487" s="23">
        <v>0</v>
      </c>
      <c r="E487" s="23">
        <f t="shared" si="62"/>
        <v>566.17563599999994</v>
      </c>
      <c r="F487" s="23">
        <f t="shared" ref="F487:F493" si="70">10.764*4.5</f>
        <v>48.437999999999995</v>
      </c>
      <c r="G487" s="23">
        <v>1230</v>
      </c>
      <c r="H487" s="161"/>
      <c r="K487" s="91">
        <f t="shared" si="61"/>
        <v>2.0012572581451806</v>
      </c>
    </row>
    <row r="488" spans="1:11" s="2" customFormat="1" x14ac:dyDescent="0.25">
      <c r="A488" s="39">
        <v>403</v>
      </c>
      <c r="B488" s="23" t="s">
        <v>192</v>
      </c>
      <c r="C488" s="23">
        <f t="shared" ref="C488:C489" si="71">10.764*(43.471+(2.8*0.6+1.7*0.6)+6.428)</f>
        <v>566.17563599999994</v>
      </c>
      <c r="D488" s="23">
        <v>0</v>
      </c>
      <c r="E488" s="23">
        <f t="shared" si="62"/>
        <v>566.17563599999994</v>
      </c>
      <c r="F488" s="23">
        <f t="shared" si="70"/>
        <v>48.437999999999995</v>
      </c>
      <c r="G488" s="23">
        <v>1230</v>
      </c>
      <c r="H488" s="161"/>
      <c r="K488" s="91">
        <f t="shared" si="61"/>
        <v>2.0012572581451806</v>
      </c>
    </row>
    <row r="489" spans="1:11" s="2" customFormat="1" x14ac:dyDescent="0.25">
      <c r="A489" s="39">
        <v>404</v>
      </c>
      <c r="B489" s="23" t="s">
        <v>192</v>
      </c>
      <c r="C489" s="23">
        <f t="shared" si="71"/>
        <v>566.17563599999994</v>
      </c>
      <c r="D489" s="23">
        <v>0</v>
      </c>
      <c r="E489" s="23">
        <f t="shared" si="62"/>
        <v>566.17563599999994</v>
      </c>
      <c r="F489" s="23">
        <f t="shared" si="70"/>
        <v>48.437999999999995</v>
      </c>
      <c r="G489" s="23">
        <v>1230</v>
      </c>
      <c r="H489" s="161"/>
      <c r="K489" s="91">
        <f t="shared" si="61"/>
        <v>2.0012572581451806</v>
      </c>
    </row>
    <row r="490" spans="1:11" s="2" customFormat="1" x14ac:dyDescent="0.25">
      <c r="A490" s="39">
        <v>405</v>
      </c>
      <c r="B490" s="23" t="s">
        <v>192</v>
      </c>
      <c r="C490" s="23">
        <f>10.764*(53.05+(3*0.6+1.85*0.6)+5.94)</f>
        <v>666.2915999999999</v>
      </c>
      <c r="D490" s="23">
        <v>0</v>
      </c>
      <c r="E490" s="23">
        <f t="shared" si="62"/>
        <v>666.2915999999999</v>
      </c>
      <c r="F490" s="23">
        <f t="shared" si="70"/>
        <v>48.437999999999995</v>
      </c>
      <c r="G490" s="23">
        <v>1230</v>
      </c>
      <c r="H490" s="161"/>
      <c r="K490" s="91">
        <f t="shared" si="61"/>
        <v>1.7209305449221639</v>
      </c>
    </row>
    <row r="491" spans="1:11" s="2" customFormat="1" x14ac:dyDescent="0.25">
      <c r="A491" s="39">
        <v>406</v>
      </c>
      <c r="B491" s="23" t="s">
        <v>192</v>
      </c>
      <c r="C491" s="23">
        <f t="shared" ref="C491:C492" si="72">10.764*(53.05+(3*0.6+1.85*0.6)+5.94)</f>
        <v>666.2915999999999</v>
      </c>
      <c r="D491" s="23">
        <v>0</v>
      </c>
      <c r="E491" s="23">
        <f t="shared" si="62"/>
        <v>666.2915999999999</v>
      </c>
      <c r="F491" s="23">
        <f t="shared" si="70"/>
        <v>48.437999999999995</v>
      </c>
      <c r="G491" s="23">
        <v>1230</v>
      </c>
      <c r="H491" s="161"/>
      <c r="K491" s="91">
        <f t="shared" si="61"/>
        <v>1.7209305449221639</v>
      </c>
    </row>
    <row r="492" spans="1:11" s="2" customFormat="1" x14ac:dyDescent="0.25">
      <c r="A492" s="39">
        <v>407</v>
      </c>
      <c r="B492" s="23" t="s">
        <v>192</v>
      </c>
      <c r="C492" s="23">
        <f t="shared" si="72"/>
        <v>666.2915999999999</v>
      </c>
      <c r="D492" s="23">
        <v>0</v>
      </c>
      <c r="E492" s="23">
        <f t="shared" si="62"/>
        <v>666.2915999999999</v>
      </c>
      <c r="F492" s="23">
        <f t="shared" si="70"/>
        <v>48.437999999999995</v>
      </c>
      <c r="G492" s="23">
        <v>1230</v>
      </c>
      <c r="H492" s="161"/>
      <c r="K492" s="91">
        <f t="shared" si="61"/>
        <v>1.7209305449221639</v>
      </c>
    </row>
    <row r="493" spans="1:11" s="2" customFormat="1" ht="16.5" thickBot="1" x14ac:dyDescent="0.3">
      <c r="A493" s="40">
        <v>408</v>
      </c>
      <c r="B493" s="41" t="s">
        <v>175</v>
      </c>
      <c r="C493" s="41">
        <f>10.764*(65.229+(3*0.6+2.75*0.6)+4.17)</f>
        <v>784.14663599999994</v>
      </c>
      <c r="D493" s="41">
        <v>0</v>
      </c>
      <c r="E493" s="41">
        <f t="shared" si="62"/>
        <v>784.14663599999994</v>
      </c>
      <c r="F493" s="41">
        <f t="shared" si="70"/>
        <v>48.437999999999995</v>
      </c>
      <c r="G493" s="41">
        <v>1885</v>
      </c>
      <c r="H493" s="154"/>
      <c r="K493" s="91">
        <f t="shared" si="61"/>
        <v>2.264034091544298</v>
      </c>
    </row>
    <row r="494" spans="1:11" s="2" customFormat="1" x14ac:dyDescent="0.25">
      <c r="A494" s="38">
        <v>501</v>
      </c>
      <c r="B494" s="42" t="s">
        <v>175</v>
      </c>
      <c r="C494" s="42">
        <f>10.764*(65.229+(3.8*0.6+2.75*0.6)+4.17)</f>
        <v>789.31335599999989</v>
      </c>
      <c r="D494" s="42">
        <v>0</v>
      </c>
      <c r="E494" s="42">
        <f t="shared" si="62"/>
        <v>789.31335599999989</v>
      </c>
      <c r="F494" s="42">
        <f>10.764*4.5</f>
        <v>48.437999999999995</v>
      </c>
      <c r="G494" s="42">
        <v>1885</v>
      </c>
      <c r="H494" s="153" t="s">
        <v>178</v>
      </c>
      <c r="K494" s="91">
        <f t="shared" si="61"/>
        <v>2.250070962582841</v>
      </c>
    </row>
    <row r="495" spans="1:11" s="2" customFormat="1" x14ac:dyDescent="0.25">
      <c r="A495" s="39">
        <v>502</v>
      </c>
      <c r="B495" s="23" t="s">
        <v>192</v>
      </c>
      <c r="C495" s="23">
        <f>10.764*(43.471+(3.35*0.6+1.7*0.6)+6.428)</f>
        <v>569.72775599999989</v>
      </c>
      <c r="D495" s="23">
        <v>0</v>
      </c>
      <c r="E495" s="23">
        <f t="shared" si="62"/>
        <v>569.72775599999989</v>
      </c>
      <c r="F495" s="23">
        <f>10.764*4.2</f>
        <v>45.208799999999997</v>
      </c>
      <c r="G495" s="23">
        <v>1230</v>
      </c>
      <c r="H495" s="161"/>
      <c r="K495" s="91">
        <f t="shared" si="61"/>
        <v>2.0002063432377897</v>
      </c>
    </row>
    <row r="496" spans="1:11" s="2" customFormat="1" x14ac:dyDescent="0.25">
      <c r="A496" s="39">
        <v>503</v>
      </c>
      <c r="B496" s="23" t="s">
        <v>192</v>
      </c>
      <c r="C496" s="23">
        <f t="shared" ref="C496:C497" si="73">10.764*(43.471+(3.35*0.6+1.7*0.6)+6.428)</f>
        <v>569.72775599999989</v>
      </c>
      <c r="D496" s="23">
        <v>0</v>
      </c>
      <c r="E496" s="23">
        <f t="shared" si="62"/>
        <v>569.72775599999989</v>
      </c>
      <c r="F496" s="23">
        <f>10.764*4.35</f>
        <v>46.823399999999992</v>
      </c>
      <c r="G496" s="23">
        <v>1230</v>
      </c>
      <c r="H496" s="161"/>
      <c r="K496" s="91">
        <f t="shared" si="61"/>
        <v>1.99496828126943</v>
      </c>
    </row>
    <row r="497" spans="1:11" s="2" customFormat="1" x14ac:dyDescent="0.25">
      <c r="A497" s="39">
        <v>504</v>
      </c>
      <c r="B497" s="23" t="s">
        <v>192</v>
      </c>
      <c r="C497" s="23">
        <f t="shared" si="73"/>
        <v>569.72775599999989</v>
      </c>
      <c r="D497" s="23">
        <v>0</v>
      </c>
      <c r="E497" s="23">
        <f t="shared" si="62"/>
        <v>569.72775599999989</v>
      </c>
      <c r="F497" s="23">
        <f>10.764*4.35</f>
        <v>46.823399999999992</v>
      </c>
      <c r="G497" s="23">
        <v>1230</v>
      </c>
      <c r="H497" s="161"/>
      <c r="K497" s="91">
        <f t="shared" si="61"/>
        <v>1.99496828126943</v>
      </c>
    </row>
    <row r="498" spans="1:11" s="2" customFormat="1" x14ac:dyDescent="0.25">
      <c r="A498" s="39">
        <v>505</v>
      </c>
      <c r="B498" s="23" t="s">
        <v>192</v>
      </c>
      <c r="C498" s="23">
        <f>10.764*(53.05+(3.05*0.6+1.85*0.6)+5.94)</f>
        <v>666.61451999999986</v>
      </c>
      <c r="D498" s="23">
        <v>0</v>
      </c>
      <c r="E498" s="23">
        <f t="shared" si="62"/>
        <v>666.61451999999986</v>
      </c>
      <c r="F498" s="23">
        <f>10.764*4.5</f>
        <v>48.437999999999995</v>
      </c>
      <c r="G498" s="23">
        <v>1230</v>
      </c>
      <c r="H498" s="161"/>
      <c r="K498" s="91">
        <f t="shared" si="61"/>
        <v>1.7201533671960212</v>
      </c>
    </row>
    <row r="499" spans="1:11" s="2" customFormat="1" x14ac:dyDescent="0.25">
      <c r="A499" s="39">
        <v>506</v>
      </c>
      <c r="B499" s="23" t="s">
        <v>192</v>
      </c>
      <c r="C499" s="23">
        <f t="shared" ref="C499:C500" si="74">10.764*(53.05+(3.05*0.6+1.85*0.6)+5.94)</f>
        <v>666.61451999999986</v>
      </c>
      <c r="D499" s="23">
        <v>0</v>
      </c>
      <c r="E499" s="23">
        <f t="shared" si="62"/>
        <v>666.61451999999986</v>
      </c>
      <c r="F499" s="23">
        <f t="shared" ref="F499:F500" si="75">10.764*4.5</f>
        <v>48.437999999999995</v>
      </c>
      <c r="G499" s="23">
        <v>1230</v>
      </c>
      <c r="H499" s="161"/>
      <c r="K499" s="91">
        <f t="shared" si="61"/>
        <v>1.7201533671960212</v>
      </c>
    </row>
    <row r="500" spans="1:11" s="2" customFormat="1" x14ac:dyDescent="0.25">
      <c r="A500" s="39">
        <v>507</v>
      </c>
      <c r="B500" s="23" t="s">
        <v>192</v>
      </c>
      <c r="C500" s="23">
        <f t="shared" si="74"/>
        <v>666.61451999999986</v>
      </c>
      <c r="D500" s="23">
        <v>0</v>
      </c>
      <c r="E500" s="23">
        <f t="shared" si="62"/>
        <v>666.61451999999986</v>
      </c>
      <c r="F500" s="23">
        <f t="shared" si="75"/>
        <v>48.437999999999995</v>
      </c>
      <c r="G500" s="23">
        <v>1230</v>
      </c>
      <c r="H500" s="161"/>
      <c r="K500" s="91">
        <f t="shared" si="61"/>
        <v>1.7201533671960212</v>
      </c>
    </row>
    <row r="501" spans="1:11" s="2" customFormat="1" ht="16.5" thickBot="1" x14ac:dyDescent="0.3">
      <c r="A501" s="40">
        <v>508</v>
      </c>
      <c r="B501" s="41" t="s">
        <v>175</v>
      </c>
      <c r="C501" s="41">
        <f>10.764*(65.229+(3.8*0.6+2.75*0.6)+4.17)</f>
        <v>789.31335599999989</v>
      </c>
      <c r="D501" s="41">
        <v>0</v>
      </c>
      <c r="E501" s="41">
        <f t="shared" si="62"/>
        <v>789.31335599999989</v>
      </c>
      <c r="F501" s="41">
        <f>10.764*4.5</f>
        <v>48.437999999999995</v>
      </c>
      <c r="G501" s="41">
        <v>1885</v>
      </c>
      <c r="H501" s="154"/>
      <c r="K501" s="91">
        <f t="shared" si="61"/>
        <v>2.250070962582841</v>
      </c>
    </row>
    <row r="502" spans="1:11" s="2" customFormat="1" x14ac:dyDescent="0.25">
      <c r="A502" s="38">
        <v>601</v>
      </c>
      <c r="B502" s="42" t="s">
        <v>175</v>
      </c>
      <c r="C502" s="42">
        <f>10.764*(65.229+(3*0.6+2.75*0.6)+4.17)</f>
        <v>784.14663599999994</v>
      </c>
      <c r="D502" s="42">
        <v>0</v>
      </c>
      <c r="E502" s="42">
        <f t="shared" si="62"/>
        <v>784.14663599999994</v>
      </c>
      <c r="F502" s="42">
        <f>10.764*4.5</f>
        <v>48.437999999999995</v>
      </c>
      <c r="G502" s="42">
        <v>1885</v>
      </c>
      <c r="H502" s="153" t="s">
        <v>179</v>
      </c>
      <c r="K502" s="91">
        <f t="shared" si="61"/>
        <v>2.264034091544298</v>
      </c>
    </row>
    <row r="503" spans="1:11" s="2" customFormat="1" x14ac:dyDescent="0.25">
      <c r="A503" s="39">
        <v>602</v>
      </c>
      <c r="B503" s="23" t="s">
        <v>192</v>
      </c>
      <c r="C503" s="23">
        <f>10.764*(43.471+(2.8*0.6+1.7*0.6)+6.428)</f>
        <v>566.17563599999994</v>
      </c>
      <c r="D503" s="23">
        <v>0</v>
      </c>
      <c r="E503" s="23">
        <f t="shared" si="62"/>
        <v>566.17563599999994</v>
      </c>
      <c r="F503" s="23">
        <f t="shared" ref="F503:F509" si="76">10.764*4.5</f>
        <v>48.437999999999995</v>
      </c>
      <c r="G503" s="23">
        <v>1230</v>
      </c>
      <c r="H503" s="161"/>
      <c r="K503" s="91">
        <f t="shared" si="61"/>
        <v>2.0012572581451806</v>
      </c>
    </row>
    <row r="504" spans="1:11" s="2" customFormat="1" x14ac:dyDescent="0.25">
      <c r="A504" s="39">
        <v>603</v>
      </c>
      <c r="B504" s="23" t="s">
        <v>192</v>
      </c>
      <c r="C504" s="23">
        <f t="shared" ref="C504:C505" si="77">10.764*(43.471+(2.8*0.6+1.7*0.6)+6.428)</f>
        <v>566.17563599999994</v>
      </c>
      <c r="D504" s="23">
        <v>0</v>
      </c>
      <c r="E504" s="23">
        <f t="shared" si="62"/>
        <v>566.17563599999994</v>
      </c>
      <c r="F504" s="23">
        <f t="shared" si="76"/>
        <v>48.437999999999995</v>
      </c>
      <c r="G504" s="23">
        <v>1230</v>
      </c>
      <c r="H504" s="161"/>
      <c r="K504" s="91">
        <f t="shared" si="61"/>
        <v>2.0012572581451806</v>
      </c>
    </row>
    <row r="505" spans="1:11" s="2" customFormat="1" x14ac:dyDescent="0.25">
      <c r="A505" s="39">
        <v>604</v>
      </c>
      <c r="B505" s="23" t="s">
        <v>192</v>
      </c>
      <c r="C505" s="23">
        <f t="shared" si="77"/>
        <v>566.17563599999994</v>
      </c>
      <c r="D505" s="23">
        <v>0</v>
      </c>
      <c r="E505" s="23">
        <f t="shared" si="62"/>
        <v>566.17563599999994</v>
      </c>
      <c r="F505" s="23">
        <f t="shared" si="76"/>
        <v>48.437999999999995</v>
      </c>
      <c r="G505" s="23">
        <v>1230</v>
      </c>
      <c r="H505" s="161"/>
      <c r="K505" s="91">
        <f t="shared" si="61"/>
        <v>2.0012572581451806</v>
      </c>
    </row>
    <row r="506" spans="1:11" s="2" customFormat="1" x14ac:dyDescent="0.25">
      <c r="A506" s="39">
        <v>605</v>
      </c>
      <c r="B506" s="23" t="s">
        <v>192</v>
      </c>
      <c r="C506" s="23">
        <f>10.764*(53.05+(3*0.6+1.85*0.6)+5.94)</f>
        <v>666.2915999999999</v>
      </c>
      <c r="D506" s="23">
        <v>0</v>
      </c>
      <c r="E506" s="23">
        <f t="shared" si="62"/>
        <v>666.2915999999999</v>
      </c>
      <c r="F506" s="23">
        <f t="shared" si="76"/>
        <v>48.437999999999995</v>
      </c>
      <c r="G506" s="23">
        <v>1230</v>
      </c>
      <c r="H506" s="161"/>
      <c r="K506" s="91">
        <f t="shared" si="61"/>
        <v>1.7209305449221639</v>
      </c>
    </row>
    <row r="507" spans="1:11" s="2" customFormat="1" x14ac:dyDescent="0.25">
      <c r="A507" s="39">
        <v>606</v>
      </c>
      <c r="B507" s="23" t="s">
        <v>192</v>
      </c>
      <c r="C507" s="23">
        <f t="shared" ref="C507:C508" si="78">10.764*(53.05+(3*0.6+1.85*0.6)+5.94)</f>
        <v>666.2915999999999</v>
      </c>
      <c r="D507" s="23">
        <v>0</v>
      </c>
      <c r="E507" s="23">
        <f t="shared" si="62"/>
        <v>666.2915999999999</v>
      </c>
      <c r="F507" s="23">
        <f t="shared" si="76"/>
        <v>48.437999999999995</v>
      </c>
      <c r="G507" s="23">
        <v>1230</v>
      </c>
      <c r="H507" s="161"/>
      <c r="K507" s="91">
        <f t="shared" si="61"/>
        <v>1.7209305449221639</v>
      </c>
    </row>
    <row r="508" spans="1:11" s="2" customFormat="1" x14ac:dyDescent="0.25">
      <c r="A508" s="39">
        <v>607</v>
      </c>
      <c r="B508" s="23" t="s">
        <v>192</v>
      </c>
      <c r="C508" s="23">
        <f t="shared" si="78"/>
        <v>666.2915999999999</v>
      </c>
      <c r="D508" s="23">
        <v>0</v>
      </c>
      <c r="E508" s="23">
        <f t="shared" si="62"/>
        <v>666.2915999999999</v>
      </c>
      <c r="F508" s="23">
        <f t="shared" si="76"/>
        <v>48.437999999999995</v>
      </c>
      <c r="G508" s="23">
        <v>1230</v>
      </c>
      <c r="H508" s="161"/>
      <c r="K508" s="91">
        <f t="shared" si="61"/>
        <v>1.7209305449221639</v>
      </c>
    </row>
    <row r="509" spans="1:11" s="2" customFormat="1" ht="16.5" thickBot="1" x14ac:dyDescent="0.3">
      <c r="A509" s="40">
        <v>608</v>
      </c>
      <c r="B509" s="41" t="s">
        <v>175</v>
      </c>
      <c r="C509" s="41">
        <f>10.764*(65.229+(3*0.6+2.75*0.6)+4.17)</f>
        <v>784.14663599999994</v>
      </c>
      <c r="D509" s="41">
        <v>0</v>
      </c>
      <c r="E509" s="41">
        <f t="shared" si="62"/>
        <v>784.14663599999994</v>
      </c>
      <c r="F509" s="41">
        <f t="shared" si="76"/>
        <v>48.437999999999995</v>
      </c>
      <c r="G509" s="41">
        <v>1885</v>
      </c>
      <c r="H509" s="154"/>
      <c r="K509" s="91">
        <f t="shared" si="61"/>
        <v>2.264034091544298</v>
      </c>
    </row>
    <row r="510" spans="1:11" s="2" customFormat="1" x14ac:dyDescent="0.25">
      <c r="A510" s="38">
        <v>701</v>
      </c>
      <c r="B510" s="42" t="s">
        <v>175</v>
      </c>
      <c r="C510" s="42">
        <f>10.764*(65.229+(3.8*0.6+2.75*0.6)+4.17)</f>
        <v>789.31335599999989</v>
      </c>
      <c r="D510" s="42">
        <v>0</v>
      </c>
      <c r="E510" s="42">
        <f t="shared" si="62"/>
        <v>789.31335599999989</v>
      </c>
      <c r="F510" s="42">
        <f>10.764*4.5</f>
        <v>48.437999999999995</v>
      </c>
      <c r="G510" s="42">
        <v>1885</v>
      </c>
      <c r="H510" s="153" t="s">
        <v>180</v>
      </c>
      <c r="K510" s="91">
        <f t="shared" si="61"/>
        <v>2.250070962582841</v>
      </c>
    </row>
    <row r="511" spans="1:11" s="2" customFormat="1" x14ac:dyDescent="0.25">
      <c r="A511" s="39">
        <v>702</v>
      </c>
      <c r="B511" s="23" t="s">
        <v>192</v>
      </c>
      <c r="C511" s="23">
        <f>10.764*(43.471+(3.35*0.6+1.7*0.6)+6.428)</f>
        <v>569.72775599999989</v>
      </c>
      <c r="D511" s="23">
        <v>0</v>
      </c>
      <c r="E511" s="23">
        <f t="shared" si="62"/>
        <v>569.72775599999989</v>
      </c>
      <c r="F511" s="23">
        <f>10.764*4.2</f>
        <v>45.208799999999997</v>
      </c>
      <c r="G511" s="23">
        <v>1230</v>
      </c>
      <c r="H511" s="161"/>
      <c r="K511" s="91">
        <f t="shared" si="61"/>
        <v>2.0002063432377897</v>
      </c>
    </row>
    <row r="512" spans="1:11" s="2" customFormat="1" x14ac:dyDescent="0.25">
      <c r="A512" s="39">
        <v>703</v>
      </c>
      <c r="B512" s="23" t="s">
        <v>192</v>
      </c>
      <c r="C512" s="23">
        <f t="shared" ref="C512:C513" si="79">10.764*(43.471+(3.35*0.6+1.7*0.6)+6.428)</f>
        <v>569.72775599999989</v>
      </c>
      <c r="D512" s="23">
        <v>0</v>
      </c>
      <c r="E512" s="23">
        <f t="shared" si="62"/>
        <v>569.72775599999989</v>
      </c>
      <c r="F512" s="23">
        <f>10.764*4.35</f>
        <v>46.823399999999992</v>
      </c>
      <c r="G512" s="23">
        <v>1230</v>
      </c>
      <c r="H512" s="161"/>
      <c r="K512" s="91">
        <f t="shared" si="61"/>
        <v>1.99496828126943</v>
      </c>
    </row>
    <row r="513" spans="1:11" s="2" customFormat="1" x14ac:dyDescent="0.25">
      <c r="A513" s="39">
        <v>704</v>
      </c>
      <c r="B513" s="23" t="s">
        <v>192</v>
      </c>
      <c r="C513" s="23">
        <f t="shared" si="79"/>
        <v>569.72775599999989</v>
      </c>
      <c r="D513" s="23">
        <v>0</v>
      </c>
      <c r="E513" s="23">
        <f t="shared" si="62"/>
        <v>569.72775599999989</v>
      </c>
      <c r="F513" s="23">
        <f>10.764*4.35</f>
        <v>46.823399999999992</v>
      </c>
      <c r="G513" s="23">
        <v>1230</v>
      </c>
      <c r="H513" s="161"/>
      <c r="K513" s="91">
        <f t="shared" si="61"/>
        <v>1.99496828126943</v>
      </c>
    </row>
    <row r="514" spans="1:11" s="2" customFormat="1" x14ac:dyDescent="0.25">
      <c r="A514" s="39">
        <v>705</v>
      </c>
      <c r="B514" s="23" t="s">
        <v>192</v>
      </c>
      <c r="C514" s="23">
        <f>10.764*(53.05+(3.05*0.6+1.85*0.6)+5.94)</f>
        <v>666.61451999999986</v>
      </c>
      <c r="D514" s="23">
        <v>0</v>
      </c>
      <c r="E514" s="23">
        <f t="shared" si="62"/>
        <v>666.61451999999986</v>
      </c>
      <c r="F514" s="23">
        <f>10.764*4.5</f>
        <v>48.437999999999995</v>
      </c>
      <c r="G514" s="23">
        <v>1230</v>
      </c>
      <c r="H514" s="161"/>
      <c r="K514" s="91">
        <f t="shared" si="61"/>
        <v>1.7201533671960212</v>
      </c>
    </row>
    <row r="515" spans="1:11" s="2" customFormat="1" x14ac:dyDescent="0.25">
      <c r="A515" s="39">
        <v>707</v>
      </c>
      <c r="B515" s="23" t="s">
        <v>192</v>
      </c>
      <c r="C515" s="23">
        <f t="shared" ref="C515:C516" si="80">10.764*(53.05+(3.05*0.6+1.85*0.6)+5.94)</f>
        <v>666.61451999999986</v>
      </c>
      <c r="D515" s="23">
        <v>0</v>
      </c>
      <c r="E515" s="23">
        <f t="shared" si="62"/>
        <v>666.61451999999986</v>
      </c>
      <c r="F515" s="23">
        <f t="shared" ref="F515:F516" si="81">10.764*4.5</f>
        <v>48.437999999999995</v>
      </c>
      <c r="G515" s="23">
        <v>1230</v>
      </c>
      <c r="H515" s="161"/>
      <c r="K515" s="91">
        <f t="shared" si="61"/>
        <v>1.7201533671960212</v>
      </c>
    </row>
    <row r="516" spans="1:11" s="2" customFormat="1" x14ac:dyDescent="0.25">
      <c r="A516" s="39">
        <v>707</v>
      </c>
      <c r="B516" s="23" t="s">
        <v>192</v>
      </c>
      <c r="C516" s="23">
        <f t="shared" si="80"/>
        <v>666.61451999999986</v>
      </c>
      <c r="D516" s="23">
        <v>0</v>
      </c>
      <c r="E516" s="23">
        <f t="shared" si="62"/>
        <v>666.61451999999986</v>
      </c>
      <c r="F516" s="23">
        <f t="shared" si="81"/>
        <v>48.437999999999995</v>
      </c>
      <c r="G516" s="23">
        <v>1230</v>
      </c>
      <c r="H516" s="161"/>
      <c r="K516" s="91">
        <f t="shared" si="61"/>
        <v>1.7201533671960212</v>
      </c>
    </row>
    <row r="517" spans="1:11" s="2" customFormat="1" ht="16.5" thickBot="1" x14ac:dyDescent="0.3">
      <c r="A517" s="40">
        <v>708</v>
      </c>
      <c r="B517" s="41" t="s">
        <v>175</v>
      </c>
      <c r="C517" s="41">
        <f>10.764*(65.229+(3.8*0.6+2.75*0.6)+4.17)</f>
        <v>789.31335599999989</v>
      </c>
      <c r="D517" s="41">
        <v>0</v>
      </c>
      <c r="E517" s="41">
        <f t="shared" si="62"/>
        <v>789.31335599999989</v>
      </c>
      <c r="F517" s="41">
        <f>10.764*4.5</f>
        <v>48.437999999999995</v>
      </c>
      <c r="G517" s="41">
        <v>1885</v>
      </c>
      <c r="H517" s="154"/>
      <c r="K517" s="91">
        <f t="shared" si="61"/>
        <v>2.250070962582841</v>
      </c>
    </row>
    <row r="518" spans="1:11" s="2" customFormat="1" ht="15.75" customHeight="1" x14ac:dyDescent="0.25">
      <c r="A518" s="38">
        <v>801</v>
      </c>
      <c r="B518" s="213" t="s">
        <v>196</v>
      </c>
      <c r="C518" s="214"/>
      <c r="D518" s="214"/>
      <c r="E518" s="214"/>
      <c r="F518" s="214"/>
      <c r="G518" s="215"/>
      <c r="H518" s="153" t="s">
        <v>181</v>
      </c>
      <c r="K518" s="91" t="e">
        <f t="shared" si="61"/>
        <v>#DIV/0!</v>
      </c>
    </row>
    <row r="519" spans="1:11" s="2" customFormat="1" x14ac:dyDescent="0.25">
      <c r="A519" s="39">
        <v>802</v>
      </c>
      <c r="B519" s="23" t="s">
        <v>192</v>
      </c>
      <c r="C519" s="23">
        <f>10.764*(43.471+2.7+6.428)</f>
        <v>566.17563599999994</v>
      </c>
      <c r="D519" s="23">
        <v>0</v>
      </c>
      <c r="E519" s="23">
        <f t="shared" si="62"/>
        <v>566.17563599999994</v>
      </c>
      <c r="F519" s="23">
        <f>10.764*(4.5+22.805)</f>
        <v>293.91101999999995</v>
      </c>
      <c r="G519" s="23">
        <v>1230</v>
      </c>
      <c r="H519" s="161"/>
      <c r="K519" s="91">
        <f t="shared" si="61"/>
        <v>1.4300884584355185</v>
      </c>
    </row>
    <row r="520" spans="1:11" s="2" customFormat="1" x14ac:dyDescent="0.25">
      <c r="A520" s="39">
        <v>803</v>
      </c>
      <c r="B520" s="23" t="s">
        <v>192</v>
      </c>
      <c r="C520" s="23">
        <f>10.764*(43.471+2.73+6.428)</f>
        <v>566.49855599999989</v>
      </c>
      <c r="D520" s="23">
        <v>0</v>
      </c>
      <c r="E520" s="23">
        <f t="shared" si="62"/>
        <v>566.49855599999989</v>
      </c>
      <c r="F520" s="23">
        <f t="shared" ref="F520:F525" si="82">10.764*4.5</f>
        <v>48.437999999999995</v>
      </c>
      <c r="G520" s="23">
        <v>1230</v>
      </c>
      <c r="H520" s="161"/>
      <c r="K520" s="91">
        <f t="shared" si="61"/>
        <v>2.0002063432377897</v>
      </c>
    </row>
    <row r="521" spans="1:11" s="2" customFormat="1" x14ac:dyDescent="0.25">
      <c r="A521" s="39">
        <v>804</v>
      </c>
      <c r="B521" s="23" t="s">
        <v>192</v>
      </c>
      <c r="C521" s="23">
        <f t="shared" ref="C521" si="83">10.764*(43.471+2.7+6.428)</f>
        <v>566.17563599999994</v>
      </c>
      <c r="D521" s="23">
        <v>0</v>
      </c>
      <c r="E521" s="23">
        <f t="shared" si="62"/>
        <v>566.17563599999994</v>
      </c>
      <c r="F521" s="23">
        <f t="shared" si="82"/>
        <v>48.437999999999995</v>
      </c>
      <c r="G521" s="23">
        <v>1230</v>
      </c>
      <c r="H521" s="161"/>
      <c r="K521" s="91">
        <f t="shared" si="61"/>
        <v>2.0012572581451806</v>
      </c>
    </row>
    <row r="522" spans="1:11" s="2" customFormat="1" x14ac:dyDescent="0.25">
      <c r="A522" s="39">
        <v>805</v>
      </c>
      <c r="B522" s="23" t="s">
        <v>192</v>
      </c>
      <c r="C522" s="23">
        <f>10.764*(43.471+2.91+6.94)</f>
        <v>573.94724399999996</v>
      </c>
      <c r="D522" s="23">
        <v>0</v>
      </c>
      <c r="E522" s="23">
        <f t="shared" si="62"/>
        <v>573.94724399999996</v>
      </c>
      <c r="F522" s="23">
        <f t="shared" si="82"/>
        <v>48.437999999999995</v>
      </c>
      <c r="G522" s="23">
        <v>1230</v>
      </c>
      <c r="H522" s="161"/>
      <c r="K522" s="91">
        <f t="shared" si="61"/>
        <v>1.9762679334987578</v>
      </c>
    </row>
    <row r="523" spans="1:11" s="2" customFormat="1" x14ac:dyDescent="0.25">
      <c r="A523" s="39">
        <v>806</v>
      </c>
      <c r="B523" s="23" t="s">
        <v>192</v>
      </c>
      <c r="C523" s="23">
        <f t="shared" ref="C523:C524" si="84">10.764*(43.471+2.91+6.94)</f>
        <v>573.94724399999996</v>
      </c>
      <c r="D523" s="23">
        <v>0</v>
      </c>
      <c r="E523" s="23">
        <f t="shared" si="62"/>
        <v>573.94724399999996</v>
      </c>
      <c r="F523" s="23">
        <f t="shared" si="82"/>
        <v>48.437999999999995</v>
      </c>
      <c r="G523" s="23">
        <v>1230</v>
      </c>
      <c r="H523" s="161"/>
      <c r="K523" s="91">
        <f t="shared" si="61"/>
        <v>1.9762679334987578</v>
      </c>
    </row>
    <row r="524" spans="1:11" s="2" customFormat="1" x14ac:dyDescent="0.25">
      <c r="A524" s="39">
        <v>807</v>
      </c>
      <c r="B524" s="23" t="s">
        <v>192</v>
      </c>
      <c r="C524" s="23">
        <f t="shared" si="84"/>
        <v>573.94724399999996</v>
      </c>
      <c r="D524" s="23">
        <v>0</v>
      </c>
      <c r="E524" s="23">
        <f t="shared" si="62"/>
        <v>573.94724399999996</v>
      </c>
      <c r="F524" s="23">
        <f t="shared" si="82"/>
        <v>48.437999999999995</v>
      </c>
      <c r="G524" s="23">
        <v>1230</v>
      </c>
      <c r="H524" s="161"/>
      <c r="K524" s="91">
        <f t="shared" si="61"/>
        <v>1.9762679334987578</v>
      </c>
    </row>
    <row r="525" spans="1:11" s="2" customFormat="1" ht="16.5" thickBot="1" x14ac:dyDescent="0.3">
      <c r="A525" s="40">
        <v>808</v>
      </c>
      <c r="B525" s="41" t="s">
        <v>175</v>
      </c>
      <c r="C525" s="41">
        <f>10.764*(65.229+3.45+4.17)</f>
        <v>784.14663599999994</v>
      </c>
      <c r="D525" s="41">
        <v>0</v>
      </c>
      <c r="E525" s="41">
        <f t="shared" si="62"/>
        <v>784.14663599999994</v>
      </c>
      <c r="F525" s="41">
        <f t="shared" si="82"/>
        <v>48.437999999999995</v>
      </c>
      <c r="G525" s="41">
        <v>1885</v>
      </c>
      <c r="H525" s="154"/>
      <c r="K525" s="91">
        <f t="shared" ref="K525:K574" si="85">G525/(E525+F525)</f>
        <v>2.264034091544298</v>
      </c>
    </row>
    <row r="526" spans="1:11" s="2" customFormat="1" x14ac:dyDescent="0.25">
      <c r="A526" s="38">
        <v>901</v>
      </c>
      <c r="B526" s="42" t="s">
        <v>175</v>
      </c>
      <c r="C526" s="42">
        <f>10.764*(65.229+(3.8*0.6+2.75*0.6)+4.17)</f>
        <v>789.31335599999989</v>
      </c>
      <c r="D526" s="42">
        <v>0</v>
      </c>
      <c r="E526" s="42">
        <f t="shared" si="62"/>
        <v>789.31335599999989</v>
      </c>
      <c r="F526" s="42">
        <f>10.764*4.5</f>
        <v>48.437999999999995</v>
      </c>
      <c r="G526" s="42">
        <v>1885</v>
      </c>
      <c r="H526" s="153" t="s">
        <v>182</v>
      </c>
      <c r="K526" s="91">
        <f t="shared" si="85"/>
        <v>2.250070962582841</v>
      </c>
    </row>
    <row r="527" spans="1:11" s="2" customFormat="1" x14ac:dyDescent="0.25">
      <c r="A527" s="39">
        <v>902</v>
      </c>
      <c r="B527" s="23" t="s">
        <v>192</v>
      </c>
      <c r="C527" s="23">
        <f>10.764*(43.471+(3.35*0.6+1.7*0.6)+6.428)</f>
        <v>569.72775599999989</v>
      </c>
      <c r="D527" s="23">
        <v>0</v>
      </c>
      <c r="E527" s="23">
        <f t="shared" si="62"/>
        <v>569.72775599999989</v>
      </c>
      <c r="F527" s="23">
        <f>10.764*4.2</f>
        <v>45.208799999999997</v>
      </c>
      <c r="G527" s="23">
        <v>1230</v>
      </c>
      <c r="H527" s="161"/>
      <c r="K527" s="91">
        <f t="shared" si="85"/>
        <v>2.0002063432377897</v>
      </c>
    </row>
    <row r="528" spans="1:11" s="2" customFormat="1" x14ac:dyDescent="0.25">
      <c r="A528" s="39">
        <v>903</v>
      </c>
      <c r="B528" s="23" t="s">
        <v>192</v>
      </c>
      <c r="C528" s="23">
        <f t="shared" ref="C528:C529" si="86">10.764*(43.471+(3.35*0.6+1.7*0.6)+6.428)</f>
        <v>569.72775599999989</v>
      </c>
      <c r="D528" s="23">
        <v>0</v>
      </c>
      <c r="E528" s="23">
        <f t="shared" si="62"/>
        <v>569.72775599999989</v>
      </c>
      <c r="F528" s="23">
        <f>10.764*4.35</f>
        <v>46.823399999999992</v>
      </c>
      <c r="G528" s="23">
        <v>1230</v>
      </c>
      <c r="H528" s="161"/>
      <c r="K528" s="91">
        <f t="shared" si="85"/>
        <v>1.99496828126943</v>
      </c>
    </row>
    <row r="529" spans="1:11" s="2" customFormat="1" x14ac:dyDescent="0.25">
      <c r="A529" s="39">
        <v>904</v>
      </c>
      <c r="B529" s="23" t="s">
        <v>192</v>
      </c>
      <c r="C529" s="23">
        <f t="shared" si="86"/>
        <v>569.72775599999989</v>
      </c>
      <c r="D529" s="23">
        <v>0</v>
      </c>
      <c r="E529" s="23">
        <f t="shared" si="62"/>
        <v>569.72775599999989</v>
      </c>
      <c r="F529" s="23">
        <f>10.764*4.35</f>
        <v>46.823399999999992</v>
      </c>
      <c r="G529" s="23">
        <v>1230</v>
      </c>
      <c r="H529" s="161"/>
      <c r="K529" s="91">
        <f t="shared" si="85"/>
        <v>1.99496828126943</v>
      </c>
    </row>
    <row r="530" spans="1:11" s="2" customFormat="1" x14ac:dyDescent="0.25">
      <c r="A530" s="39">
        <v>905</v>
      </c>
      <c r="B530" s="23" t="s">
        <v>192</v>
      </c>
      <c r="C530" s="23">
        <f>10.764*(53.05+(3.05*0.6+1.85*0.6)+5.94)</f>
        <v>666.61451999999986</v>
      </c>
      <c r="D530" s="23">
        <v>0</v>
      </c>
      <c r="E530" s="23">
        <f t="shared" si="62"/>
        <v>666.61451999999986</v>
      </c>
      <c r="F530" s="23">
        <f>10.764*4.5</f>
        <v>48.437999999999995</v>
      </c>
      <c r="G530" s="23">
        <v>1230</v>
      </c>
      <c r="H530" s="161"/>
      <c r="K530" s="91">
        <f t="shared" si="85"/>
        <v>1.7201533671960212</v>
      </c>
    </row>
    <row r="531" spans="1:11" s="2" customFormat="1" x14ac:dyDescent="0.25">
      <c r="A531" s="39">
        <v>906</v>
      </c>
      <c r="B531" s="23" t="s">
        <v>192</v>
      </c>
      <c r="C531" s="23">
        <f t="shared" ref="C531:C532" si="87">10.764*(53.05+(3.05*0.6+1.85*0.6)+5.94)</f>
        <v>666.61451999999986</v>
      </c>
      <c r="D531" s="23">
        <v>0</v>
      </c>
      <c r="E531" s="23">
        <f t="shared" si="62"/>
        <v>666.61451999999986</v>
      </c>
      <c r="F531" s="23">
        <f t="shared" ref="F531:F532" si="88">10.764*4.5</f>
        <v>48.437999999999995</v>
      </c>
      <c r="G531" s="23">
        <v>1230</v>
      </c>
      <c r="H531" s="161"/>
      <c r="K531" s="91">
        <f t="shared" si="85"/>
        <v>1.7201533671960212</v>
      </c>
    </row>
    <row r="532" spans="1:11" s="2" customFormat="1" x14ac:dyDescent="0.25">
      <c r="A532" s="39">
        <v>907</v>
      </c>
      <c r="B532" s="23" t="s">
        <v>192</v>
      </c>
      <c r="C532" s="23">
        <f t="shared" si="87"/>
        <v>666.61451999999986</v>
      </c>
      <c r="D532" s="23">
        <v>0</v>
      </c>
      <c r="E532" s="23">
        <f t="shared" ref="E532:E557" si="89">C532+D532</f>
        <v>666.61451999999986</v>
      </c>
      <c r="F532" s="23">
        <f t="shared" si="88"/>
        <v>48.437999999999995</v>
      </c>
      <c r="G532" s="23">
        <v>1230</v>
      </c>
      <c r="H532" s="161"/>
      <c r="K532" s="91">
        <f t="shared" si="85"/>
        <v>1.7201533671960212</v>
      </c>
    </row>
    <row r="533" spans="1:11" s="2" customFormat="1" ht="16.5" thickBot="1" x14ac:dyDescent="0.3">
      <c r="A533" s="40">
        <v>908</v>
      </c>
      <c r="B533" s="41" t="s">
        <v>175</v>
      </c>
      <c r="C533" s="41">
        <f>10.764*(65.229+(3.8*0.6+2.75*0.6)+4.17)</f>
        <v>789.31335599999989</v>
      </c>
      <c r="D533" s="41">
        <v>0</v>
      </c>
      <c r="E533" s="41">
        <f t="shared" si="89"/>
        <v>789.31335599999989</v>
      </c>
      <c r="F533" s="41">
        <f>10.764*4.5</f>
        <v>48.437999999999995</v>
      </c>
      <c r="G533" s="41">
        <v>1885</v>
      </c>
      <c r="H533" s="154"/>
      <c r="K533" s="91">
        <f t="shared" si="85"/>
        <v>2.250070962582841</v>
      </c>
    </row>
    <row r="534" spans="1:11" s="2" customFormat="1" x14ac:dyDescent="0.25">
      <c r="A534" s="38">
        <v>1001</v>
      </c>
      <c r="B534" s="42" t="s">
        <v>175</v>
      </c>
      <c r="C534" s="42">
        <f>10.764*(65.229+(3*0.6+2.75*0.6)+4.17)</f>
        <v>784.14663599999994</v>
      </c>
      <c r="D534" s="42">
        <v>0</v>
      </c>
      <c r="E534" s="42">
        <f t="shared" si="89"/>
        <v>784.14663599999994</v>
      </c>
      <c r="F534" s="42">
        <f>10.764*4.5</f>
        <v>48.437999999999995</v>
      </c>
      <c r="G534" s="42">
        <v>1885</v>
      </c>
      <c r="H534" s="153" t="s">
        <v>183</v>
      </c>
      <c r="K534" s="91">
        <f t="shared" si="85"/>
        <v>2.264034091544298</v>
      </c>
    </row>
    <row r="535" spans="1:11" s="2" customFormat="1" x14ac:dyDescent="0.25">
      <c r="A535" s="39">
        <v>1002</v>
      </c>
      <c r="B535" s="23" t="s">
        <v>192</v>
      </c>
      <c r="C535" s="23">
        <f>10.764*(43.471+(2.8*0.6+1.7*0.6)+6.428)</f>
        <v>566.17563599999994</v>
      </c>
      <c r="D535" s="23">
        <v>0</v>
      </c>
      <c r="E535" s="23">
        <f t="shared" si="89"/>
        <v>566.17563599999994</v>
      </c>
      <c r="F535" s="23">
        <f t="shared" ref="F535:F541" si="90">10.764*4.5</f>
        <v>48.437999999999995</v>
      </c>
      <c r="G535" s="23">
        <v>1230</v>
      </c>
      <c r="H535" s="161"/>
      <c r="K535" s="91">
        <f t="shared" si="85"/>
        <v>2.0012572581451806</v>
      </c>
    </row>
    <row r="536" spans="1:11" s="2" customFormat="1" x14ac:dyDescent="0.25">
      <c r="A536" s="39">
        <v>1003</v>
      </c>
      <c r="B536" s="23" t="s">
        <v>192</v>
      </c>
      <c r="C536" s="23">
        <f t="shared" ref="C536:C537" si="91">10.764*(43.471+(2.8*0.6+1.7*0.6)+6.428)</f>
        <v>566.17563599999994</v>
      </c>
      <c r="D536" s="23">
        <v>0</v>
      </c>
      <c r="E536" s="23">
        <f t="shared" si="89"/>
        <v>566.17563599999994</v>
      </c>
      <c r="F536" s="23">
        <f t="shared" si="90"/>
        <v>48.437999999999995</v>
      </c>
      <c r="G536" s="23">
        <v>1230</v>
      </c>
      <c r="H536" s="161"/>
      <c r="K536" s="91">
        <f t="shared" si="85"/>
        <v>2.0012572581451806</v>
      </c>
    </row>
    <row r="537" spans="1:11" s="2" customFormat="1" x14ac:dyDescent="0.25">
      <c r="A537" s="39">
        <v>1004</v>
      </c>
      <c r="B537" s="23" t="s">
        <v>192</v>
      </c>
      <c r="C537" s="23">
        <f t="shared" si="91"/>
        <v>566.17563599999994</v>
      </c>
      <c r="D537" s="23">
        <v>0</v>
      </c>
      <c r="E537" s="23">
        <f t="shared" si="89"/>
        <v>566.17563599999994</v>
      </c>
      <c r="F537" s="23">
        <f t="shared" si="90"/>
        <v>48.437999999999995</v>
      </c>
      <c r="G537" s="23">
        <v>1230</v>
      </c>
      <c r="H537" s="161"/>
      <c r="K537" s="91">
        <f t="shared" si="85"/>
        <v>2.0012572581451806</v>
      </c>
    </row>
    <row r="538" spans="1:11" s="2" customFormat="1" x14ac:dyDescent="0.25">
      <c r="A538" s="39">
        <v>1005</v>
      </c>
      <c r="B538" s="23" t="s">
        <v>192</v>
      </c>
      <c r="C538" s="23">
        <f>10.764*(53.05+(3*0.6+1.85*0.6)+5.94)</f>
        <v>666.2915999999999</v>
      </c>
      <c r="D538" s="23">
        <v>0</v>
      </c>
      <c r="E538" s="23">
        <f t="shared" si="89"/>
        <v>666.2915999999999</v>
      </c>
      <c r="F538" s="23">
        <f t="shared" si="90"/>
        <v>48.437999999999995</v>
      </c>
      <c r="G538" s="23">
        <v>1230</v>
      </c>
      <c r="H538" s="161"/>
      <c r="K538" s="91">
        <f t="shared" si="85"/>
        <v>1.7209305449221639</v>
      </c>
    </row>
    <row r="539" spans="1:11" s="2" customFormat="1" x14ac:dyDescent="0.25">
      <c r="A539" s="39">
        <v>1006</v>
      </c>
      <c r="B539" s="23" t="s">
        <v>192</v>
      </c>
      <c r="C539" s="23">
        <f t="shared" ref="C539:C540" si="92">10.764*(53.05+(3*0.6+1.85*0.6)+5.94)</f>
        <v>666.2915999999999</v>
      </c>
      <c r="D539" s="23">
        <v>0</v>
      </c>
      <c r="E539" s="23">
        <f t="shared" si="89"/>
        <v>666.2915999999999</v>
      </c>
      <c r="F539" s="23">
        <f t="shared" si="90"/>
        <v>48.437999999999995</v>
      </c>
      <c r="G539" s="23">
        <v>1230</v>
      </c>
      <c r="H539" s="161"/>
      <c r="K539" s="91">
        <f t="shared" si="85"/>
        <v>1.7209305449221639</v>
      </c>
    </row>
    <row r="540" spans="1:11" s="2" customFormat="1" x14ac:dyDescent="0.25">
      <c r="A540" s="39">
        <v>1007</v>
      </c>
      <c r="B540" s="23" t="s">
        <v>192</v>
      </c>
      <c r="C540" s="23">
        <f t="shared" si="92"/>
        <v>666.2915999999999</v>
      </c>
      <c r="D540" s="23">
        <v>0</v>
      </c>
      <c r="E540" s="23">
        <f t="shared" si="89"/>
        <v>666.2915999999999</v>
      </c>
      <c r="F540" s="23">
        <f t="shared" si="90"/>
        <v>48.437999999999995</v>
      </c>
      <c r="G540" s="23">
        <v>1230</v>
      </c>
      <c r="H540" s="161"/>
      <c r="K540" s="91">
        <f t="shared" si="85"/>
        <v>1.7209305449221639</v>
      </c>
    </row>
    <row r="541" spans="1:11" s="2" customFormat="1" ht="16.5" thickBot="1" x14ac:dyDescent="0.3">
      <c r="A541" s="40">
        <v>1008</v>
      </c>
      <c r="B541" s="41" t="s">
        <v>175</v>
      </c>
      <c r="C541" s="41">
        <f>10.764*(65.229+(3*0.6+2.75*0.6)+4.17)</f>
        <v>784.14663599999994</v>
      </c>
      <c r="D541" s="41">
        <v>0</v>
      </c>
      <c r="E541" s="41">
        <f t="shared" si="89"/>
        <v>784.14663599999994</v>
      </c>
      <c r="F541" s="41">
        <f t="shared" si="90"/>
        <v>48.437999999999995</v>
      </c>
      <c r="G541" s="41">
        <v>1885</v>
      </c>
      <c r="H541" s="154"/>
      <c r="K541" s="91">
        <f t="shared" si="85"/>
        <v>2.264034091544298</v>
      </c>
    </row>
    <row r="542" spans="1:11" s="2" customFormat="1" x14ac:dyDescent="0.25">
      <c r="A542" s="38">
        <v>1101</v>
      </c>
      <c r="B542" s="42" t="s">
        <v>175</v>
      </c>
      <c r="C542" s="42">
        <f>10.764*(65.229+(3.8*0.6+2.75*0.6)+4.17)</f>
        <v>789.31335599999989</v>
      </c>
      <c r="D542" s="42">
        <v>0</v>
      </c>
      <c r="E542" s="42">
        <f t="shared" si="89"/>
        <v>789.31335599999989</v>
      </c>
      <c r="F542" s="42">
        <f>10.764*4.5</f>
        <v>48.437999999999995</v>
      </c>
      <c r="G542" s="42">
        <v>1885</v>
      </c>
      <c r="H542" s="153" t="s">
        <v>184</v>
      </c>
      <c r="K542" s="91">
        <f t="shared" si="85"/>
        <v>2.250070962582841</v>
      </c>
    </row>
    <row r="543" spans="1:11" s="2" customFormat="1" x14ac:dyDescent="0.25">
      <c r="A543" s="39">
        <v>1102</v>
      </c>
      <c r="B543" s="23" t="s">
        <v>192</v>
      </c>
      <c r="C543" s="23">
        <f>10.764*(43.471+(3.35*0.6+1.7*0.6)+6.428)</f>
        <v>569.72775599999989</v>
      </c>
      <c r="D543" s="23">
        <v>0</v>
      </c>
      <c r="E543" s="23">
        <f t="shared" si="89"/>
        <v>569.72775599999989</v>
      </c>
      <c r="F543" s="23">
        <f>10.764*4.2</f>
        <v>45.208799999999997</v>
      </c>
      <c r="G543" s="23">
        <v>1230</v>
      </c>
      <c r="H543" s="161"/>
      <c r="K543" s="91">
        <f t="shared" si="85"/>
        <v>2.0002063432377897</v>
      </c>
    </row>
    <row r="544" spans="1:11" s="2" customFormat="1" x14ac:dyDescent="0.25">
      <c r="A544" s="39">
        <v>1103</v>
      </c>
      <c r="B544" s="23" t="s">
        <v>192</v>
      </c>
      <c r="C544" s="23">
        <f t="shared" ref="C544:C545" si="93">10.764*(43.471+(3.35*0.6+1.7*0.6)+6.428)</f>
        <v>569.72775599999989</v>
      </c>
      <c r="D544" s="23">
        <v>0</v>
      </c>
      <c r="E544" s="23">
        <f t="shared" si="89"/>
        <v>569.72775599999989</v>
      </c>
      <c r="F544" s="23">
        <f>10.764*4.35</f>
        <v>46.823399999999992</v>
      </c>
      <c r="G544" s="23">
        <v>1230</v>
      </c>
      <c r="H544" s="161"/>
      <c r="K544" s="91">
        <f t="shared" si="85"/>
        <v>1.99496828126943</v>
      </c>
    </row>
    <row r="545" spans="1:11" s="2" customFormat="1" x14ac:dyDescent="0.25">
      <c r="A545" s="39">
        <v>1104</v>
      </c>
      <c r="B545" s="23" t="s">
        <v>192</v>
      </c>
      <c r="C545" s="23">
        <f t="shared" si="93"/>
        <v>569.72775599999989</v>
      </c>
      <c r="D545" s="23">
        <v>0</v>
      </c>
      <c r="E545" s="23">
        <f t="shared" si="89"/>
        <v>569.72775599999989</v>
      </c>
      <c r="F545" s="23">
        <f>10.764*4.35</f>
        <v>46.823399999999992</v>
      </c>
      <c r="G545" s="23">
        <v>1230</v>
      </c>
      <c r="H545" s="161"/>
      <c r="K545" s="91">
        <f t="shared" si="85"/>
        <v>1.99496828126943</v>
      </c>
    </row>
    <row r="546" spans="1:11" s="2" customFormat="1" x14ac:dyDescent="0.25">
      <c r="A546" s="39">
        <v>1105</v>
      </c>
      <c r="B546" s="23" t="s">
        <v>192</v>
      </c>
      <c r="C546" s="23">
        <f>10.764*(53.05+(3.05*0.6+1.85*0.6)+5.94)</f>
        <v>666.61451999999986</v>
      </c>
      <c r="D546" s="23">
        <v>0</v>
      </c>
      <c r="E546" s="23">
        <f t="shared" si="89"/>
        <v>666.61451999999986</v>
      </c>
      <c r="F546" s="23">
        <f>10.764*4.5</f>
        <v>48.437999999999995</v>
      </c>
      <c r="G546" s="23">
        <v>1230</v>
      </c>
      <c r="H546" s="161"/>
      <c r="K546" s="91">
        <f t="shared" si="85"/>
        <v>1.7201533671960212</v>
      </c>
    </row>
    <row r="547" spans="1:11" s="2" customFormat="1" x14ac:dyDescent="0.25">
      <c r="A547" s="39">
        <v>1106</v>
      </c>
      <c r="B547" s="23" t="s">
        <v>192</v>
      </c>
      <c r="C547" s="23">
        <f t="shared" ref="C547:C548" si="94">10.764*(53.05+(3.05*0.6+1.85*0.6)+5.94)</f>
        <v>666.61451999999986</v>
      </c>
      <c r="D547" s="23">
        <v>0</v>
      </c>
      <c r="E547" s="23">
        <f t="shared" si="89"/>
        <v>666.61451999999986</v>
      </c>
      <c r="F547" s="23">
        <f t="shared" ref="F547:F548" si="95">10.764*4.5</f>
        <v>48.437999999999995</v>
      </c>
      <c r="G547" s="23">
        <v>1230</v>
      </c>
      <c r="H547" s="161"/>
      <c r="K547" s="91">
        <f t="shared" si="85"/>
        <v>1.7201533671960212</v>
      </c>
    </row>
    <row r="548" spans="1:11" s="2" customFormat="1" x14ac:dyDescent="0.25">
      <c r="A548" s="39">
        <v>1107</v>
      </c>
      <c r="B548" s="23" t="s">
        <v>192</v>
      </c>
      <c r="C548" s="23">
        <f t="shared" si="94"/>
        <v>666.61451999999986</v>
      </c>
      <c r="D548" s="23">
        <v>0</v>
      </c>
      <c r="E548" s="23">
        <f t="shared" si="89"/>
        <v>666.61451999999986</v>
      </c>
      <c r="F548" s="23">
        <f t="shared" si="95"/>
        <v>48.437999999999995</v>
      </c>
      <c r="G548" s="23">
        <v>1230</v>
      </c>
      <c r="H548" s="161"/>
      <c r="K548" s="91">
        <f t="shared" si="85"/>
        <v>1.7201533671960212</v>
      </c>
    </row>
    <row r="549" spans="1:11" s="2" customFormat="1" ht="16.5" thickBot="1" x14ac:dyDescent="0.3">
      <c r="A549" s="40">
        <v>1108</v>
      </c>
      <c r="B549" s="41" t="s">
        <v>175</v>
      </c>
      <c r="C549" s="41">
        <f>10.764*(65.229+(3.8*0.6+2.75*0.6)+4.17)</f>
        <v>789.31335599999989</v>
      </c>
      <c r="D549" s="41">
        <v>0</v>
      </c>
      <c r="E549" s="41">
        <f t="shared" si="89"/>
        <v>789.31335599999989</v>
      </c>
      <c r="F549" s="41">
        <f>10.764*4.5</f>
        <v>48.437999999999995</v>
      </c>
      <c r="G549" s="41">
        <v>1885</v>
      </c>
      <c r="H549" s="154"/>
      <c r="K549" s="91">
        <f t="shared" si="85"/>
        <v>2.250070962582841</v>
      </c>
    </row>
    <row r="550" spans="1:11" s="2" customFormat="1" x14ac:dyDescent="0.25">
      <c r="A550" s="38">
        <v>1201</v>
      </c>
      <c r="B550" s="42" t="s">
        <v>175</v>
      </c>
      <c r="C550" s="42">
        <f>10.764*(65.229+(3*0.6+2.75*0.6)+4.17)</f>
        <v>784.14663599999994</v>
      </c>
      <c r="D550" s="42">
        <v>0</v>
      </c>
      <c r="E550" s="42">
        <f t="shared" si="89"/>
        <v>784.14663599999994</v>
      </c>
      <c r="F550" s="42">
        <f>10.764*4.5</f>
        <v>48.437999999999995</v>
      </c>
      <c r="G550" s="42">
        <v>1885</v>
      </c>
      <c r="H550" s="153" t="s">
        <v>185</v>
      </c>
      <c r="K550" s="91">
        <f t="shared" si="85"/>
        <v>2.264034091544298</v>
      </c>
    </row>
    <row r="551" spans="1:11" s="2" customFormat="1" x14ac:dyDescent="0.25">
      <c r="A551" s="39">
        <v>1202</v>
      </c>
      <c r="B551" s="23" t="s">
        <v>192</v>
      </c>
      <c r="C551" s="23">
        <f>10.764*(43.471+(2.8*0.6+1.7*0.6)+6.428)</f>
        <v>566.17563599999994</v>
      </c>
      <c r="D551" s="23">
        <v>0</v>
      </c>
      <c r="E551" s="23">
        <f t="shared" si="89"/>
        <v>566.17563599999994</v>
      </c>
      <c r="F551" s="23">
        <f t="shared" ref="F551:F573" si="96">10.764*4.5</f>
        <v>48.437999999999995</v>
      </c>
      <c r="G551" s="23">
        <v>1230</v>
      </c>
      <c r="H551" s="161"/>
      <c r="K551" s="91">
        <f t="shared" si="85"/>
        <v>2.0012572581451806</v>
      </c>
    </row>
    <row r="552" spans="1:11" s="2" customFormat="1" x14ac:dyDescent="0.25">
      <c r="A552" s="39">
        <v>1203</v>
      </c>
      <c r="B552" s="23" t="s">
        <v>192</v>
      </c>
      <c r="C552" s="23">
        <f t="shared" ref="C552:C553" si="97">10.764*(43.471+(2.8*0.6+1.7*0.6)+6.428)</f>
        <v>566.17563599999994</v>
      </c>
      <c r="D552" s="23">
        <v>0</v>
      </c>
      <c r="E552" s="23">
        <f t="shared" si="89"/>
        <v>566.17563599999994</v>
      </c>
      <c r="F552" s="23">
        <f t="shared" si="96"/>
        <v>48.437999999999995</v>
      </c>
      <c r="G552" s="23">
        <v>1230</v>
      </c>
      <c r="H552" s="161"/>
      <c r="K552" s="91">
        <f t="shared" si="85"/>
        <v>2.0012572581451806</v>
      </c>
    </row>
    <row r="553" spans="1:11" s="2" customFormat="1" x14ac:dyDescent="0.25">
      <c r="A553" s="39">
        <v>1204</v>
      </c>
      <c r="B553" s="23" t="s">
        <v>192</v>
      </c>
      <c r="C553" s="23">
        <f t="shared" si="97"/>
        <v>566.17563599999994</v>
      </c>
      <c r="D553" s="23">
        <v>0</v>
      </c>
      <c r="E553" s="23">
        <f t="shared" si="89"/>
        <v>566.17563599999994</v>
      </c>
      <c r="F553" s="23">
        <f t="shared" si="96"/>
        <v>48.437999999999995</v>
      </c>
      <c r="G553" s="23">
        <v>1230</v>
      </c>
      <c r="H553" s="161"/>
      <c r="K553" s="91">
        <f t="shared" si="85"/>
        <v>2.0012572581451806</v>
      </c>
    </row>
    <row r="554" spans="1:11" s="2" customFormat="1" x14ac:dyDescent="0.25">
      <c r="A554" s="39">
        <v>1205</v>
      </c>
      <c r="B554" s="23" t="s">
        <v>192</v>
      </c>
      <c r="C554" s="23">
        <f>10.764*(53.05+(3*0.6+1.85*0.6)+5.94)</f>
        <v>666.2915999999999</v>
      </c>
      <c r="D554" s="23">
        <v>0</v>
      </c>
      <c r="E554" s="23">
        <f t="shared" si="89"/>
        <v>666.2915999999999</v>
      </c>
      <c r="F554" s="23">
        <f t="shared" si="96"/>
        <v>48.437999999999995</v>
      </c>
      <c r="G554" s="23">
        <v>1230</v>
      </c>
      <c r="H554" s="161"/>
      <c r="K554" s="91">
        <f t="shared" si="85"/>
        <v>1.7209305449221639</v>
      </c>
    </row>
    <row r="555" spans="1:11" s="2" customFormat="1" x14ac:dyDescent="0.25">
      <c r="A555" s="39">
        <v>1206</v>
      </c>
      <c r="B555" s="23" t="s">
        <v>192</v>
      </c>
      <c r="C555" s="23">
        <f t="shared" ref="C555:C556" si="98">10.764*(53.05+(3*0.6+1.85*0.6)+5.94)</f>
        <v>666.2915999999999</v>
      </c>
      <c r="D555" s="23">
        <v>0</v>
      </c>
      <c r="E555" s="23">
        <f t="shared" si="89"/>
        <v>666.2915999999999</v>
      </c>
      <c r="F555" s="23">
        <f t="shared" si="96"/>
        <v>48.437999999999995</v>
      </c>
      <c r="G555" s="23">
        <v>1230</v>
      </c>
      <c r="H555" s="161"/>
      <c r="K555" s="91">
        <f t="shared" si="85"/>
        <v>1.7209305449221639</v>
      </c>
    </row>
    <row r="556" spans="1:11" s="2" customFormat="1" x14ac:dyDescent="0.25">
      <c r="A556" s="39">
        <v>1207</v>
      </c>
      <c r="B556" s="23" t="s">
        <v>192</v>
      </c>
      <c r="C556" s="23">
        <f t="shared" si="98"/>
        <v>666.2915999999999</v>
      </c>
      <c r="D556" s="23">
        <v>0</v>
      </c>
      <c r="E556" s="23">
        <f t="shared" si="89"/>
        <v>666.2915999999999</v>
      </c>
      <c r="F556" s="23">
        <f t="shared" si="96"/>
        <v>48.437999999999995</v>
      </c>
      <c r="G556" s="23">
        <v>1230</v>
      </c>
      <c r="H556" s="161"/>
      <c r="K556" s="91">
        <f t="shared" si="85"/>
        <v>1.7209305449221639</v>
      </c>
    </row>
    <row r="557" spans="1:11" s="2" customFormat="1" ht="16.5" thickBot="1" x14ac:dyDescent="0.3">
      <c r="A557" s="40">
        <v>1208</v>
      </c>
      <c r="B557" s="41" t="s">
        <v>175</v>
      </c>
      <c r="C557" s="41">
        <f>10.764*(65.229+(3*0.6+2.75*0.6)+4.17)</f>
        <v>784.14663599999994</v>
      </c>
      <c r="D557" s="41">
        <v>0</v>
      </c>
      <c r="E557" s="41">
        <f t="shared" si="89"/>
        <v>784.14663599999994</v>
      </c>
      <c r="F557" s="41">
        <f t="shared" si="96"/>
        <v>48.437999999999995</v>
      </c>
      <c r="G557" s="41">
        <v>1885</v>
      </c>
      <c r="H557" s="154"/>
      <c r="K557" s="91">
        <f t="shared" si="85"/>
        <v>2.264034091544298</v>
      </c>
    </row>
    <row r="558" spans="1:11" s="2" customFormat="1" ht="15.75" customHeight="1" x14ac:dyDescent="0.25">
      <c r="A558" s="38">
        <v>1301</v>
      </c>
      <c r="B558" s="213" t="s">
        <v>196</v>
      </c>
      <c r="C558" s="214"/>
      <c r="D558" s="214"/>
      <c r="E558" s="214"/>
      <c r="F558" s="214"/>
      <c r="G558" s="215"/>
      <c r="H558" s="153" t="s">
        <v>186</v>
      </c>
      <c r="K558" s="91" t="e">
        <f t="shared" si="85"/>
        <v>#DIV/0!</v>
      </c>
    </row>
    <row r="559" spans="1:11" s="2" customFormat="1" x14ac:dyDescent="0.25">
      <c r="A559" s="39">
        <v>1302</v>
      </c>
      <c r="B559" s="23" t="s">
        <v>192</v>
      </c>
      <c r="C559" s="23">
        <f>10.764*(43.471+3.03+6.428)</f>
        <v>569.72775599999989</v>
      </c>
      <c r="D559" s="23">
        <v>0</v>
      </c>
      <c r="E559" s="23">
        <f t="shared" ref="E559:E573" si="99">C559+D559</f>
        <v>569.72775599999989</v>
      </c>
      <c r="F559" s="23">
        <f>10.764*(4.2+22.805)</f>
        <v>290.68181999999996</v>
      </c>
      <c r="G559" s="23">
        <v>1230</v>
      </c>
      <c r="H559" s="161"/>
      <c r="K559" s="91">
        <f t="shared" si="85"/>
        <v>1.4295517324646794</v>
      </c>
    </row>
    <row r="560" spans="1:11" s="2" customFormat="1" x14ac:dyDescent="0.25">
      <c r="A560" s="39">
        <v>1303</v>
      </c>
      <c r="B560" s="23" t="s">
        <v>192</v>
      </c>
      <c r="C560" s="23">
        <f t="shared" ref="C560:C561" si="100">10.764*(43.471+3.03+6.428)</f>
        <v>569.72775599999989</v>
      </c>
      <c r="D560" s="23">
        <v>0</v>
      </c>
      <c r="E560" s="23">
        <f t="shared" si="99"/>
        <v>569.72775599999989</v>
      </c>
      <c r="F560" s="23">
        <f>10.764*4.35</f>
        <v>46.823399999999992</v>
      </c>
      <c r="G560" s="23">
        <v>1230</v>
      </c>
      <c r="H560" s="161"/>
      <c r="K560" s="91">
        <f t="shared" si="85"/>
        <v>1.99496828126943</v>
      </c>
    </row>
    <row r="561" spans="1:11" s="2" customFormat="1" x14ac:dyDescent="0.25">
      <c r="A561" s="39">
        <v>1304</v>
      </c>
      <c r="B561" s="23" t="s">
        <v>192</v>
      </c>
      <c r="C561" s="23">
        <f t="shared" si="100"/>
        <v>569.72775599999989</v>
      </c>
      <c r="D561" s="23">
        <v>0</v>
      </c>
      <c r="E561" s="23">
        <f t="shared" si="99"/>
        <v>569.72775599999989</v>
      </c>
      <c r="F561" s="23">
        <f>10.764*4.35</f>
        <v>46.823399999999992</v>
      </c>
      <c r="G561" s="23">
        <v>1230</v>
      </c>
      <c r="H561" s="161"/>
      <c r="K561" s="91">
        <f t="shared" si="85"/>
        <v>1.99496828126943</v>
      </c>
    </row>
    <row r="562" spans="1:11" s="2" customFormat="1" x14ac:dyDescent="0.25">
      <c r="A562" s="39">
        <v>1305</v>
      </c>
      <c r="B562" s="23" t="s">
        <v>192</v>
      </c>
      <c r="C562" s="23">
        <f>10.764*(43.471+2.94+6.94)</f>
        <v>574.27016399999991</v>
      </c>
      <c r="D562" s="23">
        <v>0</v>
      </c>
      <c r="E562" s="23">
        <f t="shared" si="99"/>
        <v>574.27016399999991</v>
      </c>
      <c r="F562" s="23">
        <f t="shared" si="96"/>
        <v>48.437999999999995</v>
      </c>
      <c r="G562" s="23">
        <v>1230</v>
      </c>
      <c r="H562" s="161"/>
      <c r="K562" s="91">
        <f t="shared" si="85"/>
        <v>1.9752430931674765</v>
      </c>
    </row>
    <row r="563" spans="1:11" s="2" customFormat="1" x14ac:dyDescent="0.25">
      <c r="A563" s="39">
        <v>1306</v>
      </c>
      <c r="B563" s="23" t="s">
        <v>192</v>
      </c>
      <c r="C563" s="23">
        <f t="shared" ref="C563:C564" si="101">10.764*(43.471+2.94+6.94)</f>
        <v>574.27016399999991</v>
      </c>
      <c r="D563" s="23">
        <v>0</v>
      </c>
      <c r="E563" s="23">
        <f t="shared" si="99"/>
        <v>574.27016399999991</v>
      </c>
      <c r="F563" s="23">
        <f t="shared" si="96"/>
        <v>48.437999999999995</v>
      </c>
      <c r="G563" s="23">
        <v>1230</v>
      </c>
      <c r="H563" s="161"/>
      <c r="K563" s="91">
        <f t="shared" si="85"/>
        <v>1.9752430931674765</v>
      </c>
    </row>
    <row r="564" spans="1:11" s="2" customFormat="1" x14ac:dyDescent="0.25">
      <c r="A564" s="39">
        <v>1307</v>
      </c>
      <c r="B564" s="23" t="s">
        <v>192</v>
      </c>
      <c r="C564" s="23">
        <f t="shared" si="101"/>
        <v>574.27016399999991</v>
      </c>
      <c r="D564" s="23">
        <v>0</v>
      </c>
      <c r="E564" s="23">
        <f t="shared" si="99"/>
        <v>574.27016399999991</v>
      </c>
      <c r="F564" s="23">
        <f t="shared" si="96"/>
        <v>48.437999999999995</v>
      </c>
      <c r="G564" s="23">
        <v>1230</v>
      </c>
      <c r="H564" s="161"/>
      <c r="K564" s="91">
        <f t="shared" si="85"/>
        <v>1.9752430931674765</v>
      </c>
    </row>
    <row r="565" spans="1:11" s="2" customFormat="1" ht="16.5" thickBot="1" x14ac:dyDescent="0.3">
      <c r="A565" s="40">
        <v>1308</v>
      </c>
      <c r="B565" s="41" t="s">
        <v>175</v>
      </c>
      <c r="C565" s="41">
        <f>10.764*(65.229+3.93+4.17)</f>
        <v>789.313356</v>
      </c>
      <c r="D565" s="41">
        <v>0</v>
      </c>
      <c r="E565" s="41">
        <f t="shared" si="99"/>
        <v>789.313356</v>
      </c>
      <c r="F565" s="41">
        <f t="shared" si="96"/>
        <v>48.437999999999995</v>
      </c>
      <c r="G565" s="41">
        <v>1885</v>
      </c>
      <c r="H565" s="154"/>
      <c r="K565" s="91">
        <f t="shared" si="85"/>
        <v>2.2500709625828406</v>
      </c>
    </row>
    <row r="566" spans="1:11" s="2" customFormat="1" x14ac:dyDescent="0.25">
      <c r="A566" s="44">
        <v>1401</v>
      </c>
      <c r="B566" s="57" t="s">
        <v>175</v>
      </c>
      <c r="C566" s="57">
        <f>10.764*(65.229+3.45+4.17)</f>
        <v>784.14663599999994</v>
      </c>
      <c r="D566" s="57">
        <v>0</v>
      </c>
      <c r="E566" s="57">
        <f t="shared" si="99"/>
        <v>784.14663599999994</v>
      </c>
      <c r="F566" s="57">
        <f>10.764*(4.5+25.159)</f>
        <v>319.24947599999996</v>
      </c>
      <c r="G566" s="57">
        <v>1885</v>
      </c>
      <c r="H566" s="211" t="s">
        <v>187</v>
      </c>
      <c r="K566" s="91">
        <f t="shared" si="85"/>
        <v>1.7083620102514918</v>
      </c>
    </row>
    <row r="567" spans="1:11" s="2" customFormat="1" x14ac:dyDescent="0.25">
      <c r="A567" s="39">
        <v>1402</v>
      </c>
      <c r="B567" s="168" t="s">
        <v>204</v>
      </c>
      <c r="C567" s="168"/>
      <c r="D567" s="168"/>
      <c r="E567" s="168"/>
      <c r="F567" s="168"/>
      <c r="G567" s="168"/>
      <c r="H567" s="211"/>
      <c r="K567" s="91" t="e">
        <f t="shared" si="85"/>
        <v>#DIV/0!</v>
      </c>
    </row>
    <row r="568" spans="1:11" s="2" customFormat="1" x14ac:dyDescent="0.25">
      <c r="A568" s="39">
        <v>1403</v>
      </c>
      <c r="B568" s="23" t="s">
        <v>192</v>
      </c>
      <c r="C568" s="23">
        <f>10.764*(43.471+2.73+6.428)</f>
        <v>566.49855599999989</v>
      </c>
      <c r="D568" s="23">
        <v>0</v>
      </c>
      <c r="E568" s="23">
        <f t="shared" si="99"/>
        <v>566.49855599999989</v>
      </c>
      <c r="F568" s="23">
        <f>10.764*(4.5+33.251)</f>
        <v>406.35176399999995</v>
      </c>
      <c r="G568" s="23">
        <v>1230</v>
      </c>
      <c r="H568" s="211"/>
      <c r="K568" s="91">
        <f t="shared" si="85"/>
        <v>1.2643260476082285</v>
      </c>
    </row>
    <row r="569" spans="1:11" s="2" customFormat="1" x14ac:dyDescent="0.25">
      <c r="A569" s="39">
        <v>1404</v>
      </c>
      <c r="B569" s="168" t="s">
        <v>204</v>
      </c>
      <c r="C569" s="168"/>
      <c r="D569" s="168"/>
      <c r="E569" s="168"/>
      <c r="F569" s="168"/>
      <c r="G569" s="168"/>
      <c r="H569" s="211"/>
      <c r="K569" s="91" t="e">
        <f t="shared" si="85"/>
        <v>#DIV/0!</v>
      </c>
    </row>
    <row r="570" spans="1:11" s="2" customFormat="1" x14ac:dyDescent="0.25">
      <c r="A570" s="39">
        <v>1405</v>
      </c>
      <c r="B570" s="23" t="s">
        <v>192</v>
      </c>
      <c r="C570" s="23">
        <f>10.764*(53.05+2.91+5.94)</f>
        <v>666.2915999999999</v>
      </c>
      <c r="D570" s="23">
        <v>0</v>
      </c>
      <c r="E570" s="23">
        <f t="shared" si="99"/>
        <v>666.2915999999999</v>
      </c>
      <c r="F570" s="23">
        <f t="shared" si="96"/>
        <v>48.437999999999995</v>
      </c>
      <c r="G570" s="23">
        <v>1230</v>
      </c>
      <c r="H570" s="211"/>
      <c r="K570" s="91">
        <f t="shared" si="85"/>
        <v>1.7209305449221639</v>
      </c>
    </row>
    <row r="571" spans="1:11" s="2" customFormat="1" x14ac:dyDescent="0.25">
      <c r="A571" s="39">
        <v>1406</v>
      </c>
      <c r="B571" s="23" t="s">
        <v>192</v>
      </c>
      <c r="C571" s="23">
        <f t="shared" ref="C571:C572" si="102">10.764*(53.05+2.91+5.94)</f>
        <v>666.2915999999999</v>
      </c>
      <c r="D571" s="23">
        <v>0</v>
      </c>
      <c r="E571" s="23">
        <f t="shared" si="99"/>
        <v>666.2915999999999</v>
      </c>
      <c r="F571" s="23">
        <f t="shared" si="96"/>
        <v>48.437999999999995</v>
      </c>
      <c r="G571" s="23">
        <v>1230</v>
      </c>
      <c r="H571" s="211"/>
      <c r="K571" s="91">
        <f t="shared" si="85"/>
        <v>1.7209305449221639</v>
      </c>
    </row>
    <row r="572" spans="1:11" s="2" customFormat="1" x14ac:dyDescent="0.25">
      <c r="A572" s="39">
        <v>1407</v>
      </c>
      <c r="B572" s="23" t="s">
        <v>192</v>
      </c>
      <c r="C572" s="23">
        <f t="shared" si="102"/>
        <v>666.2915999999999</v>
      </c>
      <c r="D572" s="23">
        <v>0</v>
      </c>
      <c r="E572" s="23">
        <f t="shared" si="99"/>
        <v>666.2915999999999</v>
      </c>
      <c r="F572" s="23">
        <f t="shared" si="96"/>
        <v>48.437999999999995</v>
      </c>
      <c r="G572" s="23">
        <v>1230</v>
      </c>
      <c r="H572" s="211"/>
      <c r="K572" s="91">
        <f t="shared" si="85"/>
        <v>1.7209305449221639</v>
      </c>
    </row>
    <row r="573" spans="1:11" s="2" customFormat="1" ht="16.5" thickBot="1" x14ac:dyDescent="0.3">
      <c r="A573" s="40">
        <v>1408</v>
      </c>
      <c r="B573" s="41" t="s">
        <v>175</v>
      </c>
      <c r="C573" s="41">
        <f>10.764*(65.229+3.45+4.17)</f>
        <v>784.14663599999994</v>
      </c>
      <c r="D573" s="41">
        <v>0</v>
      </c>
      <c r="E573" s="41">
        <f t="shared" si="99"/>
        <v>784.14663599999994</v>
      </c>
      <c r="F573" s="41">
        <f t="shared" si="96"/>
        <v>48.437999999999995</v>
      </c>
      <c r="G573" s="41">
        <v>1885</v>
      </c>
      <c r="H573" s="212"/>
      <c r="K573" s="91">
        <f t="shared" si="85"/>
        <v>2.264034091544298</v>
      </c>
    </row>
    <row r="574" spans="1:11" s="2" customFormat="1" x14ac:dyDescent="0.25">
      <c r="A574" s="223"/>
      <c r="B574" s="224"/>
      <c r="C574" s="224"/>
      <c r="D574" s="224"/>
      <c r="E574" s="224"/>
      <c r="F574" s="224"/>
      <c r="G574" s="224"/>
      <c r="H574" s="224"/>
      <c r="K574" s="91" t="e">
        <f t="shared" si="85"/>
        <v>#DIV/0!</v>
      </c>
    </row>
    <row r="575" spans="1:11" ht="51.75" customHeight="1" x14ac:dyDescent="0.25">
      <c r="A575" s="225" t="s">
        <v>172</v>
      </c>
      <c r="B575" s="225" t="s">
        <v>65</v>
      </c>
      <c r="C575" s="225" t="s">
        <v>255</v>
      </c>
      <c r="D575" s="225" t="s">
        <v>261</v>
      </c>
      <c r="E575" s="225" t="s">
        <v>289</v>
      </c>
      <c r="F575" s="225" t="s">
        <v>66</v>
      </c>
      <c r="G575" s="227" t="s">
        <v>67</v>
      </c>
      <c r="H575" s="88" t="s">
        <v>256</v>
      </c>
    </row>
    <row r="576" spans="1:11" x14ac:dyDescent="0.25">
      <c r="A576" s="226"/>
      <c r="B576" s="226"/>
      <c r="C576" s="226"/>
      <c r="D576" s="226"/>
      <c r="E576" s="226"/>
      <c r="F576" s="226"/>
      <c r="G576" s="228"/>
      <c r="H576" s="89">
        <v>0.5</v>
      </c>
    </row>
    <row r="577" spans="1:12" s="2" customFormat="1" ht="15.75" customHeight="1" x14ac:dyDescent="0.25">
      <c r="A577" s="155" t="s">
        <v>257</v>
      </c>
      <c r="B577" s="155"/>
      <c r="C577" s="155"/>
      <c r="D577" s="155"/>
      <c r="E577" s="155"/>
      <c r="F577" s="155"/>
      <c r="G577" s="155"/>
      <c r="H577" s="222"/>
    </row>
    <row r="578" spans="1:12" s="2" customFormat="1" ht="15.75" customHeight="1" x14ac:dyDescent="0.25">
      <c r="A578" s="155" t="s">
        <v>160</v>
      </c>
      <c r="B578" s="155"/>
      <c r="C578" s="155"/>
      <c r="D578" s="155"/>
      <c r="E578" s="155"/>
      <c r="F578" s="155"/>
      <c r="G578" s="155"/>
      <c r="H578" s="155"/>
    </row>
    <row r="579" spans="1:12" s="2" customFormat="1" x14ac:dyDescent="0.25">
      <c r="A579" s="155" t="s">
        <v>169</v>
      </c>
      <c r="B579" s="155"/>
      <c r="C579" s="155"/>
      <c r="D579" s="155"/>
      <c r="E579" s="155"/>
      <c r="F579" s="155"/>
      <c r="G579" s="155"/>
      <c r="H579" s="155"/>
      <c r="L579" s="90">
        <v>10.763999999999999</v>
      </c>
    </row>
    <row r="580" spans="1:12" s="2" customFormat="1" x14ac:dyDescent="0.25">
      <c r="A580" s="162" t="s">
        <v>258</v>
      </c>
      <c r="B580" s="163"/>
      <c r="C580" s="163"/>
      <c r="D580" s="163"/>
      <c r="E580" s="163"/>
      <c r="F580" s="163"/>
      <c r="G580" s="163"/>
      <c r="H580" s="164"/>
    </row>
    <row r="581" spans="1:12" s="2" customFormat="1" x14ac:dyDescent="0.25">
      <c r="A581" s="23">
        <v>1</v>
      </c>
      <c r="B581" s="23" t="s">
        <v>260</v>
      </c>
      <c r="C581" s="90">
        <f>(164.422)*10.764</f>
        <v>1769.8384079999998</v>
      </c>
      <c r="D581" s="90">
        <f>(8.188)*10.764</f>
        <v>88.135632000000001</v>
      </c>
      <c r="E581" s="90">
        <f>(31.883+13.3*1.7+5.104)*10.764</f>
        <v>641.50210799999991</v>
      </c>
      <c r="F581" s="90">
        <f>C581+D581+E581</f>
        <v>2499.4761479999997</v>
      </c>
      <c r="G581" s="90">
        <v>0</v>
      </c>
      <c r="H581" s="23">
        <f>F581*(($H$576)+1)+(IF(G581&lt;101,G581,IF(G581&lt;201,G581/2,IF(G581&lt;=301,G581/3,G581/4))))</f>
        <v>3749.2142219999996</v>
      </c>
    </row>
    <row r="582" spans="1:12" s="2" customFormat="1" x14ac:dyDescent="0.25">
      <c r="A582" s="155" t="s">
        <v>259</v>
      </c>
      <c r="B582" s="155"/>
      <c r="C582" s="155"/>
      <c r="D582" s="155"/>
      <c r="E582" s="155"/>
      <c r="F582" s="155"/>
      <c r="G582" s="155"/>
      <c r="H582" s="155"/>
    </row>
    <row r="583" spans="1:12" s="2" customFormat="1" x14ac:dyDescent="0.25">
      <c r="A583" s="23">
        <v>1</v>
      </c>
      <c r="B583" s="23" t="s">
        <v>260</v>
      </c>
      <c r="C583" s="90">
        <f>(164.422)*10.764</f>
        <v>1769.8384079999998</v>
      </c>
      <c r="D583" s="90">
        <f>(8.188)*10.764</f>
        <v>88.135632000000001</v>
      </c>
      <c r="E583" s="90">
        <f>(31.883+13.3*1.7+5.104)*10.764</f>
        <v>641.50210799999991</v>
      </c>
      <c r="F583" s="90">
        <f>C583+D583+E583</f>
        <v>2499.4761479999997</v>
      </c>
      <c r="G583" s="90">
        <v>0</v>
      </c>
      <c r="H583" s="23">
        <f>F583*(($H$576)+1)+(IF(G583&lt;101,G583,IF(G583&lt;201,G583/2,IF(G583&lt;=301,G583/3,G583/4))))</f>
        <v>3749.2142219999996</v>
      </c>
    </row>
    <row r="584" spans="1:12" s="2" customFormat="1" x14ac:dyDescent="0.25">
      <c r="A584" s="216"/>
      <c r="B584" s="217"/>
      <c r="C584" s="217"/>
      <c r="D584" s="217"/>
      <c r="E584" s="217"/>
      <c r="F584" s="217"/>
      <c r="G584" s="217"/>
      <c r="H584" s="218"/>
    </row>
    <row r="585" spans="1:12" s="1" customFormat="1" x14ac:dyDescent="0.25">
      <c r="A585" s="209" t="s">
        <v>79</v>
      </c>
      <c r="B585" s="209"/>
      <c r="C585" s="209"/>
      <c r="D585" s="209"/>
      <c r="E585" s="209"/>
      <c r="F585" s="209"/>
      <c r="G585" s="209"/>
      <c r="H585" s="209"/>
    </row>
    <row r="586" spans="1:12" s="10" customFormat="1" ht="276" customHeight="1" x14ac:dyDescent="0.25">
      <c r="A586" s="210" t="s">
        <v>299</v>
      </c>
      <c r="B586" s="210"/>
      <c r="C586" s="210"/>
      <c r="D586" s="210"/>
      <c r="E586" s="210"/>
      <c r="F586" s="210"/>
      <c r="G586" s="210"/>
      <c r="H586" s="210"/>
    </row>
    <row r="587" spans="1:12" x14ac:dyDescent="0.25">
      <c r="A587" s="196" t="s">
        <v>70</v>
      </c>
      <c r="B587" s="196"/>
      <c r="C587" s="196"/>
      <c r="D587" s="196"/>
      <c r="E587" s="196"/>
      <c r="F587" s="196"/>
      <c r="G587" s="196"/>
      <c r="H587" s="196"/>
    </row>
    <row r="588" spans="1:12" x14ac:dyDescent="0.25">
      <c r="A588" s="101" t="s">
        <v>71</v>
      </c>
      <c r="B588" s="101"/>
      <c r="C588" s="101"/>
      <c r="D588" s="101"/>
      <c r="E588" s="101"/>
      <c r="F588" s="101"/>
      <c r="G588" s="101"/>
      <c r="H588" s="101"/>
    </row>
    <row r="589" spans="1:12" ht="15.75" customHeight="1" x14ac:dyDescent="0.25">
      <c r="A589" s="196" t="s">
        <v>72</v>
      </c>
      <c r="B589" s="196"/>
      <c r="C589" s="196"/>
      <c r="D589" s="196"/>
      <c r="E589" s="196"/>
      <c r="F589" s="196"/>
      <c r="G589" s="196"/>
      <c r="H589" s="196"/>
    </row>
    <row r="590" spans="1:12" x14ac:dyDescent="0.25">
      <c r="A590" s="101" t="s">
        <v>73</v>
      </c>
      <c r="B590" s="101"/>
      <c r="C590" s="101"/>
      <c r="D590" s="101"/>
      <c r="E590" s="101"/>
      <c r="F590" s="101"/>
      <c r="G590" s="101"/>
      <c r="H590" s="101"/>
    </row>
    <row r="591" spans="1:12" x14ac:dyDescent="0.25">
      <c r="A591" s="101" t="s">
        <v>74</v>
      </c>
      <c r="B591" s="101"/>
      <c r="C591" s="101"/>
      <c r="D591" s="101"/>
      <c r="E591" s="101"/>
      <c r="F591" s="101"/>
      <c r="G591" s="101"/>
      <c r="H591" s="101"/>
    </row>
    <row r="592" spans="1:12" x14ac:dyDescent="0.25">
      <c r="A592" s="101" t="s">
        <v>75</v>
      </c>
      <c r="B592" s="101"/>
      <c r="C592" s="101"/>
      <c r="D592" s="101"/>
      <c r="E592" s="101"/>
      <c r="F592" s="101"/>
      <c r="G592" s="101"/>
      <c r="H592" s="101"/>
    </row>
    <row r="593" spans="1:8" ht="35.25" customHeight="1" x14ac:dyDescent="0.25">
      <c r="A593" s="105" t="s">
        <v>76</v>
      </c>
      <c r="B593" s="105"/>
      <c r="C593" s="105"/>
      <c r="D593" s="105"/>
      <c r="E593" s="105"/>
      <c r="F593" s="105"/>
      <c r="G593" s="105"/>
      <c r="H593" s="105"/>
    </row>
    <row r="594" spans="1:8" x14ac:dyDescent="0.25">
      <c r="A594" s="191" t="s">
        <v>112</v>
      </c>
      <c r="B594" s="191"/>
      <c r="C594" s="191" t="s">
        <v>295</v>
      </c>
      <c r="D594" s="191"/>
      <c r="E594" s="191" t="s">
        <v>145</v>
      </c>
      <c r="F594" s="191"/>
      <c r="G594" s="191" t="s">
        <v>294</v>
      </c>
      <c r="H594" s="191"/>
    </row>
    <row r="595" spans="1:8" x14ac:dyDescent="0.25">
      <c r="A595" s="190" t="s">
        <v>114</v>
      </c>
      <c r="B595" s="190"/>
      <c r="C595" s="190"/>
      <c r="D595" s="190"/>
      <c r="E595" s="190"/>
      <c r="F595" s="190"/>
      <c r="G595" s="190"/>
      <c r="H595" s="190"/>
    </row>
    <row r="596" spans="1:8" x14ac:dyDescent="0.25">
      <c r="A596" s="190"/>
      <c r="B596" s="190"/>
      <c r="C596" s="190"/>
      <c r="D596" s="190"/>
      <c r="E596" s="190"/>
      <c r="F596" s="190"/>
      <c r="G596" s="190"/>
      <c r="H596" s="190"/>
    </row>
    <row r="597" spans="1:8" x14ac:dyDescent="0.25">
      <c r="A597" s="190"/>
      <c r="B597" s="190"/>
      <c r="C597" s="190"/>
      <c r="D597" s="190"/>
      <c r="E597" s="190"/>
      <c r="F597" s="190"/>
      <c r="G597" s="190"/>
      <c r="H597" s="190"/>
    </row>
    <row r="598" spans="1:8" x14ac:dyDescent="0.25">
      <c r="A598" s="190"/>
      <c r="B598" s="190"/>
      <c r="C598" s="190"/>
      <c r="D598" s="190"/>
      <c r="E598" s="190"/>
      <c r="F598" s="190"/>
      <c r="G598" s="190"/>
      <c r="H598" s="190"/>
    </row>
    <row r="599" spans="1:8" x14ac:dyDescent="0.25">
      <c r="A599" s="18" t="s">
        <v>77</v>
      </c>
      <c r="B599" s="19"/>
      <c r="C599" s="19"/>
      <c r="D599" s="29" t="str">
        <f>E8</f>
        <v>19 East</v>
      </c>
      <c r="F599" s="19"/>
      <c r="G599" s="19"/>
      <c r="H599" s="19"/>
    </row>
    <row r="600" spans="1:8" x14ac:dyDescent="0.25">
      <c r="A600" s="19"/>
      <c r="B600" s="19"/>
      <c r="C600" s="19"/>
      <c r="D600" s="30"/>
      <c r="E600" s="19"/>
      <c r="F600" s="19"/>
      <c r="G600" s="19"/>
      <c r="H600" s="19"/>
    </row>
    <row r="601" spans="1:8" x14ac:dyDescent="0.25">
      <c r="A601" s="19"/>
      <c r="B601" s="19"/>
      <c r="D601" s="30"/>
      <c r="E601" s="19"/>
      <c r="F601" s="19"/>
      <c r="G601" s="19"/>
      <c r="H601" s="19"/>
    </row>
    <row r="602" spans="1:8" ht="15" customHeight="1" x14ac:dyDescent="0.25"/>
    <row r="642" spans="1:1" x14ac:dyDescent="0.25">
      <c r="A642" s="21" t="s">
        <v>78</v>
      </c>
    </row>
    <row r="683" hidden="1" x14ac:dyDescent="0.25"/>
    <row r="684" hidden="1" x14ac:dyDescent="0.25"/>
    <row r="685" hidden="1" x14ac:dyDescent="0.25"/>
  </sheetData>
  <mergeCells count="578">
    <mergeCell ref="A582:H582"/>
    <mergeCell ref="A584:H584"/>
    <mergeCell ref="C36:H36"/>
    <mergeCell ref="A577:H577"/>
    <mergeCell ref="A578:H578"/>
    <mergeCell ref="A579:H579"/>
    <mergeCell ref="A580:H580"/>
    <mergeCell ref="A574:H574"/>
    <mergeCell ref="A575:A576"/>
    <mergeCell ref="B575:B576"/>
    <mergeCell ref="C575:C576"/>
    <mergeCell ref="D575:D576"/>
    <mergeCell ref="E575:E576"/>
    <mergeCell ref="F575:F576"/>
    <mergeCell ref="G575:G576"/>
    <mergeCell ref="A136:B136"/>
    <mergeCell ref="D136:E136"/>
    <mergeCell ref="F136:H136"/>
    <mergeCell ref="B445:G445"/>
    <mergeCell ref="B405:G405"/>
    <mergeCell ref="B518:G518"/>
    <mergeCell ref="B558:G558"/>
    <mergeCell ref="H250:H251"/>
    <mergeCell ref="H293:H294"/>
    <mergeCell ref="H421:H428"/>
    <mergeCell ref="H429:H436"/>
    <mergeCell ref="H437:H444"/>
    <mergeCell ref="H445:H452"/>
    <mergeCell ref="H453:H460"/>
    <mergeCell ref="A461:H461"/>
    <mergeCell ref="B454:G454"/>
    <mergeCell ref="A351:H351"/>
    <mergeCell ref="A352:H352"/>
    <mergeCell ref="H353:H356"/>
    <mergeCell ref="H357:H364"/>
    <mergeCell ref="H365:H372"/>
    <mergeCell ref="H373:H380"/>
    <mergeCell ref="H381:H388"/>
    <mergeCell ref="H397:H404"/>
    <mergeCell ref="H389:H396"/>
    <mergeCell ref="H405:H412"/>
    <mergeCell ref="H413:H420"/>
    <mergeCell ref="H230:H231"/>
    <mergeCell ref="H232:H233"/>
    <mergeCell ref="H234:H235"/>
    <mergeCell ref="H236:H237"/>
    <mergeCell ref="H238:H239"/>
    <mergeCell ref="H240:H241"/>
    <mergeCell ref="H242:H243"/>
    <mergeCell ref="G166:H166"/>
    <mergeCell ref="A213:B213"/>
    <mergeCell ref="G213:H213"/>
    <mergeCell ref="A170:B170"/>
    <mergeCell ref="A169:B169"/>
    <mergeCell ref="A192:B192"/>
    <mergeCell ref="A200:B200"/>
    <mergeCell ref="A204:B204"/>
    <mergeCell ref="A177:B177"/>
    <mergeCell ref="A211:B211"/>
    <mergeCell ref="G211:H211"/>
    <mergeCell ref="A212:B212"/>
    <mergeCell ref="G212:H212"/>
    <mergeCell ref="G167:H167"/>
    <mergeCell ref="G168:H168"/>
    <mergeCell ref="G171:H171"/>
    <mergeCell ref="G172:H172"/>
    <mergeCell ref="H502:H509"/>
    <mergeCell ref="H510:H517"/>
    <mergeCell ref="A462:H462"/>
    <mergeCell ref="A463:H463"/>
    <mergeCell ref="A464:H464"/>
    <mergeCell ref="A465:H465"/>
    <mergeCell ref="B567:G567"/>
    <mergeCell ref="B569:G569"/>
    <mergeCell ref="H470:H477"/>
    <mergeCell ref="H558:H565"/>
    <mergeCell ref="H466:H469"/>
    <mergeCell ref="H478:H485"/>
    <mergeCell ref="H518:H525"/>
    <mergeCell ref="H526:H533"/>
    <mergeCell ref="H534:H541"/>
    <mergeCell ref="H542:H549"/>
    <mergeCell ref="H550:H557"/>
    <mergeCell ref="A151:B151"/>
    <mergeCell ref="A152:B152"/>
    <mergeCell ref="A189:B189"/>
    <mergeCell ref="A171:B171"/>
    <mergeCell ref="A172:B172"/>
    <mergeCell ref="A173:B173"/>
    <mergeCell ref="A187:B187"/>
    <mergeCell ref="G209:H209"/>
    <mergeCell ref="A210:B210"/>
    <mergeCell ref="G210:H210"/>
    <mergeCell ref="A209:B209"/>
    <mergeCell ref="A207:B207"/>
    <mergeCell ref="G207:H207"/>
    <mergeCell ref="G208:H208"/>
    <mergeCell ref="G192:H192"/>
    <mergeCell ref="G193:H193"/>
    <mergeCell ref="G160:H160"/>
    <mergeCell ref="G161:H161"/>
    <mergeCell ref="G162:H162"/>
    <mergeCell ref="A593:H593"/>
    <mergeCell ref="A585:H585"/>
    <mergeCell ref="A586:H586"/>
    <mergeCell ref="A587:H587"/>
    <mergeCell ref="A588:H588"/>
    <mergeCell ref="A180:B180"/>
    <mergeCell ref="A181:B181"/>
    <mergeCell ref="A208:B208"/>
    <mergeCell ref="G183:H183"/>
    <mergeCell ref="A184:B184"/>
    <mergeCell ref="G184:H184"/>
    <mergeCell ref="A185:B185"/>
    <mergeCell ref="A186:B186"/>
    <mergeCell ref="G186:H186"/>
    <mergeCell ref="G187:H187"/>
    <mergeCell ref="A188:B188"/>
    <mergeCell ref="H301:H302"/>
    <mergeCell ref="A317:H317"/>
    <mergeCell ref="H303:H304"/>
    <mergeCell ref="A288:H288"/>
    <mergeCell ref="A286:H286"/>
    <mergeCell ref="H566:H573"/>
    <mergeCell ref="H486:H493"/>
    <mergeCell ref="H494:H501"/>
    <mergeCell ref="G156:H156"/>
    <mergeCell ref="G157:H157"/>
    <mergeCell ref="G164:H164"/>
    <mergeCell ref="G165:H165"/>
    <mergeCell ref="G197:H197"/>
    <mergeCell ref="G178:H178"/>
    <mergeCell ref="G179:H179"/>
    <mergeCell ref="G180:H180"/>
    <mergeCell ref="G181:H181"/>
    <mergeCell ref="G182:H182"/>
    <mergeCell ref="G173:H173"/>
    <mergeCell ref="G174:H174"/>
    <mergeCell ref="G175:H175"/>
    <mergeCell ref="G176:H176"/>
    <mergeCell ref="A161:B161"/>
    <mergeCell ref="A162:B162"/>
    <mergeCell ref="A163:B163"/>
    <mergeCell ref="G140:H140"/>
    <mergeCell ref="G144:H144"/>
    <mergeCell ref="A164:B164"/>
    <mergeCell ref="G149:H149"/>
    <mergeCell ref="G150:H150"/>
    <mergeCell ref="A143:H143"/>
    <mergeCell ref="A149:B149"/>
    <mergeCell ref="A158:B158"/>
    <mergeCell ref="G158:H158"/>
    <mergeCell ref="G159:H159"/>
    <mergeCell ref="A155:B155"/>
    <mergeCell ref="A156:B156"/>
    <mergeCell ref="A157:B157"/>
    <mergeCell ref="A159:B159"/>
    <mergeCell ref="A160:B160"/>
    <mergeCell ref="G163:H163"/>
    <mergeCell ref="G151:H151"/>
    <mergeCell ref="G152:H152"/>
    <mergeCell ref="G153:H153"/>
    <mergeCell ref="G154:H154"/>
    <mergeCell ref="G155:H155"/>
    <mergeCell ref="A198:B198"/>
    <mergeCell ref="A199:B199"/>
    <mergeCell ref="A201:B201"/>
    <mergeCell ref="A202:B202"/>
    <mergeCell ref="A193:B193"/>
    <mergeCell ref="A194:B194"/>
    <mergeCell ref="A195:B195"/>
    <mergeCell ref="G206:H206"/>
    <mergeCell ref="A165:B165"/>
    <mergeCell ref="A166:B166"/>
    <mergeCell ref="A167:B167"/>
    <mergeCell ref="A168:B168"/>
    <mergeCell ref="A190:B190"/>
    <mergeCell ref="G169:H169"/>
    <mergeCell ref="G170:H170"/>
    <mergeCell ref="A182:B182"/>
    <mergeCell ref="A183:B183"/>
    <mergeCell ref="A175:B175"/>
    <mergeCell ref="A176:B176"/>
    <mergeCell ref="A178:B178"/>
    <mergeCell ref="A179:B179"/>
    <mergeCell ref="A174:B174"/>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H1"/>
    <mergeCell ref="A2:H2"/>
    <mergeCell ref="A3:D3"/>
    <mergeCell ref="E3:H3"/>
    <mergeCell ref="A4:D4"/>
    <mergeCell ref="A8:D8"/>
    <mergeCell ref="E8:H8"/>
    <mergeCell ref="A10:D10"/>
    <mergeCell ref="E10:H10"/>
    <mergeCell ref="E4:H4"/>
    <mergeCell ref="A9:D9"/>
    <mergeCell ref="E9:H9"/>
    <mergeCell ref="A17:B17"/>
    <mergeCell ref="C17:D17"/>
    <mergeCell ref="E17:F17"/>
    <mergeCell ref="G17:H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595:H598"/>
    <mergeCell ref="A594:B594"/>
    <mergeCell ref="E594:F594"/>
    <mergeCell ref="C594:D594"/>
    <mergeCell ref="G594:H594"/>
    <mergeCell ref="A124:H124"/>
    <mergeCell ref="A122:E122"/>
    <mergeCell ref="F122:H122"/>
    <mergeCell ref="A123:E123"/>
    <mergeCell ref="F123:H123"/>
    <mergeCell ref="D129:E129"/>
    <mergeCell ref="F129:H129"/>
    <mergeCell ref="A140:B140"/>
    <mergeCell ref="A142:H142"/>
    <mergeCell ref="A129:B129"/>
    <mergeCell ref="A153:B153"/>
    <mergeCell ref="A154:B154"/>
    <mergeCell ref="G145:H145"/>
    <mergeCell ref="F128:H128"/>
    <mergeCell ref="A125:B125"/>
    <mergeCell ref="A589:H589"/>
    <mergeCell ref="A590:H590"/>
    <mergeCell ref="A591:H591"/>
    <mergeCell ref="A592:H592"/>
    <mergeCell ref="C31:E31"/>
    <mergeCell ref="A32:B32"/>
    <mergeCell ref="C32:E32"/>
    <mergeCell ref="A33:B33"/>
    <mergeCell ref="C33:E33"/>
    <mergeCell ref="C34:E34"/>
    <mergeCell ref="A30:B30"/>
    <mergeCell ref="G53:H53"/>
    <mergeCell ref="A53:B53"/>
    <mergeCell ref="C53:E53"/>
    <mergeCell ref="E44:H44"/>
    <mergeCell ref="A42:D42"/>
    <mergeCell ref="A43:D43"/>
    <mergeCell ref="A44:D44"/>
    <mergeCell ref="A45:H45"/>
    <mergeCell ref="G46:H46"/>
    <mergeCell ref="G47:H47"/>
    <mergeCell ref="A47:B47"/>
    <mergeCell ref="C50:H50"/>
    <mergeCell ref="C49:E49"/>
    <mergeCell ref="A46:B46"/>
    <mergeCell ref="C46:E46"/>
    <mergeCell ref="A41:D41"/>
    <mergeCell ref="E41:H41"/>
    <mergeCell ref="E42:H42"/>
    <mergeCell ref="E43:H43"/>
    <mergeCell ref="A54:H54"/>
    <mergeCell ref="A55:C55"/>
    <mergeCell ref="A121:E121"/>
    <mergeCell ref="F121:H121"/>
    <mergeCell ref="A36:B36"/>
    <mergeCell ref="A49:B50"/>
    <mergeCell ref="G49:H49"/>
    <mergeCell ref="D57:H57"/>
    <mergeCell ref="D59:H59"/>
    <mergeCell ref="A56:C56"/>
    <mergeCell ref="D56:H56"/>
    <mergeCell ref="D55:H55"/>
    <mergeCell ref="A66:C66"/>
    <mergeCell ref="D66:H66"/>
    <mergeCell ref="A117:E117"/>
    <mergeCell ref="F117:H117"/>
    <mergeCell ref="A61:C61"/>
    <mergeCell ref="A63:C63"/>
    <mergeCell ref="D61:H61"/>
    <mergeCell ref="D63:H63"/>
    <mergeCell ref="A114:H114"/>
    <mergeCell ref="A115:E115"/>
    <mergeCell ref="C47:E47"/>
    <mergeCell ref="A118:E118"/>
    <mergeCell ref="F118:H118"/>
    <mergeCell ref="G146:H146"/>
    <mergeCell ref="G147:H147"/>
    <mergeCell ref="G148:H148"/>
    <mergeCell ref="A68:B68"/>
    <mergeCell ref="C68:H68"/>
    <mergeCell ref="A70:B70"/>
    <mergeCell ref="C70:H70"/>
    <mergeCell ref="A73:B73"/>
    <mergeCell ref="E73:F73"/>
    <mergeCell ref="G73:H73"/>
    <mergeCell ref="A74:B74"/>
    <mergeCell ref="E74:F83"/>
    <mergeCell ref="G74:H83"/>
    <mergeCell ref="A75:B75"/>
    <mergeCell ref="A76:B76"/>
    <mergeCell ref="A77:B77"/>
    <mergeCell ref="A78:B78"/>
    <mergeCell ref="A79:B79"/>
    <mergeCell ref="G89:H89"/>
    <mergeCell ref="E89:F89"/>
    <mergeCell ref="A135:B135"/>
    <mergeCell ref="A120:E120"/>
    <mergeCell ref="F120:H120"/>
    <mergeCell ref="A119:E119"/>
    <mergeCell ref="F119:H119"/>
    <mergeCell ref="A144:B144"/>
    <mergeCell ref="A145:B145"/>
    <mergeCell ref="A146:B146"/>
    <mergeCell ref="A147:B147"/>
    <mergeCell ref="A148:B148"/>
    <mergeCell ref="A139:H139"/>
    <mergeCell ref="A150:B150"/>
    <mergeCell ref="A141:H141"/>
    <mergeCell ref="A133:B133"/>
    <mergeCell ref="D133:E133"/>
    <mergeCell ref="A138:H138"/>
    <mergeCell ref="A128:B128"/>
    <mergeCell ref="D125:E125"/>
    <mergeCell ref="F125:H125"/>
    <mergeCell ref="A126:B126"/>
    <mergeCell ref="D126:E126"/>
    <mergeCell ref="F126:H126"/>
    <mergeCell ref="F133:H133"/>
    <mergeCell ref="A134:B134"/>
    <mergeCell ref="D134:E134"/>
    <mergeCell ref="F134:H134"/>
    <mergeCell ref="A130:B130"/>
    <mergeCell ref="D130:E130"/>
    <mergeCell ref="F130:H130"/>
    <mergeCell ref="A131:B131"/>
    <mergeCell ref="D131:E131"/>
    <mergeCell ref="F131:H131"/>
    <mergeCell ref="A132:B132"/>
    <mergeCell ref="D132:E132"/>
    <mergeCell ref="F132:H132"/>
    <mergeCell ref="A196:B196"/>
    <mergeCell ref="A205:B205"/>
    <mergeCell ref="A206:B206"/>
    <mergeCell ref="G204:H204"/>
    <mergeCell ref="A203:B203"/>
    <mergeCell ref="A191:B191"/>
    <mergeCell ref="G177:H177"/>
    <mergeCell ref="A218:B218"/>
    <mergeCell ref="A197:B197"/>
    <mergeCell ref="A214:B214"/>
    <mergeCell ref="G214:H214"/>
    <mergeCell ref="A215:B215"/>
    <mergeCell ref="G215:H215"/>
    <mergeCell ref="A216:B216"/>
    <mergeCell ref="G216:H216"/>
    <mergeCell ref="A217:B217"/>
    <mergeCell ref="G217:H217"/>
    <mergeCell ref="G218:H218"/>
    <mergeCell ref="G185:H185"/>
    <mergeCell ref="G202:H202"/>
    <mergeCell ref="G203:H203"/>
    <mergeCell ref="G189:H189"/>
    <mergeCell ref="G190:H190"/>
    <mergeCell ref="G191:H191"/>
    <mergeCell ref="G205:H205"/>
    <mergeCell ref="A229:H229"/>
    <mergeCell ref="A226:H226"/>
    <mergeCell ref="A227:H227"/>
    <mergeCell ref="A228:H228"/>
    <mergeCell ref="A224:H224"/>
    <mergeCell ref="A219:B219"/>
    <mergeCell ref="G219:H219"/>
    <mergeCell ref="A220:B220"/>
    <mergeCell ref="G220:H220"/>
    <mergeCell ref="A221:B221"/>
    <mergeCell ref="G221:H221"/>
    <mergeCell ref="A222:B222"/>
    <mergeCell ref="G222:H222"/>
    <mergeCell ref="A223:B223"/>
    <mergeCell ref="G223:H223"/>
    <mergeCell ref="G198:H198"/>
    <mergeCell ref="G199:H199"/>
    <mergeCell ref="G201:H201"/>
    <mergeCell ref="G200:H200"/>
    <mergeCell ref="G194:H194"/>
    <mergeCell ref="G195:H195"/>
    <mergeCell ref="G196:H196"/>
    <mergeCell ref="G188:H188"/>
    <mergeCell ref="A349:H349"/>
    <mergeCell ref="H246:H247"/>
    <mergeCell ref="H248:H249"/>
    <mergeCell ref="H252:H253"/>
    <mergeCell ref="H268:H269"/>
    <mergeCell ref="H270:H271"/>
    <mergeCell ref="H272:H273"/>
    <mergeCell ref="H274:H275"/>
    <mergeCell ref="H276:H277"/>
    <mergeCell ref="H278:H279"/>
    <mergeCell ref="A257:H257"/>
    <mergeCell ref="A258:H258"/>
    <mergeCell ref="A259:H259"/>
    <mergeCell ref="H260:H261"/>
    <mergeCell ref="H280:H281"/>
    <mergeCell ref="H282:H283"/>
    <mergeCell ref="A350:H350"/>
    <mergeCell ref="A321:H321"/>
    <mergeCell ref="H322:H323"/>
    <mergeCell ref="H324:H325"/>
    <mergeCell ref="H326:H327"/>
    <mergeCell ref="H328:H329"/>
    <mergeCell ref="H330:H331"/>
    <mergeCell ref="H332:H333"/>
    <mergeCell ref="H334:H335"/>
    <mergeCell ref="H336:H337"/>
    <mergeCell ref="A348:H348"/>
    <mergeCell ref="H346:H347"/>
    <mergeCell ref="H262:H263"/>
    <mergeCell ref="H264:H265"/>
    <mergeCell ref="H266:H267"/>
    <mergeCell ref="H338:H339"/>
    <mergeCell ref="H340:H341"/>
    <mergeCell ref="H342:H343"/>
    <mergeCell ref="H344:H345"/>
    <mergeCell ref="H305:H306"/>
    <mergeCell ref="H307:H308"/>
    <mergeCell ref="H309:H310"/>
    <mergeCell ref="H311:H312"/>
    <mergeCell ref="H313:H314"/>
    <mergeCell ref="H284:H285"/>
    <mergeCell ref="A287:H287"/>
    <mergeCell ref="H315:H316"/>
    <mergeCell ref="A318:H318"/>
    <mergeCell ref="A319:H319"/>
    <mergeCell ref="A289:H289"/>
    <mergeCell ref="A290:H290"/>
    <mergeCell ref="H291:H292"/>
    <mergeCell ref="H295:H296"/>
    <mergeCell ref="H297:H298"/>
    <mergeCell ref="A320:H320"/>
    <mergeCell ref="H299:H300"/>
    <mergeCell ref="H254:H255"/>
    <mergeCell ref="A256:H256"/>
    <mergeCell ref="H244:H245"/>
    <mergeCell ref="A37:B37"/>
    <mergeCell ref="C37:H37"/>
    <mergeCell ref="A90:B90"/>
    <mergeCell ref="E90:F99"/>
    <mergeCell ref="G90:H99"/>
    <mergeCell ref="A91:B91"/>
    <mergeCell ref="A92:B92"/>
    <mergeCell ref="A93:B93"/>
    <mergeCell ref="A94:B94"/>
    <mergeCell ref="A95:B95"/>
    <mergeCell ref="A96:B96"/>
    <mergeCell ref="A97:B97"/>
    <mergeCell ref="A98:B98"/>
    <mergeCell ref="A99:B99"/>
    <mergeCell ref="A80:B80"/>
    <mergeCell ref="A81:B81"/>
    <mergeCell ref="A82:B82"/>
    <mergeCell ref="A83:B83"/>
    <mergeCell ref="A84:B84"/>
    <mergeCell ref="D135:E135"/>
    <mergeCell ref="F135:H135"/>
    <mergeCell ref="D128:E128"/>
    <mergeCell ref="A105:B105"/>
    <mergeCell ref="C84:H84"/>
    <mergeCell ref="A86:B86"/>
    <mergeCell ref="C86:H86"/>
    <mergeCell ref="A104:B104"/>
    <mergeCell ref="E104:F113"/>
    <mergeCell ref="G104:H113"/>
    <mergeCell ref="D65:H65"/>
    <mergeCell ref="A89:B89"/>
    <mergeCell ref="A71:B72"/>
    <mergeCell ref="C71:D72"/>
    <mergeCell ref="E71:F72"/>
    <mergeCell ref="G71:H72"/>
    <mergeCell ref="A87:B88"/>
    <mergeCell ref="C87:D88"/>
    <mergeCell ref="E87:F88"/>
    <mergeCell ref="G87:H88"/>
    <mergeCell ref="A100:B100"/>
    <mergeCell ref="C100:H100"/>
    <mergeCell ref="A102:B102"/>
    <mergeCell ref="C102:H102"/>
    <mergeCell ref="A103:B103"/>
    <mergeCell ref="E103:F103"/>
    <mergeCell ref="A116:E116"/>
    <mergeCell ref="A65:C65"/>
    <mergeCell ref="A48:B48"/>
    <mergeCell ref="C48:E48"/>
    <mergeCell ref="G48:H48"/>
    <mergeCell ref="A51:B52"/>
    <mergeCell ref="C51:E51"/>
    <mergeCell ref="G51:H51"/>
    <mergeCell ref="C52:H52"/>
    <mergeCell ref="D58:H58"/>
    <mergeCell ref="A57:C58"/>
    <mergeCell ref="D60:H60"/>
    <mergeCell ref="A59:C60"/>
    <mergeCell ref="G103:H103"/>
    <mergeCell ref="I115:J115"/>
    <mergeCell ref="I116:J116"/>
    <mergeCell ref="I119:J119"/>
    <mergeCell ref="I10:L10"/>
    <mergeCell ref="A137:B137"/>
    <mergeCell ref="D137:E137"/>
    <mergeCell ref="F137:H137"/>
    <mergeCell ref="A62:C62"/>
    <mergeCell ref="D62:H62"/>
    <mergeCell ref="A67:C67"/>
    <mergeCell ref="D67:H67"/>
    <mergeCell ref="A64:C64"/>
    <mergeCell ref="D64:H64"/>
    <mergeCell ref="A112:B112"/>
    <mergeCell ref="A113:B113"/>
    <mergeCell ref="A106:B106"/>
    <mergeCell ref="A107:B107"/>
    <mergeCell ref="A108:B108"/>
    <mergeCell ref="A109:B109"/>
    <mergeCell ref="A110:B110"/>
    <mergeCell ref="A111:B111"/>
    <mergeCell ref="A127:H127"/>
    <mergeCell ref="F115:H115"/>
    <mergeCell ref="F116:H116"/>
  </mergeCells>
  <hyperlinks>
    <hyperlink ref="C37" r:id="rId1" xr:uid="{00000000-0004-0000-0000-000000000000}"/>
  </hyperlinks>
  <printOptions horizontalCentered="1"/>
  <pageMargins left="0.25" right="0.25" top="0.75" bottom="0.75" header="0.3" footer="0.3"/>
  <pageSetup fitToHeight="0" orientation="portrait" r:id="rId2"/>
  <headerFooter>
    <oddHeader>&amp;C&amp;G</oddHeader>
    <oddFooter>&amp;L&amp;"Times New Roman,Bold"&amp;12Ref No: &amp;F&amp;C&amp;G&amp;R&amp;"Times New Roman,Bold"&amp;12                                                                      &amp;P</oddFooter>
  </headerFooter>
  <rowBreaks count="3" manualBreakCount="3">
    <brk id="67" max="16383" man="1"/>
    <brk id="598" max="16383" man="1"/>
    <brk id="64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topLeftCell="C1" workbookViewId="0">
      <selection activeCell="H10" sqref="H10"/>
    </sheetView>
  </sheetViews>
  <sheetFormatPr defaultColWidth="8.85546875" defaultRowHeight="15" x14ac:dyDescent="0.25"/>
  <cols>
    <col min="1" max="1" width="8.85546875" style="59"/>
    <col min="2" max="2" width="22.140625" style="59" customWidth="1"/>
    <col min="3" max="3" width="37" style="59" customWidth="1"/>
    <col min="4" max="5" width="11.42578125" style="59" customWidth="1"/>
    <col min="6" max="6" width="14" style="59" customWidth="1"/>
    <col min="7" max="7" width="20" style="59" customWidth="1"/>
    <col min="8" max="8" width="16.42578125" style="59" customWidth="1"/>
    <col min="9" max="16384" width="8.85546875" style="59"/>
  </cols>
  <sheetData>
    <row r="1" spans="1:9" ht="15" customHeight="1" x14ac:dyDescent="0.25"/>
    <row r="2" spans="1:9" ht="15" customHeight="1" x14ac:dyDescent="0.25">
      <c r="A2" s="60"/>
      <c r="B2" s="60"/>
      <c r="C2" s="60"/>
      <c r="D2" s="60"/>
      <c r="E2" s="60"/>
      <c r="F2" s="60"/>
      <c r="G2" s="60"/>
      <c r="H2" s="60"/>
    </row>
    <row r="3" spans="1:9" x14ac:dyDescent="0.25">
      <c r="A3" s="60"/>
      <c r="B3" s="232" t="s">
        <v>212</v>
      </c>
      <c r="C3" s="232"/>
      <c r="D3" s="232"/>
      <c r="E3" s="232"/>
      <c r="F3" s="232"/>
      <c r="G3" s="232"/>
      <c r="H3" s="232"/>
    </row>
    <row r="4" spans="1:9" x14ac:dyDescent="0.25">
      <c r="A4" s="60"/>
      <c r="B4" s="61" t="s">
        <v>213</v>
      </c>
      <c r="C4" s="61" t="s">
        <v>214</v>
      </c>
      <c r="D4" s="61" t="s">
        <v>81</v>
      </c>
      <c r="E4" s="61" t="s">
        <v>215</v>
      </c>
      <c r="F4" s="61" t="s">
        <v>216</v>
      </c>
      <c r="G4" s="61" t="s">
        <v>217</v>
      </c>
      <c r="H4" s="61" t="s">
        <v>218</v>
      </c>
    </row>
    <row r="5" spans="1:9" ht="15" customHeight="1" x14ac:dyDescent="0.25">
      <c r="A5" s="60"/>
      <c r="B5" s="62" t="s">
        <v>220</v>
      </c>
      <c r="C5" s="63" t="s">
        <v>147</v>
      </c>
      <c r="D5" s="62" t="s">
        <v>223</v>
      </c>
      <c r="E5" s="62">
        <v>634</v>
      </c>
      <c r="F5" s="64">
        <f>E5*1.5</f>
        <v>951</v>
      </c>
      <c r="G5" s="64">
        <f>H5/F5</f>
        <v>19978.969505783385</v>
      </c>
      <c r="H5" s="65">
        <v>19000000</v>
      </c>
    </row>
    <row r="6" spans="1:9" x14ac:dyDescent="0.25">
      <c r="A6" s="60"/>
      <c r="B6" s="62" t="s">
        <v>220</v>
      </c>
      <c r="C6" s="63" t="s">
        <v>147</v>
      </c>
      <c r="D6" s="62" t="s">
        <v>192</v>
      </c>
      <c r="E6" s="62">
        <v>850</v>
      </c>
      <c r="F6" s="64">
        <f>E6*1.5</f>
        <v>1275</v>
      </c>
      <c r="G6" s="64">
        <f>H6/F6</f>
        <v>17882.352941176472</v>
      </c>
      <c r="H6" s="65">
        <v>22800000</v>
      </c>
    </row>
    <row r="7" spans="1:9" ht="15" customHeight="1" x14ac:dyDescent="0.25">
      <c r="A7" s="60"/>
      <c r="B7" s="62" t="s">
        <v>219</v>
      </c>
      <c r="C7" s="63" t="s">
        <v>147</v>
      </c>
      <c r="D7" s="62" t="s">
        <v>192</v>
      </c>
      <c r="E7" s="62">
        <v>762</v>
      </c>
      <c r="F7" s="64">
        <v>1230</v>
      </c>
      <c r="G7" s="64">
        <f t="shared" ref="G7:G10" si="0">H7/F7</f>
        <v>15040.650406504064</v>
      </c>
      <c r="H7" s="65">
        <v>18500000</v>
      </c>
    </row>
    <row r="8" spans="1:9" x14ac:dyDescent="0.25">
      <c r="A8" s="60"/>
      <c r="B8" s="62" t="s">
        <v>219</v>
      </c>
      <c r="C8" s="63" t="s">
        <v>147</v>
      </c>
      <c r="D8" s="62" t="s">
        <v>175</v>
      </c>
      <c r="E8" s="62">
        <v>908</v>
      </c>
      <c r="F8" s="64">
        <v>1465</v>
      </c>
      <c r="G8" s="64">
        <f t="shared" si="0"/>
        <v>17406.143344709897</v>
      </c>
      <c r="H8" s="65">
        <v>25500000</v>
      </c>
    </row>
    <row r="9" spans="1:9" ht="15" customHeight="1" x14ac:dyDescent="0.25">
      <c r="A9" s="60"/>
      <c r="B9" s="62" t="s">
        <v>219</v>
      </c>
      <c r="C9" s="63" t="s">
        <v>147</v>
      </c>
      <c r="D9" s="62" t="s">
        <v>192</v>
      </c>
      <c r="E9" s="62">
        <v>590</v>
      </c>
      <c r="F9" s="64">
        <v>790</v>
      </c>
      <c r="G9" s="64">
        <f t="shared" si="0"/>
        <v>22784.810126582277</v>
      </c>
      <c r="H9" s="65">
        <v>18000000</v>
      </c>
    </row>
    <row r="10" spans="1:9" ht="15" customHeight="1" x14ac:dyDescent="0.25">
      <c r="A10" s="60"/>
      <c r="B10" s="62" t="s">
        <v>220</v>
      </c>
      <c r="C10" s="63" t="s">
        <v>147</v>
      </c>
      <c r="D10" s="62" t="s">
        <v>192</v>
      </c>
      <c r="E10" s="62">
        <v>657</v>
      </c>
      <c r="F10" s="64">
        <v>1120</v>
      </c>
      <c r="G10" s="64">
        <f t="shared" si="0"/>
        <v>14910.714285714286</v>
      </c>
      <c r="H10" s="65">
        <v>16700000</v>
      </c>
    </row>
    <row r="11" spans="1:9" ht="15" customHeight="1" x14ac:dyDescent="0.25">
      <c r="A11" s="60"/>
      <c r="B11" s="66" t="s">
        <v>221</v>
      </c>
      <c r="C11" s="62"/>
      <c r="D11" s="62"/>
      <c r="E11" s="62"/>
      <c r="F11" s="62"/>
      <c r="G11" s="67">
        <f>AVERAGE(G5:G10)</f>
        <v>18000.60676841173</v>
      </c>
      <c r="H11" s="62"/>
    </row>
    <row r="12" spans="1:9" ht="15" customHeight="1" x14ac:dyDescent="0.25">
      <c r="B12" s="66" t="s">
        <v>222</v>
      </c>
      <c r="C12" s="62"/>
      <c r="D12" s="62"/>
      <c r="E12" s="62"/>
      <c r="F12" s="68"/>
      <c r="G12" s="66">
        <v>18000</v>
      </c>
      <c r="H12" s="66"/>
      <c r="I12" s="69"/>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workbookViewId="0">
      <selection sqref="A1:XFD1048576"/>
    </sheetView>
  </sheetViews>
  <sheetFormatPr defaultRowHeight="15" x14ac:dyDescent="0.25"/>
  <cols>
    <col min="2" max="2" width="12.140625" customWidth="1"/>
  </cols>
  <sheetData>
    <row r="2" spans="1:12" x14ac:dyDescent="0.25">
      <c r="B2" s="3" t="s">
        <v>80</v>
      </c>
      <c r="C2" s="233"/>
      <c r="D2" s="233"/>
    </row>
    <row r="3" spans="1:12" x14ac:dyDescent="0.25">
      <c r="D3" s="4"/>
      <c r="E3" s="4"/>
      <c r="F3" s="4"/>
      <c r="G3" s="4"/>
      <c r="H3" s="4"/>
      <c r="I3" s="4"/>
    </row>
    <row r="4" spans="1:12" x14ac:dyDescent="0.25">
      <c r="A4" s="3" t="s">
        <v>81</v>
      </c>
      <c r="B4" s="5" t="s">
        <v>82</v>
      </c>
      <c r="C4" s="234" t="s">
        <v>83</v>
      </c>
      <c r="D4" s="234"/>
      <c r="E4" s="234"/>
      <c r="F4" s="6"/>
      <c r="G4" s="234" t="s">
        <v>84</v>
      </c>
      <c r="H4" s="234"/>
      <c r="I4" s="234"/>
      <c r="J4" s="234" t="s">
        <v>85</v>
      </c>
      <c r="K4" s="234"/>
      <c r="L4" s="234"/>
    </row>
    <row r="5" spans="1:12" x14ac:dyDescent="0.25">
      <c r="A5" s="3">
        <v>202</v>
      </c>
      <c r="B5" s="5"/>
      <c r="C5" s="5" t="s">
        <v>86</v>
      </c>
      <c r="D5" s="5" t="s">
        <v>87</v>
      </c>
      <c r="E5" s="5" t="s">
        <v>61</v>
      </c>
      <c r="F5" s="5"/>
      <c r="G5" s="5" t="s">
        <v>86</v>
      </c>
      <c r="H5" s="5" t="s">
        <v>87</v>
      </c>
      <c r="I5" s="5" t="s">
        <v>61</v>
      </c>
      <c r="J5" s="5" t="s">
        <v>86</v>
      </c>
      <c r="K5" s="5" t="s">
        <v>87</v>
      </c>
      <c r="L5" s="5" t="s">
        <v>61</v>
      </c>
    </row>
    <row r="6" spans="1:12" x14ac:dyDescent="0.25">
      <c r="B6" s="7" t="s">
        <v>88</v>
      </c>
      <c r="C6" s="7">
        <v>4.5</v>
      </c>
      <c r="D6" s="7">
        <v>2.9</v>
      </c>
      <c r="E6" s="7">
        <f>C6*D6</f>
        <v>13.049999999999999</v>
      </c>
      <c r="F6" s="7" t="s">
        <v>89</v>
      </c>
      <c r="G6" s="7"/>
      <c r="H6" s="7"/>
      <c r="I6" s="7">
        <f>G6*H6</f>
        <v>0</v>
      </c>
      <c r="J6" s="7"/>
      <c r="K6" s="7"/>
      <c r="L6" s="7">
        <f>J6*K6</f>
        <v>0</v>
      </c>
    </row>
    <row r="7" spans="1:12" x14ac:dyDescent="0.25">
      <c r="B7" s="7"/>
      <c r="C7" s="7"/>
      <c r="D7" s="7"/>
      <c r="E7" s="7">
        <f t="shared" ref="E7:E33" si="0">C7*D7</f>
        <v>0</v>
      </c>
      <c r="F7" s="7" t="s">
        <v>90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91</v>
      </c>
      <c r="C9" s="7">
        <v>1.88</v>
      </c>
      <c r="D9" s="7">
        <v>2.13</v>
      </c>
      <c r="E9" s="7">
        <f t="shared" si="0"/>
        <v>4.0043999999999995</v>
      </c>
      <c r="F9" s="7" t="s">
        <v>89</v>
      </c>
      <c r="G9" s="7"/>
      <c r="H9" s="7"/>
      <c r="I9" s="7">
        <f t="shared" si="1"/>
        <v>0</v>
      </c>
      <c r="J9" s="7"/>
      <c r="K9" s="7"/>
      <c r="L9" s="7">
        <f t="shared" si="2"/>
        <v>0</v>
      </c>
    </row>
    <row r="10" spans="1:12" x14ac:dyDescent="0.25">
      <c r="B10" s="7"/>
      <c r="C10" s="7"/>
      <c r="D10" s="7"/>
      <c r="E10" s="7">
        <f t="shared" si="0"/>
        <v>0</v>
      </c>
      <c r="F10" s="7" t="s">
        <v>90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92</v>
      </c>
      <c r="C13" s="7"/>
      <c r="D13" s="7"/>
      <c r="E13" s="7">
        <f t="shared" si="0"/>
        <v>0</v>
      </c>
      <c r="F13" s="7" t="s">
        <v>89</v>
      </c>
      <c r="G13" s="7"/>
      <c r="H13" s="7"/>
      <c r="I13" s="7">
        <f t="shared" si="1"/>
        <v>0</v>
      </c>
      <c r="J13" s="7"/>
      <c r="K13" s="7"/>
      <c r="L13" s="7">
        <f t="shared" si="2"/>
        <v>0</v>
      </c>
    </row>
    <row r="14" spans="1:12" x14ac:dyDescent="0.25">
      <c r="B14" s="7"/>
      <c r="C14" s="7"/>
      <c r="D14" s="7"/>
      <c r="E14" s="7">
        <f t="shared" si="0"/>
        <v>0</v>
      </c>
      <c r="F14" s="7" t="s">
        <v>90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93</v>
      </c>
      <c r="C17" s="7"/>
      <c r="D17" s="7"/>
      <c r="E17" s="7">
        <f t="shared" si="0"/>
        <v>0</v>
      </c>
      <c r="F17" s="7" t="s">
        <v>89</v>
      </c>
      <c r="G17" s="7"/>
      <c r="H17" s="7"/>
      <c r="I17" s="7">
        <f t="shared" si="1"/>
        <v>0</v>
      </c>
      <c r="J17" s="7"/>
      <c r="K17" s="7"/>
      <c r="L17" s="7">
        <f t="shared" si="2"/>
        <v>0</v>
      </c>
    </row>
    <row r="18" spans="2:12" x14ac:dyDescent="0.25">
      <c r="B18" s="7"/>
      <c r="C18" s="7"/>
      <c r="D18" s="7"/>
      <c r="E18" s="7">
        <f t="shared" si="0"/>
        <v>0</v>
      </c>
      <c r="F18" s="7" t="s">
        <v>90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93</v>
      </c>
      <c r="C20" s="7"/>
      <c r="D20" s="7"/>
      <c r="E20" s="7">
        <f t="shared" si="0"/>
        <v>0</v>
      </c>
      <c r="F20" s="7" t="s">
        <v>89</v>
      </c>
      <c r="G20" s="7"/>
      <c r="H20" s="7"/>
      <c r="I20" s="7">
        <f t="shared" si="1"/>
        <v>0</v>
      </c>
      <c r="J20" s="7"/>
      <c r="K20" s="7"/>
      <c r="L20" s="7">
        <f t="shared" si="2"/>
        <v>0</v>
      </c>
    </row>
    <row r="21" spans="2:12" x14ac:dyDescent="0.25">
      <c r="B21" s="7"/>
      <c r="C21" s="7"/>
      <c r="D21" s="7"/>
      <c r="E21" s="7">
        <f t="shared" si="0"/>
        <v>0</v>
      </c>
      <c r="F21" s="7" t="s">
        <v>90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94</v>
      </c>
      <c r="C23" s="7">
        <v>1.9</v>
      </c>
      <c r="D23" s="7">
        <v>1.07</v>
      </c>
      <c r="E23" s="7">
        <f t="shared" si="0"/>
        <v>2.0329999999999999</v>
      </c>
      <c r="F23" s="7" t="s">
        <v>95</v>
      </c>
      <c r="G23" s="7"/>
      <c r="H23" s="7"/>
      <c r="I23" s="7">
        <f t="shared" si="1"/>
        <v>0</v>
      </c>
      <c r="J23" s="7"/>
      <c r="K23" s="7"/>
      <c r="L23" s="7">
        <f t="shared" si="2"/>
        <v>0</v>
      </c>
    </row>
    <row r="24" spans="2:12" x14ac:dyDescent="0.25">
      <c r="B24" s="7" t="s">
        <v>96</v>
      </c>
      <c r="C24" s="7"/>
      <c r="D24" s="7"/>
      <c r="E24" s="7">
        <f t="shared" si="0"/>
        <v>0</v>
      </c>
      <c r="F24" s="7" t="s">
        <v>95</v>
      </c>
      <c r="G24" s="7"/>
      <c r="H24" s="7"/>
      <c r="I24" s="7">
        <f t="shared" si="1"/>
        <v>0</v>
      </c>
      <c r="J24" s="7"/>
      <c r="K24" s="7"/>
      <c r="L24" s="7">
        <f t="shared" si="2"/>
        <v>0</v>
      </c>
    </row>
    <row r="25" spans="2:12" x14ac:dyDescent="0.25">
      <c r="B25" s="7" t="s">
        <v>97</v>
      </c>
      <c r="C25" s="7"/>
      <c r="D25" s="7"/>
      <c r="E25" s="7">
        <f t="shared" si="0"/>
        <v>0</v>
      </c>
      <c r="F25" s="7" t="s">
        <v>95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98</v>
      </c>
      <c r="C27" s="7"/>
      <c r="D27" s="7"/>
      <c r="E27" s="7">
        <f t="shared" si="0"/>
        <v>0</v>
      </c>
      <c r="F27" s="7"/>
      <c r="G27" s="7"/>
      <c r="H27" s="7"/>
      <c r="I27" s="7">
        <f t="shared" si="1"/>
        <v>0</v>
      </c>
      <c r="J27" s="7"/>
      <c r="K27" s="7"/>
      <c r="L27" s="7">
        <f t="shared" si="2"/>
        <v>0</v>
      </c>
    </row>
    <row r="28" spans="2:12" x14ac:dyDescent="0.25">
      <c r="B28" s="7" t="s">
        <v>99</v>
      </c>
      <c r="C28" s="7"/>
      <c r="D28" s="7"/>
      <c r="E28" s="7">
        <f t="shared" si="0"/>
        <v>0</v>
      </c>
      <c r="F28" s="7"/>
      <c r="G28" s="7"/>
      <c r="H28" s="7"/>
      <c r="I28" s="7">
        <f t="shared" si="1"/>
        <v>0</v>
      </c>
      <c r="J28" s="7"/>
      <c r="K28" s="7"/>
      <c r="L28" s="7">
        <f t="shared" si="2"/>
        <v>0</v>
      </c>
    </row>
    <row r="29" spans="2:12" x14ac:dyDescent="0.25">
      <c r="B29" s="7" t="s">
        <v>100</v>
      </c>
      <c r="C29" s="7"/>
      <c r="D29" s="7"/>
      <c r="E29" s="7">
        <f t="shared" si="0"/>
        <v>0</v>
      </c>
      <c r="F29" s="7"/>
      <c r="G29" s="7"/>
      <c r="H29" s="7"/>
      <c r="I29" s="7">
        <f t="shared" si="1"/>
        <v>0</v>
      </c>
      <c r="J29" s="7"/>
      <c r="K29" s="7"/>
      <c r="L29" s="7">
        <f t="shared" si="2"/>
        <v>0</v>
      </c>
    </row>
    <row r="30" spans="2:12" x14ac:dyDescent="0.25">
      <c r="B30" s="7" t="s">
        <v>101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P15" sqref="P15"/>
    </sheetView>
  </sheetViews>
  <sheetFormatPr defaultRowHeight="15" x14ac:dyDescent="0.25"/>
  <cols>
    <col min="1" max="1" width="16.85546875" customWidth="1"/>
  </cols>
  <sheetData>
    <row r="1" spans="1:8" x14ac:dyDescent="0.25">
      <c r="A1" t="s">
        <v>205</v>
      </c>
    </row>
    <row r="2" spans="1:8" x14ac:dyDescent="0.25">
      <c r="A2" t="s">
        <v>206</v>
      </c>
      <c r="B2" t="s">
        <v>207</v>
      </c>
      <c r="H2" t="s">
        <v>208</v>
      </c>
    </row>
    <row r="5" spans="1:8" x14ac:dyDescent="0.25">
      <c r="A5" s="58">
        <v>44186</v>
      </c>
      <c r="B5" t="s">
        <v>211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9"/>
  <sheetViews>
    <sheetView workbookViewId="0">
      <selection activeCell="N32" sqref="N32"/>
    </sheetView>
  </sheetViews>
  <sheetFormatPr defaultRowHeight="15" x14ac:dyDescent="0.25"/>
  <cols>
    <col min="2" max="2" width="12.140625" customWidth="1"/>
    <col min="6" max="6" width="13.85546875" customWidth="1"/>
  </cols>
  <sheetData>
    <row r="2" spans="1:12" x14ac:dyDescent="0.25">
      <c r="B2" s="3" t="s">
        <v>80</v>
      </c>
      <c r="C2" s="233"/>
      <c r="D2" s="233"/>
    </row>
    <row r="3" spans="1:12" x14ac:dyDescent="0.25">
      <c r="D3" s="4"/>
      <c r="E3" s="4"/>
      <c r="F3" s="4"/>
      <c r="G3" s="4"/>
      <c r="H3" s="4"/>
      <c r="I3" s="4"/>
    </row>
    <row r="4" spans="1:12" x14ac:dyDescent="0.25">
      <c r="A4" s="3" t="s">
        <v>81</v>
      </c>
      <c r="B4" s="5" t="s">
        <v>82</v>
      </c>
      <c r="C4" s="234" t="s">
        <v>83</v>
      </c>
      <c r="D4" s="234"/>
      <c r="E4" s="234"/>
      <c r="F4" s="6"/>
      <c r="G4" s="234" t="s">
        <v>84</v>
      </c>
      <c r="H4" s="234"/>
      <c r="I4" s="234"/>
      <c r="J4" s="234" t="s">
        <v>261</v>
      </c>
      <c r="K4" s="234"/>
      <c r="L4" s="234"/>
    </row>
    <row r="5" spans="1:12" x14ac:dyDescent="0.25">
      <c r="A5" s="3">
        <v>202</v>
      </c>
      <c r="B5" s="5"/>
      <c r="C5" s="5" t="s">
        <v>86</v>
      </c>
      <c r="D5" s="5" t="s">
        <v>87</v>
      </c>
      <c r="E5" s="5" t="s">
        <v>61</v>
      </c>
      <c r="F5" s="5"/>
      <c r="G5" s="5" t="s">
        <v>86</v>
      </c>
      <c r="H5" s="5" t="s">
        <v>87</v>
      </c>
      <c r="I5" s="5" t="s">
        <v>61</v>
      </c>
      <c r="J5" s="5" t="s">
        <v>86</v>
      </c>
      <c r="K5" s="5" t="s">
        <v>87</v>
      </c>
      <c r="L5" s="5" t="s">
        <v>61</v>
      </c>
    </row>
    <row r="6" spans="1:12" x14ac:dyDescent="0.25">
      <c r="B6" s="7" t="s">
        <v>88</v>
      </c>
      <c r="C6" s="7">
        <v>6.54</v>
      </c>
      <c r="D6" s="7">
        <v>6.5</v>
      </c>
      <c r="E6" s="7">
        <f>C6*D6</f>
        <v>42.51</v>
      </c>
      <c r="F6" s="7" t="s">
        <v>270</v>
      </c>
      <c r="G6" s="7"/>
      <c r="H6" s="7"/>
      <c r="I6" s="7">
        <v>31.882999999999999</v>
      </c>
      <c r="J6" s="7">
        <v>3.3</v>
      </c>
      <c r="K6" s="7">
        <v>0.9</v>
      </c>
      <c r="L6" s="7">
        <f>J6*K6</f>
        <v>2.9699999999999998</v>
      </c>
    </row>
    <row r="7" spans="1:12" x14ac:dyDescent="0.25">
      <c r="B7" s="7"/>
      <c r="C7" s="7"/>
      <c r="D7" s="7"/>
      <c r="E7" s="7">
        <f>C7*D7</f>
        <v>0</v>
      </c>
      <c r="F7" s="7" t="s">
        <v>270</v>
      </c>
      <c r="G7" s="7">
        <v>13.3</v>
      </c>
      <c r="H7" s="7">
        <v>1.7</v>
      </c>
      <c r="I7" s="7">
        <f t="shared" ref="I7:I35" si="0">G7*H7</f>
        <v>22.61</v>
      </c>
      <c r="J7" s="7">
        <v>1.1819999999999999</v>
      </c>
      <c r="K7" s="7">
        <v>2.137</v>
      </c>
      <c r="L7" s="7">
        <f t="shared" ref="L7:L35" si="1">J7*K7</f>
        <v>2.5259339999999999</v>
      </c>
    </row>
    <row r="8" spans="1:12" x14ac:dyDescent="0.25">
      <c r="B8" s="7"/>
      <c r="C8" s="7"/>
      <c r="D8" s="7"/>
      <c r="E8" s="7">
        <f t="shared" ref="E8:E36" si="2">C8*D8</f>
        <v>0</v>
      </c>
      <c r="F8" s="7" t="s">
        <v>271</v>
      </c>
      <c r="G8" s="7"/>
      <c r="H8" s="7"/>
      <c r="I8" s="7">
        <v>5.1040000000000001</v>
      </c>
      <c r="J8" s="7">
        <v>1.556</v>
      </c>
      <c r="K8" s="7">
        <v>0.77600000000000002</v>
      </c>
      <c r="L8" s="7">
        <f t="shared" si="1"/>
        <v>1.2074560000000001</v>
      </c>
    </row>
    <row r="9" spans="1:12" x14ac:dyDescent="0.25">
      <c r="B9" s="7" t="s">
        <v>91</v>
      </c>
      <c r="C9" s="7">
        <v>3.1</v>
      </c>
      <c r="D9" s="7">
        <v>4.55</v>
      </c>
      <c r="E9" s="7">
        <f>C9*D9</f>
        <v>14.105</v>
      </c>
      <c r="F9" s="7" t="s">
        <v>89</v>
      </c>
      <c r="G9" s="7"/>
      <c r="H9" s="7"/>
      <c r="I9" s="7">
        <f t="shared" si="0"/>
        <v>0</v>
      </c>
      <c r="J9" s="7"/>
      <c r="K9" s="7"/>
      <c r="L9" s="7">
        <f t="shared" si="1"/>
        <v>0</v>
      </c>
    </row>
    <row r="10" spans="1:12" x14ac:dyDescent="0.25">
      <c r="B10" s="7"/>
      <c r="C10" s="7"/>
      <c r="D10" s="7"/>
      <c r="E10" s="7">
        <f t="shared" si="2"/>
        <v>0</v>
      </c>
      <c r="F10" s="7" t="s">
        <v>90</v>
      </c>
      <c r="G10" s="7"/>
      <c r="H10" s="7"/>
      <c r="I10" s="7">
        <f t="shared" si="0"/>
        <v>0</v>
      </c>
      <c r="J10" s="7"/>
      <c r="K10" s="7"/>
      <c r="L10" s="7">
        <f t="shared" si="1"/>
        <v>0</v>
      </c>
    </row>
    <row r="11" spans="1:12" x14ac:dyDescent="0.25">
      <c r="B11" s="7"/>
      <c r="C11" s="7"/>
      <c r="D11" s="7"/>
      <c r="E11" s="7">
        <f t="shared" si="2"/>
        <v>0</v>
      </c>
      <c r="F11" s="7"/>
      <c r="G11" s="7"/>
      <c r="H11" s="7"/>
      <c r="I11" s="7">
        <f t="shared" si="0"/>
        <v>0</v>
      </c>
      <c r="J11" s="7"/>
      <c r="K11" s="7"/>
      <c r="L11" s="7">
        <f t="shared" si="1"/>
        <v>0</v>
      </c>
    </row>
    <row r="12" spans="1:12" x14ac:dyDescent="0.25">
      <c r="B12" s="7"/>
      <c r="C12" s="7"/>
      <c r="D12" s="7"/>
      <c r="E12" s="7">
        <f t="shared" si="2"/>
        <v>0</v>
      </c>
      <c r="F12" s="7"/>
      <c r="G12" s="7"/>
      <c r="H12" s="7"/>
      <c r="I12" s="7">
        <f t="shared" si="0"/>
        <v>0</v>
      </c>
      <c r="J12" s="7"/>
      <c r="K12" s="7"/>
      <c r="L12" s="7">
        <f t="shared" si="1"/>
        <v>0</v>
      </c>
    </row>
    <row r="13" spans="1:12" x14ac:dyDescent="0.25">
      <c r="B13" s="7" t="s">
        <v>92</v>
      </c>
      <c r="C13" s="7">
        <v>3.2</v>
      </c>
      <c r="D13" s="7">
        <v>5.55</v>
      </c>
      <c r="E13" s="7">
        <f t="shared" si="2"/>
        <v>17.760000000000002</v>
      </c>
      <c r="F13" s="7" t="s">
        <v>89</v>
      </c>
      <c r="G13" s="7"/>
      <c r="H13" s="7"/>
      <c r="I13" s="7">
        <f t="shared" si="0"/>
        <v>0</v>
      </c>
      <c r="J13" s="7"/>
      <c r="K13" s="7"/>
      <c r="L13" s="7">
        <f t="shared" si="1"/>
        <v>0</v>
      </c>
    </row>
    <row r="14" spans="1:12" x14ac:dyDescent="0.25">
      <c r="B14" s="7"/>
      <c r="C14" s="7"/>
      <c r="D14" s="7"/>
      <c r="E14" s="7">
        <f t="shared" si="2"/>
        <v>0</v>
      </c>
      <c r="F14" s="7" t="s">
        <v>90</v>
      </c>
      <c r="G14" s="7"/>
      <c r="H14" s="7"/>
      <c r="I14" s="7">
        <f t="shared" si="0"/>
        <v>0</v>
      </c>
      <c r="J14" s="7"/>
      <c r="K14" s="7"/>
      <c r="L14" s="7">
        <f t="shared" si="1"/>
        <v>0</v>
      </c>
    </row>
    <row r="15" spans="1:12" x14ac:dyDescent="0.25">
      <c r="B15" s="7"/>
      <c r="C15" s="7"/>
      <c r="D15" s="7"/>
      <c r="E15" s="7">
        <f t="shared" si="2"/>
        <v>0</v>
      </c>
      <c r="F15" s="7"/>
      <c r="G15" s="7"/>
      <c r="H15" s="7"/>
      <c r="I15" s="7">
        <f t="shared" si="0"/>
        <v>0</v>
      </c>
      <c r="J15" s="7"/>
      <c r="K15" s="7"/>
      <c r="L15" s="7">
        <f t="shared" si="1"/>
        <v>0</v>
      </c>
    </row>
    <row r="16" spans="1:12" x14ac:dyDescent="0.25">
      <c r="B16" s="7"/>
      <c r="C16" s="7"/>
      <c r="D16" s="7"/>
      <c r="E16" s="7">
        <f t="shared" si="2"/>
        <v>0</v>
      </c>
      <c r="F16" s="7"/>
      <c r="G16" s="7"/>
      <c r="H16" s="7"/>
      <c r="I16" s="7">
        <f t="shared" si="0"/>
        <v>0</v>
      </c>
      <c r="J16" s="7"/>
      <c r="K16" s="7"/>
      <c r="L16" s="7">
        <f t="shared" si="1"/>
        <v>0</v>
      </c>
    </row>
    <row r="17" spans="2:12" x14ac:dyDescent="0.25">
      <c r="B17" s="7" t="s">
        <v>93</v>
      </c>
      <c r="C17" s="7">
        <v>3.05</v>
      </c>
      <c r="D17" s="7">
        <v>4.25</v>
      </c>
      <c r="E17" s="7">
        <f t="shared" si="2"/>
        <v>12.962499999999999</v>
      </c>
      <c r="F17" s="7" t="s">
        <v>89</v>
      </c>
      <c r="G17" s="7"/>
      <c r="H17" s="7"/>
      <c r="I17" s="7">
        <f t="shared" si="0"/>
        <v>0</v>
      </c>
      <c r="J17" s="7"/>
      <c r="K17" s="7"/>
      <c r="L17" s="7">
        <f t="shared" si="1"/>
        <v>0</v>
      </c>
    </row>
    <row r="18" spans="2:12" x14ac:dyDescent="0.25">
      <c r="B18" s="7"/>
      <c r="C18" s="7"/>
      <c r="D18" s="7"/>
      <c r="E18" s="7">
        <f t="shared" si="2"/>
        <v>0</v>
      </c>
      <c r="F18" s="7" t="s">
        <v>90</v>
      </c>
      <c r="G18" s="7"/>
      <c r="H18" s="7"/>
      <c r="I18" s="7">
        <f t="shared" si="0"/>
        <v>0</v>
      </c>
      <c r="J18" s="7"/>
      <c r="K18" s="7"/>
      <c r="L18" s="7">
        <f t="shared" si="1"/>
        <v>0</v>
      </c>
    </row>
    <row r="19" spans="2:12" x14ac:dyDescent="0.25">
      <c r="B19" s="7"/>
      <c r="C19" s="7"/>
      <c r="D19" s="7"/>
      <c r="E19" s="7">
        <f t="shared" si="2"/>
        <v>0</v>
      </c>
      <c r="F19" s="7"/>
      <c r="G19" s="7"/>
      <c r="H19" s="7"/>
      <c r="I19" s="7">
        <f t="shared" si="0"/>
        <v>0</v>
      </c>
      <c r="J19" s="7"/>
      <c r="K19" s="7"/>
      <c r="L19" s="7">
        <f t="shared" si="1"/>
        <v>0</v>
      </c>
    </row>
    <row r="20" spans="2:12" x14ac:dyDescent="0.25">
      <c r="B20" s="7" t="s">
        <v>262</v>
      </c>
      <c r="C20" s="7">
        <v>3.05</v>
      </c>
      <c r="D20" s="7">
        <v>4.2</v>
      </c>
      <c r="E20" s="7">
        <f t="shared" si="2"/>
        <v>12.81</v>
      </c>
      <c r="F20" s="7" t="s">
        <v>89</v>
      </c>
      <c r="G20" s="7"/>
      <c r="H20" s="7"/>
      <c r="I20" s="7">
        <f t="shared" si="0"/>
        <v>0</v>
      </c>
      <c r="J20" s="7"/>
      <c r="K20" s="7"/>
      <c r="L20" s="7">
        <f t="shared" si="1"/>
        <v>0</v>
      </c>
    </row>
    <row r="21" spans="2:12" x14ac:dyDescent="0.25">
      <c r="B21" s="7"/>
      <c r="C21" s="7"/>
      <c r="D21" s="7"/>
      <c r="E21" s="7">
        <f t="shared" si="2"/>
        <v>0</v>
      </c>
      <c r="F21" s="7" t="s">
        <v>90</v>
      </c>
      <c r="G21" s="7"/>
      <c r="H21" s="7"/>
      <c r="I21" s="7">
        <f t="shared" si="0"/>
        <v>0</v>
      </c>
      <c r="J21" s="7"/>
      <c r="K21" s="7"/>
      <c r="L21" s="7">
        <f t="shared" si="1"/>
        <v>0</v>
      </c>
    </row>
    <row r="22" spans="2:12" x14ac:dyDescent="0.25">
      <c r="B22" s="7"/>
      <c r="C22" s="7"/>
      <c r="D22" s="7"/>
      <c r="E22" s="7">
        <f t="shared" si="2"/>
        <v>0</v>
      </c>
      <c r="F22" s="7"/>
      <c r="G22" s="7"/>
      <c r="H22" s="7"/>
      <c r="I22" s="7">
        <f t="shared" si="0"/>
        <v>0</v>
      </c>
      <c r="J22" s="7"/>
      <c r="K22" s="7"/>
      <c r="L22" s="7">
        <f t="shared" si="1"/>
        <v>0</v>
      </c>
    </row>
    <row r="23" spans="2:12" x14ac:dyDescent="0.25">
      <c r="B23" s="7" t="s">
        <v>263</v>
      </c>
      <c r="C23" s="7">
        <v>3.43</v>
      </c>
      <c r="D23" s="7">
        <v>5.2</v>
      </c>
      <c r="E23" s="7">
        <f t="shared" ref="E23:E25" si="3">C23*D23</f>
        <v>17.836000000000002</v>
      </c>
      <c r="F23" s="7" t="s">
        <v>89</v>
      </c>
      <c r="G23" s="7"/>
      <c r="H23" s="7"/>
      <c r="I23" s="7">
        <f t="shared" ref="I23:I25" si="4">G23*H23</f>
        <v>0</v>
      </c>
      <c r="J23" s="7"/>
      <c r="K23" s="7"/>
      <c r="L23" s="7">
        <f t="shared" ref="L23:L25" si="5">J23*K23</f>
        <v>0</v>
      </c>
    </row>
    <row r="24" spans="2:12" x14ac:dyDescent="0.25">
      <c r="B24" s="7"/>
      <c r="C24" s="7"/>
      <c r="D24" s="7"/>
      <c r="E24" s="7">
        <f t="shared" si="3"/>
        <v>0</v>
      </c>
      <c r="F24" s="7" t="s">
        <v>90</v>
      </c>
      <c r="G24" s="7"/>
      <c r="H24" s="7"/>
      <c r="I24" s="7">
        <f t="shared" si="4"/>
        <v>0</v>
      </c>
      <c r="J24" s="7"/>
      <c r="K24" s="7"/>
      <c r="L24" s="7">
        <f t="shared" si="5"/>
        <v>0</v>
      </c>
    </row>
    <row r="25" spans="2:12" x14ac:dyDescent="0.25">
      <c r="B25" s="7"/>
      <c r="C25" s="7"/>
      <c r="D25" s="7"/>
      <c r="E25" s="7">
        <f t="shared" si="3"/>
        <v>0</v>
      </c>
      <c r="F25" s="7"/>
      <c r="G25" s="7"/>
      <c r="H25" s="7"/>
      <c r="I25" s="7">
        <f t="shared" si="4"/>
        <v>0</v>
      </c>
      <c r="J25" s="7"/>
      <c r="K25" s="7"/>
      <c r="L25" s="7">
        <f t="shared" si="5"/>
        <v>0</v>
      </c>
    </row>
    <row r="26" spans="2:12" x14ac:dyDescent="0.25">
      <c r="B26" s="7" t="s">
        <v>94</v>
      </c>
      <c r="C26" s="7">
        <v>1.73</v>
      </c>
      <c r="D26" s="7">
        <v>2.4500000000000002</v>
      </c>
      <c r="E26" s="7">
        <f t="shared" si="2"/>
        <v>4.2385000000000002</v>
      </c>
      <c r="F26" s="7" t="s">
        <v>95</v>
      </c>
      <c r="G26" s="7"/>
      <c r="H26" s="7"/>
      <c r="I26" s="7">
        <f t="shared" si="0"/>
        <v>0</v>
      </c>
      <c r="J26" s="7"/>
      <c r="K26" s="7"/>
      <c r="L26" s="7">
        <f t="shared" si="1"/>
        <v>0</v>
      </c>
    </row>
    <row r="27" spans="2:12" x14ac:dyDescent="0.25">
      <c r="B27" s="7" t="s">
        <v>96</v>
      </c>
      <c r="C27" s="7">
        <v>3.18</v>
      </c>
      <c r="D27" s="7">
        <v>1.65</v>
      </c>
      <c r="E27" s="7">
        <f t="shared" si="2"/>
        <v>5.2469999999999999</v>
      </c>
      <c r="F27" s="7" t="s">
        <v>95</v>
      </c>
      <c r="G27" s="7"/>
      <c r="H27" s="7"/>
      <c r="I27" s="7">
        <f t="shared" si="0"/>
        <v>0</v>
      </c>
      <c r="J27" s="7"/>
      <c r="K27" s="7"/>
      <c r="L27" s="7">
        <f t="shared" si="1"/>
        <v>0</v>
      </c>
    </row>
    <row r="28" spans="2:12" x14ac:dyDescent="0.25">
      <c r="B28" s="7" t="s">
        <v>97</v>
      </c>
      <c r="C28" s="7">
        <v>1.5</v>
      </c>
      <c r="D28" s="7">
        <v>2.4</v>
      </c>
      <c r="E28" s="7">
        <f t="shared" si="2"/>
        <v>3.5999999999999996</v>
      </c>
      <c r="F28" s="7" t="s">
        <v>95</v>
      </c>
      <c r="G28" s="7"/>
      <c r="H28" s="7"/>
      <c r="I28" s="7">
        <f t="shared" si="0"/>
        <v>0</v>
      </c>
      <c r="J28" s="7"/>
      <c r="K28" s="7"/>
      <c r="L28" s="7">
        <f t="shared" si="1"/>
        <v>0</v>
      </c>
    </row>
    <row r="29" spans="2:12" x14ac:dyDescent="0.25">
      <c r="B29" s="7" t="s">
        <v>264</v>
      </c>
      <c r="C29" s="7">
        <v>1.45</v>
      </c>
      <c r="D29" s="7">
        <v>2.8</v>
      </c>
      <c r="E29" s="7">
        <f t="shared" si="2"/>
        <v>4.0599999999999996</v>
      </c>
      <c r="F29" s="7"/>
      <c r="G29" s="7"/>
      <c r="H29" s="7"/>
      <c r="I29" s="7">
        <f t="shared" si="0"/>
        <v>0</v>
      </c>
      <c r="J29" s="7"/>
      <c r="K29" s="7"/>
      <c r="L29" s="7">
        <f t="shared" si="1"/>
        <v>0</v>
      </c>
    </row>
    <row r="30" spans="2:12" x14ac:dyDescent="0.25">
      <c r="B30" s="7" t="s">
        <v>265</v>
      </c>
      <c r="C30" s="7">
        <v>1.73</v>
      </c>
      <c r="D30" s="7">
        <v>2.48</v>
      </c>
      <c r="E30" s="7">
        <f t="shared" ref="E30:E32" si="6">C30*D30</f>
        <v>4.2904</v>
      </c>
      <c r="F30" s="7" t="s">
        <v>95</v>
      </c>
      <c r="G30" s="7"/>
      <c r="H30" s="7"/>
      <c r="I30" s="7">
        <f t="shared" ref="I30:I32" si="7">G30*H30</f>
        <v>0</v>
      </c>
      <c r="J30" s="7"/>
      <c r="K30" s="7"/>
      <c r="L30" s="7">
        <f t="shared" ref="L30:L32" si="8">J30*K30</f>
        <v>0</v>
      </c>
    </row>
    <row r="31" spans="2:12" x14ac:dyDescent="0.25">
      <c r="B31" s="7" t="s">
        <v>266</v>
      </c>
      <c r="C31" s="7">
        <v>1.35</v>
      </c>
      <c r="D31" s="7">
        <v>2.0499999999999998</v>
      </c>
      <c r="E31" s="7">
        <f t="shared" si="6"/>
        <v>2.7675000000000001</v>
      </c>
      <c r="F31" s="7" t="s">
        <v>95</v>
      </c>
      <c r="G31" s="7"/>
      <c r="H31" s="7"/>
      <c r="I31" s="7">
        <f t="shared" si="7"/>
        <v>0</v>
      </c>
      <c r="J31" s="7"/>
      <c r="K31" s="7"/>
      <c r="L31" s="7">
        <f t="shared" si="8"/>
        <v>0</v>
      </c>
    </row>
    <row r="32" spans="2:12" x14ac:dyDescent="0.25">
      <c r="B32" s="7" t="s">
        <v>267</v>
      </c>
      <c r="C32" s="7">
        <v>1.35</v>
      </c>
      <c r="D32" s="7">
        <v>2.8</v>
      </c>
      <c r="E32" s="7">
        <f t="shared" si="6"/>
        <v>3.78</v>
      </c>
      <c r="F32" s="7" t="s">
        <v>95</v>
      </c>
      <c r="G32" s="7"/>
      <c r="H32" s="7"/>
      <c r="I32" s="7">
        <f t="shared" si="7"/>
        <v>0</v>
      </c>
      <c r="J32" s="7"/>
      <c r="K32" s="7"/>
      <c r="L32" s="7">
        <f t="shared" si="8"/>
        <v>0</v>
      </c>
    </row>
    <row r="33" spans="2:12" x14ac:dyDescent="0.25">
      <c r="B33" s="7" t="s">
        <v>98</v>
      </c>
      <c r="C33" s="7">
        <v>0.9</v>
      </c>
      <c r="D33" s="7">
        <v>3.3</v>
      </c>
      <c r="E33" s="7">
        <f t="shared" si="2"/>
        <v>2.9699999999999998</v>
      </c>
      <c r="F33" s="7"/>
      <c r="G33" s="7"/>
      <c r="H33" s="7"/>
      <c r="I33" s="7">
        <f t="shared" si="0"/>
        <v>0</v>
      </c>
      <c r="J33" s="7"/>
      <c r="K33" s="7"/>
      <c r="L33" s="7">
        <f t="shared" si="1"/>
        <v>0</v>
      </c>
    </row>
    <row r="34" spans="2:12" x14ac:dyDescent="0.25">
      <c r="B34" s="7" t="s">
        <v>99</v>
      </c>
      <c r="C34" s="7">
        <v>0.9</v>
      </c>
      <c r="D34" s="7">
        <v>3.2</v>
      </c>
      <c r="E34" s="7">
        <f t="shared" si="2"/>
        <v>2.8800000000000003</v>
      </c>
      <c r="F34" s="7"/>
      <c r="G34" s="7"/>
      <c r="H34" s="7"/>
      <c r="I34" s="7">
        <f t="shared" si="0"/>
        <v>0</v>
      </c>
      <c r="J34" s="7"/>
      <c r="K34" s="7"/>
      <c r="L34" s="7">
        <f t="shared" si="1"/>
        <v>0</v>
      </c>
    </row>
    <row r="35" spans="2:12" x14ac:dyDescent="0.25">
      <c r="B35" s="7" t="s">
        <v>268</v>
      </c>
      <c r="C35" s="7">
        <v>2.33</v>
      </c>
      <c r="D35" s="7">
        <v>1.65</v>
      </c>
      <c r="E35" s="7">
        <f t="shared" si="2"/>
        <v>3.8445</v>
      </c>
      <c r="F35" s="7"/>
      <c r="G35" s="7"/>
      <c r="H35" s="7"/>
      <c r="I35" s="7">
        <f t="shared" si="0"/>
        <v>0</v>
      </c>
      <c r="J35" s="7"/>
      <c r="K35" s="7"/>
      <c r="L35" s="7">
        <f t="shared" si="1"/>
        <v>0</v>
      </c>
    </row>
    <row r="36" spans="2:12" x14ac:dyDescent="0.25">
      <c r="B36" s="7" t="s">
        <v>269</v>
      </c>
      <c r="C36" s="7">
        <v>1.91</v>
      </c>
      <c r="D36" s="7">
        <v>2.2000000000000002</v>
      </c>
      <c r="E36" s="7">
        <f t="shared" si="2"/>
        <v>4.202</v>
      </c>
      <c r="F36" s="7"/>
      <c r="G36" s="7"/>
      <c r="H36" s="7"/>
      <c r="I36" s="7">
        <f>G36*H36</f>
        <v>0</v>
      </c>
      <c r="J36" s="7"/>
      <c r="K36" s="7"/>
      <c r="L36" s="7">
        <f>J36*K36</f>
        <v>0</v>
      </c>
    </row>
    <row r="37" spans="2:12" x14ac:dyDescent="0.25">
      <c r="B37" s="7" t="s">
        <v>62</v>
      </c>
      <c r="C37" s="7"/>
      <c r="D37" s="7">
        <f>E37*10.764</f>
        <v>1720.7696376000004</v>
      </c>
      <c r="E37" s="7">
        <f>SUM(E6:E36)</f>
        <v>159.86340000000004</v>
      </c>
      <c r="F37" s="7"/>
      <c r="G37" s="7"/>
      <c r="H37" s="7">
        <f>I37*10.764</f>
        <v>641.50210799999991</v>
      </c>
      <c r="I37" s="7">
        <f>SUM(I6:I36)</f>
        <v>59.596999999999994</v>
      </c>
      <c r="J37" s="7"/>
      <c r="K37" s="7">
        <f>L37*10.764</f>
        <v>72.155289960000005</v>
      </c>
      <c r="L37" s="7">
        <f>SUM(L6:L36)</f>
        <v>6.7033900000000006</v>
      </c>
    </row>
    <row r="39" spans="2:12" x14ac:dyDescent="0.25">
      <c r="D39">
        <f>D37+H37</f>
        <v>2362.2717456</v>
      </c>
      <c r="E39">
        <f>E37+I37</f>
        <v>219.46040000000005</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Flat detail</vt:lpstr>
      <vt:lpstr>Note</vt:lpstr>
      <vt:lpstr>G wing F1</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SACHIN</cp:lastModifiedBy>
  <cp:lastPrinted>2025-08-21T09:43:41Z</cp:lastPrinted>
  <dcterms:created xsi:type="dcterms:W3CDTF">2019-07-16T09:29:46Z</dcterms:created>
  <dcterms:modified xsi:type="dcterms:W3CDTF">2025-08-21T09:52:36Z</dcterms:modified>
</cp:coreProperties>
</file>