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ani\Downloads\19.08\"/>
    </mc:Choice>
  </mc:AlternateContent>
  <xr:revisionPtr revIDLastSave="0" documentId="13_ncr:1_{F9876F5E-7640-45EA-8A89-E371EA0BC305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5" i="1" l="1"/>
  <c r="J91" i="1" l="1"/>
  <c r="A147" i="1" l="1"/>
  <c r="A148" i="1" s="1"/>
  <c r="A149" i="1" s="1"/>
  <c r="A142" i="1"/>
  <c r="A143" i="1" s="1"/>
  <c r="A144" i="1" s="1"/>
  <c r="A137" i="1"/>
  <c r="A138" i="1" s="1"/>
  <c r="A139" i="1" s="1"/>
  <c r="A132" i="1"/>
  <c r="A133" i="1" s="1"/>
  <c r="A134" i="1" s="1"/>
  <c r="A127" i="1"/>
  <c r="A128" i="1" s="1"/>
  <c r="A129" i="1" s="1"/>
  <c r="A122" i="1"/>
  <c r="A123" i="1" s="1"/>
  <c r="A124" i="1" s="1"/>
  <c r="A117" i="1"/>
  <c r="A118" i="1" s="1"/>
  <c r="A119" i="1" s="1"/>
  <c r="A112" i="1"/>
  <c r="A113" i="1" s="1"/>
  <c r="A114" i="1" s="1"/>
  <c r="A198" i="1"/>
  <c r="A199" i="1" s="1"/>
  <c r="A200" i="1" s="1"/>
  <c r="A193" i="1"/>
  <c r="A194" i="1" s="1"/>
  <c r="A195" i="1" s="1"/>
  <c r="A188" i="1"/>
  <c r="A189" i="1" s="1"/>
  <c r="A190" i="1" s="1"/>
  <c r="A183" i="1"/>
  <c r="A184" i="1" s="1"/>
  <c r="A185" i="1" s="1"/>
  <c r="A178" i="1"/>
  <c r="A179" i="1" s="1"/>
  <c r="A180" i="1" s="1"/>
  <c r="A173" i="1"/>
  <c r="A174" i="1" s="1"/>
  <c r="A175" i="1" s="1"/>
  <c r="A168" i="1"/>
  <c r="A169" i="1" s="1"/>
  <c r="A170" i="1" s="1"/>
  <c r="D200" i="1" l="1"/>
  <c r="F200" i="1" s="1"/>
  <c r="D199" i="1"/>
  <c r="F199" i="1" s="1"/>
  <c r="D198" i="1"/>
  <c r="D197" i="1"/>
  <c r="F197" i="1" s="1"/>
  <c r="D195" i="1"/>
  <c r="F195" i="1" s="1"/>
  <c r="D194" i="1"/>
  <c r="F194" i="1" s="1"/>
  <c r="D193" i="1"/>
  <c r="F193" i="1" s="1"/>
  <c r="D192" i="1"/>
  <c r="F192" i="1" s="1"/>
  <c r="D189" i="1"/>
  <c r="D188" i="1"/>
  <c r="F188" i="1" s="1"/>
  <c r="D187" i="1"/>
  <c r="F187" i="1" s="1"/>
  <c r="D185" i="1"/>
  <c r="F185" i="1" s="1"/>
  <c r="D184" i="1"/>
  <c r="F184" i="1" s="1"/>
  <c r="D183" i="1"/>
  <c r="F183" i="1" s="1"/>
  <c r="D182" i="1"/>
  <c r="F182" i="1" s="1"/>
  <c r="E180" i="1"/>
  <c r="D180" i="1"/>
  <c r="D179" i="1"/>
  <c r="D178" i="1"/>
  <c r="D177" i="1"/>
  <c r="D174" i="1"/>
  <c r="D173" i="1"/>
  <c r="D172" i="1"/>
  <c r="D170" i="1"/>
  <c r="D169" i="1"/>
  <c r="D168" i="1"/>
  <c r="D167" i="1"/>
  <c r="D165" i="1"/>
  <c r="D164" i="1"/>
  <c r="D163" i="1"/>
  <c r="E162" i="1"/>
  <c r="D162" i="1"/>
  <c r="D160" i="1"/>
  <c r="D159" i="1"/>
  <c r="D158" i="1"/>
  <c r="D157" i="1"/>
  <c r="D156" i="1"/>
  <c r="D155" i="1"/>
  <c r="D154" i="1"/>
  <c r="D153" i="1"/>
  <c r="D149" i="1"/>
  <c r="F149" i="1" s="1"/>
  <c r="D148" i="1"/>
  <c r="F148" i="1" s="1"/>
  <c r="D147" i="1"/>
  <c r="D146" i="1"/>
  <c r="F146" i="1" s="1"/>
  <c r="D144" i="1"/>
  <c r="F144" i="1" s="1"/>
  <c r="E143" i="1"/>
  <c r="D143" i="1"/>
  <c r="F143" i="1" s="1"/>
  <c r="D142" i="1"/>
  <c r="F142" i="1" s="1"/>
  <c r="D141" i="1"/>
  <c r="F141" i="1" s="1"/>
  <c r="D139" i="1"/>
  <c r="F139" i="1" s="1"/>
  <c r="J139" i="1" s="1"/>
  <c r="D137" i="1"/>
  <c r="D136" i="1"/>
  <c r="F136" i="1" s="1"/>
  <c r="D134" i="1"/>
  <c r="D133" i="1"/>
  <c r="F133" i="1" s="1"/>
  <c r="D132" i="1"/>
  <c r="F132" i="1" s="1"/>
  <c r="D131" i="1"/>
  <c r="F131" i="1" s="1"/>
  <c r="J114" i="1" s="1"/>
  <c r="D129" i="1"/>
  <c r="E128" i="1"/>
  <c r="D128" i="1"/>
  <c r="D127" i="1"/>
  <c r="D126" i="1"/>
  <c r="D124" i="1"/>
  <c r="D122" i="1"/>
  <c r="D121" i="1"/>
  <c r="D119" i="1"/>
  <c r="D118" i="1"/>
  <c r="D117" i="1"/>
  <c r="D116" i="1"/>
  <c r="D114" i="1"/>
  <c r="D113" i="1"/>
  <c r="D112" i="1"/>
  <c r="D111" i="1"/>
  <c r="D109" i="1"/>
  <c r="D108" i="1"/>
  <c r="D107" i="1"/>
  <c r="D106" i="1"/>
  <c r="F134" i="1"/>
  <c r="I118" i="1"/>
  <c r="I116" i="1"/>
  <c r="I162" i="1"/>
  <c r="F189" i="1"/>
  <c r="F147" i="1"/>
  <c r="F198" i="1"/>
  <c r="G197" i="1"/>
  <c r="G146" i="1"/>
  <c r="G192" i="1"/>
  <c r="G141" i="1"/>
  <c r="G187" i="1"/>
  <c r="F137" i="1"/>
  <c r="G136" i="1"/>
  <c r="G182" i="1"/>
  <c r="G131" i="1"/>
  <c r="C95" i="1" l="1"/>
  <c r="C96" i="1"/>
  <c r="E96" i="1"/>
  <c r="C97" i="1"/>
  <c r="E97" i="1"/>
  <c r="E95" i="1"/>
  <c r="F180" i="1"/>
  <c r="F179" i="1"/>
  <c r="F178" i="1"/>
  <c r="G177" i="1"/>
  <c r="F177" i="1"/>
  <c r="F129" i="1"/>
  <c r="F128" i="1"/>
  <c r="F127" i="1"/>
  <c r="G126" i="1"/>
  <c r="F126" i="1"/>
  <c r="F174" i="1"/>
  <c r="F173" i="1"/>
  <c r="G172" i="1"/>
  <c r="F172" i="1"/>
  <c r="F124" i="1"/>
  <c r="F122" i="1"/>
  <c r="G121" i="1"/>
  <c r="F121" i="1"/>
  <c r="F170" i="1"/>
  <c r="F169" i="1"/>
  <c r="F168" i="1"/>
  <c r="G167" i="1"/>
  <c r="F167" i="1"/>
  <c r="F119" i="1"/>
  <c r="F118" i="1"/>
  <c r="F117" i="1"/>
  <c r="G116" i="1"/>
  <c r="F116" i="1"/>
  <c r="F165" i="1"/>
  <c r="F164" i="1"/>
  <c r="F163" i="1"/>
  <c r="A163" i="1"/>
  <c r="A164" i="1" s="1"/>
  <c r="A165" i="1" s="1"/>
  <c r="G162" i="1"/>
  <c r="F162" i="1"/>
  <c r="F114" i="1"/>
  <c r="F113" i="1"/>
  <c r="F112" i="1"/>
  <c r="G111" i="1"/>
  <c r="F111" i="1"/>
  <c r="F160" i="1"/>
  <c r="F159" i="1"/>
  <c r="F158" i="1"/>
  <c r="F157" i="1"/>
  <c r="F156" i="1"/>
  <c r="F155" i="1"/>
  <c r="F154" i="1"/>
  <c r="A154" i="1"/>
  <c r="A155" i="1" s="1"/>
  <c r="A156" i="1" s="1"/>
  <c r="A157" i="1" s="1"/>
  <c r="A158" i="1" s="1"/>
  <c r="A159" i="1" s="1"/>
  <c r="A160" i="1" s="1"/>
  <c r="G153" i="1"/>
  <c r="F153" i="1"/>
  <c r="J96" i="1" l="1"/>
  <c r="C98" i="1"/>
  <c r="J113" i="1"/>
  <c r="K113" i="1"/>
  <c r="E98" i="1"/>
  <c r="K112" i="1"/>
  <c r="K114" i="1" s="1"/>
  <c r="J112" i="1"/>
  <c r="G97" i="1"/>
  <c r="G96" i="1"/>
  <c r="F106" i="1"/>
  <c r="J115" i="1" l="1"/>
  <c r="E42" i="1"/>
  <c r="E43" i="1" s="1"/>
  <c r="C14" i="1" l="1"/>
  <c r="E29" i="1" l="1"/>
  <c r="F107" i="1" l="1"/>
  <c r="J107" i="1" s="1"/>
  <c r="F108" i="1"/>
  <c r="J108" i="1" s="1"/>
  <c r="F109" i="1"/>
  <c r="J109" i="1" s="1"/>
  <c r="A107" i="1"/>
  <c r="A108" i="1" s="1"/>
  <c r="A109" i="1" s="1"/>
  <c r="G106" i="1"/>
  <c r="L80" i="1" l="1"/>
  <c r="I80" i="1" s="1"/>
  <c r="G95" i="1"/>
  <c r="G98" i="1" s="1"/>
  <c r="F92" i="1"/>
  <c r="B203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24" i="1"/>
  <c r="B66" i="1"/>
  <c r="D54" i="1"/>
  <c r="G49" i="1"/>
  <c r="C49" i="1"/>
  <c r="E26" i="1"/>
  <c r="E24" i="1"/>
  <c r="E7" i="1"/>
  <c r="E3" i="1"/>
  <c r="D59" i="1" l="1"/>
  <c r="H66" i="1"/>
  <c r="J71" i="1" l="1"/>
  <c r="J72" i="1" s="1"/>
  <c r="J77" i="1" s="1"/>
  <c r="D78" i="1"/>
  <c r="D76" i="1"/>
  <c r="D75" i="1"/>
  <c r="D72" i="1"/>
  <c r="J65" i="1"/>
  <c r="J67" i="1" s="1"/>
  <c r="D73" i="1"/>
  <c r="J70" i="1"/>
  <c r="C69" i="1" s="1"/>
  <c r="D69" i="1" s="1"/>
  <c r="D74" i="1"/>
  <c r="J69" i="1"/>
  <c r="D77" i="1"/>
  <c r="J68" i="1"/>
  <c r="J73" i="1"/>
  <c r="J74" i="1" s="1"/>
  <c r="J75" i="1" s="1"/>
  <c r="J76" i="1" s="1"/>
  <c r="D71" i="1"/>
  <c r="J78" i="1" l="1"/>
  <c r="C70" i="1" l="1"/>
  <c r="G69" i="1" s="1"/>
  <c r="D63" i="1" s="1"/>
  <c r="J66" i="1" l="1"/>
  <c r="E69" i="1"/>
  <c r="D70" i="1"/>
  <c r="I66" i="1" s="1"/>
  <c r="I67" i="1" s="1"/>
  <c r="D64" i="1"/>
  <c r="F64" i="1"/>
  <c r="I65" i="1" l="1"/>
  <c r="C67" i="1" s="1"/>
</calcChain>
</file>

<file path=xl/sharedStrings.xml><?xml version="1.0" encoding="utf-8"?>
<sst xmlns="http://schemas.openxmlformats.org/spreadsheetml/2006/main" count="427" uniqueCount="237">
  <si>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</si>
  <si>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</si>
  <si>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</si>
  <si>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</si>
  <si>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</si>
  <si>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</si>
  <si>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</si>
  <si>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</si>
  <si>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</si>
  <si>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</si>
  <si>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</si>
  <si>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</si>
  <si>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</si>
  <si>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</si>
  <si>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</si>
  <si>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</si>
  <si>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</si>
  <si>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</si>
  <si>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</si>
  <si>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</si>
  <si>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</si>
  <si>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</si>
  <si>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</si>
  <si>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</si>
  <si>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</si>
  <si>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</si>
  <si>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</si>
  <si>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</si>
  <si>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</si>
  <si>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</si>
  <si>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</si>
  <si>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</si>
  <si>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</si>
  <si>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</si>
  <si>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</si>
  <si>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</si>
  <si>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</si>
  <si>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</si>
  <si>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</si>
  <si>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</si>
  <si>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</si>
  <si>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</si>
  <si>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</si>
  <si>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</si>
  <si>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</si>
  <si>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</si>
  <si>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</si>
  <si>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</si>
  <si>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</si>
  <si>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</si>
  <si>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</si>
  <si>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</si>
  <si>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</si>
  <si>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</si>
  <si>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</si>
  <si>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</si>
  <si>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</si>
  <si>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</si>
  <si>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</si>
  <si>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</si>
  <si>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</si>
  <si>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</si>
  <si>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</si>
  <si>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</si>
  <si>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</si>
  <si>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</si>
  <si>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</si>
  <si>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</si>
  <si>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</si>
  <si>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</si>
  <si>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</si>
  <si>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</si>
  <si>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</si>
  <si>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</si>
  <si>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</si>
  <si>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</si>
  <si>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</si>
  <si>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</si>
  <si>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</si>
  <si>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</si>
  <si>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</si>
  <si>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</si>
  <si>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</si>
  <si>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</si>
  <si>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</si>
  <si>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</si>
  <si>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</si>
  <si>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</si>
  <si>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</si>
  <si>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</si>
  <si>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</si>
  <si>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</si>
  <si>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</si>
  <si>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</si>
  <si>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</si>
  <si>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</si>
  <si>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</si>
  <si>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</si>
  <si>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</si>
  <si>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</si>
  <si>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</si>
  <si>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</si>
  <si>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</si>
  <si>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</si>
  <si>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</si>
  <si>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</si>
  <si>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</si>
  <si>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</si>
  <si>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</si>
  <si>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</si>
  <si>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</si>
  <si>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</si>
  <si>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</si>
  <si>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</si>
  <si>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</si>
  <si>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</si>
  <si>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</si>
  <si>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</si>
  <si>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</si>
  <si>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</si>
  <si>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</si>
  <si>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</si>
  <si>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</si>
  <si>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</si>
  <si>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</si>
  <si>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</si>
  <si>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</si>
  <si>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</si>
  <si>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</si>
  <si>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</si>
  <si>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</si>
  <si>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</si>
  <si>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</si>
  <si>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</si>
  <si>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</si>
  <si>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</si>
  <si>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</si>
  <si>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</si>
  <si>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</si>
  <si>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</si>
  <si>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</si>
  <si>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</si>
  <si>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</si>
  <si>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</si>
  <si>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</si>
  <si>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</si>
  <si>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</si>
  <si>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</si>
  <si>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</si>
  <si>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</si>
  <si>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</si>
  <si>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</si>
  <si>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</si>
  <si>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</si>
  <si>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</si>
  <si>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</si>
  <si>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</si>
  <si>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</si>
  <si>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</si>
  <si>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</si>
  <si>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</si>
  <si>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</si>
  <si>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</si>
  <si>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</si>
  <si>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</si>
  <si>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</si>
  <si>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</si>
  <si>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</si>
  <si>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</si>
  <si>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</si>
  <si>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</si>
  <si>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Provided Contact Details (Name &amp; Contact No.)</t>
  </si>
  <si>
    <t>Site Person - Contact Details (Name &amp; Contact No.)</t>
  </si>
  <si>
    <t>Axis Goregaon</t>
  </si>
  <si>
    <t>Agarwal Florence</t>
  </si>
  <si>
    <t>022-49603434/3535</t>
  </si>
  <si>
    <t>P51800032916</t>
  </si>
  <si>
    <t>As per RERA - 31/12/2025</t>
  </si>
  <si>
    <t xml:space="preserve">Municipal Corporation of Greater Mumbai
</t>
  </si>
  <si>
    <t>https://goo.gl/maps/kRkua8bWfmTDZbN99</t>
  </si>
  <si>
    <t>19.1701144, 72.8468124</t>
  </si>
  <si>
    <t>Sunrise Tower</t>
  </si>
  <si>
    <t>Building</t>
  </si>
  <si>
    <t>Piramal Nagar Housing Society Rd</t>
  </si>
  <si>
    <t>Sitaram Patkar Road</t>
  </si>
  <si>
    <t>Wing A &amp; B</t>
  </si>
  <si>
    <t>CTS No</t>
  </si>
  <si>
    <t>905, 905/1 to 15</t>
  </si>
  <si>
    <t>S.V.Road</t>
  </si>
  <si>
    <t>Goregaon (West)</t>
  </si>
  <si>
    <t>Andheri</t>
  </si>
  <si>
    <t>Mumbai</t>
  </si>
  <si>
    <t>Pahadi Goregaon</t>
  </si>
  <si>
    <t>Piramal Nagar</t>
  </si>
  <si>
    <t>0.75 KM from Goregaon Railway Station</t>
  </si>
  <si>
    <t>02 Wings</t>
  </si>
  <si>
    <t>CHE/WS-II/0476/P/337 (NEW)</t>
  </si>
  <si>
    <t>Wing A &amp; B = Gr/Stilt + 1st to 16th Floor</t>
  </si>
  <si>
    <t>Wing A</t>
  </si>
  <si>
    <t>Ground Floor for Society Office &amp; Parking</t>
  </si>
  <si>
    <t>3BHK</t>
  </si>
  <si>
    <t>2BHK</t>
  </si>
  <si>
    <t>1st to 3rd floor for Residential</t>
  </si>
  <si>
    <t>Wing B</t>
  </si>
  <si>
    <t>Ground Floor for Parking</t>
  </si>
  <si>
    <t>1RK</t>
  </si>
  <si>
    <t>4th Floor</t>
  </si>
  <si>
    <t>5th Floor</t>
  </si>
  <si>
    <t>6th Floor (Part Refuge Area)</t>
  </si>
  <si>
    <t>Refuge Area</t>
  </si>
  <si>
    <t>7th Floor</t>
  </si>
  <si>
    <t>8th to 12th Floor</t>
  </si>
  <si>
    <t>13th Floor (Part Refuge Area)</t>
  </si>
  <si>
    <t>14th Floor</t>
  </si>
  <si>
    <t>15th &amp; 16th Floor</t>
  </si>
  <si>
    <t>We considered Gross carpet area = Net carpet.</t>
  </si>
  <si>
    <t>Wing A &amp; B = Gr/Stilt + 1st to 19th Floor</t>
  </si>
  <si>
    <t>Builder</t>
  </si>
  <si>
    <t>MIS</t>
  </si>
  <si>
    <t>Parking area, 24/7 water supply, Securty access, Decorative entrance, Children's Play Area, Lift Lobby</t>
  </si>
  <si>
    <t>Online (Housing)</t>
  </si>
  <si>
    <t>Approved Plans, CC, Sale Plans</t>
  </si>
  <si>
    <t>Sale</t>
  </si>
  <si>
    <t>IH Tenement</t>
  </si>
  <si>
    <t>Sale flats - 112, IH Tenement flats - 24</t>
  </si>
  <si>
    <t>https://housing.com/in/buy/projects/page/272443-param-agarwal-florence-by-param-anand-builders-llp-in-goregaon- west?gclid=CjwKCAjw0ZiiBhBKEiwA4PT9z_34R0NkuxsX2ldw_bx0W7AwBUI_pJVjpJxsicH42ksDbHL_Wy8CvhoC_igQAvD_BwE</t>
  </si>
  <si>
    <t>Housing</t>
  </si>
  <si>
    <t xml:space="preserve">https://www.99acres.com/agarwal-florence-goregaon-west-mumbai-andheri-dahisar-npxid-r386610 </t>
  </si>
  <si>
    <t>We have updated latest CC from Rera (On 07/08/2024).</t>
  </si>
  <si>
    <t>Construction work is in process at the time of Visit. Internal photographs was not allowed.</t>
  </si>
  <si>
    <t>Mr.Mahesh Prajapati Sales 8097006584 &amp; 
Mr. Amol Gotud Site Engineer  9167199176</t>
  </si>
  <si>
    <t>This C.C. is now granted and further extended for entire work of building consisting of Wing `A' &amp; `B' comprising
of Stilt (for mechanized parking) + 1st to 18th + 19th (part) upper floors + Lifts opening at Terrace floor + OHT+
LMR in Wing `A' &amp; 1st to 18th + 19th(Pt. upper floors + Lifts opening at Terrace floor +OHT+ LMR in Wing `B', as per the approved amended plans dated 12.09.2024.</t>
  </si>
  <si>
    <t>CHE/WSII/0476/P/337(NEW)/FCC/3/Amend</t>
  </si>
  <si>
    <t>We have updated latest CC from MCGM site (On 15/05/2025).</t>
  </si>
  <si>
    <t>Roshan Kudalkar</t>
  </si>
  <si>
    <t>Param Anand Builders LLP</t>
  </si>
  <si>
    <t>Pranita Mhatre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</si>
</sst>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(* #,##0.00_);_(* \(#,##0.00\);_(* &quot;-&quot;??_);_(@_)"/>
    <numFmt numFmtId="166" formatCode="0.0"/>
    <numFmt numFmtId="167" formatCode="_(* #,##0_);_(* \(#,##0\);_(* &quot;-&quot;??_);_(@_)"/>
    <numFmt numFmtId="168" formatCode="_ * #,##0_ ;_ * \-#,##0_ ;_ * &quot;-&quot;??_ ;_ @_ 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86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7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1" fontId="12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1" fontId="10" fillId="0" borderId="0" xfId="1" applyNumberFormat="1" applyFont="1" applyAlignment="1">
      <alignment horizontal="center" vertical="center"/>
    </xf>
    <xf numFmtId="0" fontId="26" fillId="0" borderId="0" xfId="10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26" fillId="0" borderId="0" xfId="10"/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13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68" fontId="13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" fontId="8" fillId="3" borderId="7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20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8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68" fontId="12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166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1" fontId="12" fillId="0" borderId="1" xfId="0" applyNumberFormat="1" applyFont="1" applyBorder="1" applyAlignment="1" applyProtection="1">
      <alignment horizontal="center" vertical="top" wrapText="1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center" vertical="top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1" fontId="13" fillId="0" borderId="1" xfId="0" applyNumberFormat="1" applyFont="1" applyBorder="1" applyAlignment="1" applyProtection="1">
      <alignment horizontal="center" vertical="center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1" fontId="12" fillId="0" borderId="2" xfId="0" applyNumberFormat="1" applyFont="1" applyBorder="1" applyAlignment="1" applyProtection="1">
      <alignment horizontal="center" vertical="center" wrapText="1"/>
      <protection locked="0"/>
    </xf>
    <xf numFmtId="1" fontId="12" fillId="0" borderId="15" xfId="0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34637</xdr:colOff>
      <xdr:row>330</xdr:row>
      <xdr:rowOff>39639</xdr:rowOff>
    </xdr:from>
    <xdr:to>
      <xdr:col>6</xdr:col>
      <xdr:colOff>746932</xdr:colOff>
      <xdr:row>348</xdr:row>
      <xdr:rowOff>54022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96637" y="70386094"/>
          <a:ext cx="4860000" cy="359924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34637</xdr:colOff>
      <xdr:row>308</xdr:row>
      <xdr:rowOff>69272</xdr:rowOff>
    </xdr:from>
    <xdr:to>
      <xdr:col>6</xdr:col>
      <xdr:colOff>746932</xdr:colOff>
      <xdr:row>328</xdr:row>
      <xdr:rowOff>156339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96637" y="66034227"/>
          <a:ext cx="4860000" cy="407024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121226</xdr:colOff>
      <xdr:row>266</xdr:row>
      <xdr:rowOff>60613</xdr:rowOff>
    </xdr:from>
    <xdr:to>
      <xdr:col>7</xdr:col>
      <xdr:colOff>697538</xdr:colOff>
      <xdr:row>290</xdr:row>
      <xdr:rowOff>174528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1226" y="57262568"/>
          <a:ext cx="6265335" cy="489373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620759</xdr:colOff>
      <xdr:row>292</xdr:row>
      <xdr:rowOff>21743</xdr:rowOff>
    </xdr:from>
    <xdr:to>
      <xdr:col>6</xdr:col>
      <xdr:colOff>708660</xdr:colOff>
      <xdr:row>306</xdr:row>
      <xdr:rowOff>134620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20759" y="62841023"/>
          <a:ext cx="5132341" cy="288655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95250</xdr:colOff>
      <xdr:row>273</xdr:row>
      <xdr:rowOff>43295</xdr:rowOff>
    </xdr:from>
    <xdr:to>
      <xdr:col>3</xdr:col>
      <xdr:colOff>831273</xdr:colOff>
      <xdr:row>283</xdr:row>
      <xdr:rowOff>60613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653886" y="58639363"/>
          <a:ext cx="1584614" cy="2008909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831271</xdr:colOff>
      <xdr:row>273</xdr:row>
      <xdr:rowOff>147205</xdr:rowOff>
    </xdr:from>
    <xdr:to>
      <xdr:col>5</xdr:col>
      <xdr:colOff>727363</xdr:colOff>
      <xdr:row>283</xdr:row>
      <xdr:rowOff>43296</xdr:rowOff>
    </xdr:to>
    <xdr:sp macro="" textlink="">
      <xdr:nvSpPr>
        <xdr:cNvPr id="7" name="Rounded 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238498" y="58743273"/>
          <a:ext cx="1619251" cy="1887682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1</xdr:col>
      <xdr:colOff>233794</xdr:colOff>
      <xdr:row>267</xdr:row>
      <xdr:rowOff>51954</xdr:rowOff>
    </xdr:from>
    <xdr:ext cx="708912" cy="311496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995794" y="57453068"/>
          <a:ext cx="708912" cy="311496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/>
            <a:t>Wing A</a:t>
          </a:r>
        </a:p>
      </xdr:txBody>
    </xdr:sp>
    <xdr:clientData/>
  </xdr:oneCellAnchor>
  <xdr:oneCellAnchor>
    <xdr:from>
      <xdr:col>6</xdr:col>
      <xdr:colOff>285749</xdr:colOff>
      <xdr:row>267</xdr:row>
      <xdr:rowOff>95249</xdr:rowOff>
    </xdr:from>
    <xdr:ext cx="702693" cy="311496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195454" y="57496363"/>
          <a:ext cx="702693" cy="311496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/>
            <a:t>Wing B</a:t>
          </a:r>
        </a:p>
      </xdr:txBody>
    </xdr:sp>
    <xdr:clientData/>
  </xdr:oneCellAnchor>
  <xdr:twoCellAnchor>
    <xdr:from>
      <xdr:col>1</xdr:col>
      <xdr:colOff>588250</xdr:colOff>
      <xdr:row>268</xdr:row>
      <xdr:rowOff>164291</xdr:rowOff>
    </xdr:from>
    <xdr:to>
      <xdr:col>2</xdr:col>
      <xdr:colOff>216478</xdr:colOff>
      <xdr:row>273</xdr:row>
      <xdr:rowOff>95250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>
          <a:stCxn id="9" idx="2"/>
        </xdr:cNvCxnSpPr>
      </xdr:nvCxnSpPr>
      <xdr:spPr>
        <a:xfrm>
          <a:off x="1350250" y="57764564"/>
          <a:ext cx="424864" cy="926754"/>
        </a:xfrm>
        <a:prstGeom prst="straightConnector1">
          <a:avLst/>
        </a:prstGeom>
        <a:ln w="571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632114</xdr:colOff>
      <xdr:row>269</xdr:row>
      <xdr:rowOff>8427</xdr:rowOff>
    </xdr:from>
    <xdr:to>
      <xdr:col>6</xdr:col>
      <xdr:colOff>637096</xdr:colOff>
      <xdr:row>274</xdr:row>
      <xdr:rowOff>69273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>
          <a:stCxn id="10" idx="2"/>
        </xdr:cNvCxnSpPr>
      </xdr:nvCxnSpPr>
      <xdr:spPr>
        <a:xfrm flipH="1">
          <a:off x="4762500" y="57807859"/>
          <a:ext cx="784301" cy="1056641"/>
        </a:xfrm>
        <a:prstGeom prst="straightConnector1">
          <a:avLst/>
        </a:prstGeom>
        <a:ln w="571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420486</xdr:colOff>
      <xdr:row>296</xdr:row>
      <xdr:rowOff>88323</xdr:rowOff>
    </xdr:from>
    <xdr:to>
      <xdr:col>3</xdr:col>
      <xdr:colOff>489758</xdr:colOff>
      <xdr:row>300</xdr:row>
      <xdr:rowOff>1731</xdr:rowOff>
    </xdr:to>
    <xdr:sp macro="" textlink="">
      <xdr:nvSpPr>
        <xdr:cNvPr id="18" name="Rounded Rectang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2028306" y="63700083"/>
          <a:ext cx="937952" cy="705888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</xdr:col>
      <xdr:colOff>822614</xdr:colOff>
      <xdr:row>337</xdr:row>
      <xdr:rowOff>164523</xdr:rowOff>
    </xdr:from>
    <xdr:to>
      <xdr:col>3</xdr:col>
      <xdr:colOff>606137</xdr:colOff>
      <xdr:row>341</xdr:row>
      <xdr:rowOff>190500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381250" y="70658182"/>
          <a:ext cx="632114" cy="822613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9</xdr:col>
      <xdr:colOff>0</xdr:colOff>
      <xdr:row>223</xdr:row>
      <xdr:rowOff>0</xdr:rowOff>
    </xdr:from>
    <xdr:ext cx="708912" cy="311496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8064500" y="48342550"/>
          <a:ext cx="708912" cy="311496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/>
            <a:t>Wing A</a:t>
          </a:r>
        </a:p>
      </xdr:txBody>
    </xdr:sp>
    <xdr:clientData/>
  </xdr:oneCellAnchor>
  <xdr:twoCellAnchor>
    <xdr:from>
      <xdr:col>9</xdr:col>
      <xdr:colOff>354456</xdr:colOff>
      <xdr:row>224</xdr:row>
      <xdr:rowOff>112337</xdr:rowOff>
    </xdr:from>
    <xdr:to>
      <xdr:col>10</xdr:col>
      <xdr:colOff>34641</xdr:colOff>
      <xdr:row>228</xdr:row>
      <xdr:rowOff>25978</xdr:rowOff>
    </xdr:to>
    <xdr:cxnSp macro="">
      <xdr:nvCxnSpPr>
        <xdr:cNvPr id="28" name="Straight Arrow Connector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>
          <a:stCxn id="27" idx="2"/>
        </xdr:cNvCxnSpPr>
      </xdr:nvCxnSpPr>
      <xdr:spPr>
        <a:xfrm>
          <a:off x="8418956" y="48651737"/>
          <a:ext cx="480285" cy="694691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835025</xdr:colOff>
      <xdr:row>223</xdr:row>
      <xdr:rowOff>92075</xdr:rowOff>
    </xdr:from>
    <xdr:to>
      <xdr:col>11</xdr:col>
      <xdr:colOff>1055557</xdr:colOff>
      <xdr:row>243</xdr:row>
      <xdr:rowOff>121424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33005" y="49248695"/>
          <a:ext cx="2925632" cy="398413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247650</xdr:colOff>
      <xdr:row>49</xdr:row>
      <xdr:rowOff>276225</xdr:rowOff>
    </xdr:from>
    <xdr:to>
      <xdr:col>17</xdr:col>
      <xdr:colOff>77254</xdr:colOff>
      <xdr:row>50</xdr:row>
      <xdr:rowOff>1867178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60D064E-87AC-45CD-92ED-E4A35B8E3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772275" y="11553825"/>
          <a:ext cx="7554379" cy="1991003"/>
        </a:xfrm>
        <a:prstGeom prst="rect">
          <a:avLst/>
        </a:prstGeom>
      </xdr:spPr>
    </xdr:pic>
    <xdr:clientData/>
  </xdr:twoCellAnchor>
  <xdr:twoCellAnchor>
    <xdr:from>
      <xdr:col>8</xdr:col>
      <xdr:colOff>382905</xdr:colOff>
      <xdr:row>220</xdr:row>
      <xdr:rowOff>83820</xdr:rowOff>
    </xdr:from>
    <xdr:to>
      <xdr:col>14</xdr:col>
      <xdr:colOff>173355</xdr:colOff>
      <xdr:row>259</xdr:row>
      <xdr:rowOff>152265</xdr:rowOff>
    </xdr:to>
    <xdr:grpSp>
      <xdr:nvGrpSpPr>
        <xdr:cNvPr id="38" name="Group 37">
          <a:extLst>
            <a:ext uri="{FF2B5EF4-FFF2-40B4-BE49-F238E27FC236}">
              <a16:creationId xmlns:a16="http://schemas.microsoft.com/office/drawing/2014/main" id="{45DF54CD-9E83-4EED-AB73-55E8E2DB3164}"/>
            </a:ext>
          </a:extLst>
        </xdr:cNvPr>
        <xdr:cNvGrpSpPr/>
      </xdr:nvGrpSpPr>
      <xdr:grpSpPr>
        <a:xfrm>
          <a:off x="7081879" y="48593403"/>
          <a:ext cx="5634659" cy="7814340"/>
          <a:chOff x="685800" y="342900"/>
          <a:chExt cx="5486400" cy="7861800"/>
        </a:xfrm>
      </xdr:grpSpPr>
      <xdr:pic>
        <xdr:nvPicPr>
          <xdr:cNvPr id="42" name="Picture 41">
            <a:extLst>
              <a:ext uri="{FF2B5EF4-FFF2-40B4-BE49-F238E27FC236}">
                <a16:creationId xmlns:a16="http://schemas.microsoft.com/office/drawing/2014/main" id="{1E43947F-B04E-4BFE-AF87-69D801B6AA4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85800" y="3733800"/>
            <a:ext cx="1755000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>
            <a:extLst>
              <a:ext uri="{FF2B5EF4-FFF2-40B4-BE49-F238E27FC236}">
                <a16:creationId xmlns:a16="http://schemas.microsoft.com/office/drawing/2014/main" id="{7B1080D1-8318-4504-B20A-ED6F1E4740F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16630" y="342900"/>
            <a:ext cx="2430000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>
            <a:extLst>
              <a:ext uri="{FF2B5EF4-FFF2-40B4-BE49-F238E27FC236}">
                <a16:creationId xmlns:a16="http://schemas.microsoft.com/office/drawing/2014/main" id="{B8A418AF-AE39-4046-908E-A366C1529C0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25830" y="342900"/>
            <a:ext cx="2430000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7" name="Picture 46">
            <a:extLst>
              <a:ext uri="{FF2B5EF4-FFF2-40B4-BE49-F238E27FC236}">
                <a16:creationId xmlns:a16="http://schemas.microsoft.com/office/drawing/2014/main" id="{0CA56F93-3A5A-4BDE-B55E-A005033F819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51500" y="3733800"/>
            <a:ext cx="1755000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8" name="Picture 47">
            <a:extLst>
              <a:ext uri="{FF2B5EF4-FFF2-40B4-BE49-F238E27FC236}">
                <a16:creationId xmlns:a16="http://schemas.microsoft.com/office/drawing/2014/main" id="{8304BA86-28B1-4256-980B-FB7E671CD9B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17200" y="3733800"/>
            <a:ext cx="1755000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9" name="Picture 48">
            <a:extLst>
              <a:ext uri="{FF2B5EF4-FFF2-40B4-BE49-F238E27FC236}">
                <a16:creationId xmlns:a16="http://schemas.microsoft.com/office/drawing/2014/main" id="{99493090-7466-435D-9B6F-58B0D7CAF5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9000" y="6224700"/>
            <a:ext cx="1485000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0" name="Picture 49">
            <a:extLst>
              <a:ext uri="{FF2B5EF4-FFF2-40B4-BE49-F238E27FC236}">
                <a16:creationId xmlns:a16="http://schemas.microsoft.com/office/drawing/2014/main" id="{778DF268-2E51-4506-8C20-AB9D1986324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83200" y="6224700"/>
            <a:ext cx="1485000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51" name="TextBox 54">
            <a:extLst>
              <a:ext uri="{FF2B5EF4-FFF2-40B4-BE49-F238E27FC236}">
                <a16:creationId xmlns:a16="http://schemas.microsoft.com/office/drawing/2014/main" id="{E6DD4740-EE76-4CEA-A8C9-D75FE217D9C8}"/>
              </a:ext>
            </a:extLst>
          </xdr:cNvPr>
          <xdr:cNvSpPr txBox="1"/>
        </xdr:nvSpPr>
        <xdr:spPr>
          <a:xfrm>
            <a:off x="2252116" y="435212"/>
            <a:ext cx="87556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FF00"/>
                </a:solidFill>
              </a:rPr>
              <a:t>Wing A</a:t>
            </a:r>
            <a:endParaRPr lang="en-IN" b="1">
              <a:solidFill>
                <a:srgbClr val="FFFF00"/>
              </a:solidFill>
            </a:endParaRPr>
          </a:p>
        </xdr:txBody>
      </xdr:sp>
      <xdr:sp macro="" textlink="">
        <xdr:nvSpPr>
          <xdr:cNvPr id="52" name="TextBox 55">
            <a:extLst>
              <a:ext uri="{FF2B5EF4-FFF2-40B4-BE49-F238E27FC236}">
                <a16:creationId xmlns:a16="http://schemas.microsoft.com/office/drawing/2014/main" id="{878DF0F1-0F1E-432B-B86E-034B3AF0ED96}"/>
              </a:ext>
            </a:extLst>
          </xdr:cNvPr>
          <xdr:cNvSpPr txBox="1"/>
        </xdr:nvSpPr>
        <xdr:spPr>
          <a:xfrm>
            <a:off x="4570830" y="391495"/>
            <a:ext cx="865943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FF00"/>
                </a:solidFill>
              </a:rPr>
              <a:t>Wing B</a:t>
            </a:r>
            <a:endParaRPr lang="en-IN" b="1">
              <a:solidFill>
                <a:srgbClr val="FFFF00"/>
              </a:solidFill>
            </a:endParaRPr>
          </a:p>
        </xdr:txBody>
      </xdr:sp>
    </xdr:grpSp>
    <xdr:clientData/>
  </xdr:twoCellAnchor>
  <xdr:twoCellAnchor>
    <xdr:from>
      <xdr:col>0</xdr:col>
      <xdr:colOff>548640</xdr:colOff>
      <xdr:row>225</xdr:row>
      <xdr:rowOff>99060</xdr:rowOff>
    </xdr:from>
    <xdr:to>
      <xdr:col>7</xdr:col>
      <xdr:colOff>274320</xdr:colOff>
      <xdr:row>264</xdr:row>
      <xdr:rowOff>15240</xdr:rowOff>
    </xdr:to>
    <xdr:grpSp>
      <xdr:nvGrpSpPr>
        <xdr:cNvPr id="60" name="Group 59">
          <a:extLst>
            <a:ext uri="{FF2B5EF4-FFF2-40B4-BE49-F238E27FC236}">
              <a16:creationId xmlns:a16="http://schemas.microsoft.com/office/drawing/2014/main" id="{205C1BED-5C4D-1E5F-15DE-8487332B8990}"/>
            </a:ext>
          </a:extLst>
        </xdr:cNvPr>
        <xdr:cNvGrpSpPr/>
      </xdr:nvGrpSpPr>
      <xdr:grpSpPr>
        <a:xfrm>
          <a:off x="548640" y="49602556"/>
          <a:ext cx="5569889" cy="7662075"/>
          <a:chOff x="548640" y="49651920"/>
          <a:chExt cx="5570220" cy="7635240"/>
        </a:xfrm>
      </xdr:grpSpPr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57BFD719-540D-EF25-000F-9A4DB1E268A0}"/>
              </a:ext>
            </a:extLst>
          </xdr:cNvPr>
          <xdr:cNvGrpSpPr/>
        </xdr:nvGrpSpPr>
        <xdr:grpSpPr>
          <a:xfrm>
            <a:off x="571500" y="49651920"/>
            <a:ext cx="5547360" cy="7635240"/>
            <a:chOff x="456290" y="218440"/>
            <a:chExt cx="5757820" cy="8342360"/>
          </a:xfrm>
        </xdr:grpSpPr>
        <xdr:pic>
          <xdr:nvPicPr>
            <xdr:cNvPr id="16" name="Picture 15">
              <a:extLst>
                <a:ext uri="{FF2B5EF4-FFF2-40B4-BE49-F238E27FC236}">
                  <a16:creationId xmlns:a16="http://schemas.microsoft.com/office/drawing/2014/main" id="{32CFC9F6-5443-E438-8063-7E1C9D9D8D0F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227831" y="4086360"/>
              <a:ext cx="1620000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7" name="Picture 16">
              <a:extLst>
                <a:ext uri="{FF2B5EF4-FFF2-40B4-BE49-F238E27FC236}">
                  <a16:creationId xmlns:a16="http://schemas.microsoft.com/office/drawing/2014/main" id="{604519D8-7F6D-4F18-AE82-A11CAF9F157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/>
            <a:stretch>
              <a:fillRect/>
            </a:stretch>
          </xdr:blipFill>
          <xdr:spPr>
            <a:xfrm>
              <a:off x="634969" y="4086360"/>
              <a:ext cx="1620000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9" name="Picture 18">
              <a:extLst>
                <a:ext uri="{FF2B5EF4-FFF2-40B4-BE49-F238E27FC236}">
                  <a16:creationId xmlns:a16="http://schemas.microsoft.com/office/drawing/2014/main" id="{886A9289-7B46-7BCF-5855-90FB56258C6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2431400" y="4086360"/>
              <a:ext cx="1620000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0" name="Picture 19">
              <a:extLst>
                <a:ext uri="{FF2B5EF4-FFF2-40B4-BE49-F238E27FC236}">
                  <a16:creationId xmlns:a16="http://schemas.microsoft.com/office/drawing/2014/main" id="{75F54532-E101-27A7-8FFC-82B9A558E89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/>
            <a:stretch>
              <a:fillRect/>
            </a:stretch>
          </xdr:blipFill>
          <xdr:spPr>
            <a:xfrm>
              <a:off x="3429000" y="218440"/>
              <a:ext cx="2785110" cy="371348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1" name="Picture 20">
              <a:extLst>
                <a:ext uri="{FF2B5EF4-FFF2-40B4-BE49-F238E27FC236}">
                  <a16:creationId xmlns:a16="http://schemas.microsoft.com/office/drawing/2014/main" id="{C7242D0E-D995-01FF-6810-B3FE1D052F69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56290" y="218440"/>
              <a:ext cx="2785110" cy="371348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2" name="Picture 21">
              <a:extLst>
                <a:ext uri="{FF2B5EF4-FFF2-40B4-BE49-F238E27FC236}">
                  <a16:creationId xmlns:a16="http://schemas.microsoft.com/office/drawing/2014/main" id="{E4FBDE5E-9C2B-C57B-D633-9EA48A9E4066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504040" y="6400800"/>
              <a:ext cx="1620000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3" name="Picture 22">
              <a:extLst>
                <a:ext uri="{FF2B5EF4-FFF2-40B4-BE49-F238E27FC236}">
                  <a16:creationId xmlns:a16="http://schemas.microsoft.com/office/drawing/2014/main" id="{8BE16D7C-D4CE-1452-B467-5D25324C84E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/>
            <a:stretch>
              <a:fillRect/>
            </a:stretch>
          </xdr:blipFill>
          <xdr:spPr>
            <a:xfrm>
              <a:off x="3241400" y="6400800"/>
              <a:ext cx="1620000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24" name="TextBox 54">
            <a:extLst>
              <a:ext uri="{FF2B5EF4-FFF2-40B4-BE49-F238E27FC236}">
                <a16:creationId xmlns:a16="http://schemas.microsoft.com/office/drawing/2014/main" id="{0FF18CA7-6FC6-430D-B6D4-E65E04B6CF77}"/>
              </a:ext>
            </a:extLst>
          </xdr:cNvPr>
          <xdr:cNvSpPr txBox="1"/>
        </xdr:nvSpPr>
        <xdr:spPr>
          <a:xfrm>
            <a:off x="548640" y="49941480"/>
            <a:ext cx="899274" cy="36584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chemeClr val="tx1"/>
                </a:solidFill>
              </a:rPr>
              <a:t>Wing A</a:t>
            </a:r>
            <a:endParaRPr lang="en-IN" b="1">
              <a:solidFill>
                <a:schemeClr val="tx1"/>
              </a:solidFill>
            </a:endParaRPr>
          </a:p>
        </xdr:txBody>
      </xdr:sp>
      <xdr:sp macro="" textlink="">
        <xdr:nvSpPr>
          <xdr:cNvPr id="25" name="TextBox 54">
            <a:extLst>
              <a:ext uri="{FF2B5EF4-FFF2-40B4-BE49-F238E27FC236}">
                <a16:creationId xmlns:a16="http://schemas.microsoft.com/office/drawing/2014/main" id="{72817ADC-F4D8-2019-499A-FDE603D8CD42}"/>
              </a:ext>
            </a:extLst>
          </xdr:cNvPr>
          <xdr:cNvSpPr txBox="1"/>
        </xdr:nvSpPr>
        <xdr:spPr>
          <a:xfrm>
            <a:off x="5189220" y="50162460"/>
            <a:ext cx="899274" cy="36584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chemeClr val="tx1"/>
                </a:solidFill>
              </a:rPr>
              <a:t>Wing B</a:t>
            </a:r>
            <a:endParaRPr lang="en-IN" b="1">
              <a:solidFill>
                <a:schemeClr val="tx1"/>
              </a:solidFill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145678</xdr:rowOff>
    </xdr:from>
    <xdr:to>
      <xdr:col>4</xdr:col>
      <xdr:colOff>110824</xdr:colOff>
      <xdr:row>29</xdr:row>
      <xdr:rowOff>133696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633384"/>
          <a:ext cx="5400000" cy="303601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4</xdr:col>
      <xdr:colOff>281891</xdr:colOff>
      <xdr:row>13</xdr:row>
      <xdr:rowOff>145678</xdr:rowOff>
    </xdr:from>
    <xdr:to>
      <xdr:col>10</xdr:col>
      <xdr:colOff>392714</xdr:colOff>
      <xdr:row>29</xdr:row>
      <xdr:rowOff>133696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71067" y="2633384"/>
          <a:ext cx="5400000" cy="303601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0</xdr:colOff>
      <xdr:row>30</xdr:row>
      <xdr:rowOff>124511</xdr:rowOff>
    </xdr:from>
    <xdr:to>
      <xdr:col>4</xdr:col>
      <xdr:colOff>110824</xdr:colOff>
      <xdr:row>46</xdr:row>
      <xdr:rowOff>112529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850717"/>
          <a:ext cx="5400000" cy="303601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99acres.com/agarwal-florence-goregaon-west-mumbai-andheri-dahisar-npxid-r386610" TargetMode="External"/><Relationship Id="rId2" Type="http://schemas.openxmlformats.org/officeDocument/2006/relationships/hyperlink" Target="https://housing.com/in/buy/projects/page/272443-param-agarwal-florence-by-param-anand-builders-llp-in-goregaon-%20west?gclid=CjwKCAjw0ZiiBhBKEiwA4PT9z_34R0NkuxsX2ldw_bx0W7AwBUI_pJVjpJxsicH42ksDbHL_Wy8CvhoC_igQAvD_BwE" TargetMode="External"/><Relationship Id="rId1" Type="http://schemas.openxmlformats.org/officeDocument/2006/relationships/hyperlink" Target="https://goo.gl/maps/kRkua8bWfmTDZbN99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308"/>
  <sheetViews>
    <sheetView tabSelected="1" view="pageBreakPreview" topLeftCell="B67" zoomScale="115" zoomScaleNormal="100" zoomScaleSheetLayoutView="115" workbookViewId="0">
      <selection activeCell="C75" sqref="C75"/>
    </sheetView>
  </sheetViews>
  <sheetFormatPr defaultColWidth="9.109375" defaultRowHeight="15.6" x14ac:dyDescent="0.3"/>
  <cols>
    <col min="1" max="1" width="11.44140625" style="38" customWidth="1"/>
    <col min="2" max="2" width="12" style="38" customWidth="1"/>
    <col min="3" max="3" width="12.6640625" style="38" customWidth="1"/>
    <col min="4" max="4" width="14.109375" style="38" customWidth="1"/>
    <col min="5" max="7" width="11.6640625" style="38" customWidth="1"/>
    <col min="8" max="8" width="12.44140625" style="38" customWidth="1"/>
    <col min="9" max="9" width="17.44140625" style="19" customWidth="1"/>
    <col min="10" max="10" width="11.44140625" style="19" customWidth="1"/>
    <col min="11" max="11" width="10.5546875" style="19" bestFit="1" customWidth="1"/>
    <col min="12" max="12" width="21.33203125" style="19" customWidth="1"/>
    <col min="13" max="13" width="11.88671875" style="19" customWidth="1"/>
    <col min="14" max="14" width="12.5546875" style="19" customWidth="1"/>
    <col min="15" max="15" width="9.88671875" style="19" customWidth="1"/>
    <col min="16" max="16" width="11.6640625" style="19" customWidth="1"/>
    <col min="17" max="247" width="9.109375" style="19"/>
    <col min="248" max="248" width="8.6640625" style="19" customWidth="1"/>
    <col min="249" max="249" width="9.88671875" style="19" customWidth="1"/>
    <col min="250" max="250" width="14.44140625" style="19" customWidth="1"/>
    <col min="251" max="251" width="7.33203125" style="19" customWidth="1"/>
    <col min="252" max="252" width="5.5546875" style="19" customWidth="1"/>
    <col min="253" max="253" width="9" style="19" customWidth="1"/>
    <col min="254" max="255" width="9.88671875" style="19" customWidth="1"/>
    <col min="256" max="256" width="11.109375" style="19" customWidth="1"/>
    <col min="257" max="257" width="2.88671875" style="19" customWidth="1"/>
    <col min="258" max="258" width="3.5546875" style="19" customWidth="1"/>
    <col min="259" max="503" width="9.109375" style="19"/>
    <col min="504" max="504" width="8.6640625" style="19" customWidth="1"/>
    <col min="505" max="505" width="9.88671875" style="19" customWidth="1"/>
    <col min="506" max="506" width="14.44140625" style="19" customWidth="1"/>
    <col min="507" max="507" width="7.33203125" style="19" customWidth="1"/>
    <col min="508" max="508" width="5.5546875" style="19" customWidth="1"/>
    <col min="509" max="509" width="9" style="19" customWidth="1"/>
    <col min="510" max="511" width="9.88671875" style="19" customWidth="1"/>
    <col min="512" max="512" width="11.109375" style="19" customWidth="1"/>
    <col min="513" max="513" width="2.88671875" style="19" customWidth="1"/>
    <col min="514" max="514" width="3.5546875" style="19" customWidth="1"/>
    <col min="515" max="759" width="9.109375" style="19"/>
    <col min="760" max="760" width="8.6640625" style="19" customWidth="1"/>
    <col min="761" max="761" width="9.88671875" style="19" customWidth="1"/>
    <col min="762" max="762" width="14.44140625" style="19" customWidth="1"/>
    <col min="763" max="763" width="7.33203125" style="19" customWidth="1"/>
    <col min="764" max="764" width="5.5546875" style="19" customWidth="1"/>
    <col min="765" max="765" width="9" style="19" customWidth="1"/>
    <col min="766" max="767" width="9.88671875" style="19" customWidth="1"/>
    <col min="768" max="768" width="11.109375" style="19" customWidth="1"/>
    <col min="769" max="769" width="2.88671875" style="19" customWidth="1"/>
    <col min="770" max="770" width="3.5546875" style="19" customWidth="1"/>
    <col min="771" max="1015" width="9.109375" style="19"/>
    <col min="1016" max="1016" width="8.6640625" style="19" customWidth="1"/>
    <col min="1017" max="1017" width="9.88671875" style="19" customWidth="1"/>
    <col min="1018" max="1018" width="14.44140625" style="19" customWidth="1"/>
    <col min="1019" max="1019" width="7.33203125" style="19" customWidth="1"/>
    <col min="1020" max="1020" width="5.5546875" style="19" customWidth="1"/>
    <col min="1021" max="1021" width="9" style="19" customWidth="1"/>
    <col min="1022" max="1023" width="9.88671875" style="19" customWidth="1"/>
    <col min="1024" max="1024" width="11.109375" style="19" customWidth="1"/>
    <col min="1025" max="1025" width="2.88671875" style="19" customWidth="1"/>
    <col min="1026" max="1026" width="3.5546875" style="19" customWidth="1"/>
    <col min="1027" max="1271" width="9.109375" style="19"/>
    <col min="1272" max="1272" width="8.6640625" style="19" customWidth="1"/>
    <col min="1273" max="1273" width="9.88671875" style="19" customWidth="1"/>
    <col min="1274" max="1274" width="14.44140625" style="19" customWidth="1"/>
    <col min="1275" max="1275" width="7.33203125" style="19" customWidth="1"/>
    <col min="1276" max="1276" width="5.5546875" style="19" customWidth="1"/>
    <col min="1277" max="1277" width="9" style="19" customWidth="1"/>
    <col min="1278" max="1279" width="9.88671875" style="19" customWidth="1"/>
    <col min="1280" max="1280" width="11.109375" style="19" customWidth="1"/>
    <col min="1281" max="1281" width="2.88671875" style="19" customWidth="1"/>
    <col min="1282" max="1282" width="3.5546875" style="19" customWidth="1"/>
    <col min="1283" max="1527" width="9.109375" style="19"/>
    <col min="1528" max="1528" width="8.6640625" style="19" customWidth="1"/>
    <col min="1529" max="1529" width="9.88671875" style="19" customWidth="1"/>
    <col min="1530" max="1530" width="14.44140625" style="19" customWidth="1"/>
    <col min="1531" max="1531" width="7.33203125" style="19" customWidth="1"/>
    <col min="1532" max="1532" width="5.5546875" style="19" customWidth="1"/>
    <col min="1533" max="1533" width="9" style="19" customWidth="1"/>
    <col min="1534" max="1535" width="9.88671875" style="19" customWidth="1"/>
    <col min="1536" max="1536" width="11.109375" style="19" customWidth="1"/>
    <col min="1537" max="1537" width="2.88671875" style="19" customWidth="1"/>
    <col min="1538" max="1538" width="3.5546875" style="19" customWidth="1"/>
    <col min="1539" max="1783" width="9.109375" style="19"/>
    <col min="1784" max="1784" width="8.6640625" style="19" customWidth="1"/>
    <col min="1785" max="1785" width="9.88671875" style="19" customWidth="1"/>
    <col min="1786" max="1786" width="14.44140625" style="19" customWidth="1"/>
    <col min="1787" max="1787" width="7.33203125" style="19" customWidth="1"/>
    <col min="1788" max="1788" width="5.5546875" style="19" customWidth="1"/>
    <col min="1789" max="1789" width="9" style="19" customWidth="1"/>
    <col min="1790" max="1791" width="9.88671875" style="19" customWidth="1"/>
    <col min="1792" max="1792" width="11.109375" style="19" customWidth="1"/>
    <col min="1793" max="1793" width="2.88671875" style="19" customWidth="1"/>
    <col min="1794" max="1794" width="3.5546875" style="19" customWidth="1"/>
    <col min="1795" max="2039" width="9.109375" style="19"/>
    <col min="2040" max="2040" width="8.6640625" style="19" customWidth="1"/>
    <col min="2041" max="2041" width="9.88671875" style="19" customWidth="1"/>
    <col min="2042" max="2042" width="14.44140625" style="19" customWidth="1"/>
    <col min="2043" max="2043" width="7.33203125" style="19" customWidth="1"/>
    <col min="2044" max="2044" width="5.5546875" style="19" customWidth="1"/>
    <col min="2045" max="2045" width="9" style="19" customWidth="1"/>
    <col min="2046" max="2047" width="9.88671875" style="19" customWidth="1"/>
    <col min="2048" max="2048" width="11.109375" style="19" customWidth="1"/>
    <col min="2049" max="2049" width="2.88671875" style="19" customWidth="1"/>
    <col min="2050" max="2050" width="3.5546875" style="19" customWidth="1"/>
    <col min="2051" max="2295" width="9.109375" style="19"/>
    <col min="2296" max="2296" width="8.6640625" style="19" customWidth="1"/>
    <col min="2297" max="2297" width="9.88671875" style="19" customWidth="1"/>
    <col min="2298" max="2298" width="14.44140625" style="19" customWidth="1"/>
    <col min="2299" max="2299" width="7.33203125" style="19" customWidth="1"/>
    <col min="2300" max="2300" width="5.5546875" style="19" customWidth="1"/>
    <col min="2301" max="2301" width="9" style="19" customWidth="1"/>
    <col min="2302" max="2303" width="9.88671875" style="19" customWidth="1"/>
    <col min="2304" max="2304" width="11.109375" style="19" customWidth="1"/>
    <col min="2305" max="2305" width="2.88671875" style="19" customWidth="1"/>
    <col min="2306" max="2306" width="3.5546875" style="19" customWidth="1"/>
    <col min="2307" max="2551" width="9.109375" style="19"/>
    <col min="2552" max="2552" width="8.6640625" style="19" customWidth="1"/>
    <col min="2553" max="2553" width="9.88671875" style="19" customWidth="1"/>
    <col min="2554" max="2554" width="14.44140625" style="19" customWidth="1"/>
    <col min="2555" max="2555" width="7.33203125" style="19" customWidth="1"/>
    <col min="2556" max="2556" width="5.5546875" style="19" customWidth="1"/>
    <col min="2557" max="2557" width="9" style="19" customWidth="1"/>
    <col min="2558" max="2559" width="9.88671875" style="19" customWidth="1"/>
    <col min="2560" max="2560" width="11.109375" style="19" customWidth="1"/>
    <col min="2561" max="2561" width="2.88671875" style="19" customWidth="1"/>
    <col min="2562" max="2562" width="3.5546875" style="19" customWidth="1"/>
    <col min="2563" max="2807" width="9.109375" style="19"/>
    <col min="2808" max="2808" width="8.6640625" style="19" customWidth="1"/>
    <col min="2809" max="2809" width="9.88671875" style="19" customWidth="1"/>
    <col min="2810" max="2810" width="14.44140625" style="19" customWidth="1"/>
    <col min="2811" max="2811" width="7.33203125" style="19" customWidth="1"/>
    <col min="2812" max="2812" width="5.5546875" style="19" customWidth="1"/>
    <col min="2813" max="2813" width="9" style="19" customWidth="1"/>
    <col min="2814" max="2815" width="9.88671875" style="19" customWidth="1"/>
    <col min="2816" max="2816" width="11.109375" style="19" customWidth="1"/>
    <col min="2817" max="2817" width="2.88671875" style="19" customWidth="1"/>
    <col min="2818" max="2818" width="3.5546875" style="19" customWidth="1"/>
    <col min="2819" max="3063" width="9.109375" style="19"/>
    <col min="3064" max="3064" width="8.6640625" style="19" customWidth="1"/>
    <col min="3065" max="3065" width="9.88671875" style="19" customWidth="1"/>
    <col min="3066" max="3066" width="14.44140625" style="19" customWidth="1"/>
    <col min="3067" max="3067" width="7.33203125" style="19" customWidth="1"/>
    <col min="3068" max="3068" width="5.5546875" style="19" customWidth="1"/>
    <col min="3069" max="3069" width="9" style="19" customWidth="1"/>
    <col min="3070" max="3071" width="9.88671875" style="19" customWidth="1"/>
    <col min="3072" max="3072" width="11.109375" style="19" customWidth="1"/>
    <col min="3073" max="3073" width="2.88671875" style="19" customWidth="1"/>
    <col min="3074" max="3074" width="3.5546875" style="19" customWidth="1"/>
    <col min="3075" max="3319" width="9.109375" style="19"/>
    <col min="3320" max="3320" width="8.6640625" style="19" customWidth="1"/>
    <col min="3321" max="3321" width="9.88671875" style="19" customWidth="1"/>
    <col min="3322" max="3322" width="14.44140625" style="19" customWidth="1"/>
    <col min="3323" max="3323" width="7.33203125" style="19" customWidth="1"/>
    <col min="3324" max="3324" width="5.5546875" style="19" customWidth="1"/>
    <col min="3325" max="3325" width="9" style="19" customWidth="1"/>
    <col min="3326" max="3327" width="9.88671875" style="19" customWidth="1"/>
    <col min="3328" max="3328" width="11.109375" style="19" customWidth="1"/>
    <col min="3329" max="3329" width="2.88671875" style="19" customWidth="1"/>
    <col min="3330" max="3330" width="3.5546875" style="19" customWidth="1"/>
    <col min="3331" max="3575" width="9.109375" style="19"/>
    <col min="3576" max="3576" width="8.6640625" style="19" customWidth="1"/>
    <col min="3577" max="3577" width="9.88671875" style="19" customWidth="1"/>
    <col min="3578" max="3578" width="14.44140625" style="19" customWidth="1"/>
    <col min="3579" max="3579" width="7.33203125" style="19" customWidth="1"/>
    <col min="3580" max="3580" width="5.5546875" style="19" customWidth="1"/>
    <col min="3581" max="3581" width="9" style="19" customWidth="1"/>
    <col min="3582" max="3583" width="9.88671875" style="19" customWidth="1"/>
    <col min="3584" max="3584" width="11.109375" style="19" customWidth="1"/>
    <col min="3585" max="3585" width="2.88671875" style="19" customWidth="1"/>
    <col min="3586" max="3586" width="3.5546875" style="19" customWidth="1"/>
    <col min="3587" max="3831" width="9.109375" style="19"/>
    <col min="3832" max="3832" width="8.6640625" style="19" customWidth="1"/>
    <col min="3833" max="3833" width="9.88671875" style="19" customWidth="1"/>
    <col min="3834" max="3834" width="14.44140625" style="19" customWidth="1"/>
    <col min="3835" max="3835" width="7.33203125" style="19" customWidth="1"/>
    <col min="3836" max="3836" width="5.5546875" style="19" customWidth="1"/>
    <col min="3837" max="3837" width="9" style="19" customWidth="1"/>
    <col min="3838" max="3839" width="9.88671875" style="19" customWidth="1"/>
    <col min="3840" max="3840" width="11.109375" style="19" customWidth="1"/>
    <col min="3841" max="3841" width="2.88671875" style="19" customWidth="1"/>
    <col min="3842" max="3842" width="3.5546875" style="19" customWidth="1"/>
    <col min="3843" max="4087" width="9.109375" style="19"/>
    <col min="4088" max="4088" width="8.6640625" style="19" customWidth="1"/>
    <col min="4089" max="4089" width="9.88671875" style="19" customWidth="1"/>
    <col min="4090" max="4090" width="14.44140625" style="19" customWidth="1"/>
    <col min="4091" max="4091" width="7.33203125" style="19" customWidth="1"/>
    <col min="4092" max="4092" width="5.5546875" style="19" customWidth="1"/>
    <col min="4093" max="4093" width="9" style="19" customWidth="1"/>
    <col min="4094" max="4095" width="9.88671875" style="19" customWidth="1"/>
    <col min="4096" max="4096" width="11.109375" style="19" customWidth="1"/>
    <col min="4097" max="4097" width="2.88671875" style="19" customWidth="1"/>
    <col min="4098" max="4098" width="3.5546875" style="19" customWidth="1"/>
    <col min="4099" max="4343" width="9.109375" style="19"/>
    <col min="4344" max="4344" width="8.6640625" style="19" customWidth="1"/>
    <col min="4345" max="4345" width="9.88671875" style="19" customWidth="1"/>
    <col min="4346" max="4346" width="14.44140625" style="19" customWidth="1"/>
    <col min="4347" max="4347" width="7.33203125" style="19" customWidth="1"/>
    <col min="4348" max="4348" width="5.5546875" style="19" customWidth="1"/>
    <col min="4349" max="4349" width="9" style="19" customWidth="1"/>
    <col min="4350" max="4351" width="9.88671875" style="19" customWidth="1"/>
    <col min="4352" max="4352" width="11.109375" style="19" customWidth="1"/>
    <col min="4353" max="4353" width="2.88671875" style="19" customWidth="1"/>
    <col min="4354" max="4354" width="3.5546875" style="19" customWidth="1"/>
    <col min="4355" max="4599" width="9.109375" style="19"/>
    <col min="4600" max="4600" width="8.6640625" style="19" customWidth="1"/>
    <col min="4601" max="4601" width="9.88671875" style="19" customWidth="1"/>
    <col min="4602" max="4602" width="14.44140625" style="19" customWidth="1"/>
    <col min="4603" max="4603" width="7.33203125" style="19" customWidth="1"/>
    <col min="4604" max="4604" width="5.5546875" style="19" customWidth="1"/>
    <col min="4605" max="4605" width="9" style="19" customWidth="1"/>
    <col min="4606" max="4607" width="9.88671875" style="19" customWidth="1"/>
    <col min="4608" max="4608" width="11.109375" style="19" customWidth="1"/>
    <col min="4609" max="4609" width="2.88671875" style="19" customWidth="1"/>
    <col min="4610" max="4610" width="3.5546875" style="19" customWidth="1"/>
    <col min="4611" max="4855" width="9.109375" style="19"/>
    <col min="4856" max="4856" width="8.6640625" style="19" customWidth="1"/>
    <col min="4857" max="4857" width="9.88671875" style="19" customWidth="1"/>
    <col min="4858" max="4858" width="14.44140625" style="19" customWidth="1"/>
    <col min="4859" max="4859" width="7.33203125" style="19" customWidth="1"/>
    <col min="4860" max="4860" width="5.5546875" style="19" customWidth="1"/>
    <col min="4861" max="4861" width="9" style="19" customWidth="1"/>
    <col min="4862" max="4863" width="9.88671875" style="19" customWidth="1"/>
    <col min="4864" max="4864" width="11.109375" style="19" customWidth="1"/>
    <col min="4865" max="4865" width="2.88671875" style="19" customWidth="1"/>
    <col min="4866" max="4866" width="3.5546875" style="19" customWidth="1"/>
    <col min="4867" max="5111" width="9.109375" style="19"/>
    <col min="5112" max="5112" width="8.6640625" style="19" customWidth="1"/>
    <col min="5113" max="5113" width="9.88671875" style="19" customWidth="1"/>
    <col min="5114" max="5114" width="14.44140625" style="19" customWidth="1"/>
    <col min="5115" max="5115" width="7.33203125" style="19" customWidth="1"/>
    <col min="5116" max="5116" width="5.5546875" style="19" customWidth="1"/>
    <col min="5117" max="5117" width="9" style="19" customWidth="1"/>
    <col min="5118" max="5119" width="9.88671875" style="19" customWidth="1"/>
    <col min="5120" max="5120" width="11.109375" style="19" customWidth="1"/>
    <col min="5121" max="5121" width="2.88671875" style="19" customWidth="1"/>
    <col min="5122" max="5122" width="3.5546875" style="19" customWidth="1"/>
    <col min="5123" max="5367" width="9.109375" style="19"/>
    <col min="5368" max="5368" width="8.6640625" style="19" customWidth="1"/>
    <col min="5369" max="5369" width="9.88671875" style="19" customWidth="1"/>
    <col min="5370" max="5370" width="14.44140625" style="19" customWidth="1"/>
    <col min="5371" max="5371" width="7.33203125" style="19" customWidth="1"/>
    <col min="5372" max="5372" width="5.5546875" style="19" customWidth="1"/>
    <col min="5373" max="5373" width="9" style="19" customWidth="1"/>
    <col min="5374" max="5375" width="9.88671875" style="19" customWidth="1"/>
    <col min="5376" max="5376" width="11.109375" style="19" customWidth="1"/>
    <col min="5377" max="5377" width="2.88671875" style="19" customWidth="1"/>
    <col min="5378" max="5378" width="3.5546875" style="19" customWidth="1"/>
    <col min="5379" max="5623" width="9.109375" style="19"/>
    <col min="5624" max="5624" width="8.6640625" style="19" customWidth="1"/>
    <col min="5625" max="5625" width="9.88671875" style="19" customWidth="1"/>
    <col min="5626" max="5626" width="14.44140625" style="19" customWidth="1"/>
    <col min="5627" max="5627" width="7.33203125" style="19" customWidth="1"/>
    <col min="5628" max="5628" width="5.5546875" style="19" customWidth="1"/>
    <col min="5629" max="5629" width="9" style="19" customWidth="1"/>
    <col min="5630" max="5631" width="9.88671875" style="19" customWidth="1"/>
    <col min="5632" max="5632" width="11.109375" style="19" customWidth="1"/>
    <col min="5633" max="5633" width="2.88671875" style="19" customWidth="1"/>
    <col min="5634" max="5634" width="3.5546875" style="19" customWidth="1"/>
    <col min="5635" max="5879" width="9.109375" style="19"/>
    <col min="5880" max="5880" width="8.6640625" style="19" customWidth="1"/>
    <col min="5881" max="5881" width="9.88671875" style="19" customWidth="1"/>
    <col min="5882" max="5882" width="14.44140625" style="19" customWidth="1"/>
    <col min="5883" max="5883" width="7.33203125" style="19" customWidth="1"/>
    <col min="5884" max="5884" width="5.5546875" style="19" customWidth="1"/>
    <col min="5885" max="5885" width="9" style="19" customWidth="1"/>
    <col min="5886" max="5887" width="9.88671875" style="19" customWidth="1"/>
    <col min="5888" max="5888" width="11.109375" style="19" customWidth="1"/>
    <col min="5889" max="5889" width="2.88671875" style="19" customWidth="1"/>
    <col min="5890" max="5890" width="3.5546875" style="19" customWidth="1"/>
    <col min="5891" max="6135" width="9.109375" style="19"/>
    <col min="6136" max="6136" width="8.6640625" style="19" customWidth="1"/>
    <col min="6137" max="6137" width="9.88671875" style="19" customWidth="1"/>
    <col min="6138" max="6138" width="14.44140625" style="19" customWidth="1"/>
    <col min="6139" max="6139" width="7.33203125" style="19" customWidth="1"/>
    <col min="6140" max="6140" width="5.5546875" style="19" customWidth="1"/>
    <col min="6141" max="6141" width="9" style="19" customWidth="1"/>
    <col min="6142" max="6143" width="9.88671875" style="19" customWidth="1"/>
    <col min="6144" max="6144" width="11.109375" style="19" customWidth="1"/>
    <col min="6145" max="6145" width="2.88671875" style="19" customWidth="1"/>
    <col min="6146" max="6146" width="3.5546875" style="19" customWidth="1"/>
    <col min="6147" max="6391" width="9.109375" style="19"/>
    <col min="6392" max="6392" width="8.6640625" style="19" customWidth="1"/>
    <col min="6393" max="6393" width="9.88671875" style="19" customWidth="1"/>
    <col min="6394" max="6394" width="14.44140625" style="19" customWidth="1"/>
    <col min="6395" max="6395" width="7.33203125" style="19" customWidth="1"/>
    <col min="6396" max="6396" width="5.5546875" style="19" customWidth="1"/>
    <col min="6397" max="6397" width="9" style="19" customWidth="1"/>
    <col min="6398" max="6399" width="9.88671875" style="19" customWidth="1"/>
    <col min="6400" max="6400" width="11.109375" style="19" customWidth="1"/>
    <col min="6401" max="6401" width="2.88671875" style="19" customWidth="1"/>
    <col min="6402" max="6402" width="3.5546875" style="19" customWidth="1"/>
    <col min="6403" max="6647" width="9.109375" style="19"/>
    <col min="6648" max="6648" width="8.6640625" style="19" customWidth="1"/>
    <col min="6649" max="6649" width="9.88671875" style="19" customWidth="1"/>
    <col min="6650" max="6650" width="14.44140625" style="19" customWidth="1"/>
    <col min="6651" max="6651" width="7.33203125" style="19" customWidth="1"/>
    <col min="6652" max="6652" width="5.5546875" style="19" customWidth="1"/>
    <col min="6653" max="6653" width="9" style="19" customWidth="1"/>
    <col min="6654" max="6655" width="9.88671875" style="19" customWidth="1"/>
    <col min="6656" max="6656" width="11.109375" style="19" customWidth="1"/>
    <col min="6657" max="6657" width="2.88671875" style="19" customWidth="1"/>
    <col min="6658" max="6658" width="3.5546875" style="19" customWidth="1"/>
    <col min="6659" max="6903" width="9.109375" style="19"/>
    <col min="6904" max="6904" width="8.6640625" style="19" customWidth="1"/>
    <col min="6905" max="6905" width="9.88671875" style="19" customWidth="1"/>
    <col min="6906" max="6906" width="14.44140625" style="19" customWidth="1"/>
    <col min="6907" max="6907" width="7.33203125" style="19" customWidth="1"/>
    <col min="6908" max="6908" width="5.5546875" style="19" customWidth="1"/>
    <col min="6909" max="6909" width="9" style="19" customWidth="1"/>
    <col min="6910" max="6911" width="9.88671875" style="19" customWidth="1"/>
    <col min="6912" max="6912" width="11.109375" style="19" customWidth="1"/>
    <col min="6913" max="6913" width="2.88671875" style="19" customWidth="1"/>
    <col min="6914" max="6914" width="3.5546875" style="19" customWidth="1"/>
    <col min="6915" max="7159" width="9.109375" style="19"/>
    <col min="7160" max="7160" width="8.6640625" style="19" customWidth="1"/>
    <col min="7161" max="7161" width="9.88671875" style="19" customWidth="1"/>
    <col min="7162" max="7162" width="14.44140625" style="19" customWidth="1"/>
    <col min="7163" max="7163" width="7.33203125" style="19" customWidth="1"/>
    <col min="7164" max="7164" width="5.5546875" style="19" customWidth="1"/>
    <col min="7165" max="7165" width="9" style="19" customWidth="1"/>
    <col min="7166" max="7167" width="9.88671875" style="19" customWidth="1"/>
    <col min="7168" max="7168" width="11.109375" style="19" customWidth="1"/>
    <col min="7169" max="7169" width="2.88671875" style="19" customWidth="1"/>
    <col min="7170" max="7170" width="3.5546875" style="19" customWidth="1"/>
    <col min="7171" max="7415" width="9.109375" style="19"/>
    <col min="7416" max="7416" width="8.6640625" style="19" customWidth="1"/>
    <col min="7417" max="7417" width="9.88671875" style="19" customWidth="1"/>
    <col min="7418" max="7418" width="14.44140625" style="19" customWidth="1"/>
    <col min="7419" max="7419" width="7.33203125" style="19" customWidth="1"/>
    <col min="7420" max="7420" width="5.5546875" style="19" customWidth="1"/>
    <col min="7421" max="7421" width="9" style="19" customWidth="1"/>
    <col min="7422" max="7423" width="9.88671875" style="19" customWidth="1"/>
    <col min="7424" max="7424" width="11.109375" style="19" customWidth="1"/>
    <col min="7425" max="7425" width="2.88671875" style="19" customWidth="1"/>
    <col min="7426" max="7426" width="3.5546875" style="19" customWidth="1"/>
    <col min="7427" max="7671" width="9.109375" style="19"/>
    <col min="7672" max="7672" width="8.6640625" style="19" customWidth="1"/>
    <col min="7673" max="7673" width="9.88671875" style="19" customWidth="1"/>
    <col min="7674" max="7674" width="14.44140625" style="19" customWidth="1"/>
    <col min="7675" max="7675" width="7.33203125" style="19" customWidth="1"/>
    <col min="7676" max="7676" width="5.5546875" style="19" customWidth="1"/>
    <col min="7677" max="7677" width="9" style="19" customWidth="1"/>
    <col min="7678" max="7679" width="9.88671875" style="19" customWidth="1"/>
    <col min="7680" max="7680" width="11.109375" style="19" customWidth="1"/>
    <col min="7681" max="7681" width="2.88671875" style="19" customWidth="1"/>
    <col min="7682" max="7682" width="3.5546875" style="19" customWidth="1"/>
    <col min="7683" max="7927" width="9.109375" style="19"/>
    <col min="7928" max="7928" width="8.6640625" style="19" customWidth="1"/>
    <col min="7929" max="7929" width="9.88671875" style="19" customWidth="1"/>
    <col min="7930" max="7930" width="14.44140625" style="19" customWidth="1"/>
    <col min="7931" max="7931" width="7.33203125" style="19" customWidth="1"/>
    <col min="7932" max="7932" width="5.5546875" style="19" customWidth="1"/>
    <col min="7933" max="7933" width="9" style="19" customWidth="1"/>
    <col min="7934" max="7935" width="9.88671875" style="19" customWidth="1"/>
    <col min="7936" max="7936" width="11.109375" style="19" customWidth="1"/>
    <col min="7937" max="7937" width="2.88671875" style="19" customWidth="1"/>
    <col min="7938" max="7938" width="3.5546875" style="19" customWidth="1"/>
    <col min="7939" max="8183" width="9.109375" style="19"/>
    <col min="8184" max="8184" width="8.6640625" style="19" customWidth="1"/>
    <col min="8185" max="8185" width="9.88671875" style="19" customWidth="1"/>
    <col min="8186" max="8186" width="14.44140625" style="19" customWidth="1"/>
    <col min="8187" max="8187" width="7.33203125" style="19" customWidth="1"/>
    <col min="8188" max="8188" width="5.5546875" style="19" customWidth="1"/>
    <col min="8189" max="8189" width="9" style="19" customWidth="1"/>
    <col min="8190" max="8191" width="9.88671875" style="19" customWidth="1"/>
    <col min="8192" max="8192" width="11.109375" style="19" customWidth="1"/>
    <col min="8193" max="8193" width="2.88671875" style="19" customWidth="1"/>
    <col min="8194" max="8194" width="3.5546875" style="19" customWidth="1"/>
    <col min="8195" max="8439" width="9.109375" style="19"/>
    <col min="8440" max="8440" width="8.6640625" style="19" customWidth="1"/>
    <col min="8441" max="8441" width="9.88671875" style="19" customWidth="1"/>
    <col min="8442" max="8442" width="14.44140625" style="19" customWidth="1"/>
    <col min="8443" max="8443" width="7.33203125" style="19" customWidth="1"/>
    <col min="8444" max="8444" width="5.5546875" style="19" customWidth="1"/>
    <col min="8445" max="8445" width="9" style="19" customWidth="1"/>
    <col min="8446" max="8447" width="9.88671875" style="19" customWidth="1"/>
    <col min="8448" max="8448" width="11.109375" style="19" customWidth="1"/>
    <col min="8449" max="8449" width="2.88671875" style="19" customWidth="1"/>
    <col min="8450" max="8450" width="3.5546875" style="19" customWidth="1"/>
    <col min="8451" max="8695" width="9.109375" style="19"/>
    <col min="8696" max="8696" width="8.6640625" style="19" customWidth="1"/>
    <col min="8697" max="8697" width="9.88671875" style="19" customWidth="1"/>
    <col min="8698" max="8698" width="14.44140625" style="19" customWidth="1"/>
    <col min="8699" max="8699" width="7.33203125" style="19" customWidth="1"/>
    <col min="8700" max="8700" width="5.5546875" style="19" customWidth="1"/>
    <col min="8701" max="8701" width="9" style="19" customWidth="1"/>
    <col min="8702" max="8703" width="9.88671875" style="19" customWidth="1"/>
    <col min="8704" max="8704" width="11.109375" style="19" customWidth="1"/>
    <col min="8705" max="8705" width="2.88671875" style="19" customWidth="1"/>
    <col min="8706" max="8706" width="3.5546875" style="19" customWidth="1"/>
    <col min="8707" max="8951" width="9.109375" style="19"/>
    <col min="8952" max="8952" width="8.6640625" style="19" customWidth="1"/>
    <col min="8953" max="8953" width="9.88671875" style="19" customWidth="1"/>
    <col min="8954" max="8954" width="14.44140625" style="19" customWidth="1"/>
    <col min="8955" max="8955" width="7.33203125" style="19" customWidth="1"/>
    <col min="8956" max="8956" width="5.5546875" style="19" customWidth="1"/>
    <col min="8957" max="8957" width="9" style="19" customWidth="1"/>
    <col min="8958" max="8959" width="9.88671875" style="19" customWidth="1"/>
    <col min="8960" max="8960" width="11.109375" style="19" customWidth="1"/>
    <col min="8961" max="8961" width="2.88671875" style="19" customWidth="1"/>
    <col min="8962" max="8962" width="3.5546875" style="19" customWidth="1"/>
    <col min="8963" max="9207" width="9.109375" style="19"/>
    <col min="9208" max="9208" width="8.6640625" style="19" customWidth="1"/>
    <col min="9209" max="9209" width="9.88671875" style="19" customWidth="1"/>
    <col min="9210" max="9210" width="14.44140625" style="19" customWidth="1"/>
    <col min="9211" max="9211" width="7.33203125" style="19" customWidth="1"/>
    <col min="9212" max="9212" width="5.5546875" style="19" customWidth="1"/>
    <col min="9213" max="9213" width="9" style="19" customWidth="1"/>
    <col min="9214" max="9215" width="9.88671875" style="19" customWidth="1"/>
    <col min="9216" max="9216" width="11.109375" style="19" customWidth="1"/>
    <col min="9217" max="9217" width="2.88671875" style="19" customWidth="1"/>
    <col min="9218" max="9218" width="3.5546875" style="19" customWidth="1"/>
    <col min="9219" max="9463" width="9.109375" style="19"/>
    <col min="9464" max="9464" width="8.6640625" style="19" customWidth="1"/>
    <col min="9465" max="9465" width="9.88671875" style="19" customWidth="1"/>
    <col min="9466" max="9466" width="14.44140625" style="19" customWidth="1"/>
    <col min="9467" max="9467" width="7.33203125" style="19" customWidth="1"/>
    <col min="9468" max="9468" width="5.5546875" style="19" customWidth="1"/>
    <col min="9469" max="9469" width="9" style="19" customWidth="1"/>
    <col min="9470" max="9471" width="9.88671875" style="19" customWidth="1"/>
    <col min="9472" max="9472" width="11.109375" style="19" customWidth="1"/>
    <col min="9473" max="9473" width="2.88671875" style="19" customWidth="1"/>
    <col min="9474" max="9474" width="3.5546875" style="19" customWidth="1"/>
    <col min="9475" max="9719" width="9.109375" style="19"/>
    <col min="9720" max="9720" width="8.6640625" style="19" customWidth="1"/>
    <col min="9721" max="9721" width="9.88671875" style="19" customWidth="1"/>
    <col min="9722" max="9722" width="14.44140625" style="19" customWidth="1"/>
    <col min="9723" max="9723" width="7.33203125" style="19" customWidth="1"/>
    <col min="9724" max="9724" width="5.5546875" style="19" customWidth="1"/>
    <col min="9725" max="9725" width="9" style="19" customWidth="1"/>
    <col min="9726" max="9727" width="9.88671875" style="19" customWidth="1"/>
    <col min="9728" max="9728" width="11.109375" style="19" customWidth="1"/>
    <col min="9729" max="9729" width="2.88671875" style="19" customWidth="1"/>
    <col min="9730" max="9730" width="3.5546875" style="19" customWidth="1"/>
    <col min="9731" max="9975" width="9.109375" style="19"/>
    <col min="9976" max="9976" width="8.6640625" style="19" customWidth="1"/>
    <col min="9977" max="9977" width="9.88671875" style="19" customWidth="1"/>
    <col min="9978" max="9978" width="14.44140625" style="19" customWidth="1"/>
    <col min="9979" max="9979" width="7.33203125" style="19" customWidth="1"/>
    <col min="9980" max="9980" width="5.5546875" style="19" customWidth="1"/>
    <col min="9981" max="9981" width="9" style="19" customWidth="1"/>
    <col min="9982" max="9983" width="9.88671875" style="19" customWidth="1"/>
    <col min="9984" max="9984" width="11.109375" style="19" customWidth="1"/>
    <col min="9985" max="9985" width="2.88671875" style="19" customWidth="1"/>
    <col min="9986" max="9986" width="3.5546875" style="19" customWidth="1"/>
    <col min="9987" max="10231" width="9.109375" style="19"/>
    <col min="10232" max="10232" width="8.6640625" style="19" customWidth="1"/>
    <col min="10233" max="10233" width="9.88671875" style="19" customWidth="1"/>
    <col min="10234" max="10234" width="14.44140625" style="19" customWidth="1"/>
    <col min="10235" max="10235" width="7.33203125" style="19" customWidth="1"/>
    <col min="10236" max="10236" width="5.5546875" style="19" customWidth="1"/>
    <col min="10237" max="10237" width="9" style="19" customWidth="1"/>
    <col min="10238" max="10239" width="9.88671875" style="19" customWidth="1"/>
    <col min="10240" max="10240" width="11.109375" style="19" customWidth="1"/>
    <col min="10241" max="10241" width="2.88671875" style="19" customWidth="1"/>
    <col min="10242" max="10242" width="3.5546875" style="19" customWidth="1"/>
    <col min="10243" max="10487" width="9.109375" style="19"/>
    <col min="10488" max="10488" width="8.6640625" style="19" customWidth="1"/>
    <col min="10489" max="10489" width="9.88671875" style="19" customWidth="1"/>
    <col min="10490" max="10490" width="14.44140625" style="19" customWidth="1"/>
    <col min="10491" max="10491" width="7.33203125" style="19" customWidth="1"/>
    <col min="10492" max="10492" width="5.5546875" style="19" customWidth="1"/>
    <col min="10493" max="10493" width="9" style="19" customWidth="1"/>
    <col min="10494" max="10495" width="9.88671875" style="19" customWidth="1"/>
    <col min="10496" max="10496" width="11.109375" style="19" customWidth="1"/>
    <col min="10497" max="10497" width="2.88671875" style="19" customWidth="1"/>
    <col min="10498" max="10498" width="3.5546875" style="19" customWidth="1"/>
    <col min="10499" max="10743" width="9.109375" style="19"/>
    <col min="10744" max="10744" width="8.6640625" style="19" customWidth="1"/>
    <col min="10745" max="10745" width="9.88671875" style="19" customWidth="1"/>
    <col min="10746" max="10746" width="14.44140625" style="19" customWidth="1"/>
    <col min="10747" max="10747" width="7.33203125" style="19" customWidth="1"/>
    <col min="10748" max="10748" width="5.5546875" style="19" customWidth="1"/>
    <col min="10749" max="10749" width="9" style="19" customWidth="1"/>
    <col min="10750" max="10751" width="9.88671875" style="19" customWidth="1"/>
    <col min="10752" max="10752" width="11.109375" style="19" customWidth="1"/>
    <col min="10753" max="10753" width="2.88671875" style="19" customWidth="1"/>
    <col min="10754" max="10754" width="3.5546875" style="19" customWidth="1"/>
    <col min="10755" max="10999" width="9.109375" style="19"/>
    <col min="11000" max="11000" width="8.6640625" style="19" customWidth="1"/>
    <col min="11001" max="11001" width="9.88671875" style="19" customWidth="1"/>
    <col min="11002" max="11002" width="14.44140625" style="19" customWidth="1"/>
    <col min="11003" max="11003" width="7.33203125" style="19" customWidth="1"/>
    <col min="11004" max="11004" width="5.5546875" style="19" customWidth="1"/>
    <col min="11005" max="11005" width="9" style="19" customWidth="1"/>
    <col min="11006" max="11007" width="9.88671875" style="19" customWidth="1"/>
    <col min="11008" max="11008" width="11.109375" style="19" customWidth="1"/>
    <col min="11009" max="11009" width="2.88671875" style="19" customWidth="1"/>
    <col min="11010" max="11010" width="3.5546875" style="19" customWidth="1"/>
    <col min="11011" max="11255" width="9.109375" style="19"/>
    <col min="11256" max="11256" width="8.6640625" style="19" customWidth="1"/>
    <col min="11257" max="11257" width="9.88671875" style="19" customWidth="1"/>
    <col min="11258" max="11258" width="14.44140625" style="19" customWidth="1"/>
    <col min="11259" max="11259" width="7.33203125" style="19" customWidth="1"/>
    <col min="11260" max="11260" width="5.5546875" style="19" customWidth="1"/>
    <col min="11261" max="11261" width="9" style="19" customWidth="1"/>
    <col min="11262" max="11263" width="9.88671875" style="19" customWidth="1"/>
    <col min="11264" max="11264" width="11.109375" style="19" customWidth="1"/>
    <col min="11265" max="11265" width="2.88671875" style="19" customWidth="1"/>
    <col min="11266" max="11266" width="3.5546875" style="19" customWidth="1"/>
    <col min="11267" max="11511" width="9.109375" style="19"/>
    <col min="11512" max="11512" width="8.6640625" style="19" customWidth="1"/>
    <col min="11513" max="11513" width="9.88671875" style="19" customWidth="1"/>
    <col min="11514" max="11514" width="14.44140625" style="19" customWidth="1"/>
    <col min="11515" max="11515" width="7.33203125" style="19" customWidth="1"/>
    <col min="11516" max="11516" width="5.5546875" style="19" customWidth="1"/>
    <col min="11517" max="11517" width="9" style="19" customWidth="1"/>
    <col min="11518" max="11519" width="9.88671875" style="19" customWidth="1"/>
    <col min="11520" max="11520" width="11.109375" style="19" customWidth="1"/>
    <col min="11521" max="11521" width="2.88671875" style="19" customWidth="1"/>
    <col min="11522" max="11522" width="3.5546875" style="19" customWidth="1"/>
    <col min="11523" max="11767" width="9.109375" style="19"/>
    <col min="11768" max="11768" width="8.6640625" style="19" customWidth="1"/>
    <col min="11769" max="11769" width="9.88671875" style="19" customWidth="1"/>
    <col min="11770" max="11770" width="14.44140625" style="19" customWidth="1"/>
    <col min="11771" max="11771" width="7.33203125" style="19" customWidth="1"/>
    <col min="11772" max="11772" width="5.5546875" style="19" customWidth="1"/>
    <col min="11773" max="11773" width="9" style="19" customWidth="1"/>
    <col min="11774" max="11775" width="9.88671875" style="19" customWidth="1"/>
    <col min="11776" max="11776" width="11.109375" style="19" customWidth="1"/>
    <col min="11777" max="11777" width="2.88671875" style="19" customWidth="1"/>
    <col min="11778" max="11778" width="3.5546875" style="19" customWidth="1"/>
    <col min="11779" max="12023" width="9.109375" style="19"/>
    <col min="12024" max="12024" width="8.6640625" style="19" customWidth="1"/>
    <col min="12025" max="12025" width="9.88671875" style="19" customWidth="1"/>
    <col min="12026" max="12026" width="14.44140625" style="19" customWidth="1"/>
    <col min="12027" max="12027" width="7.33203125" style="19" customWidth="1"/>
    <col min="12028" max="12028" width="5.5546875" style="19" customWidth="1"/>
    <col min="12029" max="12029" width="9" style="19" customWidth="1"/>
    <col min="12030" max="12031" width="9.88671875" style="19" customWidth="1"/>
    <col min="12032" max="12032" width="11.109375" style="19" customWidth="1"/>
    <col min="12033" max="12033" width="2.88671875" style="19" customWidth="1"/>
    <col min="12034" max="12034" width="3.5546875" style="19" customWidth="1"/>
    <col min="12035" max="12279" width="9.109375" style="19"/>
    <col min="12280" max="12280" width="8.6640625" style="19" customWidth="1"/>
    <col min="12281" max="12281" width="9.88671875" style="19" customWidth="1"/>
    <col min="12282" max="12282" width="14.44140625" style="19" customWidth="1"/>
    <col min="12283" max="12283" width="7.33203125" style="19" customWidth="1"/>
    <col min="12284" max="12284" width="5.5546875" style="19" customWidth="1"/>
    <col min="12285" max="12285" width="9" style="19" customWidth="1"/>
    <col min="12286" max="12287" width="9.88671875" style="19" customWidth="1"/>
    <col min="12288" max="12288" width="11.109375" style="19" customWidth="1"/>
    <col min="12289" max="12289" width="2.88671875" style="19" customWidth="1"/>
    <col min="12290" max="12290" width="3.5546875" style="19" customWidth="1"/>
    <col min="12291" max="12535" width="9.109375" style="19"/>
    <col min="12536" max="12536" width="8.6640625" style="19" customWidth="1"/>
    <col min="12537" max="12537" width="9.88671875" style="19" customWidth="1"/>
    <col min="12538" max="12538" width="14.44140625" style="19" customWidth="1"/>
    <col min="12539" max="12539" width="7.33203125" style="19" customWidth="1"/>
    <col min="12540" max="12540" width="5.5546875" style="19" customWidth="1"/>
    <col min="12541" max="12541" width="9" style="19" customWidth="1"/>
    <col min="12542" max="12543" width="9.88671875" style="19" customWidth="1"/>
    <col min="12544" max="12544" width="11.109375" style="19" customWidth="1"/>
    <col min="12545" max="12545" width="2.88671875" style="19" customWidth="1"/>
    <col min="12546" max="12546" width="3.5546875" style="19" customWidth="1"/>
    <col min="12547" max="12791" width="9.109375" style="19"/>
    <col min="12792" max="12792" width="8.6640625" style="19" customWidth="1"/>
    <col min="12793" max="12793" width="9.88671875" style="19" customWidth="1"/>
    <col min="12794" max="12794" width="14.44140625" style="19" customWidth="1"/>
    <col min="12795" max="12795" width="7.33203125" style="19" customWidth="1"/>
    <col min="12796" max="12796" width="5.5546875" style="19" customWidth="1"/>
    <col min="12797" max="12797" width="9" style="19" customWidth="1"/>
    <col min="12798" max="12799" width="9.88671875" style="19" customWidth="1"/>
    <col min="12800" max="12800" width="11.109375" style="19" customWidth="1"/>
    <col min="12801" max="12801" width="2.88671875" style="19" customWidth="1"/>
    <col min="12802" max="12802" width="3.5546875" style="19" customWidth="1"/>
    <col min="12803" max="13047" width="9.109375" style="19"/>
    <col min="13048" max="13048" width="8.6640625" style="19" customWidth="1"/>
    <col min="13049" max="13049" width="9.88671875" style="19" customWidth="1"/>
    <col min="13050" max="13050" width="14.44140625" style="19" customWidth="1"/>
    <col min="13051" max="13051" width="7.33203125" style="19" customWidth="1"/>
    <col min="13052" max="13052" width="5.5546875" style="19" customWidth="1"/>
    <col min="13053" max="13053" width="9" style="19" customWidth="1"/>
    <col min="13054" max="13055" width="9.88671875" style="19" customWidth="1"/>
    <col min="13056" max="13056" width="11.109375" style="19" customWidth="1"/>
    <col min="13057" max="13057" width="2.88671875" style="19" customWidth="1"/>
    <col min="13058" max="13058" width="3.5546875" style="19" customWidth="1"/>
    <col min="13059" max="13303" width="9.109375" style="19"/>
    <col min="13304" max="13304" width="8.6640625" style="19" customWidth="1"/>
    <col min="13305" max="13305" width="9.88671875" style="19" customWidth="1"/>
    <col min="13306" max="13306" width="14.44140625" style="19" customWidth="1"/>
    <col min="13307" max="13307" width="7.33203125" style="19" customWidth="1"/>
    <col min="13308" max="13308" width="5.5546875" style="19" customWidth="1"/>
    <col min="13309" max="13309" width="9" style="19" customWidth="1"/>
    <col min="13310" max="13311" width="9.88671875" style="19" customWidth="1"/>
    <col min="13312" max="13312" width="11.109375" style="19" customWidth="1"/>
    <col min="13313" max="13313" width="2.88671875" style="19" customWidth="1"/>
    <col min="13314" max="13314" width="3.5546875" style="19" customWidth="1"/>
    <col min="13315" max="13559" width="9.109375" style="19"/>
    <col min="13560" max="13560" width="8.6640625" style="19" customWidth="1"/>
    <col min="13561" max="13561" width="9.88671875" style="19" customWidth="1"/>
    <col min="13562" max="13562" width="14.44140625" style="19" customWidth="1"/>
    <col min="13563" max="13563" width="7.33203125" style="19" customWidth="1"/>
    <col min="13564" max="13564" width="5.5546875" style="19" customWidth="1"/>
    <col min="13565" max="13565" width="9" style="19" customWidth="1"/>
    <col min="13566" max="13567" width="9.88671875" style="19" customWidth="1"/>
    <col min="13568" max="13568" width="11.109375" style="19" customWidth="1"/>
    <col min="13569" max="13569" width="2.88671875" style="19" customWidth="1"/>
    <col min="13570" max="13570" width="3.5546875" style="19" customWidth="1"/>
    <col min="13571" max="13815" width="9.109375" style="19"/>
    <col min="13816" max="13816" width="8.6640625" style="19" customWidth="1"/>
    <col min="13817" max="13817" width="9.88671875" style="19" customWidth="1"/>
    <col min="13818" max="13818" width="14.44140625" style="19" customWidth="1"/>
    <col min="13819" max="13819" width="7.33203125" style="19" customWidth="1"/>
    <col min="13820" max="13820" width="5.5546875" style="19" customWidth="1"/>
    <col min="13821" max="13821" width="9" style="19" customWidth="1"/>
    <col min="13822" max="13823" width="9.88671875" style="19" customWidth="1"/>
    <col min="13824" max="13824" width="11.109375" style="19" customWidth="1"/>
    <col min="13825" max="13825" width="2.88671875" style="19" customWidth="1"/>
    <col min="13826" max="13826" width="3.5546875" style="19" customWidth="1"/>
    <col min="13827" max="14071" width="9.109375" style="19"/>
    <col min="14072" max="14072" width="8.6640625" style="19" customWidth="1"/>
    <col min="14073" max="14073" width="9.88671875" style="19" customWidth="1"/>
    <col min="14074" max="14074" width="14.44140625" style="19" customWidth="1"/>
    <col min="14075" max="14075" width="7.33203125" style="19" customWidth="1"/>
    <col min="14076" max="14076" width="5.5546875" style="19" customWidth="1"/>
    <col min="14077" max="14077" width="9" style="19" customWidth="1"/>
    <col min="14078" max="14079" width="9.88671875" style="19" customWidth="1"/>
    <col min="14080" max="14080" width="11.109375" style="19" customWidth="1"/>
    <col min="14081" max="14081" width="2.88671875" style="19" customWidth="1"/>
    <col min="14082" max="14082" width="3.5546875" style="19" customWidth="1"/>
    <col min="14083" max="14327" width="9.109375" style="19"/>
    <col min="14328" max="14328" width="8.6640625" style="19" customWidth="1"/>
    <col min="14329" max="14329" width="9.88671875" style="19" customWidth="1"/>
    <col min="14330" max="14330" width="14.44140625" style="19" customWidth="1"/>
    <col min="14331" max="14331" width="7.33203125" style="19" customWidth="1"/>
    <col min="14332" max="14332" width="5.5546875" style="19" customWidth="1"/>
    <col min="14333" max="14333" width="9" style="19" customWidth="1"/>
    <col min="14334" max="14335" width="9.88671875" style="19" customWidth="1"/>
    <col min="14336" max="14336" width="11.109375" style="19" customWidth="1"/>
    <col min="14337" max="14337" width="2.88671875" style="19" customWidth="1"/>
    <col min="14338" max="14338" width="3.5546875" style="19" customWidth="1"/>
    <col min="14339" max="14583" width="9.109375" style="19"/>
    <col min="14584" max="14584" width="8.6640625" style="19" customWidth="1"/>
    <col min="14585" max="14585" width="9.88671875" style="19" customWidth="1"/>
    <col min="14586" max="14586" width="14.44140625" style="19" customWidth="1"/>
    <col min="14587" max="14587" width="7.33203125" style="19" customWidth="1"/>
    <col min="14588" max="14588" width="5.5546875" style="19" customWidth="1"/>
    <col min="14589" max="14589" width="9" style="19" customWidth="1"/>
    <col min="14590" max="14591" width="9.88671875" style="19" customWidth="1"/>
    <col min="14592" max="14592" width="11.109375" style="19" customWidth="1"/>
    <col min="14593" max="14593" width="2.88671875" style="19" customWidth="1"/>
    <col min="14594" max="14594" width="3.5546875" style="19" customWidth="1"/>
    <col min="14595" max="14839" width="9.109375" style="19"/>
    <col min="14840" max="14840" width="8.6640625" style="19" customWidth="1"/>
    <col min="14841" max="14841" width="9.88671875" style="19" customWidth="1"/>
    <col min="14842" max="14842" width="14.44140625" style="19" customWidth="1"/>
    <col min="14843" max="14843" width="7.33203125" style="19" customWidth="1"/>
    <col min="14844" max="14844" width="5.5546875" style="19" customWidth="1"/>
    <col min="14845" max="14845" width="9" style="19" customWidth="1"/>
    <col min="14846" max="14847" width="9.88671875" style="19" customWidth="1"/>
    <col min="14848" max="14848" width="11.109375" style="19" customWidth="1"/>
    <col min="14849" max="14849" width="2.88671875" style="19" customWidth="1"/>
    <col min="14850" max="14850" width="3.5546875" style="19" customWidth="1"/>
    <col min="14851" max="15095" width="9.109375" style="19"/>
    <col min="15096" max="15096" width="8.6640625" style="19" customWidth="1"/>
    <col min="15097" max="15097" width="9.88671875" style="19" customWidth="1"/>
    <col min="15098" max="15098" width="14.44140625" style="19" customWidth="1"/>
    <col min="15099" max="15099" width="7.33203125" style="19" customWidth="1"/>
    <col min="15100" max="15100" width="5.5546875" style="19" customWidth="1"/>
    <col min="15101" max="15101" width="9" style="19" customWidth="1"/>
    <col min="15102" max="15103" width="9.88671875" style="19" customWidth="1"/>
    <col min="15104" max="15104" width="11.109375" style="19" customWidth="1"/>
    <col min="15105" max="15105" width="2.88671875" style="19" customWidth="1"/>
    <col min="15106" max="15106" width="3.5546875" style="19" customWidth="1"/>
    <col min="15107" max="15351" width="9.109375" style="19"/>
    <col min="15352" max="15352" width="8.6640625" style="19" customWidth="1"/>
    <col min="15353" max="15353" width="9.88671875" style="19" customWidth="1"/>
    <col min="15354" max="15354" width="14.44140625" style="19" customWidth="1"/>
    <col min="15355" max="15355" width="7.33203125" style="19" customWidth="1"/>
    <col min="15356" max="15356" width="5.5546875" style="19" customWidth="1"/>
    <col min="15357" max="15357" width="9" style="19" customWidth="1"/>
    <col min="15358" max="15359" width="9.88671875" style="19" customWidth="1"/>
    <col min="15360" max="15360" width="11.109375" style="19" customWidth="1"/>
    <col min="15361" max="15361" width="2.88671875" style="19" customWidth="1"/>
    <col min="15362" max="15362" width="3.5546875" style="19" customWidth="1"/>
    <col min="15363" max="15607" width="9.109375" style="19"/>
    <col min="15608" max="15608" width="8.6640625" style="19" customWidth="1"/>
    <col min="15609" max="15609" width="9.88671875" style="19" customWidth="1"/>
    <col min="15610" max="15610" width="14.44140625" style="19" customWidth="1"/>
    <col min="15611" max="15611" width="7.33203125" style="19" customWidth="1"/>
    <col min="15612" max="15612" width="5.5546875" style="19" customWidth="1"/>
    <col min="15613" max="15613" width="9" style="19" customWidth="1"/>
    <col min="15614" max="15615" width="9.88671875" style="19" customWidth="1"/>
    <col min="15616" max="15616" width="11.109375" style="19" customWidth="1"/>
    <col min="15617" max="15617" width="2.88671875" style="19" customWidth="1"/>
    <col min="15618" max="15618" width="3.5546875" style="19" customWidth="1"/>
    <col min="15619" max="15863" width="9.109375" style="19"/>
    <col min="15864" max="15864" width="8.6640625" style="19" customWidth="1"/>
    <col min="15865" max="15865" width="9.88671875" style="19" customWidth="1"/>
    <col min="15866" max="15866" width="14.44140625" style="19" customWidth="1"/>
    <col min="15867" max="15867" width="7.33203125" style="19" customWidth="1"/>
    <col min="15868" max="15868" width="5.5546875" style="19" customWidth="1"/>
    <col min="15869" max="15869" width="9" style="19" customWidth="1"/>
    <col min="15870" max="15871" width="9.88671875" style="19" customWidth="1"/>
    <col min="15872" max="15872" width="11.109375" style="19" customWidth="1"/>
    <col min="15873" max="15873" width="2.88671875" style="19" customWidth="1"/>
    <col min="15874" max="15874" width="3.5546875" style="19" customWidth="1"/>
    <col min="15875" max="16119" width="9.109375" style="19"/>
    <col min="16120" max="16120" width="8.6640625" style="19" customWidth="1"/>
    <col min="16121" max="16121" width="9.88671875" style="19" customWidth="1"/>
    <col min="16122" max="16122" width="14.44140625" style="19" customWidth="1"/>
    <col min="16123" max="16123" width="7.33203125" style="19" customWidth="1"/>
    <col min="16124" max="16124" width="5.5546875" style="19" customWidth="1"/>
    <col min="16125" max="16125" width="9" style="19" customWidth="1"/>
    <col min="16126" max="16127" width="9.88671875" style="19" customWidth="1"/>
    <col min="16128" max="16128" width="11.109375" style="19" customWidth="1"/>
    <col min="16129" max="16129" width="2.88671875" style="19" customWidth="1"/>
    <col min="16130" max="16130" width="3.5546875" style="19" customWidth="1"/>
    <col min="16131" max="16384" width="9.109375" style="19"/>
  </cols>
  <sheetData>
    <row r="1" spans="1:8" ht="46.5" customHeight="1" x14ac:dyDescent="0.3">
      <c r="A1" s="133" t="s">
        <v>169</v>
      </c>
      <c r="B1" s="133"/>
      <c r="C1" s="133"/>
      <c r="D1" s="133"/>
      <c r="E1" s="133"/>
      <c r="F1" s="133"/>
      <c r="G1" s="133"/>
      <c r="H1" s="133"/>
    </row>
    <row r="2" spans="1:8" ht="16.5" customHeight="1" x14ac:dyDescent="0.3">
      <c r="A2" s="128" t="s">
        <v>0</v>
      </c>
      <c r="B2" s="128"/>
      <c r="C2" s="128"/>
      <c r="D2" s="128"/>
      <c r="E2" s="128"/>
      <c r="F2" s="128"/>
      <c r="G2" s="128"/>
      <c r="H2" s="128"/>
    </row>
    <row r="3" spans="1:8" x14ac:dyDescent="0.3">
      <c r="A3" s="106" t="s">
        <v>1</v>
      </c>
      <c r="B3" s="106"/>
      <c r="C3" s="106"/>
      <c r="D3" s="106"/>
      <c r="E3" s="106" t="str">
        <f ca="1">TEXT(TODAY(),"DD/MM/YYYY")</f>
        <v>19/08/2025</v>
      </c>
      <c r="F3" s="106"/>
      <c r="G3" s="106"/>
      <c r="H3" s="106"/>
    </row>
    <row r="4" spans="1:8" ht="15" customHeight="1" x14ac:dyDescent="0.3">
      <c r="A4" s="106" t="s">
        <v>2</v>
      </c>
      <c r="B4" s="106"/>
      <c r="C4" s="106"/>
      <c r="D4" s="106"/>
      <c r="E4" s="106" t="s">
        <v>173</v>
      </c>
      <c r="F4" s="106"/>
      <c r="G4" s="106"/>
      <c r="H4" s="106"/>
    </row>
    <row r="5" spans="1:8" x14ac:dyDescent="0.3">
      <c r="A5" s="106" t="s">
        <v>3</v>
      </c>
      <c r="B5" s="106"/>
      <c r="C5" s="106"/>
      <c r="D5" s="106"/>
      <c r="E5" s="135">
        <v>45887</v>
      </c>
      <c r="F5" s="106"/>
      <c r="G5" s="106"/>
      <c r="H5" s="106"/>
    </row>
    <row r="6" spans="1:8" ht="16.5" customHeight="1" x14ac:dyDescent="0.3">
      <c r="A6" s="106" t="s">
        <v>4</v>
      </c>
      <c r="B6" s="106"/>
      <c r="C6" s="106"/>
      <c r="D6" s="106"/>
      <c r="E6" s="106" t="s">
        <v>235</v>
      </c>
      <c r="F6" s="106"/>
      <c r="G6" s="106"/>
      <c r="H6" s="106"/>
    </row>
    <row r="7" spans="1:8" ht="15" customHeight="1" x14ac:dyDescent="0.3">
      <c r="A7" s="106" t="s">
        <v>5</v>
      </c>
      <c r="B7" s="106"/>
      <c r="C7" s="106"/>
      <c r="D7" s="106"/>
      <c r="E7" s="106" t="str">
        <f>E6</f>
        <v>Param Anand Builders LLP</v>
      </c>
      <c r="F7" s="106"/>
      <c r="G7" s="106"/>
      <c r="H7" s="106"/>
    </row>
    <row r="8" spans="1:8" x14ac:dyDescent="0.3">
      <c r="A8" s="106" t="s">
        <v>6</v>
      </c>
      <c r="B8" s="106"/>
      <c r="C8" s="106"/>
      <c r="D8" s="106"/>
      <c r="E8" s="134" t="s">
        <v>174</v>
      </c>
      <c r="F8" s="134"/>
      <c r="G8" s="134"/>
      <c r="H8" s="134"/>
    </row>
    <row r="9" spans="1:8" x14ac:dyDescent="0.3">
      <c r="A9" s="106" t="s">
        <v>171</v>
      </c>
      <c r="B9" s="106"/>
      <c r="C9" s="106"/>
      <c r="D9" s="106"/>
      <c r="E9" s="106" t="s">
        <v>175</v>
      </c>
      <c r="F9" s="106"/>
      <c r="G9" s="106"/>
      <c r="H9" s="106"/>
    </row>
    <row r="10" spans="1:8" ht="32.25" customHeight="1" x14ac:dyDescent="0.3">
      <c r="A10" s="106" t="s">
        <v>172</v>
      </c>
      <c r="B10" s="106"/>
      <c r="C10" s="106"/>
      <c r="D10" s="106"/>
      <c r="E10" s="112" t="s">
        <v>230</v>
      </c>
      <c r="F10" s="106"/>
      <c r="G10" s="106"/>
      <c r="H10" s="106"/>
    </row>
    <row r="11" spans="1:8" x14ac:dyDescent="0.3">
      <c r="A11" s="106" t="s">
        <v>7</v>
      </c>
      <c r="B11" s="106"/>
      <c r="C11" s="106"/>
      <c r="D11" s="106"/>
      <c r="E11" s="106" t="s">
        <v>185</v>
      </c>
      <c r="F11" s="106"/>
      <c r="G11" s="106"/>
      <c r="H11" s="106"/>
    </row>
    <row r="12" spans="1:8" s="21" customFormat="1" x14ac:dyDescent="0.3">
      <c r="A12" s="106" t="s">
        <v>8</v>
      </c>
      <c r="B12" s="106"/>
      <c r="C12" s="106"/>
      <c r="D12" s="106"/>
      <c r="E12" s="112" t="s">
        <v>221</v>
      </c>
      <c r="F12" s="112"/>
      <c r="G12" s="112"/>
      <c r="H12" s="112"/>
    </row>
    <row r="13" spans="1:8" x14ac:dyDescent="0.3">
      <c r="A13" s="82" t="s">
        <v>9</v>
      </c>
      <c r="B13" s="82"/>
      <c r="C13" s="82"/>
      <c r="D13" s="82"/>
      <c r="E13" s="112" t="s">
        <v>176</v>
      </c>
      <c r="F13" s="106"/>
      <c r="G13" s="106"/>
      <c r="H13" s="106"/>
    </row>
    <row r="14" spans="1:8" ht="33.75" customHeight="1" x14ac:dyDescent="0.3">
      <c r="A14" s="112" t="s">
        <v>10</v>
      </c>
      <c r="B14" s="112"/>
      <c r="C14" s="112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Agarwal Florence, CTS No.905, 905/1 to 15, near Sunrise Tower, S.V.Road, Piramal Nagar, Pahadi Goregaon, Goregaon (West), Andheri, Mumbai - 400062.</v>
      </c>
      <c r="D14" s="112"/>
      <c r="E14" s="112"/>
      <c r="F14" s="112"/>
      <c r="G14" s="112"/>
      <c r="H14" s="112"/>
    </row>
    <row r="15" spans="1:8" x14ac:dyDescent="0.3">
      <c r="A15" s="112" t="s">
        <v>186</v>
      </c>
      <c r="B15" s="112"/>
      <c r="C15" s="112" t="s">
        <v>187</v>
      </c>
      <c r="D15" s="112"/>
      <c r="E15" s="112"/>
      <c r="F15" s="112"/>
      <c r="G15" s="112"/>
      <c r="H15" s="112"/>
    </row>
    <row r="16" spans="1:8" ht="15.75" customHeight="1" x14ac:dyDescent="0.3">
      <c r="A16" s="112" t="s">
        <v>167</v>
      </c>
      <c r="B16" s="112"/>
      <c r="C16" s="112" t="s">
        <v>193</v>
      </c>
      <c r="D16" s="112"/>
      <c r="E16" s="112"/>
      <c r="F16" s="112"/>
      <c r="G16" s="112"/>
      <c r="H16" s="112"/>
    </row>
    <row r="17" spans="1:8" ht="15.75" customHeight="1" x14ac:dyDescent="0.3">
      <c r="A17" s="111" t="s">
        <v>11</v>
      </c>
      <c r="B17" s="111"/>
      <c r="C17" s="106" t="s">
        <v>188</v>
      </c>
      <c r="D17" s="106"/>
      <c r="E17" s="111" t="s">
        <v>75</v>
      </c>
      <c r="F17" s="111"/>
      <c r="G17" s="112" t="s">
        <v>192</v>
      </c>
      <c r="H17" s="112"/>
    </row>
    <row r="18" spans="1:8" x14ac:dyDescent="0.3">
      <c r="A18" s="82" t="s">
        <v>13</v>
      </c>
      <c r="B18" s="82"/>
      <c r="C18" s="112" t="s">
        <v>189</v>
      </c>
      <c r="D18" s="112"/>
      <c r="E18" s="111" t="s">
        <v>12</v>
      </c>
      <c r="F18" s="111"/>
      <c r="G18" s="136" t="s">
        <v>191</v>
      </c>
      <c r="H18" s="136"/>
    </row>
    <row r="19" spans="1:8" x14ac:dyDescent="0.3">
      <c r="A19" s="82" t="s">
        <v>76</v>
      </c>
      <c r="B19" s="82"/>
      <c r="C19" s="112" t="s">
        <v>190</v>
      </c>
      <c r="D19" s="112"/>
      <c r="E19" s="111" t="s">
        <v>14</v>
      </c>
      <c r="F19" s="111"/>
      <c r="G19" s="112">
        <v>400062</v>
      </c>
      <c r="H19" s="112"/>
    </row>
    <row r="20" spans="1:8" ht="48.75" customHeight="1" x14ac:dyDescent="0.3">
      <c r="A20" s="82" t="s">
        <v>125</v>
      </c>
      <c r="B20" s="82"/>
      <c r="C20" s="112" t="s">
        <v>181</v>
      </c>
      <c r="D20" s="112"/>
      <c r="E20" s="111" t="s">
        <v>15</v>
      </c>
      <c r="F20" s="111"/>
      <c r="G20" s="112" t="s">
        <v>194</v>
      </c>
      <c r="H20" s="112"/>
    </row>
    <row r="21" spans="1:8" ht="15" customHeight="1" x14ac:dyDescent="0.3">
      <c r="A21" s="111" t="s">
        <v>78</v>
      </c>
      <c r="B21" s="111"/>
      <c r="C21" s="111"/>
      <c r="D21" s="111"/>
      <c r="E21" s="106" t="s">
        <v>16</v>
      </c>
      <c r="F21" s="106"/>
      <c r="G21" s="106"/>
      <c r="H21" s="106"/>
    </row>
    <row r="22" spans="1:8" ht="18.75" customHeight="1" x14ac:dyDescent="0.3">
      <c r="A22" s="111"/>
      <c r="B22" s="111"/>
      <c r="C22" s="111"/>
      <c r="D22" s="111"/>
      <c r="E22" s="106"/>
      <c r="F22" s="106"/>
      <c r="G22" s="106"/>
      <c r="H22" s="106"/>
    </row>
    <row r="23" spans="1:8" ht="15" customHeight="1" x14ac:dyDescent="0.3">
      <c r="A23" s="111" t="s">
        <v>17</v>
      </c>
      <c r="B23" s="111"/>
      <c r="C23" s="111"/>
      <c r="D23" s="111"/>
      <c r="E23" s="112" t="s">
        <v>18</v>
      </c>
      <c r="F23" s="112"/>
      <c r="G23" s="112"/>
      <c r="H23" s="112"/>
    </row>
    <row r="24" spans="1:8" ht="15" customHeight="1" x14ac:dyDescent="0.3">
      <c r="A24" s="82" t="s">
        <v>19</v>
      </c>
      <c r="B24" s="82"/>
      <c r="C24" s="82"/>
      <c r="D24" s="82"/>
      <c r="E24" s="112" t="str">
        <f>IF(AND(G18="Mumbai"),"Upper Class","Middle Class")</f>
        <v>Upper Class</v>
      </c>
      <c r="F24" s="112"/>
      <c r="G24" s="112"/>
      <c r="H24" s="112"/>
    </row>
    <row r="25" spans="1:8" x14ac:dyDescent="0.3">
      <c r="A25" s="82" t="s">
        <v>20</v>
      </c>
      <c r="B25" s="82"/>
      <c r="C25" s="82"/>
      <c r="D25" s="82"/>
      <c r="E25" s="112" t="s">
        <v>21</v>
      </c>
      <c r="F25" s="112"/>
      <c r="G25" s="112"/>
      <c r="H25" s="112"/>
    </row>
    <row r="26" spans="1:8" ht="15.75" customHeight="1" x14ac:dyDescent="0.3">
      <c r="A26" s="82" t="s">
        <v>22</v>
      </c>
      <c r="B26" s="82"/>
      <c r="C26" s="82"/>
      <c r="D26" s="82"/>
      <c r="E26" s="112" t="str">
        <f>IF(AND(G18="Mumbai"),"Developed","Developing")</f>
        <v>Developed</v>
      </c>
      <c r="F26" s="112"/>
      <c r="G26" s="112"/>
      <c r="H26" s="112"/>
    </row>
    <row r="27" spans="1:8" x14ac:dyDescent="0.3">
      <c r="A27" s="82" t="s">
        <v>23</v>
      </c>
      <c r="B27" s="82"/>
      <c r="C27" s="82"/>
      <c r="D27" s="82"/>
      <c r="E27" s="112" t="s">
        <v>24</v>
      </c>
      <c r="F27" s="112"/>
      <c r="G27" s="112"/>
      <c r="H27" s="112"/>
    </row>
    <row r="28" spans="1:8" ht="15.75" customHeight="1" x14ac:dyDescent="0.3">
      <c r="A28" s="82" t="s">
        <v>83</v>
      </c>
      <c r="B28" s="82"/>
      <c r="C28" s="82"/>
      <c r="D28" s="82"/>
      <c r="E28" s="112" t="s">
        <v>84</v>
      </c>
      <c r="F28" s="112"/>
      <c r="G28" s="112"/>
      <c r="H28" s="112"/>
    </row>
    <row r="29" spans="1:8" ht="15" customHeight="1" x14ac:dyDescent="0.3">
      <c r="A29" s="82" t="s">
        <v>33</v>
      </c>
      <c r="B29" s="82"/>
      <c r="C29" s="82"/>
      <c r="D29" s="82"/>
      <c r="E29" s="112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</v>
      </c>
      <c r="F29" s="112"/>
      <c r="G29" s="112"/>
      <c r="H29" s="112"/>
    </row>
    <row r="30" spans="1:8" ht="15.75" customHeight="1" x14ac:dyDescent="0.3">
      <c r="A30" s="82" t="s">
        <v>95</v>
      </c>
      <c r="B30" s="82"/>
      <c r="C30" s="82"/>
      <c r="D30" s="82"/>
      <c r="E30" s="112" t="s">
        <v>34</v>
      </c>
      <c r="F30" s="112"/>
      <c r="G30" s="112"/>
      <c r="H30" s="112"/>
    </row>
    <row r="31" spans="1:8" s="20" customFormat="1" x14ac:dyDescent="0.3">
      <c r="A31" s="140" t="s">
        <v>96</v>
      </c>
      <c r="B31" s="140"/>
      <c r="C31" s="139" t="s">
        <v>29</v>
      </c>
      <c r="D31" s="139"/>
      <c r="E31" s="139"/>
      <c r="F31" s="139" t="s">
        <v>31</v>
      </c>
      <c r="G31" s="139"/>
      <c r="H31" s="139"/>
    </row>
    <row r="32" spans="1:8" s="20" customFormat="1" x14ac:dyDescent="0.3">
      <c r="A32" s="137" t="s">
        <v>25</v>
      </c>
      <c r="B32" s="137" t="s">
        <v>30</v>
      </c>
      <c r="C32" s="138" t="s">
        <v>30</v>
      </c>
      <c r="D32" s="138"/>
      <c r="E32" s="138"/>
      <c r="F32" s="138" t="s">
        <v>181</v>
      </c>
      <c r="G32" s="138"/>
      <c r="H32" s="138"/>
    </row>
    <row r="33" spans="1:8" x14ac:dyDescent="0.3">
      <c r="A33" s="137" t="s">
        <v>26</v>
      </c>
      <c r="B33" s="137" t="s">
        <v>30</v>
      </c>
      <c r="C33" s="138" t="s">
        <v>30</v>
      </c>
      <c r="D33" s="138"/>
      <c r="E33" s="138"/>
      <c r="F33" s="138" t="s">
        <v>182</v>
      </c>
      <c r="G33" s="138"/>
      <c r="H33" s="138"/>
    </row>
    <row r="34" spans="1:8" s="20" customFormat="1" x14ac:dyDescent="0.3">
      <c r="A34" s="137" t="s">
        <v>28</v>
      </c>
      <c r="B34" s="137" t="s">
        <v>30</v>
      </c>
      <c r="C34" s="138" t="s">
        <v>30</v>
      </c>
      <c r="D34" s="138"/>
      <c r="E34" s="138"/>
      <c r="F34" s="138" t="s">
        <v>183</v>
      </c>
      <c r="G34" s="138"/>
      <c r="H34" s="138"/>
    </row>
    <row r="35" spans="1:8" x14ac:dyDescent="0.3">
      <c r="A35" s="137" t="s">
        <v>27</v>
      </c>
      <c r="B35" s="137" t="s">
        <v>30</v>
      </c>
      <c r="C35" s="138" t="s">
        <v>30</v>
      </c>
      <c r="D35" s="138"/>
      <c r="E35" s="138"/>
      <c r="F35" s="138" t="s">
        <v>184</v>
      </c>
      <c r="G35" s="138"/>
      <c r="H35" s="138"/>
    </row>
    <row r="36" spans="1:8" x14ac:dyDescent="0.3">
      <c r="A36" s="82" t="s">
        <v>32</v>
      </c>
      <c r="B36" s="82"/>
      <c r="C36" s="82"/>
      <c r="D36" s="82"/>
      <c r="E36" s="82"/>
      <c r="F36" s="82"/>
      <c r="G36" s="82"/>
      <c r="H36" s="82"/>
    </row>
    <row r="37" spans="1:8" ht="15.75" customHeight="1" x14ac:dyDescent="0.3">
      <c r="A37" s="82" t="s">
        <v>170</v>
      </c>
      <c r="B37" s="82"/>
      <c r="C37" s="118" t="s">
        <v>180</v>
      </c>
      <c r="D37" s="118"/>
      <c r="E37" s="118"/>
      <c r="F37" s="118"/>
      <c r="G37" s="118"/>
      <c r="H37" s="118"/>
    </row>
    <row r="38" spans="1:8" x14ac:dyDescent="0.3">
      <c r="A38" s="82" t="s">
        <v>166</v>
      </c>
      <c r="B38" s="82"/>
      <c r="C38" s="176" t="s">
        <v>179</v>
      </c>
      <c r="D38" s="112"/>
      <c r="E38" s="112"/>
      <c r="F38" s="112"/>
      <c r="G38" s="112"/>
      <c r="H38" s="112"/>
    </row>
    <row r="39" spans="1:8" x14ac:dyDescent="0.3">
      <c r="A39" s="118" t="s">
        <v>35</v>
      </c>
      <c r="B39" s="118"/>
      <c r="C39" s="118"/>
      <c r="D39" s="118"/>
      <c r="E39" s="118"/>
      <c r="F39" s="118"/>
      <c r="G39" s="118"/>
      <c r="H39" s="118"/>
    </row>
    <row r="40" spans="1:8" x14ac:dyDescent="0.3">
      <c r="A40" s="82" t="s">
        <v>36</v>
      </c>
      <c r="B40" s="82"/>
      <c r="C40" s="82"/>
      <c r="D40" s="82"/>
      <c r="E40" s="142">
        <v>3943.73</v>
      </c>
      <c r="F40" s="142"/>
      <c r="G40" s="142"/>
      <c r="H40" s="142"/>
    </row>
    <row r="41" spans="1:8" x14ac:dyDescent="0.3">
      <c r="A41" s="82" t="s">
        <v>37</v>
      </c>
      <c r="B41" s="82"/>
      <c r="C41" s="82"/>
      <c r="D41" s="82"/>
      <c r="E41" s="141">
        <v>1</v>
      </c>
      <c r="F41" s="141"/>
      <c r="G41" s="141"/>
      <c r="H41" s="141"/>
    </row>
    <row r="42" spans="1:8" x14ac:dyDescent="0.3">
      <c r="A42" s="82" t="s">
        <v>38</v>
      </c>
      <c r="B42" s="82"/>
      <c r="C42" s="82"/>
      <c r="D42" s="82"/>
      <c r="E42" s="141">
        <f>E44/E40-E41</f>
        <v>0.75932429451306249</v>
      </c>
      <c r="F42" s="141"/>
      <c r="G42" s="141"/>
      <c r="H42" s="141"/>
    </row>
    <row r="43" spans="1:8" x14ac:dyDescent="0.3">
      <c r="A43" s="82" t="s">
        <v>39</v>
      </c>
      <c r="B43" s="82"/>
      <c r="C43" s="82"/>
      <c r="D43" s="82"/>
      <c r="E43" s="141">
        <f>E41+E42</f>
        <v>1.7593242945130625</v>
      </c>
      <c r="F43" s="141"/>
      <c r="G43" s="141"/>
      <c r="H43" s="141"/>
    </row>
    <row r="44" spans="1:8" x14ac:dyDescent="0.3">
      <c r="A44" s="82" t="s">
        <v>94</v>
      </c>
      <c r="B44" s="82"/>
      <c r="C44" s="82"/>
      <c r="D44" s="82"/>
      <c r="E44" s="144">
        <v>6938.3</v>
      </c>
      <c r="F44" s="144"/>
      <c r="G44" s="144"/>
      <c r="H44" s="144"/>
    </row>
    <row r="45" spans="1:8" x14ac:dyDescent="0.3">
      <c r="A45" s="106" t="s">
        <v>40</v>
      </c>
      <c r="B45" s="106"/>
      <c r="C45" s="106"/>
      <c r="D45" s="106"/>
      <c r="E45" s="106" t="s">
        <v>195</v>
      </c>
      <c r="F45" s="106"/>
      <c r="G45" s="106"/>
      <c r="H45" s="106"/>
    </row>
    <row r="46" spans="1:8" x14ac:dyDescent="0.3">
      <c r="A46" s="118" t="s">
        <v>41</v>
      </c>
      <c r="B46" s="118"/>
      <c r="C46" s="118"/>
      <c r="D46" s="118"/>
      <c r="E46" s="118"/>
      <c r="F46" s="118"/>
      <c r="G46" s="118"/>
      <c r="H46" s="118"/>
    </row>
    <row r="47" spans="1:8" ht="33.75" customHeight="1" x14ac:dyDescent="0.3">
      <c r="A47" s="96" t="s">
        <v>154</v>
      </c>
      <c r="B47" s="98"/>
      <c r="C47" s="177" t="s">
        <v>178</v>
      </c>
      <c r="D47" s="178"/>
      <c r="E47" s="178"/>
      <c r="F47" s="178"/>
      <c r="G47" s="178"/>
      <c r="H47" s="179"/>
    </row>
    <row r="48" spans="1:8" ht="15.75" customHeight="1" x14ac:dyDescent="0.3">
      <c r="A48" s="96" t="s">
        <v>42</v>
      </c>
      <c r="B48" s="98"/>
      <c r="C48" s="96" t="s">
        <v>196</v>
      </c>
      <c r="D48" s="97"/>
      <c r="E48" s="98"/>
      <c r="F48" s="18" t="s">
        <v>43</v>
      </c>
      <c r="G48" s="99">
        <v>45016</v>
      </c>
      <c r="H48" s="100"/>
    </row>
    <row r="49" spans="1:14" x14ac:dyDescent="0.3">
      <c r="A49" s="96" t="s">
        <v>44</v>
      </c>
      <c r="B49" s="98"/>
      <c r="C49" s="96" t="str">
        <f>C48</f>
        <v>CHE/WS-II/0476/P/337 (NEW)</v>
      </c>
      <c r="D49" s="97"/>
      <c r="E49" s="98"/>
      <c r="F49" s="18" t="s">
        <v>43</v>
      </c>
      <c r="G49" s="99">
        <f>G48</f>
        <v>45016</v>
      </c>
      <c r="H49" s="100"/>
    </row>
    <row r="50" spans="1:14" s="21" customFormat="1" ht="32.1" customHeight="1" x14ac:dyDescent="0.3">
      <c r="A50" s="147" t="s">
        <v>158</v>
      </c>
      <c r="B50" s="148"/>
      <c r="C50" s="96" t="s">
        <v>232</v>
      </c>
      <c r="D50" s="97"/>
      <c r="E50" s="98"/>
      <c r="F50" s="18" t="s">
        <v>43</v>
      </c>
      <c r="G50" s="99">
        <v>45562</v>
      </c>
      <c r="H50" s="100"/>
    </row>
    <row r="51" spans="1:14" s="21" customFormat="1" ht="173.25" customHeight="1" x14ac:dyDescent="0.3">
      <c r="A51" s="149"/>
      <c r="B51" s="150"/>
      <c r="C51" s="96" t="s">
        <v>231</v>
      </c>
      <c r="D51" s="97"/>
      <c r="E51" s="98"/>
      <c r="F51" s="18" t="s">
        <v>124</v>
      </c>
      <c r="G51" s="99">
        <v>45618</v>
      </c>
      <c r="H51" s="100"/>
    </row>
    <row r="52" spans="1:14" ht="33" customHeight="1" x14ac:dyDescent="0.3">
      <c r="A52" s="107" t="s">
        <v>45</v>
      </c>
      <c r="B52" s="108"/>
      <c r="C52" s="107" t="s">
        <v>108</v>
      </c>
      <c r="D52" s="109"/>
      <c r="E52" s="108"/>
      <c r="F52" s="42" t="s">
        <v>43</v>
      </c>
      <c r="G52" s="113" t="s">
        <v>30</v>
      </c>
      <c r="H52" s="114"/>
    </row>
    <row r="53" spans="1:14" x14ac:dyDescent="0.3">
      <c r="A53" s="110" t="s">
        <v>47</v>
      </c>
      <c r="B53" s="110"/>
      <c r="C53" s="110"/>
      <c r="D53" s="110"/>
      <c r="E53" s="110"/>
      <c r="F53" s="110"/>
      <c r="G53" s="110"/>
      <c r="H53" s="110"/>
    </row>
    <row r="54" spans="1:14" x14ac:dyDescent="0.3">
      <c r="A54" s="111" t="s">
        <v>93</v>
      </c>
      <c r="B54" s="111"/>
      <c r="C54" s="111"/>
      <c r="D54" s="82">
        <f>E44</f>
        <v>6938.3</v>
      </c>
      <c r="E54" s="82"/>
      <c r="F54" s="82"/>
      <c r="G54" s="82"/>
      <c r="H54" s="82"/>
    </row>
    <row r="55" spans="1:14" x14ac:dyDescent="0.3">
      <c r="A55" s="112" t="s">
        <v>48</v>
      </c>
      <c r="B55" s="106"/>
      <c r="C55" s="106"/>
      <c r="D55" s="106" t="s">
        <v>224</v>
      </c>
      <c r="E55" s="106"/>
      <c r="F55" s="106"/>
      <c r="G55" s="106"/>
      <c r="H55" s="106"/>
      <c r="I55" s="22"/>
    </row>
    <row r="56" spans="1:14" x14ac:dyDescent="0.3">
      <c r="A56" s="104" t="s">
        <v>49</v>
      </c>
      <c r="B56" s="105"/>
      <c r="C56" s="146"/>
      <c r="D56" s="130" t="s">
        <v>197</v>
      </c>
      <c r="E56" s="145"/>
      <c r="F56" s="145"/>
      <c r="G56" s="145"/>
      <c r="H56" s="145"/>
    </row>
    <row r="57" spans="1:14" ht="15.75" customHeight="1" x14ac:dyDescent="0.3">
      <c r="A57" s="104" t="s">
        <v>91</v>
      </c>
      <c r="B57" s="105"/>
      <c r="C57" s="105"/>
      <c r="D57" s="106" t="s">
        <v>216</v>
      </c>
      <c r="E57" s="106"/>
      <c r="F57" s="106"/>
      <c r="G57" s="106"/>
      <c r="H57" s="106"/>
    </row>
    <row r="58" spans="1:14" ht="15.75" customHeight="1" x14ac:dyDescent="0.3">
      <c r="A58" s="82" t="s">
        <v>46</v>
      </c>
      <c r="B58" s="82"/>
      <c r="C58" s="82"/>
      <c r="D58" s="143" t="s">
        <v>177</v>
      </c>
      <c r="E58" s="143"/>
      <c r="F58" s="143"/>
      <c r="G58" s="143"/>
      <c r="H58" s="143"/>
      <c r="J58" s="23"/>
      <c r="K58" s="22"/>
      <c r="N58" s="22"/>
    </row>
    <row r="59" spans="1:14" ht="15.75" customHeight="1" x14ac:dyDescent="0.3">
      <c r="A59" s="82" t="s">
        <v>89</v>
      </c>
      <c r="B59" s="82"/>
      <c r="C59" s="82"/>
      <c r="D59" s="164" t="str">
        <f>(IF(G52="NA","60 Years After Completion",IF(G52&lt;&gt;"NA",""&amp;60-ROUNDDOWN((E3-G52)/360,0)&amp;" Years"," ")))</f>
        <v>60 Years After Completion</v>
      </c>
      <c r="E59" s="164"/>
      <c r="F59" s="164"/>
      <c r="G59" s="164"/>
      <c r="H59" s="164"/>
      <c r="N59" s="22"/>
    </row>
    <row r="60" spans="1:14" ht="15.75" customHeight="1" x14ac:dyDescent="0.3">
      <c r="A60" s="82" t="s">
        <v>90</v>
      </c>
      <c r="B60" s="82"/>
      <c r="C60" s="82"/>
      <c r="D60" s="111" t="s">
        <v>24</v>
      </c>
      <c r="E60" s="111"/>
      <c r="F60" s="111"/>
      <c r="G60" s="111"/>
      <c r="H60" s="111"/>
      <c r="J60" s="24"/>
      <c r="K60" s="24"/>
    </row>
    <row r="61" spans="1:14" ht="31.5" customHeight="1" x14ac:dyDescent="0.3">
      <c r="A61" s="82" t="s">
        <v>77</v>
      </c>
      <c r="B61" s="82"/>
      <c r="C61" s="82"/>
      <c r="D61" s="112" t="s">
        <v>219</v>
      </c>
      <c r="E61" s="111"/>
      <c r="F61" s="111"/>
      <c r="G61" s="111"/>
      <c r="H61" s="111"/>
    </row>
    <row r="62" spans="1:14" x14ac:dyDescent="0.3">
      <c r="A62" s="111" t="s">
        <v>151</v>
      </c>
      <c r="B62" s="111"/>
      <c r="C62" s="111"/>
      <c r="D62" s="111" t="s">
        <v>30</v>
      </c>
      <c r="E62" s="111"/>
      <c r="F62" s="111"/>
      <c r="G62" s="111"/>
      <c r="H62" s="111"/>
      <c r="I62" s="25"/>
      <c r="J62" s="25"/>
      <c r="K62" s="25"/>
      <c r="L62" s="25"/>
      <c r="M62" s="25"/>
      <c r="N62" s="25"/>
    </row>
    <row r="63" spans="1:14" ht="15.75" customHeight="1" x14ac:dyDescent="0.3">
      <c r="A63" s="131" t="s">
        <v>88</v>
      </c>
      <c r="B63" s="131"/>
      <c r="C63" s="131"/>
      <c r="D63" s="130" t="str">
        <f ca="1">(IF(G69&gt;95%,"Nothing",IF(G69&gt;0%,"Cement, Aggregate, Steel, etc",IF(G69=0%,"Work not yet Started"))))</f>
        <v>Cement, Aggregate, Steel, etc</v>
      </c>
      <c r="E63" s="130"/>
      <c r="F63" s="130"/>
      <c r="G63" s="130"/>
      <c r="H63" s="130"/>
      <c r="J63" s="24"/>
    </row>
    <row r="64" spans="1:14" ht="33.75" customHeight="1" thickBot="1" x14ac:dyDescent="0.35">
      <c r="A64" s="129" t="s">
        <v>121</v>
      </c>
      <c r="B64" s="129"/>
      <c r="C64" s="129"/>
      <c r="D64" s="130" t="str">
        <f ca="1">(IF(D63="Nothing","Yes",IF(D63="Cement, Aggregate, Steel, etc","Under Construction",IF(D63="Work not yet Started","Work not yet Started"))))</f>
        <v>Under Construction</v>
      </c>
      <c r="E64" s="130"/>
      <c r="F64" s="130" t="str">
        <f ca="1">(IF(D63="Nothing","Yes",IF(D63="Cement, Aggregate, Steel, etc","Under Construction",IF(D63="Work not yet Started","Work not yet Started"))))</f>
        <v>Under Construction</v>
      </c>
      <c r="G64" s="130"/>
      <c r="H64" s="130"/>
    </row>
    <row r="65" spans="1:13" ht="15.75" customHeight="1" x14ac:dyDescent="0.3">
      <c r="A65" s="166" t="s">
        <v>143</v>
      </c>
      <c r="B65" s="167"/>
      <c r="C65" s="168" t="str">
        <f>D57</f>
        <v>Wing A &amp; B = Gr/Stilt + 1st to 19th Floor</v>
      </c>
      <c r="D65" s="169"/>
      <c r="E65" s="169"/>
      <c r="F65" s="169"/>
      <c r="G65" s="169"/>
      <c r="H65" s="170"/>
      <c r="I65" s="44" t="str">
        <f ca="1">IF(D78=100%,"All work Completed. Possession granted to the Building.",IF(D77=100%,"All work Completed, Waiting for OC",I66&amp;""&amp;I67&amp;""&amp;J66&amp;""&amp;J65&amp;" "&amp;J67))</f>
        <v>Excavation, Plinth, RCC Slab, Brickwork Completed, Internal Plaster upto 17 Floor, External Plaster upto 16 Floor, Flooring upto 11 Floor Completed</v>
      </c>
      <c r="J65" s="45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Internal Plaster upto 17 Floor, External Plaster upto 16 Floor, Flooring upto 11 Floor</v>
      </c>
    </row>
    <row r="66" spans="1:13" x14ac:dyDescent="0.3">
      <c r="A66" s="16" t="s">
        <v>145</v>
      </c>
      <c r="B66" s="48">
        <f>IF(AND(ISNUMBER(SEARCH("1B",C65))),1,IF(AND(ISNUMBER(SEARCH("2B",C65))),2,IF(AND(ISNUMBER(SEARCH("3B",C65))),3,IF(AND(ISNUMBER(SEARCH("4B",C65))),4,IF(ISNUMBER(SEARCH("5B",C65)),5,0)))))</f>
        <v>0</v>
      </c>
      <c r="C66" s="48" t="s">
        <v>74</v>
      </c>
      <c r="D66" s="48">
        <v>1</v>
      </c>
      <c r="E66" s="48" t="s">
        <v>73</v>
      </c>
      <c r="F66" s="48">
        <v>0</v>
      </c>
      <c r="G66" s="48" t="s">
        <v>82</v>
      </c>
      <c r="H66" s="17">
        <f ca="1">--TRIM(RIGHT(SUBSTITUTE(LEFT(C65,_xlfn.AGGREGATE(16,6,FIND({0,1,2,3,4,5,6,7,8,9},C65,ROW(INDIRECT("1:"&amp;LEN(C65)))),1))," ",REPT(" ",LEN(C65))),LEN(C65)))</f>
        <v>19</v>
      </c>
      <c r="I66" s="46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Slab, Brickwork</v>
      </c>
      <c r="J66" s="47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3" ht="33" customHeight="1" x14ac:dyDescent="0.3">
      <c r="A67" s="165" t="s">
        <v>92</v>
      </c>
      <c r="B67" s="134"/>
      <c r="C67" s="181" t="str">
        <f ca="1">I65</f>
        <v>Excavation, Plinth, RCC Slab, Brickwork Completed, Internal Plaster upto 17 Floor, External Plaster upto 16 Floor, Flooring upto 11 Floor Completed</v>
      </c>
      <c r="D67" s="181"/>
      <c r="E67" s="181"/>
      <c r="F67" s="181"/>
      <c r="G67" s="181"/>
      <c r="H67" s="182"/>
      <c r="I67" s="46" t="str">
        <f ca="1">IF(I66&lt;&gt;""," Completed","")</f>
        <v xml:space="preserve"> Completed</v>
      </c>
      <c r="J67" s="47" t="str">
        <f ca="1">IF(J65&lt;&gt;"","Completed","")</f>
        <v>Completed</v>
      </c>
    </row>
    <row r="68" spans="1:13" ht="15.75" customHeight="1" x14ac:dyDescent="0.3">
      <c r="A68" s="93" t="s">
        <v>50</v>
      </c>
      <c r="B68" s="94"/>
      <c r="C68" s="49" t="s">
        <v>142</v>
      </c>
      <c r="D68" s="49" t="s">
        <v>85</v>
      </c>
      <c r="E68" s="94" t="s">
        <v>87</v>
      </c>
      <c r="F68" s="94"/>
      <c r="G68" s="94" t="s">
        <v>86</v>
      </c>
      <c r="H68" s="132"/>
      <c r="I68" s="14" t="s">
        <v>144</v>
      </c>
      <c r="J68" s="26">
        <f ca="1">H66*25%</f>
        <v>4.75</v>
      </c>
    </row>
    <row r="69" spans="1:13" x14ac:dyDescent="0.3">
      <c r="A69" s="93" t="s">
        <v>131</v>
      </c>
      <c r="B69" s="94"/>
      <c r="C69" s="49">
        <f ca="1">J70</f>
        <v>19</v>
      </c>
      <c r="D69" s="50">
        <f ca="1">((100/H66)*C69)/100</f>
        <v>1</v>
      </c>
      <c r="E69" s="153">
        <f ca="1">(((C70/H66*10)+(40/(D66+F66+H66)*C71)+(7.5/(H66)*C72)+(7.5/(H66)*C73)+(10/H66*C74)+(10/H66*C75)+(5/H66*C76)+(5/H66*C77)+(5/H66*C78))/100)</f>
        <v>0.78421052631578947</v>
      </c>
      <c r="F69" s="154"/>
      <c r="G69" s="153">
        <f ca="1">((((C69/H66)*20)+((C70/H66)*25)+(30/(H66+F66+D66)*C71)+(5/H66*C72)+(5/H66*C73)+(5/H66*C74)+(5/H66*C75)+(0/H66*C76)+(0/H66*C77)+(5/H66*C78))/100)</f>
        <v>0.9157894736842106</v>
      </c>
      <c r="H69" s="159"/>
      <c r="I69" s="14" t="s">
        <v>103</v>
      </c>
      <c r="J69" s="27">
        <f ca="1">H66*50%</f>
        <v>9.5</v>
      </c>
    </row>
    <row r="70" spans="1:13" x14ac:dyDescent="0.3">
      <c r="A70" s="93" t="s">
        <v>51</v>
      </c>
      <c r="B70" s="94"/>
      <c r="C70" s="68">
        <f ca="1">J78</f>
        <v>19</v>
      </c>
      <c r="D70" s="50">
        <f ca="1">((100/H66)*C70)/100</f>
        <v>1</v>
      </c>
      <c r="E70" s="155"/>
      <c r="F70" s="156"/>
      <c r="G70" s="155"/>
      <c r="H70" s="160"/>
      <c r="I70" s="14" t="s">
        <v>104</v>
      </c>
      <c r="J70" s="27">
        <f ca="1">H66</f>
        <v>19</v>
      </c>
    </row>
    <row r="71" spans="1:13" ht="15.75" customHeight="1" x14ac:dyDescent="0.3">
      <c r="A71" s="93" t="s">
        <v>132</v>
      </c>
      <c r="B71" s="94"/>
      <c r="C71" s="49">
        <v>20</v>
      </c>
      <c r="D71" s="50">
        <f ca="1">((100/(D66+F66+H66))*C71)/100</f>
        <v>1</v>
      </c>
      <c r="E71" s="155"/>
      <c r="F71" s="156"/>
      <c r="G71" s="155"/>
      <c r="H71" s="160"/>
      <c r="I71" s="14" t="s">
        <v>105</v>
      </c>
      <c r="J71" s="28">
        <f ca="1">(IF(B66&gt;1,(H66/(B66+2)),H66/4))</f>
        <v>4.75</v>
      </c>
    </row>
    <row r="72" spans="1:13" ht="15.75" customHeight="1" x14ac:dyDescent="0.3">
      <c r="A72" s="93" t="s">
        <v>139</v>
      </c>
      <c r="B72" s="94" t="s">
        <v>133</v>
      </c>
      <c r="C72" s="49">
        <v>19</v>
      </c>
      <c r="D72" s="50">
        <f ca="1">((100/H66)*C72)/100</f>
        <v>1</v>
      </c>
      <c r="E72" s="155"/>
      <c r="F72" s="156"/>
      <c r="G72" s="155"/>
      <c r="H72" s="160"/>
      <c r="I72" s="14" t="s">
        <v>106</v>
      </c>
      <c r="J72" s="28">
        <f ca="1">(IF(B66&gt;1,(H66/(B66+2)+J71),H66/4+J71))</f>
        <v>9.5</v>
      </c>
    </row>
    <row r="73" spans="1:13" ht="15.75" customHeight="1" x14ac:dyDescent="0.3">
      <c r="A73" s="93" t="s">
        <v>140</v>
      </c>
      <c r="B73" s="94" t="s">
        <v>133</v>
      </c>
      <c r="C73" s="49">
        <v>17</v>
      </c>
      <c r="D73" s="50">
        <f ca="1">((100/H66)*C73)/100</f>
        <v>0.89473684210526327</v>
      </c>
      <c r="E73" s="155"/>
      <c r="F73" s="156"/>
      <c r="G73" s="155"/>
      <c r="H73" s="160"/>
      <c r="I73" s="14" t="s">
        <v>149</v>
      </c>
      <c r="J73" s="28">
        <f>(IF(B66&gt;1,(H66/(B66+2)+J72),0))</f>
        <v>0</v>
      </c>
    </row>
    <row r="74" spans="1:13" ht="15" customHeight="1" x14ac:dyDescent="0.3">
      <c r="A74" s="93" t="s">
        <v>138</v>
      </c>
      <c r="B74" s="94" t="s">
        <v>135</v>
      </c>
      <c r="C74" s="49">
        <v>16</v>
      </c>
      <c r="D74" s="50">
        <f ca="1">((100/(H66))*C74)/100</f>
        <v>0.8421052631578948</v>
      </c>
      <c r="E74" s="155"/>
      <c r="F74" s="156"/>
      <c r="G74" s="155"/>
      <c r="H74" s="160"/>
      <c r="I74" s="14" t="s">
        <v>146</v>
      </c>
      <c r="J74" s="28">
        <f>(IF(B66&gt;2,(H66/(B66+2)+J73),0))</f>
        <v>0</v>
      </c>
    </row>
    <row r="75" spans="1:13" ht="15.75" customHeight="1" x14ac:dyDescent="0.3">
      <c r="A75" s="93" t="s">
        <v>134</v>
      </c>
      <c r="B75" s="94" t="s">
        <v>134</v>
      </c>
      <c r="C75" s="49">
        <v>11</v>
      </c>
      <c r="D75" s="50">
        <f ca="1">((100/H66)*C75)/100</f>
        <v>0.57894736842105265</v>
      </c>
      <c r="E75" s="155"/>
      <c r="F75" s="156"/>
      <c r="G75" s="155"/>
      <c r="H75" s="160"/>
      <c r="I75" s="14" t="s">
        <v>147</v>
      </c>
      <c r="J75" s="29">
        <f>(IF(B66&gt;3,(H66/(B66+2)+J74),0))</f>
        <v>0</v>
      </c>
    </row>
    <row r="76" spans="1:13" ht="15.75" customHeight="1" x14ac:dyDescent="0.3">
      <c r="A76" s="93" t="s">
        <v>141</v>
      </c>
      <c r="B76" s="94"/>
      <c r="C76" s="49">
        <v>0</v>
      </c>
      <c r="D76" s="50">
        <f ca="1">((100/H66)*C76)/100</f>
        <v>0</v>
      </c>
      <c r="E76" s="155"/>
      <c r="F76" s="156"/>
      <c r="G76" s="155"/>
      <c r="H76" s="160"/>
      <c r="I76" s="14" t="s">
        <v>148</v>
      </c>
      <c r="J76" s="28">
        <f>(IF(B66&gt;4,(H66/(B66+2)+J75),0))</f>
        <v>0</v>
      </c>
    </row>
    <row r="77" spans="1:13" ht="15.75" customHeight="1" x14ac:dyDescent="0.3">
      <c r="A77" s="93" t="s">
        <v>136</v>
      </c>
      <c r="B77" s="94" t="s">
        <v>136</v>
      </c>
      <c r="C77" s="49">
        <v>0</v>
      </c>
      <c r="D77" s="50">
        <f ca="1">((100/(H66))*C77)/100</f>
        <v>0</v>
      </c>
      <c r="E77" s="155"/>
      <c r="F77" s="156"/>
      <c r="G77" s="155"/>
      <c r="H77" s="160"/>
      <c r="I77" s="14" t="s">
        <v>150</v>
      </c>
      <c r="J77" s="28">
        <f ca="1">(IF(B66=1,(H66/(B66+3)+J72),IF(B66=0,(H66/4+J72),IF(B66&gt;1,0))))</f>
        <v>14.25</v>
      </c>
    </row>
    <row r="78" spans="1:13" ht="16.2" thickBot="1" x14ac:dyDescent="0.35">
      <c r="A78" s="162" t="s">
        <v>137</v>
      </c>
      <c r="B78" s="163"/>
      <c r="C78" s="51">
        <v>0</v>
      </c>
      <c r="D78" s="52">
        <f ca="1">((100/(H66))*C78)/100</f>
        <v>0</v>
      </c>
      <c r="E78" s="157"/>
      <c r="F78" s="158"/>
      <c r="G78" s="157"/>
      <c r="H78" s="161"/>
      <c r="I78" s="15" t="s">
        <v>107</v>
      </c>
      <c r="J78" s="30">
        <f ca="1">(IF(B66&gt;1.5,(H66/(B66+2)+J72+MAX(0,J73-J72)+MAX(0,J74-J73)+MAX(0,J75-J74)+MAX(0,J76-J75)+MAX(0,J77-J76)),IF(B66=1,(H66/(B66+3)+J77),IF(B66=0,H66/4+J77))))</f>
        <v>19</v>
      </c>
    </row>
    <row r="79" spans="1:13" x14ac:dyDescent="0.3">
      <c r="A79" s="180" t="s">
        <v>159</v>
      </c>
      <c r="B79" s="180"/>
      <c r="C79" s="180"/>
      <c r="D79" s="180"/>
      <c r="E79" s="180"/>
      <c r="F79" s="172" t="s">
        <v>164</v>
      </c>
      <c r="G79" s="172"/>
      <c r="H79" s="172"/>
      <c r="I79" s="56"/>
      <c r="J79" s="63" t="s">
        <v>217</v>
      </c>
      <c r="K79" s="63" t="s">
        <v>218</v>
      </c>
      <c r="L79" s="63" t="s">
        <v>220</v>
      </c>
      <c r="M79" s="56"/>
    </row>
    <row r="80" spans="1:13" x14ac:dyDescent="0.3">
      <c r="A80" s="82" t="s">
        <v>162</v>
      </c>
      <c r="B80" s="82"/>
      <c r="C80" s="82"/>
      <c r="D80" s="82"/>
      <c r="E80" s="82"/>
      <c r="F80" s="95">
        <v>19000</v>
      </c>
      <c r="G80" s="95"/>
      <c r="H80" s="95"/>
      <c r="I80" s="59">
        <f>AVERAGE(J80:L80)</f>
        <v>24360.980159412953</v>
      </c>
      <c r="J80" s="60">
        <v>26500</v>
      </c>
      <c r="K80" s="60">
        <v>25000</v>
      </c>
      <c r="L80" s="59">
        <f>AVERAGE(J107:J109,J139)</f>
        <v>21582.940478238852</v>
      </c>
      <c r="M80" s="56"/>
    </row>
    <row r="81" spans="1:13" hidden="1" x14ac:dyDescent="0.3">
      <c r="A81" s="82" t="s">
        <v>161</v>
      </c>
      <c r="B81" s="82"/>
      <c r="C81" s="82"/>
      <c r="D81" s="82"/>
      <c r="E81" s="82"/>
      <c r="F81" s="117"/>
      <c r="G81" s="117"/>
      <c r="H81" s="117"/>
      <c r="I81" s="60"/>
      <c r="J81" s="60"/>
      <c r="K81" s="60"/>
      <c r="L81" s="60"/>
      <c r="M81" s="56"/>
    </row>
    <row r="82" spans="1:13" hidden="1" x14ac:dyDescent="0.3">
      <c r="A82" s="82" t="s">
        <v>163</v>
      </c>
      <c r="B82" s="82"/>
      <c r="C82" s="82"/>
      <c r="D82" s="82"/>
      <c r="E82" s="82"/>
      <c r="F82" s="117"/>
      <c r="G82" s="117"/>
      <c r="H82" s="117"/>
      <c r="I82" s="60"/>
      <c r="J82" s="60"/>
      <c r="K82" s="60"/>
      <c r="L82" s="60"/>
      <c r="M82" s="56"/>
    </row>
    <row r="83" spans="1:13" s="31" customFormat="1" hidden="1" x14ac:dyDescent="0.25">
      <c r="A83" s="82" t="s">
        <v>160</v>
      </c>
      <c r="B83" s="82"/>
      <c r="C83" s="82"/>
      <c r="D83" s="82"/>
      <c r="E83" s="82"/>
      <c r="F83" s="117"/>
      <c r="G83" s="117"/>
      <c r="H83" s="117"/>
      <c r="I83" s="61"/>
      <c r="J83" s="61"/>
      <c r="K83" s="61"/>
      <c r="L83" s="61"/>
      <c r="M83" s="57"/>
    </row>
    <row r="84" spans="1:13" s="31" customFormat="1" hidden="1" x14ac:dyDescent="0.25">
      <c r="A84" s="82" t="s">
        <v>97</v>
      </c>
      <c r="B84" s="82"/>
      <c r="C84" s="82"/>
      <c r="D84" s="82"/>
      <c r="E84" s="82"/>
      <c r="F84" s="117"/>
      <c r="G84" s="117"/>
      <c r="H84" s="117"/>
      <c r="I84" s="61"/>
      <c r="J84" s="61"/>
      <c r="K84" s="61"/>
      <c r="L84" s="61"/>
      <c r="M84" s="57"/>
    </row>
    <row r="85" spans="1:13" s="31" customFormat="1" hidden="1" x14ac:dyDescent="0.25">
      <c r="A85" s="82" t="s">
        <v>98</v>
      </c>
      <c r="B85" s="82"/>
      <c r="C85" s="82"/>
      <c r="D85" s="82"/>
      <c r="E85" s="82"/>
      <c r="F85" s="117"/>
      <c r="G85" s="117"/>
      <c r="H85" s="117"/>
      <c r="I85" s="61"/>
      <c r="J85" s="61"/>
      <c r="K85" s="61"/>
      <c r="L85" s="61"/>
      <c r="M85" s="57"/>
    </row>
    <row r="86" spans="1:13" s="31" customFormat="1" hidden="1" x14ac:dyDescent="0.25">
      <c r="A86" s="82" t="s">
        <v>165</v>
      </c>
      <c r="B86" s="82"/>
      <c r="C86" s="82"/>
      <c r="D86" s="82"/>
      <c r="E86" s="82"/>
      <c r="F86" s="117"/>
      <c r="G86" s="117"/>
      <c r="H86" s="117"/>
      <c r="I86" s="61"/>
      <c r="J86" s="61"/>
      <c r="K86" s="61"/>
      <c r="L86" s="61"/>
      <c r="M86" s="57"/>
    </row>
    <row r="87" spans="1:13" s="31" customFormat="1" hidden="1" x14ac:dyDescent="0.25">
      <c r="A87" s="82" t="s">
        <v>99</v>
      </c>
      <c r="B87" s="82"/>
      <c r="C87" s="82"/>
      <c r="D87" s="82"/>
      <c r="E87" s="82"/>
      <c r="F87" s="117"/>
      <c r="G87" s="117"/>
      <c r="H87" s="117"/>
      <c r="I87" s="61"/>
      <c r="J87" s="61"/>
      <c r="K87" s="61"/>
      <c r="L87" s="61"/>
      <c r="M87" s="57"/>
    </row>
    <row r="88" spans="1:13" s="31" customFormat="1" hidden="1" x14ac:dyDescent="0.25">
      <c r="A88" s="82" t="s">
        <v>100</v>
      </c>
      <c r="B88" s="82"/>
      <c r="C88" s="82"/>
      <c r="D88" s="82"/>
      <c r="E88" s="82"/>
      <c r="F88" s="117"/>
      <c r="G88" s="117"/>
      <c r="H88" s="117"/>
      <c r="I88" s="61"/>
      <c r="J88" s="61"/>
      <c r="K88" s="61"/>
      <c r="L88" s="61"/>
      <c r="M88" s="57"/>
    </row>
    <row r="89" spans="1:13" s="31" customFormat="1" hidden="1" x14ac:dyDescent="0.25">
      <c r="A89" s="82" t="s">
        <v>101</v>
      </c>
      <c r="B89" s="82"/>
      <c r="C89" s="82"/>
      <c r="D89" s="82"/>
      <c r="E89" s="82"/>
      <c r="F89" s="117"/>
      <c r="G89" s="117"/>
      <c r="H89" s="117"/>
      <c r="I89" s="61"/>
      <c r="J89" s="61"/>
      <c r="K89" s="61"/>
      <c r="L89" s="61"/>
      <c r="M89" s="57"/>
    </row>
    <row r="90" spans="1:13" s="31" customFormat="1" hidden="1" x14ac:dyDescent="0.25">
      <c r="A90" s="82" t="s">
        <v>102</v>
      </c>
      <c r="B90" s="82"/>
      <c r="C90" s="82"/>
      <c r="D90" s="82"/>
      <c r="E90" s="82"/>
      <c r="F90" s="117"/>
      <c r="G90" s="117"/>
      <c r="H90" s="117"/>
      <c r="I90" s="61"/>
      <c r="J90" s="61"/>
      <c r="K90" s="61"/>
      <c r="L90" s="61"/>
      <c r="M90" s="57"/>
    </row>
    <row r="91" spans="1:13" x14ac:dyDescent="0.3">
      <c r="A91" s="82" t="s">
        <v>52</v>
      </c>
      <c r="B91" s="82"/>
      <c r="C91" s="82"/>
      <c r="D91" s="82"/>
      <c r="E91" s="82"/>
      <c r="F91" s="117">
        <v>1000000</v>
      </c>
      <c r="G91" s="117"/>
      <c r="H91" s="117"/>
      <c r="I91" s="60"/>
      <c r="J91" s="59">
        <f>J80/1.55</f>
        <v>17096.774193548386</v>
      </c>
      <c r="K91" s="60"/>
      <c r="L91" s="60"/>
      <c r="M91" s="56"/>
    </row>
    <row r="92" spans="1:13" s="32" customFormat="1" x14ac:dyDescent="0.3">
      <c r="A92" s="118" t="s">
        <v>53</v>
      </c>
      <c r="B92" s="118"/>
      <c r="C92" s="118"/>
      <c r="D92" s="118"/>
      <c r="E92" s="118"/>
      <c r="F92" s="117">
        <f>F80*0.8</f>
        <v>15200</v>
      </c>
      <c r="G92" s="117"/>
      <c r="H92" s="117"/>
      <c r="I92" s="62"/>
      <c r="J92" s="62"/>
      <c r="K92" s="62"/>
      <c r="L92" s="62"/>
      <c r="M92" s="58"/>
    </row>
    <row r="93" spans="1:13" s="33" customFormat="1" x14ac:dyDescent="0.3">
      <c r="A93" s="119" t="s">
        <v>72</v>
      </c>
      <c r="B93" s="119"/>
      <c r="C93" s="119"/>
      <c r="D93" s="119"/>
      <c r="E93" s="119"/>
      <c r="F93" s="119"/>
      <c r="G93" s="119"/>
      <c r="H93" s="119"/>
    </row>
    <row r="94" spans="1:13" s="33" customFormat="1" ht="15.75" customHeight="1" x14ac:dyDescent="0.3">
      <c r="A94" s="84" t="s">
        <v>54</v>
      </c>
      <c r="B94" s="84"/>
      <c r="C94" s="174" t="s">
        <v>80</v>
      </c>
      <c r="D94" s="174"/>
      <c r="E94" s="120" t="s">
        <v>55</v>
      </c>
      <c r="F94" s="120"/>
      <c r="G94" s="84" t="s">
        <v>56</v>
      </c>
      <c r="H94" s="84"/>
    </row>
    <row r="95" spans="1:13" s="33" customFormat="1" x14ac:dyDescent="0.3">
      <c r="A95" s="53" t="s">
        <v>198</v>
      </c>
      <c r="B95" s="53" t="s">
        <v>222</v>
      </c>
      <c r="C95" s="151">
        <f>COUNT(D106:D109)*3+COUNT(D111:D114)+COUNT(D116:D119)+COUNT(D121:D122,D124)+COUNT(D126:D129)+COUNT(D131:D134)*5+COUNT(D136:D137,D139)+COUNT(D141:D144)+COUNT(D146:D149)*2</f>
        <v>62</v>
      </c>
      <c r="D95" s="151"/>
      <c r="E95" s="152">
        <f>SUM(D106:D109)*3+SUM(D111:D114)+SUM(D116:D119)+SUM(D121:D122,D124)+SUM(D126:D129)+SUM(D131:D134)*5+SUM(D136:D137,D139)+SUM(D141:D144)+SUM(D146:D149)*2</f>
        <v>48159.858240000001</v>
      </c>
      <c r="F95" s="152"/>
      <c r="G95" s="152">
        <f>SUM(F106:F109)*3+SUM(F111:F114)+SUM(F116:F119)+SUM(F121:F122,F124)+SUM(F126:F129)+SUM(F131:F134)*5+SUM(F136:F137,F139)+SUM(F141:F144)+SUM(F146:F149)*2</f>
        <v>74798.799192000006</v>
      </c>
      <c r="H95" s="152"/>
    </row>
    <row r="96" spans="1:13" s="33" customFormat="1" ht="31.2" x14ac:dyDescent="0.3">
      <c r="A96" s="183" t="s">
        <v>203</v>
      </c>
      <c r="B96" s="53" t="s">
        <v>223</v>
      </c>
      <c r="C96" s="151">
        <f>COUNT(D153:D160)*3</f>
        <v>24</v>
      </c>
      <c r="D96" s="151"/>
      <c r="E96" s="173">
        <f>SUM(D153:D160)*3</f>
        <v>7221.1370399999996</v>
      </c>
      <c r="F96" s="173"/>
      <c r="G96" s="173">
        <f>SUM(F153:F160)*3</f>
        <v>11192.762411999998</v>
      </c>
      <c r="H96" s="173"/>
      <c r="J96" s="33">
        <f>C95+C97</f>
        <v>112</v>
      </c>
    </row>
    <row r="97" spans="1:14" s="33" customFormat="1" x14ac:dyDescent="0.3">
      <c r="A97" s="184"/>
      <c r="B97" s="53" t="s">
        <v>222</v>
      </c>
      <c r="C97" s="151">
        <f>COUNT(D162:D165)+COUNT(D167:D170)+COUNT(D172:D174)+COUNT(D177:D180)+COUNT(D182:D185)*5+COUNT(D187:D189)+COUNT(D192:D195)+COUNT(D197:D200)*2</f>
        <v>50</v>
      </c>
      <c r="D97" s="151"/>
      <c r="E97" s="152">
        <f>SUM(D162:D165)+SUM(D167:D170)+SUM(D172:D174)+SUM(D177:D180)+SUM(D182:D185)*5+SUM(D187:D189)+SUM(D192:D195)+SUM(D197:D200)*2</f>
        <v>38884.30416</v>
      </c>
      <c r="F97" s="152"/>
      <c r="G97" s="152">
        <f>SUM(F162:F165)+SUM(F167:F170)+SUM(F172:F174)+SUM(F177:F180)+SUM(F182:F185)*5+SUM(F187:F189)+SUM(F192:F195)+SUM(F197:F200)*2</f>
        <v>60435.457524000005</v>
      </c>
      <c r="H97" s="152"/>
    </row>
    <row r="98" spans="1:14" s="33" customFormat="1" x14ac:dyDescent="0.3">
      <c r="A98" s="175" t="s">
        <v>153</v>
      </c>
      <c r="B98" s="175"/>
      <c r="C98" s="174">
        <f>SUM(C95:D97)</f>
        <v>136</v>
      </c>
      <c r="D98" s="174"/>
      <c r="E98" s="84">
        <f>SUM(E95:E97)</f>
        <v>94265.299440000003</v>
      </c>
      <c r="F98" s="84"/>
      <c r="G98" s="84">
        <f>SUM(G95:G97)</f>
        <v>146427.01912800001</v>
      </c>
      <c r="H98" s="84"/>
      <c r="I98" s="65" t="s">
        <v>225</v>
      </c>
    </row>
    <row r="99" spans="1:14" s="32" customFormat="1" x14ac:dyDescent="0.3">
      <c r="A99" s="124" t="s">
        <v>57</v>
      </c>
      <c r="B99" s="124"/>
      <c r="C99" s="124"/>
      <c r="D99" s="124"/>
      <c r="E99" s="124"/>
      <c r="F99" s="124"/>
      <c r="G99" s="124"/>
      <c r="H99" s="124"/>
      <c r="I99" s="67" t="s">
        <v>227</v>
      </c>
    </row>
    <row r="100" spans="1:14" x14ac:dyDescent="0.3">
      <c r="A100" s="128" t="s">
        <v>58</v>
      </c>
      <c r="B100" s="128"/>
      <c r="C100" s="128"/>
      <c r="D100" s="128"/>
      <c r="E100" s="128"/>
      <c r="F100" s="128"/>
      <c r="G100" s="128"/>
      <c r="H100" s="128"/>
    </row>
    <row r="101" spans="1:14" ht="47.25" customHeight="1" x14ac:dyDescent="0.3">
      <c r="A101" s="89" t="s">
        <v>122</v>
      </c>
      <c r="B101" s="89" t="s">
        <v>123</v>
      </c>
      <c r="C101" s="85" t="s">
        <v>59</v>
      </c>
      <c r="D101" s="85" t="s">
        <v>60</v>
      </c>
      <c r="E101" s="87" t="s">
        <v>61</v>
      </c>
      <c r="F101" s="41" t="s">
        <v>152</v>
      </c>
      <c r="G101" s="89" t="s">
        <v>62</v>
      </c>
      <c r="H101" s="90"/>
      <c r="I101" s="34"/>
    </row>
    <row r="102" spans="1:14" s="35" customFormat="1" x14ac:dyDescent="0.3">
      <c r="A102" s="91"/>
      <c r="B102" s="91"/>
      <c r="C102" s="86"/>
      <c r="D102" s="86"/>
      <c r="E102" s="88"/>
      <c r="F102" s="13">
        <v>0.55000000000000004</v>
      </c>
      <c r="G102" s="91"/>
      <c r="H102" s="92"/>
      <c r="I102" s="34"/>
    </row>
    <row r="103" spans="1:14" s="35" customFormat="1" x14ac:dyDescent="0.3">
      <c r="A103" s="101" t="s">
        <v>198</v>
      </c>
      <c r="B103" s="102"/>
      <c r="C103" s="102"/>
      <c r="D103" s="102"/>
      <c r="E103" s="102"/>
      <c r="F103" s="102"/>
      <c r="G103" s="102"/>
      <c r="H103" s="103"/>
      <c r="J103" s="34"/>
    </row>
    <row r="104" spans="1:14" s="35" customFormat="1" x14ac:dyDescent="0.3">
      <c r="A104" s="79" t="s">
        <v>199</v>
      </c>
      <c r="B104" s="80"/>
      <c r="C104" s="80"/>
      <c r="D104" s="80"/>
      <c r="E104" s="80"/>
      <c r="F104" s="80"/>
      <c r="G104" s="80"/>
      <c r="H104" s="81"/>
      <c r="J104" s="34"/>
    </row>
    <row r="105" spans="1:14" s="35" customFormat="1" x14ac:dyDescent="0.3">
      <c r="A105" s="79" t="s">
        <v>202</v>
      </c>
      <c r="B105" s="80"/>
      <c r="C105" s="80"/>
      <c r="D105" s="80"/>
      <c r="E105" s="80"/>
      <c r="F105" s="80"/>
      <c r="G105" s="80"/>
      <c r="H105" s="81"/>
      <c r="J105" s="34"/>
    </row>
    <row r="106" spans="1:14" s="35" customFormat="1" ht="15.75" customHeight="1" x14ac:dyDescent="0.3">
      <c r="A106" s="40">
        <v>1</v>
      </c>
      <c r="B106" s="40" t="s">
        <v>222</v>
      </c>
      <c r="C106" s="40" t="s">
        <v>200</v>
      </c>
      <c r="D106" s="55">
        <f>(85.05)*10.764</f>
        <v>915.4781999999999</v>
      </c>
      <c r="E106" s="55">
        <v>0</v>
      </c>
      <c r="F106" s="40">
        <f>D106*(($F$102)+1)+(IF(E106&lt;101,E106,IF(E106&lt;201,E106/2,IF(E106&lt;=301,E106/3,E106/4))))</f>
        <v>1418.9912099999999</v>
      </c>
      <c r="G106" s="69" t="str">
        <f>A105</f>
        <v>1st to 3rd floor for Residential</v>
      </c>
      <c r="H106" s="70"/>
      <c r="I106" s="34"/>
      <c r="J106" s="55">
        <v>10.763999999999999</v>
      </c>
      <c r="L106" s="75"/>
      <c r="M106" s="75"/>
      <c r="N106" s="34"/>
    </row>
    <row r="107" spans="1:14" s="35" customFormat="1" x14ac:dyDescent="0.3">
      <c r="A107" s="40">
        <f t="shared" ref="A107:A109" si="0">A106+1</f>
        <v>2</v>
      </c>
      <c r="B107" s="40" t="s">
        <v>222</v>
      </c>
      <c r="C107" s="40" t="s">
        <v>201</v>
      </c>
      <c r="D107" s="55">
        <f>(58.28)*10.764</f>
        <v>627.32592</v>
      </c>
      <c r="E107" s="55">
        <v>0</v>
      </c>
      <c r="F107" s="40">
        <f>D107*(($F$102)+1)+(IF(E107&lt;101,E107,IF(E107&lt;201,E107/2,IF(E107&lt;=301,E107/3,E107/4))))</f>
        <v>972.35517600000003</v>
      </c>
      <c r="G107" s="71"/>
      <c r="H107" s="72"/>
      <c r="I107" s="34"/>
      <c r="J107" s="34">
        <f>20000000/F107</f>
        <v>20568.615762682995</v>
      </c>
      <c r="L107" s="75"/>
      <c r="M107" s="75"/>
      <c r="N107" s="34"/>
    </row>
    <row r="108" spans="1:14" s="35" customFormat="1" x14ac:dyDescent="0.3">
      <c r="A108" s="40">
        <f t="shared" si="0"/>
        <v>3</v>
      </c>
      <c r="B108" s="40" t="s">
        <v>222</v>
      </c>
      <c r="C108" s="40" t="s">
        <v>201</v>
      </c>
      <c r="D108" s="55">
        <f>(58.86)*10.764</f>
        <v>633.56903999999997</v>
      </c>
      <c r="E108" s="55">
        <v>0</v>
      </c>
      <c r="F108" s="40">
        <f>D108*(($F$102)+1)+(IF(E108&lt;101,E108,IF(E108&lt;201,E108/2,IF(E108&lt;=301,E108/3,E108/4))))</f>
        <v>982.03201200000001</v>
      </c>
      <c r="G108" s="71"/>
      <c r="H108" s="72"/>
      <c r="I108" s="34"/>
      <c r="J108" s="34">
        <f>21500000/F108</f>
        <v>21893.379988920362</v>
      </c>
      <c r="L108" s="75"/>
      <c r="M108" s="75"/>
      <c r="N108" s="34"/>
    </row>
    <row r="109" spans="1:14" s="35" customFormat="1" x14ac:dyDescent="0.3">
      <c r="A109" s="40">
        <f t="shared" si="0"/>
        <v>4</v>
      </c>
      <c r="B109" s="40" t="s">
        <v>222</v>
      </c>
      <c r="C109" s="40" t="s">
        <v>200</v>
      </c>
      <c r="D109" s="55">
        <f>(85.05)*10.764</f>
        <v>915.4781999999999</v>
      </c>
      <c r="E109" s="55">
        <v>0</v>
      </c>
      <c r="F109" s="40">
        <f>D109*(($F$102)+1)+(IF(E109&lt;101,E109,IF(E109&lt;201,E109/2,IF(E109&lt;=301,E109/3,E109/4))))</f>
        <v>1418.9912099999999</v>
      </c>
      <c r="G109" s="73"/>
      <c r="H109" s="74"/>
      <c r="I109" s="34"/>
      <c r="J109" s="34">
        <f>30000000/F109</f>
        <v>21141.780011449122</v>
      </c>
      <c r="L109" s="75"/>
      <c r="M109" s="75"/>
      <c r="N109" s="34"/>
    </row>
    <row r="110" spans="1:14" s="35" customFormat="1" x14ac:dyDescent="0.3">
      <c r="A110" s="79" t="s">
        <v>206</v>
      </c>
      <c r="B110" s="80"/>
      <c r="C110" s="80"/>
      <c r="D110" s="80"/>
      <c r="E110" s="80"/>
      <c r="F110" s="80"/>
      <c r="G110" s="80"/>
      <c r="H110" s="81"/>
      <c r="J110" s="34"/>
    </row>
    <row r="111" spans="1:14" s="35" customFormat="1" ht="15.75" customHeight="1" x14ac:dyDescent="0.3">
      <c r="A111" s="40">
        <v>1</v>
      </c>
      <c r="B111" s="40" t="s">
        <v>222</v>
      </c>
      <c r="C111" s="40" t="s">
        <v>200</v>
      </c>
      <c r="D111" s="55">
        <f>(85.05)*10.764</f>
        <v>915.4781999999999</v>
      </c>
      <c r="E111" s="55">
        <v>0</v>
      </c>
      <c r="F111" s="40">
        <f>D111*(($F$102)+1)+(IF(E111&lt;101,E111,IF(E111&lt;201,E111/2,IF(E111&lt;=301,E111/3,E111/4))))</f>
        <v>1418.9912099999999</v>
      </c>
      <c r="G111" s="69" t="str">
        <f>A110</f>
        <v>4th Floor</v>
      </c>
      <c r="H111" s="70"/>
      <c r="I111" s="34"/>
      <c r="J111" s="66" t="s">
        <v>226</v>
      </c>
      <c r="K111" s="66" t="s">
        <v>116</v>
      </c>
      <c r="L111" s="75"/>
      <c r="M111" s="75"/>
      <c r="N111" s="34"/>
    </row>
    <row r="112" spans="1:14" s="35" customFormat="1" x14ac:dyDescent="0.3">
      <c r="A112" s="40">
        <f t="shared" ref="A112:A114" si="1">A111+1</f>
        <v>2</v>
      </c>
      <c r="B112" s="40" t="s">
        <v>222</v>
      </c>
      <c r="C112" s="40" t="s">
        <v>201</v>
      </c>
      <c r="D112" s="55">
        <f>(58.28)*10.764</f>
        <v>627.32592</v>
      </c>
      <c r="E112" s="55">
        <v>0</v>
      </c>
      <c r="F112" s="40">
        <f>D112*(($F$102)+1)+(IF(E112&lt;101,E112,IF(E112&lt;201,E112/2,IF(E112&lt;=301,E112/3,E112/4))))</f>
        <v>972.35517600000003</v>
      </c>
      <c r="G112" s="71"/>
      <c r="H112" s="72"/>
      <c r="I112" s="34"/>
      <c r="J112" s="34">
        <f>20000000/F112</f>
        <v>20568.615762682995</v>
      </c>
      <c r="K112" s="34">
        <f>24000000/F112</f>
        <v>24682.338915219596</v>
      </c>
      <c r="L112" s="75"/>
      <c r="M112" s="75"/>
      <c r="N112" s="34"/>
    </row>
    <row r="113" spans="1:14" s="35" customFormat="1" x14ac:dyDescent="0.3">
      <c r="A113" s="40">
        <f t="shared" si="1"/>
        <v>3</v>
      </c>
      <c r="B113" s="40" t="s">
        <v>222</v>
      </c>
      <c r="C113" s="40" t="s">
        <v>201</v>
      </c>
      <c r="D113" s="55">
        <f>(58.86)*10.764</f>
        <v>633.56903999999997</v>
      </c>
      <c r="E113" s="55">
        <v>0</v>
      </c>
      <c r="F113" s="40">
        <f>D113*(($F$102)+1)+(IF(E113&lt;101,E113,IF(E113&lt;201,E113/2,IF(E113&lt;=301,E113/3,E113/4))))</f>
        <v>982.03201200000001</v>
      </c>
      <c r="G113" s="71"/>
      <c r="H113" s="72"/>
      <c r="I113" s="34"/>
      <c r="J113" s="34">
        <f>21500000/F118</f>
        <v>21893.379988920362</v>
      </c>
      <c r="K113" s="34">
        <f>25200000/F118</f>
        <v>25661.077940502004</v>
      </c>
      <c r="L113" s="75"/>
      <c r="M113" s="75"/>
      <c r="N113" s="34"/>
    </row>
    <row r="114" spans="1:14" s="35" customFormat="1" x14ac:dyDescent="0.3">
      <c r="A114" s="40">
        <f t="shared" si="1"/>
        <v>4</v>
      </c>
      <c r="B114" s="40" t="s">
        <v>222</v>
      </c>
      <c r="C114" s="40" t="s">
        <v>200</v>
      </c>
      <c r="D114" s="55">
        <f>(85.05)*10.764</f>
        <v>915.4781999999999</v>
      </c>
      <c r="E114" s="55">
        <v>0</v>
      </c>
      <c r="F114" s="40">
        <f>D114*(($F$102)+1)+(IF(E114&lt;101,E114,IF(E114&lt;201,E114/2,IF(E114&lt;=301,E114/3,E114/4))))</f>
        <v>1418.9912099999999</v>
      </c>
      <c r="G114" s="73"/>
      <c r="H114" s="74"/>
      <c r="I114" s="34"/>
      <c r="J114" s="34">
        <f>28000000/F131</f>
        <v>19732.328010685847</v>
      </c>
      <c r="K114" s="64">
        <f>AVERAGE(K112:K113)</f>
        <v>25171.708427860802</v>
      </c>
      <c r="L114" s="75"/>
      <c r="M114" s="75"/>
      <c r="N114" s="34"/>
    </row>
    <row r="115" spans="1:14" s="35" customFormat="1" x14ac:dyDescent="0.3">
      <c r="A115" s="79" t="s">
        <v>207</v>
      </c>
      <c r="B115" s="80"/>
      <c r="C115" s="80"/>
      <c r="D115" s="80"/>
      <c r="E115" s="80"/>
      <c r="F115" s="80"/>
      <c r="G115" s="80"/>
      <c r="H115" s="81"/>
      <c r="J115" s="64">
        <f>AVERAGE(J112:J114)</f>
        <v>20731.4412540964</v>
      </c>
    </row>
    <row r="116" spans="1:14" s="35" customFormat="1" ht="15.75" customHeight="1" x14ac:dyDescent="0.3">
      <c r="A116" s="40">
        <v>1</v>
      </c>
      <c r="B116" s="40" t="s">
        <v>222</v>
      </c>
      <c r="C116" s="40" t="s">
        <v>200</v>
      </c>
      <c r="D116" s="55">
        <f>(85.05)*10.764</f>
        <v>915.4781999999999</v>
      </c>
      <c r="E116" s="55">
        <v>0</v>
      </c>
      <c r="F116" s="40">
        <f>D116*(($F$102)+1)+(IF(E116&lt;101,E116,IF(E116&lt;201,E116/2,IF(E116&lt;=301,E116/3,E116/4))))</f>
        <v>1418.9912099999999</v>
      </c>
      <c r="G116" s="69" t="str">
        <f>A115</f>
        <v>5th Floor</v>
      </c>
      <c r="H116" s="70"/>
      <c r="I116" s="34">
        <f>5.2*5.3+2.15*3.35+2.9*3.35+3.55*3.38+3.8*3.05+1.33*1.93+1.25*0.4+2.15*1.25+2.15*1.25+1.72*1+2.28*1+2*0.75</f>
        <v>82.008399999999995</v>
      </c>
      <c r="L116" s="75"/>
      <c r="M116" s="75"/>
      <c r="N116" s="34"/>
    </row>
    <row r="117" spans="1:14" s="35" customFormat="1" x14ac:dyDescent="0.3">
      <c r="A117" s="40">
        <f t="shared" ref="A117:A119" si="2">A116+1</f>
        <v>2</v>
      </c>
      <c r="B117" s="40" t="s">
        <v>222</v>
      </c>
      <c r="C117" s="40" t="s">
        <v>201</v>
      </c>
      <c r="D117" s="55">
        <f>(58.28)*10.764</f>
        <v>627.32592</v>
      </c>
      <c r="E117" s="55">
        <v>0</v>
      </c>
      <c r="F117" s="40">
        <f>D117*(($F$102)+1)+(IF(E117&lt;101,E117,IF(E117&lt;201,E117/2,IF(E117&lt;=301,E117/3,E117/4))))</f>
        <v>972.35517600000003</v>
      </c>
      <c r="G117" s="71"/>
      <c r="H117" s="72"/>
      <c r="I117" s="34"/>
      <c r="L117" s="75"/>
      <c r="M117" s="75"/>
      <c r="N117" s="34"/>
    </row>
    <row r="118" spans="1:14" s="35" customFormat="1" x14ac:dyDescent="0.3">
      <c r="A118" s="40">
        <f t="shared" si="2"/>
        <v>3</v>
      </c>
      <c r="B118" s="40" t="s">
        <v>222</v>
      </c>
      <c r="C118" s="40" t="s">
        <v>201</v>
      </c>
      <c r="D118" s="55">
        <f>(58.86)*10.764</f>
        <v>633.56903999999997</v>
      </c>
      <c r="E118" s="55">
        <v>0</v>
      </c>
      <c r="F118" s="40">
        <f>D118*(($F$102)+1)+(IF(E118&lt;101,E118,IF(E118&lt;201,E118/2,IF(E118&lt;=301,E118/3,E118/4))))</f>
        <v>982.03201200000001</v>
      </c>
      <c r="G118" s="71"/>
      <c r="H118" s="72"/>
      <c r="I118" s="34">
        <f>3.05*5.38+1.3*3.2+2.07*3.05+2.75*3.05+3.05*3.65+2.07*1.25+2.15*1.25+2.3*1+1.75*1+2.07*0.9</f>
        <v>57.590499999999992</v>
      </c>
      <c r="L118" s="75"/>
      <c r="M118" s="75"/>
      <c r="N118" s="34"/>
    </row>
    <row r="119" spans="1:14" s="35" customFormat="1" x14ac:dyDescent="0.3">
      <c r="A119" s="40">
        <f t="shared" si="2"/>
        <v>4</v>
      </c>
      <c r="B119" s="40" t="s">
        <v>222</v>
      </c>
      <c r="C119" s="40" t="s">
        <v>200</v>
      </c>
      <c r="D119" s="55">
        <f>(85.05)*10.764</f>
        <v>915.4781999999999</v>
      </c>
      <c r="E119" s="55">
        <v>0</v>
      </c>
      <c r="F119" s="40">
        <f>D119*(($F$102)+1)+(IF(E119&lt;101,E119,IF(E119&lt;201,E119/2,IF(E119&lt;=301,E119/3,E119/4))))</f>
        <v>1418.9912099999999</v>
      </c>
      <c r="G119" s="73"/>
      <c r="H119" s="74"/>
      <c r="I119" s="34"/>
      <c r="L119" s="75"/>
      <c r="M119" s="75"/>
      <c r="N119" s="34"/>
    </row>
    <row r="120" spans="1:14" s="35" customFormat="1" x14ac:dyDescent="0.3">
      <c r="A120" s="79" t="s">
        <v>208</v>
      </c>
      <c r="B120" s="80"/>
      <c r="C120" s="80"/>
      <c r="D120" s="80"/>
      <c r="E120" s="80"/>
      <c r="F120" s="80"/>
      <c r="G120" s="80"/>
      <c r="H120" s="81"/>
      <c r="J120" s="34"/>
    </row>
    <row r="121" spans="1:14" s="35" customFormat="1" ht="15.75" customHeight="1" x14ac:dyDescent="0.3">
      <c r="A121" s="40">
        <v>1</v>
      </c>
      <c r="B121" s="40" t="s">
        <v>222</v>
      </c>
      <c r="C121" s="40" t="s">
        <v>200</v>
      </c>
      <c r="D121" s="55">
        <f>(85.05)*10.764</f>
        <v>915.4781999999999</v>
      </c>
      <c r="E121" s="55">
        <v>0</v>
      </c>
      <c r="F121" s="40">
        <f>D121*(($F$102)+1)+(IF(E121&lt;101,E121,IF(E121&lt;201,E121/2,IF(E121&lt;=301,E121/3,E121/4))))</f>
        <v>1418.9912099999999</v>
      </c>
      <c r="G121" s="69" t="str">
        <f>A120</f>
        <v>6th Floor (Part Refuge Area)</v>
      </c>
      <c r="H121" s="70"/>
      <c r="I121" s="34"/>
      <c r="L121" s="75"/>
      <c r="M121" s="75"/>
      <c r="N121" s="34"/>
    </row>
    <row r="122" spans="1:14" s="35" customFormat="1" x14ac:dyDescent="0.3">
      <c r="A122" s="40">
        <f t="shared" ref="A122:A124" si="3">A121+1</f>
        <v>2</v>
      </c>
      <c r="B122" s="40" t="s">
        <v>222</v>
      </c>
      <c r="C122" s="40" t="s">
        <v>201</v>
      </c>
      <c r="D122" s="55">
        <f>(58.28)*10.764</f>
        <v>627.32592</v>
      </c>
      <c r="E122" s="55">
        <v>0</v>
      </c>
      <c r="F122" s="40">
        <f>D122*(($F$102)+1)+(IF(E122&lt;101,E122,IF(E122&lt;201,E122/2,IF(E122&lt;=301,E122/3,E122/4))))</f>
        <v>972.35517600000003</v>
      </c>
      <c r="G122" s="71"/>
      <c r="H122" s="72"/>
      <c r="I122" s="34"/>
      <c r="L122" s="75"/>
      <c r="M122" s="75"/>
      <c r="N122" s="34"/>
    </row>
    <row r="123" spans="1:14" s="35" customFormat="1" x14ac:dyDescent="0.3">
      <c r="A123" s="40">
        <f t="shared" si="3"/>
        <v>3</v>
      </c>
      <c r="B123" s="40" t="s">
        <v>222</v>
      </c>
      <c r="C123" s="76" t="s">
        <v>209</v>
      </c>
      <c r="D123" s="77"/>
      <c r="E123" s="77"/>
      <c r="F123" s="78"/>
      <c r="G123" s="71"/>
      <c r="H123" s="72"/>
      <c r="I123" s="34"/>
      <c r="L123" s="75"/>
      <c r="M123" s="75"/>
      <c r="N123" s="34"/>
    </row>
    <row r="124" spans="1:14" s="35" customFormat="1" x14ac:dyDescent="0.3">
      <c r="A124" s="40">
        <f t="shared" si="3"/>
        <v>4</v>
      </c>
      <c r="B124" s="40" t="s">
        <v>222</v>
      </c>
      <c r="C124" s="40" t="s">
        <v>200</v>
      </c>
      <c r="D124" s="55">
        <f>(83.07)*10.764</f>
        <v>894.16547999999989</v>
      </c>
      <c r="E124" s="55">
        <v>0</v>
      </c>
      <c r="F124" s="40">
        <f>D124*(($F$102)+1)+(IF(E124&lt;101,E124,IF(E124&lt;201,E124/2,IF(E124&lt;=301,E124/3,E124/4))))</f>
        <v>1385.9564939999998</v>
      </c>
      <c r="G124" s="73"/>
      <c r="H124" s="74"/>
      <c r="I124" s="34"/>
      <c r="L124" s="75"/>
      <c r="M124" s="75"/>
      <c r="N124" s="34"/>
    </row>
    <row r="125" spans="1:14" s="35" customFormat="1" x14ac:dyDescent="0.3">
      <c r="A125" s="79" t="s">
        <v>210</v>
      </c>
      <c r="B125" s="80"/>
      <c r="C125" s="80"/>
      <c r="D125" s="80"/>
      <c r="E125" s="80"/>
      <c r="F125" s="80"/>
      <c r="G125" s="80"/>
      <c r="H125" s="81"/>
      <c r="J125" s="34"/>
    </row>
    <row r="126" spans="1:14" s="35" customFormat="1" ht="15.75" customHeight="1" x14ac:dyDescent="0.3">
      <c r="A126" s="40">
        <v>1</v>
      </c>
      <c r="B126" s="40" t="s">
        <v>222</v>
      </c>
      <c r="C126" s="40" t="s">
        <v>200</v>
      </c>
      <c r="D126" s="55">
        <f>(85.05)*10.764</f>
        <v>915.4781999999999</v>
      </c>
      <c r="E126" s="55">
        <v>0</v>
      </c>
      <c r="F126" s="40">
        <f>D126*(($F$102)+1)+(IF(E126&lt;101,E126,IF(E126&lt;201,E126/2,IF(E126&lt;=301,E126/3,E126/4))))</f>
        <v>1418.9912099999999</v>
      </c>
      <c r="G126" s="69" t="str">
        <f>A125</f>
        <v>7th Floor</v>
      </c>
      <c r="H126" s="70"/>
      <c r="I126" s="34"/>
      <c r="L126" s="75"/>
      <c r="M126" s="75"/>
      <c r="N126" s="34"/>
    </row>
    <row r="127" spans="1:14" s="35" customFormat="1" x14ac:dyDescent="0.3">
      <c r="A127" s="40">
        <f t="shared" ref="A127:A129" si="4">A126+1</f>
        <v>2</v>
      </c>
      <c r="B127" s="40" t="s">
        <v>222</v>
      </c>
      <c r="C127" s="40" t="s">
        <v>201</v>
      </c>
      <c r="D127" s="55">
        <f>(58.28)*10.764</f>
        <v>627.32592</v>
      </c>
      <c r="E127" s="55">
        <v>0</v>
      </c>
      <c r="F127" s="40">
        <f>D127*(($F$102)+1)+(IF(E127&lt;101,E127,IF(E127&lt;201,E127/2,IF(E127&lt;=301,E127/3,E127/4))))</f>
        <v>972.35517600000003</v>
      </c>
      <c r="G127" s="71"/>
      <c r="H127" s="72"/>
      <c r="I127" s="34"/>
      <c r="L127" s="75"/>
      <c r="M127" s="75"/>
      <c r="N127" s="34"/>
    </row>
    <row r="128" spans="1:14" s="35" customFormat="1" x14ac:dyDescent="0.3">
      <c r="A128" s="40">
        <f t="shared" si="4"/>
        <v>3</v>
      </c>
      <c r="B128" s="40" t="s">
        <v>222</v>
      </c>
      <c r="C128" s="40" t="s">
        <v>201</v>
      </c>
      <c r="D128" s="55">
        <f>(58.86)*10.764</f>
        <v>633.56903999999997</v>
      </c>
      <c r="E128" s="55">
        <f>(3.05*2.3)*10.764</f>
        <v>75.509459999999976</v>
      </c>
      <c r="F128" s="40">
        <f>D128*(($F$102)+1)+(IF(E128&lt;101,E128,IF(E128&lt;201,E128/2,IF(E128&lt;=301,E128/3,E128/4))))</f>
        <v>1057.5414719999999</v>
      </c>
      <c r="G128" s="71"/>
      <c r="H128" s="72"/>
      <c r="I128" s="34"/>
      <c r="L128" s="75"/>
      <c r="M128" s="75"/>
      <c r="N128" s="34"/>
    </row>
    <row r="129" spans="1:14" s="35" customFormat="1" x14ac:dyDescent="0.3">
      <c r="A129" s="40">
        <f t="shared" si="4"/>
        <v>4</v>
      </c>
      <c r="B129" s="40" t="s">
        <v>222</v>
      </c>
      <c r="C129" s="40" t="s">
        <v>200</v>
      </c>
      <c r="D129" s="55">
        <f>(85.05)*10.764</f>
        <v>915.4781999999999</v>
      </c>
      <c r="E129" s="55">
        <v>0</v>
      </c>
      <c r="F129" s="40">
        <f>D129*(($F$102)+1)+(IF(E129&lt;101,E129,IF(E129&lt;201,E129/2,IF(E129&lt;=301,E129/3,E129/4))))</f>
        <v>1418.9912099999999</v>
      </c>
      <c r="G129" s="73"/>
      <c r="H129" s="74"/>
      <c r="I129" s="34"/>
      <c r="L129" s="75"/>
      <c r="M129" s="75"/>
      <c r="N129" s="34"/>
    </row>
    <row r="130" spans="1:14" s="35" customFormat="1" x14ac:dyDescent="0.3">
      <c r="A130" s="79" t="s">
        <v>211</v>
      </c>
      <c r="B130" s="80"/>
      <c r="C130" s="80"/>
      <c r="D130" s="80"/>
      <c r="E130" s="80"/>
      <c r="F130" s="80"/>
      <c r="G130" s="80"/>
      <c r="H130" s="81"/>
      <c r="J130" s="34"/>
    </row>
    <row r="131" spans="1:14" s="35" customFormat="1" ht="15.75" customHeight="1" x14ac:dyDescent="0.3">
      <c r="A131" s="40">
        <v>1</v>
      </c>
      <c r="B131" s="40" t="s">
        <v>222</v>
      </c>
      <c r="C131" s="40" t="s">
        <v>200</v>
      </c>
      <c r="D131" s="55">
        <f>(85.05)*10.764</f>
        <v>915.4781999999999</v>
      </c>
      <c r="E131" s="55">
        <v>0</v>
      </c>
      <c r="F131" s="40">
        <f>D131*(($F$102)+1)+(IF(E131&lt;101,E131,IF(E131&lt;201,E131/2,IF(E131&lt;=301,E131/3,E131/4))))</f>
        <v>1418.9912099999999</v>
      </c>
      <c r="G131" s="69" t="str">
        <f>A130</f>
        <v>8th to 12th Floor</v>
      </c>
      <c r="H131" s="70"/>
      <c r="I131" s="34"/>
      <c r="L131" s="75"/>
      <c r="M131" s="75"/>
      <c r="N131" s="34"/>
    </row>
    <row r="132" spans="1:14" s="35" customFormat="1" x14ac:dyDescent="0.3">
      <c r="A132" s="40">
        <f t="shared" ref="A132:A134" si="5">A131+1</f>
        <v>2</v>
      </c>
      <c r="B132" s="40" t="s">
        <v>222</v>
      </c>
      <c r="C132" s="40" t="s">
        <v>201</v>
      </c>
      <c r="D132" s="55">
        <f>(58.28)*10.764</f>
        <v>627.32592</v>
      </c>
      <c r="E132" s="55">
        <v>0</v>
      </c>
      <c r="F132" s="40">
        <f>D132*(($F$102)+1)+(IF(E132&lt;101,E132,IF(E132&lt;201,E132/2,IF(E132&lt;=301,E132/3,E132/4))))</f>
        <v>972.35517600000003</v>
      </c>
      <c r="G132" s="71"/>
      <c r="H132" s="72"/>
      <c r="I132" s="34"/>
      <c r="L132" s="75"/>
      <c r="M132" s="75"/>
      <c r="N132" s="34"/>
    </row>
    <row r="133" spans="1:14" s="35" customFormat="1" x14ac:dyDescent="0.3">
      <c r="A133" s="40">
        <f t="shared" si="5"/>
        <v>3</v>
      </c>
      <c r="B133" s="40" t="s">
        <v>222</v>
      </c>
      <c r="C133" s="40" t="s">
        <v>201</v>
      </c>
      <c r="D133" s="55">
        <f>(58.86)*10.764</f>
        <v>633.56903999999997</v>
      </c>
      <c r="E133" s="55">
        <v>0</v>
      </c>
      <c r="F133" s="40">
        <f>D133*(($F$102)+1)+(IF(E133&lt;101,E133,IF(E133&lt;201,E133/2,IF(E133&lt;=301,E133/3,E133/4))))</f>
        <v>982.03201200000001</v>
      </c>
      <c r="G133" s="71"/>
      <c r="H133" s="72"/>
      <c r="I133" s="34"/>
      <c r="L133" s="75"/>
      <c r="M133" s="75"/>
      <c r="N133" s="34"/>
    </row>
    <row r="134" spans="1:14" s="35" customFormat="1" x14ac:dyDescent="0.3">
      <c r="A134" s="40">
        <f t="shared" si="5"/>
        <v>4</v>
      </c>
      <c r="B134" s="40" t="s">
        <v>222</v>
      </c>
      <c r="C134" s="40" t="s">
        <v>200</v>
      </c>
      <c r="D134" s="55">
        <f>(85.05)*10.764</f>
        <v>915.4781999999999</v>
      </c>
      <c r="E134" s="55">
        <v>0</v>
      </c>
      <c r="F134" s="40">
        <f>D134*(($F$102)+1)+(IF(E134&lt;101,E134,IF(E134&lt;201,E134/2,IF(E134&lt;=301,E134/3,E134/4))))</f>
        <v>1418.9912099999999</v>
      </c>
      <c r="G134" s="73"/>
      <c r="H134" s="74"/>
      <c r="I134" s="34"/>
      <c r="L134" s="75"/>
      <c r="M134" s="75"/>
      <c r="N134" s="34"/>
    </row>
    <row r="135" spans="1:14" s="35" customFormat="1" x14ac:dyDescent="0.3">
      <c r="A135" s="79" t="s">
        <v>212</v>
      </c>
      <c r="B135" s="80"/>
      <c r="C135" s="80"/>
      <c r="D135" s="80"/>
      <c r="E135" s="80"/>
      <c r="F135" s="80"/>
      <c r="G135" s="80"/>
      <c r="H135" s="81"/>
      <c r="J135" s="34"/>
    </row>
    <row r="136" spans="1:14" s="35" customFormat="1" ht="15.75" customHeight="1" x14ac:dyDescent="0.3">
      <c r="A136" s="40">
        <v>1</v>
      </c>
      <c r="B136" s="40" t="s">
        <v>222</v>
      </c>
      <c r="C136" s="40" t="s">
        <v>200</v>
      </c>
      <c r="D136" s="55">
        <f>(85.05)*10.764</f>
        <v>915.4781999999999</v>
      </c>
      <c r="E136" s="55">
        <v>0</v>
      </c>
      <c r="F136" s="40">
        <f>D136*(($F$102)+1)+(IF(E136&lt;101,E136,IF(E136&lt;201,E136/2,IF(E136&lt;=301,E136/3,E136/4))))</f>
        <v>1418.9912099999999</v>
      </c>
      <c r="G136" s="69" t="str">
        <f>A135</f>
        <v>13th Floor (Part Refuge Area)</v>
      </c>
      <c r="H136" s="70"/>
      <c r="I136" s="34"/>
      <c r="L136" s="75"/>
      <c r="M136" s="75"/>
      <c r="N136" s="34"/>
    </row>
    <row r="137" spans="1:14" s="35" customFormat="1" x14ac:dyDescent="0.3">
      <c r="A137" s="40">
        <f t="shared" ref="A137:A139" si="6">A136+1</f>
        <v>2</v>
      </c>
      <c r="B137" s="40" t="s">
        <v>222</v>
      </c>
      <c r="C137" s="40" t="s">
        <v>201</v>
      </c>
      <c r="D137" s="55">
        <f>(58.28)*10.764</f>
        <v>627.32592</v>
      </c>
      <c r="E137" s="55">
        <v>0</v>
      </c>
      <c r="F137" s="40">
        <f>D137*(($F$102)+1)+(IF(E137&lt;101,E137,IF(E137&lt;201,E137/2,IF(E137&lt;=301,E137/3,E137/4))))</f>
        <v>972.35517600000003</v>
      </c>
      <c r="G137" s="71"/>
      <c r="H137" s="72"/>
      <c r="I137" s="34"/>
      <c r="L137" s="75"/>
      <c r="M137" s="75"/>
      <c r="N137" s="34"/>
    </row>
    <row r="138" spans="1:14" s="35" customFormat="1" x14ac:dyDescent="0.3">
      <c r="A138" s="40">
        <f t="shared" si="6"/>
        <v>3</v>
      </c>
      <c r="B138" s="76" t="s">
        <v>209</v>
      </c>
      <c r="C138" s="77"/>
      <c r="D138" s="77"/>
      <c r="E138" s="77"/>
      <c r="F138" s="78"/>
      <c r="G138" s="71"/>
      <c r="H138" s="72"/>
      <c r="I138" s="34"/>
      <c r="L138" s="75"/>
      <c r="M138" s="75"/>
      <c r="N138" s="34"/>
    </row>
    <row r="139" spans="1:14" s="35" customFormat="1" x14ac:dyDescent="0.3">
      <c r="A139" s="40">
        <f t="shared" si="6"/>
        <v>4</v>
      </c>
      <c r="B139" s="40" t="s">
        <v>222</v>
      </c>
      <c r="C139" s="40" t="s">
        <v>200</v>
      </c>
      <c r="D139" s="55">
        <f>(83.07)*10.764</f>
        <v>894.16547999999989</v>
      </c>
      <c r="E139" s="55">
        <v>0</v>
      </c>
      <c r="F139" s="40">
        <f>D139*(($F$102)+1)+(IF(E139&lt;101,E139,IF(E139&lt;201,E139/2,IF(E139&lt;=301,E139/3,E139/4))))</f>
        <v>1385.9564939999998</v>
      </c>
      <c r="G139" s="73"/>
      <c r="H139" s="74"/>
      <c r="I139" s="34"/>
      <c r="J139" s="34">
        <f>31500000/F139</f>
        <v>22727.986149902918</v>
      </c>
      <c r="L139" s="75"/>
      <c r="M139" s="75"/>
      <c r="N139" s="34"/>
    </row>
    <row r="140" spans="1:14" s="35" customFormat="1" x14ac:dyDescent="0.3">
      <c r="A140" s="79" t="s">
        <v>213</v>
      </c>
      <c r="B140" s="80"/>
      <c r="C140" s="80"/>
      <c r="D140" s="80"/>
      <c r="E140" s="80"/>
      <c r="F140" s="80"/>
      <c r="G140" s="80"/>
      <c r="H140" s="81"/>
      <c r="J140" s="34"/>
    </row>
    <row r="141" spans="1:14" s="35" customFormat="1" ht="15.75" customHeight="1" x14ac:dyDescent="0.3">
      <c r="A141" s="40">
        <v>1</v>
      </c>
      <c r="B141" s="40" t="s">
        <v>222</v>
      </c>
      <c r="C141" s="40" t="s">
        <v>200</v>
      </c>
      <c r="D141" s="55">
        <f>(85.05)*10.764</f>
        <v>915.4781999999999</v>
      </c>
      <c r="E141" s="55">
        <v>0</v>
      </c>
      <c r="F141" s="40">
        <f>D141*(($F$102)+1)+(IF(E141&lt;101,E141,IF(E141&lt;201,E141/2,IF(E141&lt;=301,E141/3,E141/4))))</f>
        <v>1418.9912099999999</v>
      </c>
      <c r="G141" s="69" t="str">
        <f>A140</f>
        <v>14th Floor</v>
      </c>
      <c r="H141" s="70"/>
      <c r="I141" s="34"/>
      <c r="L141" s="75"/>
      <c r="M141" s="75"/>
      <c r="N141" s="34"/>
    </row>
    <row r="142" spans="1:14" s="35" customFormat="1" x14ac:dyDescent="0.3">
      <c r="A142" s="40">
        <f t="shared" ref="A142:A144" si="7">A141+1</f>
        <v>2</v>
      </c>
      <c r="B142" s="40" t="s">
        <v>222</v>
      </c>
      <c r="C142" s="40" t="s">
        <v>201</v>
      </c>
      <c r="D142" s="55">
        <f>(58.28)*10.764</f>
        <v>627.32592</v>
      </c>
      <c r="E142" s="55">
        <v>0</v>
      </c>
      <c r="F142" s="40">
        <f>D142*(($F$102)+1)+(IF(E142&lt;101,E142,IF(E142&lt;201,E142/2,IF(E142&lt;=301,E142/3,E142/4))))</f>
        <v>972.35517600000003</v>
      </c>
      <c r="G142" s="71"/>
      <c r="H142" s="72"/>
      <c r="I142" s="34"/>
      <c r="L142" s="75"/>
      <c r="M142" s="75"/>
      <c r="N142" s="34"/>
    </row>
    <row r="143" spans="1:14" s="35" customFormat="1" x14ac:dyDescent="0.3">
      <c r="A143" s="40">
        <f t="shared" si="7"/>
        <v>3</v>
      </c>
      <c r="B143" s="40" t="s">
        <v>222</v>
      </c>
      <c r="C143" s="40" t="s">
        <v>201</v>
      </c>
      <c r="D143" s="55">
        <f>(58.86)*10.764</f>
        <v>633.56903999999997</v>
      </c>
      <c r="E143" s="55">
        <f>(3.05*2.3)*10.764</f>
        <v>75.509459999999976</v>
      </c>
      <c r="F143" s="40">
        <f>D143*(($F$102)+1)+(IF(E143&lt;101,E143,IF(E143&lt;201,E143/2,IF(E143&lt;=301,E143/3,E143/4))))</f>
        <v>1057.5414719999999</v>
      </c>
      <c r="G143" s="71"/>
      <c r="H143" s="72"/>
      <c r="I143" s="34"/>
      <c r="L143" s="75"/>
      <c r="M143" s="75"/>
      <c r="N143" s="34"/>
    </row>
    <row r="144" spans="1:14" s="35" customFormat="1" x14ac:dyDescent="0.3">
      <c r="A144" s="40">
        <f t="shared" si="7"/>
        <v>4</v>
      </c>
      <c r="B144" s="40" t="s">
        <v>222</v>
      </c>
      <c r="C144" s="40" t="s">
        <v>200</v>
      </c>
      <c r="D144" s="55">
        <f>(85.05)*10.764</f>
        <v>915.4781999999999</v>
      </c>
      <c r="E144" s="55">
        <v>0</v>
      </c>
      <c r="F144" s="40">
        <f>D144*(($F$102)+1)+(IF(E144&lt;101,E144,IF(E144&lt;201,E144/2,IF(E144&lt;=301,E144/3,E144/4))))</f>
        <v>1418.9912099999999</v>
      </c>
      <c r="G144" s="73"/>
      <c r="H144" s="74"/>
      <c r="I144" s="34"/>
      <c r="L144" s="75"/>
      <c r="M144" s="75"/>
      <c r="N144" s="34"/>
    </row>
    <row r="145" spans="1:14" s="35" customFormat="1" x14ac:dyDescent="0.3">
      <c r="A145" s="79" t="s">
        <v>214</v>
      </c>
      <c r="B145" s="80"/>
      <c r="C145" s="80"/>
      <c r="D145" s="80"/>
      <c r="E145" s="80"/>
      <c r="F145" s="80"/>
      <c r="G145" s="80"/>
      <c r="H145" s="81"/>
      <c r="J145" s="34"/>
    </row>
    <row r="146" spans="1:14" s="35" customFormat="1" ht="15.75" customHeight="1" x14ac:dyDescent="0.3">
      <c r="A146" s="40">
        <v>1</v>
      </c>
      <c r="B146" s="40" t="s">
        <v>222</v>
      </c>
      <c r="C146" s="40" t="s">
        <v>200</v>
      </c>
      <c r="D146" s="55">
        <f>(85.05)*10.764</f>
        <v>915.4781999999999</v>
      </c>
      <c r="E146" s="55">
        <v>0</v>
      </c>
      <c r="F146" s="40">
        <f>D146*(($F$102)+1)+(IF(E146&lt;101,E146,IF(E146&lt;201,E146/2,IF(E146&lt;=301,E146/3,E146/4))))</f>
        <v>1418.9912099999999</v>
      </c>
      <c r="G146" s="69" t="str">
        <f>A145</f>
        <v>15th &amp; 16th Floor</v>
      </c>
      <c r="H146" s="70"/>
      <c r="I146" s="34"/>
      <c r="L146" s="75"/>
      <c r="M146" s="75"/>
      <c r="N146" s="34"/>
    </row>
    <row r="147" spans="1:14" s="35" customFormat="1" x14ac:dyDescent="0.3">
      <c r="A147" s="40">
        <f t="shared" ref="A147:A149" si="8">A146+1</f>
        <v>2</v>
      </c>
      <c r="B147" s="40" t="s">
        <v>222</v>
      </c>
      <c r="C147" s="40" t="s">
        <v>201</v>
      </c>
      <c r="D147" s="55">
        <f>(58.28)*10.764</f>
        <v>627.32592</v>
      </c>
      <c r="E147" s="55">
        <v>0</v>
      </c>
      <c r="F147" s="40">
        <f>D147*(($F$102)+1)+(IF(E147&lt;101,E147,IF(E147&lt;201,E147/2,IF(E147&lt;=301,E147/3,E147/4))))</f>
        <v>972.35517600000003</v>
      </c>
      <c r="G147" s="71"/>
      <c r="H147" s="72"/>
      <c r="I147" s="34"/>
      <c r="L147" s="75"/>
      <c r="M147" s="75"/>
      <c r="N147" s="34"/>
    </row>
    <row r="148" spans="1:14" s="35" customFormat="1" x14ac:dyDescent="0.3">
      <c r="A148" s="40">
        <f t="shared" si="8"/>
        <v>3</v>
      </c>
      <c r="B148" s="40" t="s">
        <v>222</v>
      </c>
      <c r="C148" s="40" t="s">
        <v>201</v>
      </c>
      <c r="D148" s="55">
        <f>(58.86)*10.764</f>
        <v>633.56903999999997</v>
      </c>
      <c r="E148" s="55">
        <v>0</v>
      </c>
      <c r="F148" s="40">
        <f>D148*(($F$102)+1)+(IF(E148&lt;101,E148,IF(E148&lt;201,E148/2,IF(E148&lt;=301,E148/3,E148/4))))</f>
        <v>982.03201200000001</v>
      </c>
      <c r="G148" s="71"/>
      <c r="H148" s="72"/>
      <c r="I148" s="34"/>
      <c r="L148" s="75"/>
      <c r="M148" s="75"/>
      <c r="N148" s="34"/>
    </row>
    <row r="149" spans="1:14" s="35" customFormat="1" x14ac:dyDescent="0.3">
      <c r="A149" s="40">
        <f t="shared" si="8"/>
        <v>4</v>
      </c>
      <c r="B149" s="40" t="s">
        <v>222</v>
      </c>
      <c r="C149" s="40" t="s">
        <v>200</v>
      </c>
      <c r="D149" s="55">
        <f>(85.05)*10.764</f>
        <v>915.4781999999999</v>
      </c>
      <c r="E149" s="55">
        <v>0</v>
      </c>
      <c r="F149" s="40">
        <f>D149*(($F$102)+1)+(IF(E149&lt;101,E149,IF(E149&lt;201,E149/2,IF(E149&lt;=301,E149/3,E149/4))))</f>
        <v>1418.9912099999999</v>
      </c>
      <c r="G149" s="73"/>
      <c r="H149" s="74"/>
      <c r="I149" s="34"/>
      <c r="L149" s="75"/>
      <c r="M149" s="75"/>
      <c r="N149" s="34"/>
    </row>
    <row r="150" spans="1:14" s="35" customFormat="1" x14ac:dyDescent="0.3">
      <c r="A150" s="101" t="s">
        <v>203</v>
      </c>
      <c r="B150" s="102"/>
      <c r="C150" s="102"/>
      <c r="D150" s="102"/>
      <c r="E150" s="102"/>
      <c r="F150" s="102"/>
      <c r="G150" s="102"/>
      <c r="H150" s="103"/>
      <c r="J150" s="34"/>
    </row>
    <row r="151" spans="1:14" s="35" customFormat="1" x14ac:dyDescent="0.3">
      <c r="A151" s="79" t="s">
        <v>204</v>
      </c>
      <c r="B151" s="80"/>
      <c r="C151" s="80"/>
      <c r="D151" s="80"/>
      <c r="E151" s="80"/>
      <c r="F151" s="80"/>
      <c r="G151" s="80"/>
      <c r="H151" s="81"/>
      <c r="J151" s="34"/>
    </row>
    <row r="152" spans="1:14" s="35" customFormat="1" x14ac:dyDescent="0.3">
      <c r="A152" s="79" t="s">
        <v>202</v>
      </c>
      <c r="B152" s="80"/>
      <c r="C152" s="80"/>
      <c r="D152" s="80"/>
      <c r="E152" s="80"/>
      <c r="F152" s="80"/>
      <c r="G152" s="80"/>
      <c r="H152" s="81"/>
      <c r="J152" s="34"/>
    </row>
    <row r="153" spans="1:14" s="35" customFormat="1" ht="31.5" customHeight="1" x14ac:dyDescent="0.3">
      <c r="A153" s="40">
        <v>1</v>
      </c>
      <c r="B153" s="40" t="s">
        <v>223</v>
      </c>
      <c r="C153" s="40" t="s">
        <v>205</v>
      </c>
      <c r="D153" s="55">
        <f>(28.34)*10.764</f>
        <v>305.05176</v>
      </c>
      <c r="E153" s="55">
        <v>0</v>
      </c>
      <c r="F153" s="40">
        <f t="shared" ref="F153:F160" si="9">D153*(($F$102)+1)+(IF(E153&lt;101,E153,IF(E153&lt;201,E153/2,IF(E153&lt;=301,E153/3,E153/4))))</f>
        <v>472.83022800000003</v>
      </c>
      <c r="G153" s="69" t="str">
        <f>A152</f>
        <v>1st to 3rd floor for Residential</v>
      </c>
      <c r="H153" s="70"/>
      <c r="I153" s="34"/>
      <c r="L153" s="75"/>
      <c r="M153" s="75"/>
      <c r="N153" s="34"/>
    </row>
    <row r="154" spans="1:14" s="35" customFormat="1" ht="31.2" x14ac:dyDescent="0.3">
      <c r="A154" s="40">
        <f t="shared" ref="A154:A160" si="10">A153+1</f>
        <v>2</v>
      </c>
      <c r="B154" s="40" t="s">
        <v>223</v>
      </c>
      <c r="C154" s="40" t="s">
        <v>205</v>
      </c>
      <c r="D154" s="55">
        <f>(27.82)*10.764</f>
        <v>299.45447999999999</v>
      </c>
      <c r="E154" s="55">
        <v>0</v>
      </c>
      <c r="F154" s="40">
        <f t="shared" si="9"/>
        <v>464.15444400000001</v>
      </c>
      <c r="G154" s="71"/>
      <c r="H154" s="72"/>
      <c r="I154" s="34"/>
      <c r="L154" s="75"/>
      <c r="M154" s="75"/>
      <c r="N154" s="34"/>
    </row>
    <row r="155" spans="1:14" s="35" customFormat="1" ht="31.2" x14ac:dyDescent="0.3">
      <c r="A155" s="40">
        <f t="shared" si="10"/>
        <v>3</v>
      </c>
      <c r="B155" s="40" t="s">
        <v>223</v>
      </c>
      <c r="C155" s="40" t="s">
        <v>205</v>
      </c>
      <c r="D155" s="55">
        <f>(27.81)*10.764</f>
        <v>299.34683999999999</v>
      </c>
      <c r="E155" s="55">
        <v>0</v>
      </c>
      <c r="F155" s="40">
        <f t="shared" si="9"/>
        <v>463.98760199999998</v>
      </c>
      <c r="G155" s="71"/>
      <c r="H155" s="72"/>
      <c r="I155" s="34"/>
      <c r="L155" s="75"/>
      <c r="M155" s="75"/>
      <c r="N155" s="34"/>
    </row>
    <row r="156" spans="1:14" s="35" customFormat="1" ht="31.2" x14ac:dyDescent="0.3">
      <c r="A156" s="40">
        <f t="shared" si="10"/>
        <v>4</v>
      </c>
      <c r="B156" s="40" t="s">
        <v>223</v>
      </c>
      <c r="C156" s="40" t="s">
        <v>205</v>
      </c>
      <c r="D156" s="55">
        <f>(28.17)*10.764</f>
        <v>303.22188</v>
      </c>
      <c r="E156" s="55">
        <v>0</v>
      </c>
      <c r="F156" s="40">
        <f t="shared" si="9"/>
        <v>469.99391400000002</v>
      </c>
      <c r="G156" s="71"/>
      <c r="H156" s="72"/>
      <c r="I156" s="34"/>
      <c r="L156" s="75"/>
      <c r="M156" s="75"/>
      <c r="N156" s="34"/>
    </row>
    <row r="157" spans="1:14" s="35" customFormat="1" ht="15.75" customHeight="1" x14ac:dyDescent="0.3">
      <c r="A157" s="40">
        <f t="shared" si="10"/>
        <v>5</v>
      </c>
      <c r="B157" s="40" t="s">
        <v>223</v>
      </c>
      <c r="C157" s="40" t="s">
        <v>205</v>
      </c>
      <c r="D157" s="55">
        <f>(28.71)*10.764</f>
        <v>309.03444000000002</v>
      </c>
      <c r="E157" s="55">
        <v>0</v>
      </c>
      <c r="F157" s="40">
        <f t="shared" si="9"/>
        <v>479.00338200000004</v>
      </c>
      <c r="G157" s="71"/>
      <c r="H157" s="72"/>
      <c r="I157" s="34"/>
      <c r="L157" s="75"/>
      <c r="M157" s="75"/>
      <c r="N157" s="34"/>
    </row>
    <row r="158" spans="1:14" s="35" customFormat="1" ht="31.2" x14ac:dyDescent="0.3">
      <c r="A158" s="40">
        <f t="shared" si="10"/>
        <v>6</v>
      </c>
      <c r="B158" s="40" t="s">
        <v>223</v>
      </c>
      <c r="C158" s="40" t="s">
        <v>205</v>
      </c>
      <c r="D158" s="55">
        <f>(27.06)*10.764</f>
        <v>291.27383999999995</v>
      </c>
      <c r="E158" s="55">
        <v>0</v>
      </c>
      <c r="F158" s="40">
        <f t="shared" si="9"/>
        <v>451.47445199999993</v>
      </c>
      <c r="G158" s="71"/>
      <c r="H158" s="72"/>
      <c r="I158" s="34"/>
      <c r="L158" s="75"/>
      <c r="M158" s="75"/>
      <c r="N158" s="34"/>
    </row>
    <row r="159" spans="1:14" s="35" customFormat="1" ht="31.2" x14ac:dyDescent="0.3">
      <c r="A159" s="40">
        <f t="shared" si="10"/>
        <v>7</v>
      </c>
      <c r="B159" s="40" t="s">
        <v>223</v>
      </c>
      <c r="C159" s="40" t="s">
        <v>205</v>
      </c>
      <c r="D159" s="55">
        <f>(27.94)*10.764</f>
        <v>300.74615999999997</v>
      </c>
      <c r="E159" s="55">
        <v>0</v>
      </c>
      <c r="F159" s="40">
        <f t="shared" si="9"/>
        <v>466.15654799999999</v>
      </c>
      <c r="G159" s="71"/>
      <c r="H159" s="72"/>
      <c r="I159" s="34"/>
      <c r="L159" s="75"/>
      <c r="M159" s="75"/>
      <c r="N159" s="34"/>
    </row>
    <row r="160" spans="1:14" s="35" customFormat="1" ht="31.2" x14ac:dyDescent="0.3">
      <c r="A160" s="40">
        <f t="shared" si="10"/>
        <v>8</v>
      </c>
      <c r="B160" s="40" t="s">
        <v>223</v>
      </c>
      <c r="C160" s="40" t="s">
        <v>205</v>
      </c>
      <c r="D160" s="55">
        <f>(27.77)*10.764</f>
        <v>298.91627999999997</v>
      </c>
      <c r="E160" s="55">
        <v>0</v>
      </c>
      <c r="F160" s="40">
        <f t="shared" si="9"/>
        <v>463.32023399999997</v>
      </c>
      <c r="G160" s="73"/>
      <c r="H160" s="74"/>
      <c r="I160" s="34"/>
      <c r="L160" s="75"/>
      <c r="M160" s="75"/>
      <c r="N160" s="34"/>
    </row>
    <row r="161" spans="1:14" s="35" customFormat="1" x14ac:dyDescent="0.3">
      <c r="A161" s="79" t="s">
        <v>206</v>
      </c>
      <c r="B161" s="80"/>
      <c r="C161" s="80"/>
      <c r="D161" s="80"/>
      <c r="E161" s="80"/>
      <c r="F161" s="80"/>
      <c r="G161" s="80"/>
      <c r="H161" s="81"/>
      <c r="J161" s="34"/>
    </row>
    <row r="162" spans="1:14" s="35" customFormat="1" ht="15.75" customHeight="1" x14ac:dyDescent="0.3">
      <c r="A162" s="40">
        <v>1</v>
      </c>
      <c r="B162" s="40" t="s">
        <v>222</v>
      </c>
      <c r="C162" s="40" t="s">
        <v>201</v>
      </c>
      <c r="D162" s="55">
        <f>(58.28)*10.764</f>
        <v>627.32592</v>
      </c>
      <c r="E162" s="55">
        <f>(4.3*0.98+1.2*3.4)*10.764</f>
        <v>89.276616000000004</v>
      </c>
      <c r="F162" s="40">
        <f>D162*(($F$102)+1)+(IF(E162&lt;101,E162,IF(E162&lt;201,E162/2,IF(E162&lt;=301,E162/3,E162/4))))</f>
        <v>1061.6317920000001</v>
      </c>
      <c r="G162" s="69" t="str">
        <f>A161</f>
        <v>4th Floor</v>
      </c>
      <c r="H162" s="70"/>
      <c r="I162" s="34">
        <f>3.05*4.77+1.4*3.12+2.1*3.05+2.95*3.05+3.2*3.5+2.15*1.25+2.15*1.25+1.9*1+2.2*1</f>
        <v>54.994</v>
      </c>
      <c r="L162" s="75"/>
      <c r="M162" s="75"/>
      <c r="N162" s="34"/>
    </row>
    <row r="163" spans="1:14" s="35" customFormat="1" x14ac:dyDescent="0.3">
      <c r="A163" s="40">
        <f t="shared" ref="A163:A165" si="11">A162+1</f>
        <v>2</v>
      </c>
      <c r="B163" s="40" t="s">
        <v>222</v>
      </c>
      <c r="C163" s="40" t="s">
        <v>200</v>
      </c>
      <c r="D163" s="55">
        <f>(85.05)*10.764</f>
        <v>915.4781999999999</v>
      </c>
      <c r="E163" s="55">
        <v>0</v>
      </c>
      <c r="F163" s="40">
        <f>D163*(($F$102)+1)+(IF(E163&lt;101,E163,IF(E163&lt;201,E163/2,IF(E163&lt;=301,E163/3,E163/4))))</f>
        <v>1418.9912099999999</v>
      </c>
      <c r="G163" s="71"/>
      <c r="H163" s="72"/>
      <c r="I163" s="34"/>
      <c r="L163" s="75"/>
      <c r="M163" s="75"/>
      <c r="N163" s="34"/>
    </row>
    <row r="164" spans="1:14" s="35" customFormat="1" x14ac:dyDescent="0.3">
      <c r="A164" s="40">
        <f t="shared" si="11"/>
        <v>3</v>
      </c>
      <c r="B164" s="40" t="s">
        <v>222</v>
      </c>
      <c r="C164" s="40" t="s">
        <v>200</v>
      </c>
      <c r="D164" s="55">
        <f>(85.05)*10.764</f>
        <v>915.4781999999999</v>
      </c>
      <c r="E164" s="55">
        <v>0</v>
      </c>
      <c r="F164" s="40">
        <f>D164*(($F$102)+1)+(IF(E164&lt;101,E164,IF(E164&lt;201,E164/2,IF(E164&lt;=301,E164/3,E164/4))))</f>
        <v>1418.9912099999999</v>
      </c>
      <c r="G164" s="71"/>
      <c r="H164" s="72"/>
      <c r="I164" s="34"/>
      <c r="L164" s="75"/>
      <c r="M164" s="75"/>
      <c r="N164" s="34"/>
    </row>
    <row r="165" spans="1:14" s="35" customFormat="1" x14ac:dyDescent="0.3">
      <c r="A165" s="40">
        <f t="shared" si="11"/>
        <v>4</v>
      </c>
      <c r="B165" s="40" t="s">
        <v>222</v>
      </c>
      <c r="C165" s="40" t="s">
        <v>201</v>
      </c>
      <c r="D165" s="55">
        <f>(58.86)*10.764</f>
        <v>633.56903999999997</v>
      </c>
      <c r="E165" s="55">
        <v>0</v>
      </c>
      <c r="F165" s="40">
        <f>D165*(($F$102)+1)+(IF(E165&lt;101,E165,IF(E165&lt;201,E165/2,IF(E165&lt;=301,E165/3,E165/4))))</f>
        <v>982.03201200000001</v>
      </c>
      <c r="G165" s="73"/>
      <c r="H165" s="74"/>
      <c r="I165" s="34"/>
      <c r="L165" s="75"/>
      <c r="M165" s="75"/>
      <c r="N165" s="34"/>
    </row>
    <row r="166" spans="1:14" s="35" customFormat="1" x14ac:dyDescent="0.3">
      <c r="A166" s="79" t="s">
        <v>207</v>
      </c>
      <c r="B166" s="80"/>
      <c r="C166" s="80"/>
      <c r="D166" s="80"/>
      <c r="E166" s="80"/>
      <c r="F166" s="80"/>
      <c r="G166" s="80"/>
      <c r="H166" s="81"/>
      <c r="J166" s="34"/>
    </row>
    <row r="167" spans="1:14" s="35" customFormat="1" ht="15.75" customHeight="1" x14ac:dyDescent="0.3">
      <c r="A167" s="40">
        <v>1</v>
      </c>
      <c r="B167" s="40" t="s">
        <v>222</v>
      </c>
      <c r="C167" s="40" t="s">
        <v>201</v>
      </c>
      <c r="D167" s="55">
        <f>(58.28)*10.764</f>
        <v>627.32592</v>
      </c>
      <c r="E167" s="55">
        <v>0</v>
      </c>
      <c r="F167" s="40">
        <f>D167*(($F$102)+1)+(IF(E167&lt;101,E167,IF(E167&lt;201,E167/2,IF(E167&lt;=301,E167/3,E167/4))))</f>
        <v>972.35517600000003</v>
      </c>
      <c r="G167" s="69" t="str">
        <f>A166</f>
        <v>5th Floor</v>
      </c>
      <c r="H167" s="70"/>
      <c r="I167" s="34"/>
      <c r="L167" s="75"/>
      <c r="M167" s="75"/>
      <c r="N167" s="34"/>
    </row>
    <row r="168" spans="1:14" s="35" customFormat="1" x14ac:dyDescent="0.3">
      <c r="A168" s="40">
        <f t="shared" ref="A168:A170" si="12">A167+1</f>
        <v>2</v>
      </c>
      <c r="B168" s="40" t="s">
        <v>222</v>
      </c>
      <c r="C168" s="40" t="s">
        <v>200</v>
      </c>
      <c r="D168" s="55">
        <f>(85.05)*10.764</f>
        <v>915.4781999999999</v>
      </c>
      <c r="E168" s="55">
        <v>0</v>
      </c>
      <c r="F168" s="40">
        <f>D168*(($F$102)+1)+(IF(E168&lt;101,E168,IF(E168&lt;201,E168/2,IF(E168&lt;=301,E168/3,E168/4))))</f>
        <v>1418.9912099999999</v>
      </c>
      <c r="G168" s="71"/>
      <c r="H168" s="72"/>
      <c r="I168" s="34"/>
      <c r="L168" s="75"/>
      <c r="M168" s="75"/>
      <c r="N168" s="34"/>
    </row>
    <row r="169" spans="1:14" s="35" customFormat="1" x14ac:dyDescent="0.3">
      <c r="A169" s="40">
        <f t="shared" si="12"/>
        <v>3</v>
      </c>
      <c r="B169" s="40" t="s">
        <v>222</v>
      </c>
      <c r="C169" s="40" t="s">
        <v>200</v>
      </c>
      <c r="D169" s="55">
        <f>(85.05)*10.764</f>
        <v>915.4781999999999</v>
      </c>
      <c r="E169" s="55">
        <v>0</v>
      </c>
      <c r="F169" s="40">
        <f>D169*(($F$102)+1)+(IF(E169&lt;101,E169,IF(E169&lt;201,E169/2,IF(E169&lt;=301,E169/3,E169/4))))</f>
        <v>1418.9912099999999</v>
      </c>
      <c r="G169" s="71"/>
      <c r="H169" s="72"/>
      <c r="I169" s="34"/>
      <c r="L169" s="75"/>
      <c r="M169" s="75"/>
      <c r="N169" s="34"/>
    </row>
    <row r="170" spans="1:14" s="35" customFormat="1" x14ac:dyDescent="0.3">
      <c r="A170" s="40">
        <f t="shared" si="12"/>
        <v>4</v>
      </c>
      <c r="B170" s="40" t="s">
        <v>222</v>
      </c>
      <c r="C170" s="40" t="s">
        <v>201</v>
      </c>
      <c r="D170" s="55">
        <f>(58.86)*10.764</f>
        <v>633.56903999999997</v>
      </c>
      <c r="E170" s="55">
        <v>0</v>
      </c>
      <c r="F170" s="40">
        <f>D170*(($F$102)+1)+(IF(E170&lt;101,E170,IF(E170&lt;201,E170/2,IF(E170&lt;=301,E170/3,E170/4))))</f>
        <v>982.03201200000001</v>
      </c>
      <c r="G170" s="73"/>
      <c r="H170" s="74"/>
      <c r="I170" s="34"/>
      <c r="L170" s="75"/>
      <c r="M170" s="75"/>
      <c r="N170" s="34"/>
    </row>
    <row r="171" spans="1:14" s="35" customFormat="1" x14ac:dyDescent="0.3">
      <c r="A171" s="79" t="s">
        <v>208</v>
      </c>
      <c r="B171" s="80"/>
      <c r="C171" s="80"/>
      <c r="D171" s="80"/>
      <c r="E171" s="80"/>
      <c r="F171" s="80"/>
      <c r="G171" s="80"/>
      <c r="H171" s="81"/>
      <c r="J171" s="34"/>
    </row>
    <row r="172" spans="1:14" s="35" customFormat="1" ht="15.75" customHeight="1" x14ac:dyDescent="0.3">
      <c r="A172" s="40">
        <v>1</v>
      </c>
      <c r="B172" s="40" t="s">
        <v>222</v>
      </c>
      <c r="C172" s="40" t="s">
        <v>201</v>
      </c>
      <c r="D172" s="55">
        <f>(58.28)*10.764</f>
        <v>627.32592</v>
      </c>
      <c r="E172" s="55">
        <v>0</v>
      </c>
      <c r="F172" s="40">
        <f>D172*(($F$102)+1)+(IF(E172&lt;101,E172,IF(E172&lt;201,E172/2,IF(E172&lt;=301,E172/3,E172/4))))</f>
        <v>972.35517600000003</v>
      </c>
      <c r="G172" s="69" t="str">
        <f>A171</f>
        <v>6th Floor (Part Refuge Area)</v>
      </c>
      <c r="H172" s="70"/>
      <c r="I172" s="34"/>
      <c r="L172" s="75"/>
      <c r="M172" s="75"/>
      <c r="N172" s="34"/>
    </row>
    <row r="173" spans="1:14" s="35" customFormat="1" x14ac:dyDescent="0.3">
      <c r="A173" s="40">
        <f t="shared" ref="A173:A175" si="13">A172+1</f>
        <v>2</v>
      </c>
      <c r="B173" s="40" t="s">
        <v>222</v>
      </c>
      <c r="C173" s="40" t="s">
        <v>200</v>
      </c>
      <c r="D173" s="55">
        <f>(85.05)*10.764</f>
        <v>915.4781999999999</v>
      </c>
      <c r="E173" s="55">
        <v>0</v>
      </c>
      <c r="F173" s="40">
        <f>D173*(($F$102)+1)+(IF(E173&lt;101,E173,IF(E173&lt;201,E173/2,IF(E173&lt;=301,E173/3,E173/4))))</f>
        <v>1418.9912099999999</v>
      </c>
      <c r="G173" s="71"/>
      <c r="H173" s="72"/>
      <c r="I173" s="34"/>
      <c r="L173" s="75"/>
      <c r="M173" s="75"/>
      <c r="N173" s="34"/>
    </row>
    <row r="174" spans="1:14" s="35" customFormat="1" x14ac:dyDescent="0.3">
      <c r="A174" s="40">
        <f t="shared" si="13"/>
        <v>3</v>
      </c>
      <c r="B174" s="40" t="s">
        <v>222</v>
      </c>
      <c r="C174" s="40" t="s">
        <v>200</v>
      </c>
      <c r="D174" s="55">
        <f>(83.07)*10.764</f>
        <v>894.16547999999989</v>
      </c>
      <c r="E174" s="55">
        <v>0</v>
      </c>
      <c r="F174" s="40">
        <f>D174*(($F$102)+1)+(IF(E174&lt;101,E174,IF(E174&lt;201,E174/2,IF(E174&lt;=301,E174/3,E174/4))))</f>
        <v>1385.9564939999998</v>
      </c>
      <c r="G174" s="71"/>
      <c r="H174" s="72"/>
      <c r="I174" s="34"/>
      <c r="L174" s="75"/>
      <c r="M174" s="75"/>
      <c r="N174" s="34"/>
    </row>
    <row r="175" spans="1:14" s="35" customFormat="1" x14ac:dyDescent="0.3">
      <c r="A175" s="40">
        <f t="shared" si="13"/>
        <v>4</v>
      </c>
      <c r="B175" s="40" t="s">
        <v>222</v>
      </c>
      <c r="C175" s="76" t="s">
        <v>209</v>
      </c>
      <c r="D175" s="77"/>
      <c r="E175" s="77"/>
      <c r="F175" s="78"/>
      <c r="G175" s="73"/>
      <c r="H175" s="74"/>
      <c r="I175" s="34"/>
      <c r="L175" s="75"/>
      <c r="M175" s="75"/>
      <c r="N175" s="34"/>
    </row>
    <row r="176" spans="1:14" s="35" customFormat="1" x14ac:dyDescent="0.3">
      <c r="A176" s="79" t="s">
        <v>210</v>
      </c>
      <c r="B176" s="80"/>
      <c r="C176" s="80"/>
      <c r="D176" s="80"/>
      <c r="E176" s="80"/>
      <c r="F176" s="80"/>
      <c r="G176" s="80"/>
      <c r="H176" s="81"/>
      <c r="J176" s="34"/>
    </row>
    <row r="177" spans="1:14" s="35" customFormat="1" ht="15.75" customHeight="1" x14ac:dyDescent="0.3">
      <c r="A177" s="40">
        <v>1</v>
      </c>
      <c r="B177" s="40" t="s">
        <v>222</v>
      </c>
      <c r="C177" s="40" t="s">
        <v>201</v>
      </c>
      <c r="D177" s="55">
        <f>(58.28)*10.764</f>
        <v>627.32592</v>
      </c>
      <c r="E177" s="55">
        <v>0</v>
      </c>
      <c r="F177" s="40">
        <f>D177*(($F$102)+1)+(IF(E177&lt;101,E177,IF(E177&lt;201,E177/2,IF(E177&lt;=301,E177/3,E177/4))))</f>
        <v>972.35517600000003</v>
      </c>
      <c r="G177" s="69" t="str">
        <f>A176</f>
        <v>7th Floor</v>
      </c>
      <c r="H177" s="70"/>
      <c r="I177" s="34"/>
      <c r="L177" s="75"/>
      <c r="M177" s="75"/>
      <c r="N177" s="34"/>
    </row>
    <row r="178" spans="1:14" s="35" customFormat="1" x14ac:dyDescent="0.3">
      <c r="A178" s="40">
        <f t="shared" ref="A178:A180" si="14">A177+1</f>
        <v>2</v>
      </c>
      <c r="B178" s="40" t="s">
        <v>222</v>
      </c>
      <c r="C178" s="40" t="s">
        <v>200</v>
      </c>
      <c r="D178" s="55">
        <f>(85.05)*10.764</f>
        <v>915.4781999999999</v>
      </c>
      <c r="E178" s="55">
        <v>0</v>
      </c>
      <c r="F178" s="40">
        <f>D178*(($F$102)+1)+(IF(E178&lt;101,E178,IF(E178&lt;201,E178/2,IF(E178&lt;=301,E178/3,E178/4))))</f>
        <v>1418.9912099999999</v>
      </c>
      <c r="G178" s="71"/>
      <c r="H178" s="72"/>
      <c r="I178" s="34"/>
      <c r="L178" s="75"/>
      <c r="M178" s="75"/>
      <c r="N178" s="34"/>
    </row>
    <row r="179" spans="1:14" s="35" customFormat="1" x14ac:dyDescent="0.3">
      <c r="A179" s="40">
        <f t="shared" si="14"/>
        <v>3</v>
      </c>
      <c r="B179" s="40" t="s">
        <v>222</v>
      </c>
      <c r="C179" s="40" t="s">
        <v>200</v>
      </c>
      <c r="D179" s="55">
        <f>(85.05)*10.764</f>
        <v>915.4781999999999</v>
      </c>
      <c r="E179" s="55">
        <v>0</v>
      </c>
      <c r="F179" s="40">
        <f>D179*(($F$102)+1)+(IF(E179&lt;101,E179,IF(E179&lt;201,E179/2,IF(E179&lt;=301,E179/3,E179/4))))</f>
        <v>1418.9912099999999</v>
      </c>
      <c r="G179" s="71"/>
      <c r="H179" s="72"/>
      <c r="I179" s="34"/>
      <c r="L179" s="75"/>
      <c r="M179" s="75"/>
      <c r="N179" s="34"/>
    </row>
    <row r="180" spans="1:14" s="35" customFormat="1" x14ac:dyDescent="0.3">
      <c r="A180" s="40">
        <f t="shared" si="14"/>
        <v>4</v>
      </c>
      <c r="B180" s="40" t="s">
        <v>222</v>
      </c>
      <c r="C180" s="40" t="s">
        <v>201</v>
      </c>
      <c r="D180" s="55">
        <f>(58.86)*10.764</f>
        <v>633.56903999999997</v>
      </c>
      <c r="E180" s="55">
        <f>(3.05*2.3)*10.764</f>
        <v>75.509459999999976</v>
      </c>
      <c r="F180" s="40">
        <f>D180*(($F$102)+1)+(IF(E180&lt;101,E180,IF(E180&lt;201,E180/2,IF(E180&lt;=301,E180/3,E180/4))))</f>
        <v>1057.5414719999999</v>
      </c>
      <c r="G180" s="73"/>
      <c r="H180" s="74"/>
      <c r="I180" s="34"/>
      <c r="L180" s="75"/>
      <c r="M180" s="75"/>
      <c r="N180" s="34"/>
    </row>
    <row r="181" spans="1:14" s="35" customFormat="1" x14ac:dyDescent="0.3">
      <c r="A181" s="79" t="s">
        <v>211</v>
      </c>
      <c r="B181" s="80"/>
      <c r="C181" s="80"/>
      <c r="D181" s="80"/>
      <c r="E181" s="80"/>
      <c r="F181" s="80"/>
      <c r="G181" s="80"/>
      <c r="H181" s="81"/>
      <c r="J181" s="34"/>
    </row>
    <row r="182" spans="1:14" s="35" customFormat="1" ht="15.75" customHeight="1" x14ac:dyDescent="0.3">
      <c r="A182" s="40">
        <v>1</v>
      </c>
      <c r="B182" s="40" t="s">
        <v>222</v>
      </c>
      <c r="C182" s="40" t="s">
        <v>201</v>
      </c>
      <c r="D182" s="55">
        <f>(58.28)*10.764</f>
        <v>627.32592</v>
      </c>
      <c r="E182" s="55">
        <v>0</v>
      </c>
      <c r="F182" s="40">
        <f>D182*(($F$102)+1)+(IF(E182&lt;101,E182,IF(E182&lt;201,E182/2,IF(E182&lt;=301,E182/3,E182/4))))</f>
        <v>972.35517600000003</v>
      </c>
      <c r="G182" s="69" t="str">
        <f>A181</f>
        <v>8th to 12th Floor</v>
      </c>
      <c r="H182" s="70"/>
      <c r="I182" s="34"/>
      <c r="L182" s="75"/>
      <c r="M182" s="75"/>
      <c r="N182" s="34"/>
    </row>
    <row r="183" spans="1:14" s="35" customFormat="1" x14ac:dyDescent="0.3">
      <c r="A183" s="40">
        <f t="shared" ref="A183:A185" si="15">A182+1</f>
        <v>2</v>
      </c>
      <c r="B183" s="40" t="s">
        <v>222</v>
      </c>
      <c r="C183" s="40" t="s">
        <v>200</v>
      </c>
      <c r="D183" s="55">
        <f>(85.05)*10.764</f>
        <v>915.4781999999999</v>
      </c>
      <c r="E183" s="55">
        <v>0</v>
      </c>
      <c r="F183" s="40">
        <f>D183*(($F$102)+1)+(IF(E183&lt;101,E183,IF(E183&lt;201,E183/2,IF(E183&lt;=301,E183/3,E183/4))))</f>
        <v>1418.9912099999999</v>
      </c>
      <c r="G183" s="71"/>
      <c r="H183" s="72"/>
      <c r="I183" s="34"/>
      <c r="L183" s="75"/>
      <c r="M183" s="75"/>
      <c r="N183" s="34"/>
    </row>
    <row r="184" spans="1:14" s="35" customFormat="1" x14ac:dyDescent="0.3">
      <c r="A184" s="40">
        <f t="shared" si="15"/>
        <v>3</v>
      </c>
      <c r="B184" s="40" t="s">
        <v>222</v>
      </c>
      <c r="C184" s="40" t="s">
        <v>200</v>
      </c>
      <c r="D184" s="55">
        <f>(85.05)*10.764</f>
        <v>915.4781999999999</v>
      </c>
      <c r="E184" s="55">
        <v>0</v>
      </c>
      <c r="F184" s="40">
        <f>D184*(($F$102)+1)+(IF(E184&lt;101,E184,IF(E184&lt;201,E184/2,IF(E184&lt;=301,E184/3,E184/4))))</f>
        <v>1418.9912099999999</v>
      </c>
      <c r="G184" s="71"/>
      <c r="H184" s="72"/>
      <c r="I184" s="34"/>
      <c r="L184" s="75"/>
      <c r="M184" s="75"/>
      <c r="N184" s="34"/>
    </row>
    <row r="185" spans="1:14" s="35" customFormat="1" x14ac:dyDescent="0.3">
      <c r="A185" s="40">
        <f t="shared" si="15"/>
        <v>4</v>
      </c>
      <c r="B185" s="40" t="s">
        <v>222</v>
      </c>
      <c r="C185" s="40" t="s">
        <v>201</v>
      </c>
      <c r="D185" s="55">
        <f>(58.86)*10.764</f>
        <v>633.56903999999997</v>
      </c>
      <c r="E185" s="55">
        <v>0</v>
      </c>
      <c r="F185" s="40">
        <f>D185*(($F$102)+1)+(IF(E185&lt;101,E185,IF(E185&lt;201,E185/2,IF(E185&lt;=301,E185/3,E185/4))))</f>
        <v>982.03201200000001</v>
      </c>
      <c r="G185" s="73"/>
      <c r="H185" s="74"/>
      <c r="I185" s="34"/>
      <c r="L185" s="75"/>
      <c r="M185" s="75"/>
      <c r="N185" s="34"/>
    </row>
    <row r="186" spans="1:14" s="35" customFormat="1" x14ac:dyDescent="0.3">
      <c r="A186" s="79" t="s">
        <v>212</v>
      </c>
      <c r="B186" s="80"/>
      <c r="C186" s="80"/>
      <c r="D186" s="80"/>
      <c r="E186" s="80"/>
      <c r="F186" s="80"/>
      <c r="G186" s="80"/>
      <c r="H186" s="81"/>
      <c r="J186" s="34"/>
    </row>
    <row r="187" spans="1:14" s="35" customFormat="1" ht="15.75" customHeight="1" x14ac:dyDescent="0.3">
      <c r="A187" s="40">
        <v>1</v>
      </c>
      <c r="B187" s="40" t="s">
        <v>222</v>
      </c>
      <c r="C187" s="40" t="s">
        <v>201</v>
      </c>
      <c r="D187" s="55">
        <f>(58.28)*10.764</f>
        <v>627.32592</v>
      </c>
      <c r="E187" s="55">
        <v>0</v>
      </c>
      <c r="F187" s="40">
        <f>D187*(($F$102)+1)+(IF(E187&lt;101,E187,IF(E187&lt;201,E187/2,IF(E187&lt;=301,E187/3,E187/4))))</f>
        <v>972.35517600000003</v>
      </c>
      <c r="G187" s="69" t="str">
        <f>A186</f>
        <v>13th Floor (Part Refuge Area)</v>
      </c>
      <c r="H187" s="70"/>
      <c r="I187" s="34"/>
      <c r="L187" s="75"/>
      <c r="M187" s="75"/>
      <c r="N187" s="34"/>
    </row>
    <row r="188" spans="1:14" s="35" customFormat="1" x14ac:dyDescent="0.3">
      <c r="A188" s="40">
        <f t="shared" ref="A188:A190" si="16">A187+1</f>
        <v>2</v>
      </c>
      <c r="B188" s="40" t="s">
        <v>222</v>
      </c>
      <c r="C188" s="40" t="s">
        <v>200</v>
      </c>
      <c r="D188" s="55">
        <f>(85.05)*10.764</f>
        <v>915.4781999999999</v>
      </c>
      <c r="E188" s="55">
        <v>0</v>
      </c>
      <c r="F188" s="40">
        <f>D188*(($F$102)+1)+(IF(E188&lt;101,E188,IF(E188&lt;201,E188/2,IF(E188&lt;=301,E188/3,E188/4))))</f>
        <v>1418.9912099999999</v>
      </c>
      <c r="G188" s="71"/>
      <c r="H188" s="72"/>
      <c r="I188" s="34"/>
      <c r="L188" s="75"/>
      <c r="M188" s="75"/>
      <c r="N188" s="34"/>
    </row>
    <row r="189" spans="1:14" s="35" customFormat="1" x14ac:dyDescent="0.3">
      <c r="A189" s="40">
        <f t="shared" si="16"/>
        <v>3</v>
      </c>
      <c r="B189" s="40" t="s">
        <v>222</v>
      </c>
      <c r="C189" s="40" t="s">
        <v>200</v>
      </c>
      <c r="D189" s="55">
        <f>(83.07)*10.764</f>
        <v>894.16547999999989</v>
      </c>
      <c r="E189" s="55">
        <v>0</v>
      </c>
      <c r="F189" s="40">
        <f>D189*(($F$102)+1)+(IF(E189&lt;101,E189,IF(E189&lt;201,E189/2,IF(E189&lt;=301,E189/3,E189/4))))</f>
        <v>1385.9564939999998</v>
      </c>
      <c r="G189" s="71"/>
      <c r="H189" s="72"/>
      <c r="I189" s="34"/>
      <c r="L189" s="75"/>
      <c r="M189" s="75"/>
      <c r="N189" s="34"/>
    </row>
    <row r="190" spans="1:14" s="35" customFormat="1" x14ac:dyDescent="0.3">
      <c r="A190" s="40">
        <f t="shared" si="16"/>
        <v>4</v>
      </c>
      <c r="B190" s="76" t="s">
        <v>209</v>
      </c>
      <c r="C190" s="77"/>
      <c r="D190" s="77"/>
      <c r="E190" s="77"/>
      <c r="F190" s="78"/>
      <c r="G190" s="73"/>
      <c r="H190" s="74"/>
      <c r="I190" s="34"/>
      <c r="L190" s="75"/>
      <c r="M190" s="75"/>
      <c r="N190" s="34"/>
    </row>
    <row r="191" spans="1:14" s="35" customFormat="1" x14ac:dyDescent="0.3">
      <c r="A191" s="79" t="s">
        <v>213</v>
      </c>
      <c r="B191" s="80"/>
      <c r="C191" s="80"/>
      <c r="D191" s="80"/>
      <c r="E191" s="80"/>
      <c r="F191" s="80"/>
      <c r="G191" s="80"/>
      <c r="H191" s="81"/>
      <c r="J191" s="34"/>
    </row>
    <row r="192" spans="1:14" s="35" customFormat="1" ht="15.75" customHeight="1" x14ac:dyDescent="0.3">
      <c r="A192" s="40">
        <v>1</v>
      </c>
      <c r="B192" s="40" t="s">
        <v>222</v>
      </c>
      <c r="C192" s="40" t="s">
        <v>201</v>
      </c>
      <c r="D192" s="55">
        <f>(58.28)*10.764</f>
        <v>627.32592</v>
      </c>
      <c r="E192" s="55">
        <v>0</v>
      </c>
      <c r="F192" s="40">
        <f>D192*(($F$102)+1)+(IF(E192&lt;101,E192,IF(E192&lt;201,E192/2,IF(E192&lt;=301,E192/3,E192/4))))</f>
        <v>972.35517600000003</v>
      </c>
      <c r="G192" s="69" t="str">
        <f>A191</f>
        <v>14th Floor</v>
      </c>
      <c r="H192" s="70"/>
      <c r="I192" s="34"/>
      <c r="L192" s="75"/>
      <c r="M192" s="75"/>
      <c r="N192" s="34"/>
    </row>
    <row r="193" spans="1:14" s="35" customFormat="1" x14ac:dyDescent="0.3">
      <c r="A193" s="40">
        <f t="shared" ref="A193:A195" si="17">A192+1</f>
        <v>2</v>
      </c>
      <c r="B193" s="40" t="s">
        <v>222</v>
      </c>
      <c r="C193" s="40" t="s">
        <v>200</v>
      </c>
      <c r="D193" s="55">
        <f>(85.05)*10.764</f>
        <v>915.4781999999999</v>
      </c>
      <c r="E193" s="55">
        <v>0</v>
      </c>
      <c r="F193" s="40">
        <f>D193*(($F$102)+1)+(IF(E193&lt;101,E193,IF(E193&lt;201,E193/2,IF(E193&lt;=301,E193/3,E193/4))))</f>
        <v>1418.9912099999999</v>
      </c>
      <c r="G193" s="71"/>
      <c r="H193" s="72"/>
      <c r="I193" s="34"/>
      <c r="L193" s="75"/>
      <c r="M193" s="75"/>
      <c r="N193" s="34"/>
    </row>
    <row r="194" spans="1:14" s="35" customFormat="1" x14ac:dyDescent="0.3">
      <c r="A194" s="40">
        <f t="shared" si="17"/>
        <v>3</v>
      </c>
      <c r="B194" s="40" t="s">
        <v>222</v>
      </c>
      <c r="C194" s="40" t="s">
        <v>200</v>
      </c>
      <c r="D194" s="55">
        <f>(85.05)*10.764</f>
        <v>915.4781999999999</v>
      </c>
      <c r="E194" s="55">
        <v>0</v>
      </c>
      <c r="F194" s="40">
        <f>D194*(($F$102)+1)+(IF(E194&lt;101,E194,IF(E194&lt;201,E194/2,IF(E194&lt;=301,E194/3,E194/4))))</f>
        <v>1418.9912099999999</v>
      </c>
      <c r="G194" s="71"/>
      <c r="H194" s="72"/>
      <c r="I194" s="34"/>
      <c r="L194" s="75"/>
      <c r="M194" s="75"/>
      <c r="N194" s="34"/>
    </row>
    <row r="195" spans="1:14" s="35" customFormat="1" x14ac:dyDescent="0.3">
      <c r="A195" s="40">
        <f t="shared" si="17"/>
        <v>4</v>
      </c>
      <c r="B195" s="40" t="s">
        <v>222</v>
      </c>
      <c r="C195" s="40" t="s">
        <v>201</v>
      </c>
      <c r="D195" s="55">
        <f>(58.86)*10.764</f>
        <v>633.56903999999997</v>
      </c>
      <c r="E195" s="55">
        <v>0</v>
      </c>
      <c r="F195" s="40">
        <f>D195*(($F$102)+1)+(IF(E195&lt;101,E195,IF(E195&lt;201,E195/2,IF(E195&lt;=301,E195/3,E195/4))))</f>
        <v>982.03201200000001</v>
      </c>
      <c r="G195" s="73"/>
      <c r="H195" s="74"/>
      <c r="I195" s="34"/>
      <c r="L195" s="75"/>
      <c r="M195" s="75"/>
      <c r="N195" s="34"/>
    </row>
    <row r="196" spans="1:14" s="35" customFormat="1" x14ac:dyDescent="0.3">
      <c r="A196" s="79" t="s">
        <v>214</v>
      </c>
      <c r="B196" s="80"/>
      <c r="C196" s="80"/>
      <c r="D196" s="80"/>
      <c r="E196" s="80"/>
      <c r="F196" s="80"/>
      <c r="G196" s="80"/>
      <c r="H196" s="81"/>
      <c r="J196" s="34"/>
    </row>
    <row r="197" spans="1:14" s="35" customFormat="1" ht="15.75" customHeight="1" x14ac:dyDescent="0.3">
      <c r="A197" s="40">
        <v>1</v>
      </c>
      <c r="B197" s="40" t="s">
        <v>222</v>
      </c>
      <c r="C197" s="40" t="s">
        <v>201</v>
      </c>
      <c r="D197" s="55">
        <f>(58.28)*10.764</f>
        <v>627.32592</v>
      </c>
      <c r="E197" s="55">
        <v>0</v>
      </c>
      <c r="F197" s="40">
        <f>D197*(($F$102)+1)+(IF(E197&lt;101,E197,IF(E197&lt;201,E197/2,IF(E197&lt;=301,E197/3,E197/4))))</f>
        <v>972.35517600000003</v>
      </c>
      <c r="G197" s="69" t="str">
        <f>A196</f>
        <v>15th &amp; 16th Floor</v>
      </c>
      <c r="H197" s="70"/>
      <c r="I197" s="34"/>
      <c r="L197" s="75"/>
      <c r="M197" s="75"/>
      <c r="N197" s="34"/>
    </row>
    <row r="198" spans="1:14" s="35" customFormat="1" x14ac:dyDescent="0.3">
      <c r="A198" s="40">
        <f t="shared" ref="A198:A200" si="18">A197+1</f>
        <v>2</v>
      </c>
      <c r="B198" s="40" t="s">
        <v>222</v>
      </c>
      <c r="C198" s="40" t="s">
        <v>200</v>
      </c>
      <c r="D198" s="55">
        <f>(85.05)*10.764</f>
        <v>915.4781999999999</v>
      </c>
      <c r="E198" s="55">
        <v>0</v>
      </c>
      <c r="F198" s="40">
        <f>D198*(($F$102)+1)+(IF(E198&lt;101,E198,IF(E198&lt;201,E198/2,IF(E198&lt;=301,E198/3,E198/4))))</f>
        <v>1418.9912099999999</v>
      </c>
      <c r="G198" s="71"/>
      <c r="H198" s="72"/>
      <c r="I198" s="34"/>
      <c r="L198" s="75"/>
      <c r="M198" s="75"/>
      <c r="N198" s="34"/>
    </row>
    <row r="199" spans="1:14" s="35" customFormat="1" x14ac:dyDescent="0.3">
      <c r="A199" s="40">
        <f t="shared" si="18"/>
        <v>3</v>
      </c>
      <c r="B199" s="40" t="s">
        <v>222</v>
      </c>
      <c r="C199" s="40" t="s">
        <v>200</v>
      </c>
      <c r="D199" s="55">
        <f>(85.05)*10.764</f>
        <v>915.4781999999999</v>
      </c>
      <c r="E199" s="55">
        <v>0</v>
      </c>
      <c r="F199" s="40">
        <f>D199*(($F$102)+1)+(IF(E199&lt;101,E199,IF(E199&lt;201,E199/2,IF(E199&lt;=301,E199/3,E199/4))))</f>
        <v>1418.9912099999999</v>
      </c>
      <c r="G199" s="71"/>
      <c r="H199" s="72"/>
      <c r="I199" s="34"/>
      <c r="L199" s="75"/>
      <c r="M199" s="75"/>
      <c r="N199" s="34"/>
    </row>
    <row r="200" spans="1:14" s="35" customFormat="1" x14ac:dyDescent="0.3">
      <c r="A200" s="40">
        <f t="shared" si="18"/>
        <v>4</v>
      </c>
      <c r="B200" s="40" t="s">
        <v>222</v>
      </c>
      <c r="C200" s="40" t="s">
        <v>201</v>
      </c>
      <c r="D200" s="55">
        <f>(58.86)*10.764</f>
        <v>633.56903999999997</v>
      </c>
      <c r="E200" s="55">
        <v>0</v>
      </c>
      <c r="F200" s="40">
        <f>D200*(($F$102)+1)+(IF(E200&lt;101,E200,IF(E200&lt;201,E200/2,IF(E200&lt;=301,E200/3,E200/4))))</f>
        <v>982.03201200000001</v>
      </c>
      <c r="G200" s="73"/>
      <c r="H200" s="74"/>
      <c r="I200" s="34"/>
      <c r="L200" s="75"/>
      <c r="M200" s="75"/>
      <c r="N200" s="34"/>
    </row>
    <row r="201" spans="1:14" s="33" customFormat="1" x14ac:dyDescent="0.3">
      <c r="A201" s="171" t="s">
        <v>70</v>
      </c>
      <c r="B201" s="171"/>
      <c r="C201" s="171"/>
      <c r="D201" s="171"/>
      <c r="E201" s="171"/>
      <c r="F201" s="171"/>
      <c r="G201" s="171"/>
      <c r="H201" s="171"/>
    </row>
    <row r="202" spans="1:14" s="54" customFormat="1" x14ac:dyDescent="0.3">
      <c r="A202" s="53" t="s">
        <v>156</v>
      </c>
      <c r="B202" s="125" t="s">
        <v>229</v>
      </c>
      <c r="C202" s="126"/>
      <c r="D202" s="126"/>
      <c r="E202" s="126"/>
      <c r="F202" s="126"/>
      <c r="G202" s="126"/>
      <c r="H202" s="127"/>
    </row>
    <row r="203" spans="1:14" s="33" customFormat="1" x14ac:dyDescent="0.3">
      <c r="A203" s="43" t="s">
        <v>156</v>
      </c>
      <c r="B203" s="125" t="str">
        <f>(IF(F101="Saleable area Loading :","We have considered Saleable area of Flats as per our Calculation.","We considered Saleable area of Flat as per Builder area Sheet."))</f>
        <v>We have considered Saleable area of Flats as per our Calculation.</v>
      </c>
      <c r="C203" s="126"/>
      <c r="D203" s="126"/>
      <c r="E203" s="126"/>
      <c r="F203" s="126"/>
      <c r="G203" s="126"/>
      <c r="H203" s="127"/>
    </row>
    <row r="204" spans="1:14" s="33" customFormat="1" x14ac:dyDescent="0.3">
      <c r="A204" s="43" t="s">
        <v>156</v>
      </c>
      <c r="B204" s="121" t="s">
        <v>126</v>
      </c>
      <c r="C204" s="122"/>
      <c r="D204" s="122"/>
      <c r="E204" s="122"/>
      <c r="F204" s="122"/>
      <c r="G204" s="122"/>
      <c r="H204" s="123"/>
    </row>
    <row r="205" spans="1:14" s="33" customFormat="1" x14ac:dyDescent="0.3">
      <c r="A205" s="43" t="s">
        <v>156</v>
      </c>
      <c r="B205" s="125" t="s">
        <v>215</v>
      </c>
      <c r="C205" s="126"/>
      <c r="D205" s="126"/>
      <c r="E205" s="126"/>
      <c r="F205" s="126"/>
      <c r="G205" s="126"/>
      <c r="H205" s="127"/>
    </row>
    <row r="206" spans="1:14" s="33" customFormat="1" x14ac:dyDescent="0.3">
      <c r="A206" s="43" t="s">
        <v>156</v>
      </c>
      <c r="B206" s="121" t="s">
        <v>155</v>
      </c>
      <c r="C206" s="122"/>
      <c r="D206" s="122"/>
      <c r="E206" s="122"/>
      <c r="F206" s="122"/>
      <c r="G206" s="122"/>
      <c r="H206" s="123"/>
    </row>
    <row r="207" spans="1:14" s="33" customFormat="1" x14ac:dyDescent="0.3">
      <c r="A207" s="43" t="s">
        <v>156</v>
      </c>
      <c r="B207" s="121" t="s">
        <v>127</v>
      </c>
      <c r="C207" s="122"/>
      <c r="D207" s="122"/>
      <c r="E207" s="122"/>
      <c r="F207" s="122"/>
      <c r="G207" s="122"/>
      <c r="H207" s="123"/>
    </row>
    <row r="208" spans="1:14" s="33" customFormat="1" ht="34.5" customHeight="1" x14ac:dyDescent="0.3">
      <c r="A208" s="43" t="s">
        <v>156</v>
      </c>
      <c r="B208" s="121" t="s">
        <v>157</v>
      </c>
      <c r="C208" s="122"/>
      <c r="D208" s="122"/>
      <c r="E208" s="122"/>
      <c r="F208" s="122"/>
      <c r="G208" s="122"/>
      <c r="H208" s="123"/>
    </row>
    <row r="209" spans="1:8" s="33" customFormat="1" x14ac:dyDescent="0.3">
      <c r="A209" s="43" t="s">
        <v>156</v>
      </c>
      <c r="B209" s="121" t="s">
        <v>128</v>
      </c>
      <c r="C209" s="122"/>
      <c r="D209" s="122"/>
      <c r="E209" s="122"/>
      <c r="F209" s="122"/>
      <c r="G209" s="122"/>
      <c r="H209" s="123"/>
    </row>
    <row r="210" spans="1:8" s="33" customFormat="1" x14ac:dyDescent="0.3">
      <c r="A210" s="43" t="s">
        <v>156</v>
      </c>
      <c r="B210" s="121" t="s">
        <v>228</v>
      </c>
      <c r="C210" s="122"/>
      <c r="D210" s="122"/>
      <c r="E210" s="122"/>
      <c r="F210" s="122"/>
      <c r="G210" s="122"/>
      <c r="H210" s="123"/>
    </row>
    <row r="211" spans="1:8" s="33" customFormat="1" x14ac:dyDescent="0.3">
      <c r="A211" s="43" t="s">
        <v>156</v>
      </c>
      <c r="B211" s="121" t="s">
        <v>233</v>
      </c>
      <c r="C211" s="122"/>
      <c r="D211" s="122"/>
      <c r="E211" s="122"/>
      <c r="F211" s="122"/>
      <c r="G211" s="122"/>
      <c r="H211" s="123"/>
    </row>
    <row r="212" spans="1:8" x14ac:dyDescent="0.3">
      <c r="A212" s="110" t="s">
        <v>63</v>
      </c>
      <c r="B212" s="110"/>
      <c r="C212" s="110"/>
      <c r="D212" s="110"/>
      <c r="E212" s="110"/>
      <c r="F212" s="110"/>
      <c r="G212" s="110"/>
      <c r="H212" s="110"/>
    </row>
    <row r="213" spans="1:8" x14ac:dyDescent="0.3">
      <c r="A213" s="82" t="s">
        <v>64</v>
      </c>
      <c r="B213" s="82"/>
      <c r="C213" s="82"/>
      <c r="D213" s="82"/>
      <c r="E213" s="82"/>
      <c r="F213" s="82"/>
      <c r="G213" s="82"/>
      <c r="H213" s="82"/>
    </row>
    <row r="214" spans="1:8" ht="15.75" customHeight="1" x14ac:dyDescent="0.3">
      <c r="A214" s="83" t="s">
        <v>65</v>
      </c>
      <c r="B214" s="83"/>
      <c r="C214" s="83"/>
      <c r="D214" s="83"/>
      <c r="E214" s="83"/>
      <c r="F214" s="83"/>
      <c r="G214" s="83"/>
      <c r="H214" s="83"/>
    </row>
    <row r="215" spans="1:8" x14ac:dyDescent="0.3">
      <c r="A215" s="82" t="s">
        <v>66</v>
      </c>
      <c r="B215" s="82"/>
      <c r="C215" s="82"/>
      <c r="D215" s="82"/>
      <c r="E215" s="82"/>
      <c r="F215" s="82"/>
      <c r="G215" s="82"/>
      <c r="H215" s="82"/>
    </row>
    <row r="216" spans="1:8" x14ac:dyDescent="0.3">
      <c r="A216" s="82" t="s">
        <v>67</v>
      </c>
      <c r="B216" s="82"/>
      <c r="C216" s="82"/>
      <c r="D216" s="82"/>
      <c r="E216" s="82"/>
      <c r="F216" s="82"/>
      <c r="G216" s="82"/>
      <c r="H216" s="82"/>
    </row>
    <row r="217" spans="1:8" x14ac:dyDescent="0.3">
      <c r="A217" s="82" t="s">
        <v>129</v>
      </c>
      <c r="B217" s="82"/>
      <c r="C217" s="82"/>
      <c r="D217" s="82"/>
      <c r="E217" s="82"/>
      <c r="F217" s="82"/>
      <c r="G217" s="82"/>
      <c r="H217" s="82"/>
    </row>
    <row r="218" spans="1:8" x14ac:dyDescent="0.3">
      <c r="A218" s="111" t="s">
        <v>130</v>
      </c>
      <c r="B218" s="111"/>
      <c r="C218" s="111"/>
      <c r="D218" s="111"/>
      <c r="E218" s="111"/>
      <c r="F218" s="111"/>
      <c r="G218" s="111"/>
      <c r="H218" s="111"/>
    </row>
    <row r="219" spans="1:8" x14ac:dyDescent="0.3">
      <c r="A219" s="116" t="s">
        <v>79</v>
      </c>
      <c r="B219" s="116"/>
      <c r="C219" s="116" t="s">
        <v>234</v>
      </c>
      <c r="D219" s="116"/>
      <c r="E219" s="116" t="s">
        <v>109</v>
      </c>
      <c r="F219" s="116"/>
      <c r="G219" s="116" t="s">
        <v>236</v>
      </c>
      <c r="H219" s="116"/>
    </row>
    <row r="220" spans="1:8" x14ac:dyDescent="0.3">
      <c r="A220" s="115" t="s">
        <v>81</v>
      </c>
      <c r="B220" s="115"/>
      <c r="C220" s="115"/>
      <c r="D220" s="115"/>
      <c r="E220" s="115"/>
      <c r="F220" s="115"/>
      <c r="G220" s="115"/>
      <c r="H220" s="115"/>
    </row>
    <row r="221" spans="1:8" x14ac:dyDescent="0.3">
      <c r="A221" s="115"/>
      <c r="B221" s="115"/>
      <c r="C221" s="115"/>
      <c r="D221" s="115"/>
      <c r="E221" s="115"/>
      <c r="F221" s="115"/>
      <c r="G221" s="115"/>
      <c r="H221" s="115"/>
    </row>
    <row r="222" spans="1:8" x14ac:dyDescent="0.3">
      <c r="A222" s="115"/>
      <c r="B222" s="115"/>
      <c r="C222" s="115"/>
      <c r="D222" s="115"/>
      <c r="E222" s="115"/>
      <c r="F222" s="115"/>
      <c r="G222" s="115"/>
      <c r="H222" s="115"/>
    </row>
    <row r="223" spans="1:8" x14ac:dyDescent="0.3">
      <c r="A223" s="115"/>
      <c r="B223" s="115"/>
      <c r="C223" s="115"/>
      <c r="D223" s="115"/>
      <c r="E223" s="115"/>
      <c r="F223" s="115"/>
      <c r="G223" s="115"/>
      <c r="H223" s="115"/>
    </row>
    <row r="224" spans="1:8" x14ac:dyDescent="0.3">
      <c r="A224" s="36" t="s">
        <v>68</v>
      </c>
      <c r="B224" s="37"/>
      <c r="C224" s="37"/>
      <c r="D224" s="36" t="str">
        <f>E8</f>
        <v>Agarwal Florence</v>
      </c>
      <c r="F224" s="37"/>
      <c r="G224" s="37"/>
      <c r="H224" s="37"/>
    </row>
    <row r="225" spans="1:8" x14ac:dyDescent="0.3">
      <c r="A225" s="37"/>
      <c r="B225" s="37"/>
      <c r="C225" s="37"/>
      <c r="D225" s="37"/>
      <c r="E225" s="37"/>
      <c r="F225" s="37"/>
      <c r="G225" s="37"/>
      <c r="H225" s="37"/>
    </row>
    <row r="226" spans="1:8" x14ac:dyDescent="0.3">
      <c r="A226" s="37"/>
      <c r="B226" s="37"/>
      <c r="C226" s="37"/>
      <c r="D226" s="37"/>
      <c r="E226" s="37"/>
      <c r="F226" s="37"/>
      <c r="G226" s="37"/>
      <c r="H226" s="37"/>
    </row>
    <row r="227" spans="1:8" ht="15" customHeight="1" x14ac:dyDescent="0.3"/>
    <row r="266" spans="1:1" x14ac:dyDescent="0.3">
      <c r="A266" s="39" t="s">
        <v>168</v>
      </c>
    </row>
    <row r="308" spans="1:1" x14ac:dyDescent="0.3">
      <c r="A308" s="39" t="s">
        <v>69</v>
      </c>
    </row>
  </sheetData>
  <mergeCells count="354">
    <mergeCell ref="B210:H210"/>
    <mergeCell ref="B211:H211"/>
    <mergeCell ref="C97:D97"/>
    <mergeCell ref="E97:F97"/>
    <mergeCell ref="G97:H97"/>
    <mergeCell ref="A96:A97"/>
    <mergeCell ref="A196:H196"/>
    <mergeCell ref="G197:H200"/>
    <mergeCell ref="L197:M197"/>
    <mergeCell ref="L198:M198"/>
    <mergeCell ref="L199:M199"/>
    <mergeCell ref="L200:M200"/>
    <mergeCell ref="L144:M144"/>
    <mergeCell ref="A191:H191"/>
    <mergeCell ref="G192:H195"/>
    <mergeCell ref="L192:M192"/>
    <mergeCell ref="L193:M193"/>
    <mergeCell ref="L194:M194"/>
    <mergeCell ref="L195:M195"/>
    <mergeCell ref="A145:H145"/>
    <mergeCell ref="G146:H149"/>
    <mergeCell ref="L146:M146"/>
    <mergeCell ref="L147:M147"/>
    <mergeCell ref="L148:M148"/>
    <mergeCell ref="B190:F190"/>
    <mergeCell ref="A186:H186"/>
    <mergeCell ref="G187:H190"/>
    <mergeCell ref="L187:M187"/>
    <mergeCell ref="L188:M188"/>
    <mergeCell ref="L189:M189"/>
    <mergeCell ref="L190:M190"/>
    <mergeCell ref="A140:H140"/>
    <mergeCell ref="G141:H144"/>
    <mergeCell ref="L141:M141"/>
    <mergeCell ref="L142:M142"/>
    <mergeCell ref="L143:M143"/>
    <mergeCell ref="L174:M174"/>
    <mergeCell ref="L175:M175"/>
    <mergeCell ref="C175:F175"/>
    <mergeCell ref="A166:H166"/>
    <mergeCell ref="G167:H170"/>
    <mergeCell ref="L167:M167"/>
    <mergeCell ref="L168:M168"/>
    <mergeCell ref="L169:M169"/>
    <mergeCell ref="L170:M170"/>
    <mergeCell ref="A176:H176"/>
    <mergeCell ref="G177:H180"/>
    <mergeCell ref="A181:H181"/>
    <mergeCell ref="L182:M182"/>
    <mergeCell ref="L183:M183"/>
    <mergeCell ref="L184:M184"/>
    <mergeCell ref="L185:M185"/>
    <mergeCell ref="A135:H135"/>
    <mergeCell ref="G136:H139"/>
    <mergeCell ref="L136:M136"/>
    <mergeCell ref="L137:M137"/>
    <mergeCell ref="L153:M153"/>
    <mergeCell ref="A161:H161"/>
    <mergeCell ref="G162:H165"/>
    <mergeCell ref="L162:M162"/>
    <mergeCell ref="L163:M163"/>
    <mergeCell ref="L164:M164"/>
    <mergeCell ref="L165:M165"/>
    <mergeCell ref="L158:M158"/>
    <mergeCell ref="L159:M159"/>
    <mergeCell ref="L160:M160"/>
    <mergeCell ref="L138:M138"/>
    <mergeCell ref="L139:M139"/>
    <mergeCell ref="L177:M177"/>
    <mergeCell ref="L178:M178"/>
    <mergeCell ref="L179:M179"/>
    <mergeCell ref="A171:H171"/>
    <mergeCell ref="A84:E84"/>
    <mergeCell ref="A98:B98"/>
    <mergeCell ref="E98:F98"/>
    <mergeCell ref="A38:B38"/>
    <mergeCell ref="C38:H38"/>
    <mergeCell ref="B208:H208"/>
    <mergeCell ref="A47:B47"/>
    <mergeCell ref="C47:H47"/>
    <mergeCell ref="B206:H206"/>
    <mergeCell ref="F81:H81"/>
    <mergeCell ref="A81:E81"/>
    <mergeCell ref="A83:E83"/>
    <mergeCell ref="A85:E85"/>
    <mergeCell ref="F85:H85"/>
    <mergeCell ref="A86:E86"/>
    <mergeCell ref="A88:E88"/>
    <mergeCell ref="F82:H82"/>
    <mergeCell ref="A87:E87"/>
    <mergeCell ref="A82:E82"/>
    <mergeCell ref="A79:E79"/>
    <mergeCell ref="F83:H83"/>
    <mergeCell ref="G96:H96"/>
    <mergeCell ref="C67:H67"/>
    <mergeCell ref="G182:H185"/>
    <mergeCell ref="L108:M108"/>
    <mergeCell ref="B204:H204"/>
    <mergeCell ref="B205:H205"/>
    <mergeCell ref="A201:H201"/>
    <mergeCell ref="B101:B102"/>
    <mergeCell ref="F79:H79"/>
    <mergeCell ref="F84:H84"/>
    <mergeCell ref="A101:A102"/>
    <mergeCell ref="A90:E90"/>
    <mergeCell ref="G98:H98"/>
    <mergeCell ref="C96:D96"/>
    <mergeCell ref="E96:F96"/>
    <mergeCell ref="G94:H94"/>
    <mergeCell ref="F87:H87"/>
    <mergeCell ref="F90:H90"/>
    <mergeCell ref="F88:H88"/>
    <mergeCell ref="A89:E89"/>
    <mergeCell ref="C98:D98"/>
    <mergeCell ref="A105:H105"/>
    <mergeCell ref="F89:H89"/>
    <mergeCell ref="C94:D94"/>
    <mergeCell ref="L109:M109"/>
    <mergeCell ref="L106:M106"/>
    <mergeCell ref="L180:M180"/>
    <mergeCell ref="L107:M107"/>
    <mergeCell ref="A37:B37"/>
    <mergeCell ref="C37:H37"/>
    <mergeCell ref="A44:D44"/>
    <mergeCell ref="A76:B76"/>
    <mergeCell ref="C95:D95"/>
    <mergeCell ref="E95:F95"/>
    <mergeCell ref="G95:H95"/>
    <mergeCell ref="F86:H86"/>
    <mergeCell ref="A80:E80"/>
    <mergeCell ref="A59:C59"/>
    <mergeCell ref="E69:F78"/>
    <mergeCell ref="G69:H78"/>
    <mergeCell ref="A77:B77"/>
    <mergeCell ref="A78:B78"/>
    <mergeCell ref="D59:H59"/>
    <mergeCell ref="A75:B75"/>
    <mergeCell ref="A68:B68"/>
    <mergeCell ref="A71:B71"/>
    <mergeCell ref="A67:B67"/>
    <mergeCell ref="A65:B65"/>
    <mergeCell ref="C65:H65"/>
    <mergeCell ref="A73:B73"/>
    <mergeCell ref="A60:C60"/>
    <mergeCell ref="D60:H60"/>
    <mergeCell ref="A36:H36"/>
    <mergeCell ref="A35:B35"/>
    <mergeCell ref="C35:E35"/>
    <mergeCell ref="A40:D40"/>
    <mergeCell ref="E40:H40"/>
    <mergeCell ref="F32:H32"/>
    <mergeCell ref="F33:H33"/>
    <mergeCell ref="A39:H39"/>
    <mergeCell ref="A58:C58"/>
    <mergeCell ref="D58:H58"/>
    <mergeCell ref="A42:D42"/>
    <mergeCell ref="E42:H42"/>
    <mergeCell ref="E43:H43"/>
    <mergeCell ref="E44:H44"/>
    <mergeCell ref="E45:H45"/>
    <mergeCell ref="A43:D43"/>
    <mergeCell ref="F35:H35"/>
    <mergeCell ref="A45:D45"/>
    <mergeCell ref="A46:H46"/>
    <mergeCell ref="D56:H56"/>
    <mergeCell ref="A56:C56"/>
    <mergeCell ref="G49:H49"/>
    <mergeCell ref="A50:B51"/>
    <mergeCell ref="A48:B48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E41:H41"/>
    <mergeCell ref="A41:D41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A16:B16"/>
    <mergeCell ref="C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72:B72"/>
    <mergeCell ref="E68:F68"/>
    <mergeCell ref="A61:C61"/>
    <mergeCell ref="D61:H61"/>
    <mergeCell ref="A64:C64"/>
    <mergeCell ref="D64:H64"/>
    <mergeCell ref="A62:C62"/>
    <mergeCell ref="D62:H62"/>
    <mergeCell ref="A63:C63"/>
    <mergeCell ref="D63:H63"/>
    <mergeCell ref="A69:B69"/>
    <mergeCell ref="G68:H68"/>
    <mergeCell ref="A70:B70"/>
    <mergeCell ref="A220:H223"/>
    <mergeCell ref="A219:B219"/>
    <mergeCell ref="E219:F219"/>
    <mergeCell ref="C219:D219"/>
    <mergeCell ref="G219:H219"/>
    <mergeCell ref="A91:E91"/>
    <mergeCell ref="F91:H91"/>
    <mergeCell ref="A92:E92"/>
    <mergeCell ref="F92:H92"/>
    <mergeCell ref="A215:H215"/>
    <mergeCell ref="A93:H93"/>
    <mergeCell ref="A218:H218"/>
    <mergeCell ref="A216:H216"/>
    <mergeCell ref="A212:H212"/>
    <mergeCell ref="A213:H213"/>
    <mergeCell ref="E94:F94"/>
    <mergeCell ref="B209:H209"/>
    <mergeCell ref="B207:H207"/>
    <mergeCell ref="A99:H99"/>
    <mergeCell ref="B202:H202"/>
    <mergeCell ref="B203:H203"/>
    <mergeCell ref="A100:H100"/>
    <mergeCell ref="C101:C102"/>
    <mergeCell ref="G111:H114"/>
    <mergeCell ref="A57:C57"/>
    <mergeCell ref="D57:H57"/>
    <mergeCell ref="C49:E49"/>
    <mergeCell ref="A52:B52"/>
    <mergeCell ref="C52:E52"/>
    <mergeCell ref="A49:B49"/>
    <mergeCell ref="A53:H53"/>
    <mergeCell ref="A54:C54"/>
    <mergeCell ref="A55:C55"/>
    <mergeCell ref="D55:H55"/>
    <mergeCell ref="G52:H52"/>
    <mergeCell ref="A217:H217"/>
    <mergeCell ref="A214:H214"/>
    <mergeCell ref="A94:B94"/>
    <mergeCell ref="D101:D102"/>
    <mergeCell ref="E101:E102"/>
    <mergeCell ref="G101:H102"/>
    <mergeCell ref="A74:B74"/>
    <mergeCell ref="F80:H80"/>
    <mergeCell ref="C48:E48"/>
    <mergeCell ref="C51:E51"/>
    <mergeCell ref="G51:H51"/>
    <mergeCell ref="G48:H48"/>
    <mergeCell ref="G50:H50"/>
    <mergeCell ref="D54:H54"/>
    <mergeCell ref="C50:E50"/>
    <mergeCell ref="A103:H103"/>
    <mergeCell ref="A104:H104"/>
    <mergeCell ref="G106:H109"/>
    <mergeCell ref="A150:H150"/>
    <mergeCell ref="A151:H151"/>
    <mergeCell ref="A152:H152"/>
    <mergeCell ref="A110:H110"/>
    <mergeCell ref="A120:H120"/>
    <mergeCell ref="G121:H124"/>
    <mergeCell ref="L121:M121"/>
    <mergeCell ref="L122:M122"/>
    <mergeCell ref="A125:H125"/>
    <mergeCell ref="G126:H129"/>
    <mergeCell ref="A130:H130"/>
    <mergeCell ref="G131:H134"/>
    <mergeCell ref="B138:F138"/>
    <mergeCell ref="L126:M126"/>
    <mergeCell ref="L127:M127"/>
    <mergeCell ref="L128:M128"/>
    <mergeCell ref="L129:M129"/>
    <mergeCell ref="L131:M131"/>
    <mergeCell ref="L132:M132"/>
    <mergeCell ref="L133:M133"/>
    <mergeCell ref="L134:M134"/>
    <mergeCell ref="L111:M111"/>
    <mergeCell ref="L112:M112"/>
    <mergeCell ref="L113:M113"/>
    <mergeCell ref="L114:M114"/>
    <mergeCell ref="A115:H115"/>
    <mergeCell ref="G116:H119"/>
    <mergeCell ref="L116:M116"/>
    <mergeCell ref="L117:M117"/>
    <mergeCell ref="L118:M118"/>
    <mergeCell ref="L119:M119"/>
    <mergeCell ref="G172:H175"/>
    <mergeCell ref="L172:M172"/>
    <mergeCell ref="L173:M173"/>
    <mergeCell ref="L123:M123"/>
    <mergeCell ref="L124:M124"/>
    <mergeCell ref="C123:F123"/>
    <mergeCell ref="L154:M154"/>
    <mergeCell ref="L155:M155"/>
    <mergeCell ref="L156:M156"/>
    <mergeCell ref="L157:M157"/>
    <mergeCell ref="G153:H160"/>
    <mergeCell ref="L149:M149"/>
  </mergeCells>
  <hyperlinks>
    <hyperlink ref="C38" r:id="rId1" xr:uid="{00000000-0004-0000-0000-000000000000}"/>
    <hyperlink ref="I98" r:id="rId2" xr:uid="{00000000-0004-0000-0000-000001000000}"/>
    <hyperlink ref="I99" r:id="rId3" xr:uid="{00000000-0004-0000-0000-000002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4"/>
  <headerFooter>
    <oddHeader>&amp;C&amp;G</oddHeader>
    <oddFooter>&amp;L&amp;"Times New Roman,Bold"&amp;12Ref No: &amp;F&amp;C&amp;G&amp;R&amp;"Times New Roman,Bold"&amp;12&amp;P</oddFooter>
  </headerFooter>
  <rowBreaks count="3" manualBreakCount="3">
    <brk id="223" max="16383" man="1"/>
    <brk id="265" max="16383" man="1"/>
    <brk id="307" max="16383" man="1"/>
  </rowBreaks>
  <drawing r:id="rId5"/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topLeftCell="A19" zoomScale="85" zoomScaleNormal="85" workbookViewId="0">
      <selection activeCell="L8" sqref="L8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85" t="s">
        <v>110</v>
      </c>
      <c r="C3" s="185"/>
      <c r="D3" s="185"/>
      <c r="E3" s="185"/>
      <c r="F3" s="185"/>
      <c r="G3" s="185"/>
      <c r="H3" s="185"/>
    </row>
    <row r="4" spans="1:9" x14ac:dyDescent="0.3">
      <c r="A4" s="2"/>
      <c r="B4" s="3" t="s">
        <v>111</v>
      </c>
      <c r="C4" s="3" t="s">
        <v>112</v>
      </c>
      <c r="D4" s="3" t="s">
        <v>71</v>
      </c>
      <c r="E4" s="3" t="s">
        <v>113</v>
      </c>
      <c r="F4" s="3" t="s">
        <v>119</v>
      </c>
      <c r="G4" s="3" t="s">
        <v>120</v>
      </c>
      <c r="H4" s="3" t="s">
        <v>114</v>
      </c>
    </row>
    <row r="5" spans="1:9" ht="15" customHeight="1" x14ac:dyDescent="0.3">
      <c r="A5" s="2"/>
      <c r="B5" s="5" t="s">
        <v>115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115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115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115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115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116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116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117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118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pranitam503@gmail.com</cp:lastModifiedBy>
  <cp:lastPrinted>2025-08-19T13:04:38Z</cp:lastPrinted>
  <dcterms:created xsi:type="dcterms:W3CDTF">2019-07-16T09:29:46Z</dcterms:created>
  <dcterms:modified xsi:type="dcterms:W3CDTF">2025-08-19T13:17:00Z</dcterms:modified>
</cp:coreProperties>
</file>