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prani\Downloads\19.08\"/>
    </mc:Choice>
  </mc:AlternateContent>
  <xr:revisionPtr revIDLastSave="0" documentId="13_ncr:1_{88EF32ED-BE88-4BBF-829B-70BA5FD14C20}"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Report!$A$1:$H$333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3" i="1" l="1"/>
  <c r="K132" i="1"/>
  <c r="K133" i="1"/>
  <c r="K134" i="1"/>
  <c r="K125" i="1"/>
  <c r="I193" i="1"/>
  <c r="D178" i="1" l="1"/>
  <c r="D177" i="1"/>
  <c r="D176" i="1"/>
  <c r="D171" i="1"/>
  <c r="D170" i="1"/>
  <c r="D169" i="1"/>
  <c r="D172" i="1"/>
  <c r="E172" i="1"/>
  <c r="E167" i="1"/>
  <c r="G172" i="1"/>
  <c r="G167" i="1"/>
  <c r="D167" i="1"/>
  <c r="E156" i="1"/>
  <c r="E155" i="1"/>
  <c r="E150" i="1"/>
  <c r="E149" i="1"/>
  <c r="E164" i="1"/>
  <c r="E165" i="1"/>
  <c r="D163" i="1"/>
  <c r="D162" i="1"/>
  <c r="D161" i="1"/>
  <c r="D154" i="1"/>
  <c r="D153" i="1"/>
  <c r="D152" i="1"/>
  <c r="D145" i="1"/>
  <c r="D144" i="1"/>
  <c r="D143" i="1"/>
  <c r="D137" i="1"/>
  <c r="D135" i="1"/>
  <c r="D136" i="1"/>
  <c r="D134" i="1"/>
  <c r="I60" i="1"/>
  <c r="E43" i="1"/>
  <c r="E178" i="1" l="1"/>
  <c r="F178" i="1" s="1"/>
  <c r="H178" i="1" s="1"/>
  <c r="E177" i="1"/>
  <c r="F177" i="1" s="1"/>
  <c r="H177" i="1" s="1"/>
  <c r="E176" i="1"/>
  <c r="F176" i="1" s="1"/>
  <c r="H176" i="1" s="1"/>
  <c r="E175" i="1"/>
  <c r="D175" i="1"/>
  <c r="F172" i="1"/>
  <c r="H172" i="1" s="1"/>
  <c r="E171" i="1"/>
  <c r="F171" i="1" s="1"/>
  <c r="H171" i="1" s="1"/>
  <c r="E170" i="1"/>
  <c r="F170" i="1" s="1"/>
  <c r="H170" i="1" s="1"/>
  <c r="E169" i="1"/>
  <c r="F169" i="1" s="1"/>
  <c r="H169" i="1" s="1"/>
  <c r="E168" i="1"/>
  <c r="D168" i="1"/>
  <c r="F167" i="1"/>
  <c r="H167" i="1" s="1"/>
  <c r="D165" i="1"/>
  <c r="F165" i="1" s="1"/>
  <c r="H165" i="1" s="1"/>
  <c r="D164" i="1"/>
  <c r="F164" i="1" s="1"/>
  <c r="H164" i="1" s="1"/>
  <c r="E163" i="1"/>
  <c r="F163" i="1" s="1"/>
  <c r="H163" i="1" s="1"/>
  <c r="E162" i="1"/>
  <c r="F162" i="1" s="1"/>
  <c r="H162" i="1" s="1"/>
  <c r="E161" i="1"/>
  <c r="F161" i="1" s="1"/>
  <c r="H161" i="1" s="1"/>
  <c r="E160" i="1"/>
  <c r="D160" i="1"/>
  <c r="D156" i="1"/>
  <c r="F156" i="1" s="1"/>
  <c r="H156" i="1" s="1"/>
  <c r="D155" i="1"/>
  <c r="F155" i="1" s="1"/>
  <c r="H155" i="1" s="1"/>
  <c r="K141" i="1" s="1"/>
  <c r="E154" i="1"/>
  <c r="F154" i="1" s="1"/>
  <c r="H154" i="1" s="1"/>
  <c r="K140" i="1" s="1"/>
  <c r="E153" i="1"/>
  <c r="F153" i="1" s="1"/>
  <c r="H153" i="1" s="1"/>
  <c r="K139" i="1" s="1"/>
  <c r="E152" i="1"/>
  <c r="F152" i="1" s="1"/>
  <c r="H152" i="1" s="1"/>
  <c r="E151" i="1"/>
  <c r="D151" i="1"/>
  <c r="D150" i="1"/>
  <c r="F150" i="1" s="1"/>
  <c r="H150" i="1" s="1"/>
  <c r="K136" i="1" s="1"/>
  <c r="D149" i="1"/>
  <c r="F149" i="1" s="1"/>
  <c r="H149" i="1" s="1"/>
  <c r="K135" i="1" s="1"/>
  <c r="E145" i="1"/>
  <c r="F145" i="1" s="1"/>
  <c r="H145" i="1" s="1"/>
  <c r="K131" i="1" s="1"/>
  <c r="E144" i="1"/>
  <c r="F144" i="1" s="1"/>
  <c r="H144" i="1" s="1"/>
  <c r="K130" i="1" s="1"/>
  <c r="E143" i="1"/>
  <c r="F143" i="1" s="1"/>
  <c r="H143" i="1" s="1"/>
  <c r="K129" i="1" s="1"/>
  <c r="E142" i="1"/>
  <c r="D142" i="1"/>
  <c r="E141" i="1"/>
  <c r="D141" i="1"/>
  <c r="E140" i="1"/>
  <c r="D140" i="1"/>
  <c r="E138" i="1"/>
  <c r="D138" i="1"/>
  <c r="E137" i="1"/>
  <c r="F137" i="1" s="1"/>
  <c r="H137" i="1" s="1"/>
  <c r="K123" i="1" s="1"/>
  <c r="E136" i="1"/>
  <c r="F136" i="1" s="1"/>
  <c r="H136" i="1" s="1"/>
  <c r="K122" i="1" s="1"/>
  <c r="E135" i="1"/>
  <c r="F135" i="1" s="1"/>
  <c r="H135" i="1" s="1"/>
  <c r="K121" i="1" s="1"/>
  <c r="E134" i="1"/>
  <c r="E133" i="1"/>
  <c r="D133" i="1"/>
  <c r="E132" i="1"/>
  <c r="D132" i="1"/>
  <c r="E131" i="1"/>
  <c r="D131" i="1"/>
  <c r="I148" i="1"/>
  <c r="I173" i="1"/>
  <c r="I166" i="1"/>
  <c r="I157" i="1"/>
  <c r="F175" i="1"/>
  <c r="H175" i="1" s="1"/>
  <c r="F160" i="1"/>
  <c r="H160" i="1" s="1"/>
  <c r="I139" i="1"/>
  <c r="I130" i="1"/>
  <c r="C119" i="1" l="1"/>
  <c r="C120" i="1" s="1"/>
  <c r="F141" i="1"/>
  <c r="H141" i="1" s="1"/>
  <c r="K127" i="1" s="1"/>
  <c r="F151" i="1"/>
  <c r="H151" i="1" s="1"/>
  <c r="K137" i="1" s="1"/>
  <c r="F142" i="1"/>
  <c r="H142" i="1" s="1"/>
  <c r="K128" i="1" s="1"/>
  <c r="I156" i="1"/>
  <c r="K142" i="1"/>
  <c r="F138" i="1"/>
  <c r="H138" i="1" s="1"/>
  <c r="K124" i="1" s="1"/>
  <c r="F140" i="1"/>
  <c r="H140" i="1" s="1"/>
  <c r="K126" i="1" s="1"/>
  <c r="K138" i="1"/>
  <c r="I152" i="1"/>
  <c r="F168" i="1"/>
  <c r="H168" i="1" s="1"/>
  <c r="I125" i="1"/>
  <c r="G51" i="1" l="1"/>
  <c r="C51" i="1"/>
  <c r="E46" i="1"/>
  <c r="E44" i="1" s="1"/>
  <c r="E45" i="1" l="1"/>
  <c r="B38" i="6" l="1"/>
  <c r="B39" i="6" s="1"/>
  <c r="B40" i="6" s="1"/>
  <c r="B41" i="6" s="1"/>
  <c r="B42" i="6" s="1"/>
  <c r="B43" i="6" s="1"/>
  <c r="B44" i="6" s="1"/>
  <c r="B45" i="6" s="1"/>
  <c r="B46" i="6" s="1"/>
  <c r="B47" i="6" s="1"/>
  <c r="B48" i="6" s="1"/>
  <c r="B49" i="6" s="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s="1"/>
  <c r="F11" i="5"/>
  <c r="G11" i="5" s="1"/>
  <c r="F10" i="5"/>
  <c r="G10" i="5" s="1"/>
  <c r="F9" i="5"/>
  <c r="G9" i="5" s="1"/>
  <c r="F8" i="5"/>
  <c r="G8" i="5" s="1"/>
  <c r="F7" i="5"/>
  <c r="G7" i="5" s="1"/>
  <c r="F6" i="5"/>
  <c r="G6" i="5" s="1"/>
  <c r="F5" i="5"/>
  <c r="G5" i="5" s="1"/>
  <c r="G12" i="5" s="1"/>
  <c r="D208" i="1"/>
  <c r="B182" i="1"/>
  <c r="F134" i="1"/>
  <c r="H134" i="1" s="1"/>
  <c r="K120" i="1" s="1"/>
  <c r="F133" i="1"/>
  <c r="H133" i="1" s="1"/>
  <c r="F132" i="1"/>
  <c r="H132" i="1" s="1"/>
  <c r="K118" i="1" s="1"/>
  <c r="F131" i="1"/>
  <c r="F116" i="1"/>
  <c r="B75" i="1"/>
  <c r="D68" i="1"/>
  <c r="G57" i="1"/>
  <c r="K55" i="1"/>
  <c r="S33" i="1"/>
  <c r="E31" i="1"/>
  <c r="E28" i="1"/>
  <c r="E26" i="1"/>
  <c r="C16" i="1"/>
  <c r="I15" i="1"/>
  <c r="Z13" i="1"/>
  <c r="E8" i="1"/>
  <c r="E3" i="1"/>
  <c r="B194" i="1" s="1"/>
  <c r="H75" i="1"/>
  <c r="J133" i="1" l="1"/>
  <c r="I133" i="1"/>
  <c r="K119" i="1"/>
  <c r="E119" i="1"/>
  <c r="E120" i="1" s="1"/>
  <c r="H131" i="1"/>
  <c r="I42" i="7"/>
  <c r="H42" i="7" s="1"/>
  <c r="L42" i="7"/>
  <c r="K42" i="7" s="1"/>
  <c r="D83" i="1"/>
  <c r="J77" i="1"/>
  <c r="D82" i="1"/>
  <c r="D87" i="1"/>
  <c r="D81" i="1"/>
  <c r="D86" i="1"/>
  <c r="D80" i="1"/>
  <c r="J79" i="1"/>
  <c r="D85" i="1"/>
  <c r="D84" i="1"/>
  <c r="J78" i="1"/>
  <c r="J74" i="1"/>
  <c r="J76" i="1" s="1"/>
  <c r="D42" i="7"/>
  <c r="L55" i="1"/>
  <c r="J85" i="1"/>
  <c r="I52" i="1"/>
  <c r="J80" i="1"/>
  <c r="J81" i="1" s="1"/>
  <c r="B89" i="1" l="1"/>
  <c r="G119" i="1"/>
  <c r="G120" i="1" s="1"/>
  <c r="K117" i="1"/>
  <c r="J86" i="1"/>
  <c r="J82" i="1"/>
  <c r="D44" i="7"/>
  <c r="E44" i="7"/>
  <c r="H89" i="1"/>
  <c r="J93" i="1" l="1"/>
  <c r="D101" i="1"/>
  <c r="D100" i="1"/>
  <c r="D96" i="1"/>
  <c r="J92" i="1"/>
  <c r="D98" i="1"/>
  <c r="J91" i="1"/>
  <c r="D97" i="1"/>
  <c r="D99" i="1"/>
  <c r="D95" i="1"/>
  <c r="D94" i="1"/>
  <c r="J88" i="1"/>
  <c r="J90" i="1" s="1"/>
  <c r="J99" i="1"/>
  <c r="J94" i="1"/>
  <c r="J95" i="1" s="1"/>
  <c r="J100" i="1" s="1"/>
  <c r="J83" i="1"/>
  <c r="J96" i="1" l="1"/>
  <c r="J97" i="1" s="1"/>
  <c r="J84" i="1"/>
  <c r="J87" i="1" s="1"/>
  <c r="C78" i="1" l="1"/>
  <c r="D78" i="1" s="1"/>
  <c r="C79" i="1"/>
  <c r="D79" i="1" s="1"/>
  <c r="C93" i="1"/>
  <c r="J98" i="1"/>
  <c r="J101" i="1" s="1"/>
  <c r="C92" i="1" s="1"/>
  <c r="J75" i="1" l="1"/>
  <c r="G78" i="1"/>
  <c r="E78" i="1"/>
  <c r="G92" i="1"/>
  <c r="D92" i="1"/>
  <c r="E92" i="1"/>
  <c r="D93" i="1"/>
  <c r="I75" i="1"/>
  <c r="I76" i="1" s="1"/>
  <c r="E102" i="1" l="1"/>
  <c r="D72" i="1"/>
  <c r="D73" i="1" s="1"/>
  <c r="H102" i="1"/>
  <c r="I89" i="1"/>
  <c r="I90" i="1" s="1"/>
  <c r="J89" i="1"/>
  <c r="I74" i="1"/>
  <c r="C76" i="1" s="1"/>
  <c r="F73" i="1" l="1"/>
  <c r="I88" i="1"/>
  <c r="C9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6" authorId="1" shapeId="0" xr:uid="{00000000-0006-0000-0000-000003000000}">
      <text>
        <r>
          <rPr>
            <b/>
            <sz val="9"/>
            <color indexed="81"/>
            <rFont val="Tahoma"/>
            <family val="2"/>
          </rPr>
          <t>SACHIN:</t>
        </r>
        <r>
          <rPr>
            <sz val="9"/>
            <color indexed="81"/>
            <rFont val="Tahoma"/>
            <family val="2"/>
          </rPr>
          <t xml:space="preserve">
Floor with height</t>
        </r>
      </text>
    </comment>
    <comment ref="C58" authorId="1" shapeId="0" xr:uid="{00000000-0006-0000-0000-000004000000}">
      <text>
        <r>
          <rPr>
            <b/>
            <sz val="9"/>
            <color indexed="81"/>
            <rFont val="Tahoma"/>
            <family val="2"/>
          </rPr>
          <t>SACHIN:</t>
        </r>
        <r>
          <rPr>
            <sz val="9"/>
            <color indexed="81"/>
            <rFont val="Tahoma"/>
            <family val="2"/>
          </rPr>
          <t xml:space="preserve">
Survey Nos.</t>
        </r>
      </text>
    </comment>
    <comment ref="C60" authorId="1" shapeId="0" xr:uid="{00000000-0006-0000-0000-000005000000}">
      <text>
        <r>
          <rPr>
            <b/>
            <sz val="9"/>
            <color indexed="81"/>
            <rFont val="Tahoma"/>
            <family val="2"/>
          </rPr>
          <t>SACHIN:</t>
        </r>
        <r>
          <rPr>
            <sz val="9"/>
            <color indexed="81"/>
            <rFont val="Tahoma"/>
            <family val="2"/>
          </rPr>
          <t xml:space="preserve">
Height from AMSL</t>
        </r>
      </text>
    </comment>
    <comment ref="D63"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09"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4"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<sst xmlns="http://schemas.openxmlformats.org/spreadsheetml/2006/main" count="694" uniqueCount="438">
  <si>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</si>
  <si>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</si>
  <si>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</si>
  <si>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</si>
  <si>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</si>
  <si>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</si>
  <si>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</si>
  <si>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</si>
  <si>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</si>
  <si>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</si>
  <si>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</si>
  <si>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</si>
  <si>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</si>
  <si>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</si>
  <si>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</si>
  <si>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</si>
  <si>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</si>
  <si>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</si>
  <si>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</si>
  <si>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</si>
  <si>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</si>
  <si>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</si>
  <si>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</si>
  <si>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</si>
  <si>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</si>
  <si>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</si>
  <si>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</si>
  <si>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</si>
  <si>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</si>
  <si>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</si>
  <si>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</si>
  <si>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</si>
  <si>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</si>
  <si>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</si>
  <si>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</si>
  <si>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</si>
  <si>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</si>
  <si>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</si>
  <si>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</si>
  <si>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</si>
  <si>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</si>
  <si>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</si>
  <si>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</si>
  <si>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</si>
  <si>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</si>
  <si>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</si>
  <si>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</si>
  <si>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</si>
  <si>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</si>
  <si>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</si>
  <si>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</si>
  <si>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</si>
  <si>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</si>
  <si>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</si>
  <si>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</si>
  <si>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</si>
  <si>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</si>
  <si>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</si>
  <si>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</si>
  <si>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</si>
  <si>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</si>
  <si>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</si>
  <si>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</si>
  <si>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</si>
  <si>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</si>
  <si>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</si>
  <si>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</si>
  <si>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</si>
  <si>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</si>
  <si>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</si>
  <si>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</si>
  <si>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</si>
  <si>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</si>
  <si>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</si>
  <si>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</si>
  <si>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</si>
  <si>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</si>
  <si>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</si>
  <si>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</si>
  <si>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</si>
  <si>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</si>
  <si>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</si>
  <si>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</si>
  <si>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</si>
  <si>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</si>
  <si>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</si>
  <si>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</si>
  <si>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</si>
  <si>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</si>
  <si>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</si>
  <si>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</si>
  <si>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</si>
  <si>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</si>
  <si>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</si>
  <si>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</si>
  <si>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</si>
  <si>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</si>
  <si>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</si>
  <si>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</si>
  <si>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</si>
  <si>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</si>
  <si>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</si>
  <si>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</si>
  <si>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</si>
  <si>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</si>
  <si>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</si>
  <si>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</si>
  <si>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</si>
  <si>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</si>
  <si>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</si>
  <si>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</si>
  <si>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</si>
  <si>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</si>
  <si>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</si>
  <si>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</si>
  <si>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</si>
  <si>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</si>
  <si>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</si>
  <si>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</si>
  <si>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</si>
  <si>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</si>
  <si>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</si>
  <si>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</si>
  <si>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</si>
  <si>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</si>
  <si>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</si>
  <si>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</si>
  <si>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</si>
  <si>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</si>
  <si>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</si>
  <si>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</si>
  <si>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</si>
  <si>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</si>
  <si>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</si>
  <si>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</si>
  <si>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</si>
  <si>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</si>
  <si>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</si>
  <si>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</si>
  <si>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</si>
  <si>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</si>
  <si>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</si>
  <si>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</si>
  <si>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</si>
  <si>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</si>
  <si>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</si>
  <si>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</si>
  <si>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</si>
  <si>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</si>
  <si>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</si>
  <si>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</si>
  <si>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</si>
  <si>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</si>
  <si>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</si>
  <si>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</si>
  <si>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</si>
  <si>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</si>
  <si>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</si>
  <si>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</si>
  <si>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</si>
  <si>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</si>
  <si>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</si>
  <si>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</si>
  <si>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</si>
  <si>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</si>
  <si>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</si>
  <si>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CTS No</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</si>
  <si>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</si>
  <si>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</si>
  <si>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</si>
  <si>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</si>
  <si>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</si>
  <si>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</si>
  <si>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</si>
  <si>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</si>
  <si>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</si>
  <si>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</si>
  <si>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</si>
  <si>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</si>
  <si>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</si>
  <si>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</si>
  <si>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</si>
  <si>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</si>
  <si>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</si>
  <si>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</si>
  <si>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</si>
  <si>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</si>
  <si>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</si>
  <si>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</si>
  <si>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</si>
  <si>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</si>
  <si>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</si>
  <si>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</si>
  <si>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</si>
  <si>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</si>
  <si>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</si>
  <si>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</si>
  <si>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</si>
  <si>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</si>
  <si>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</si>
  <si>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</si>
  <si>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</si>
  <si>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</si>
  <si>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</si>
  <si>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</si>
  <si>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</si>
  <si>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</si>
  <si>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</si>
  <si>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</si>
  <si>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</si>
  <si>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</si>
  <si>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</si>
  <si>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</si>
  <si>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</si>
  <si>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</si>
  <si>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</si>
  <si>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</si>
  <si>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</si>
  <si>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</si>
  <si>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</si>
  <si>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</si>
  <si>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</si>
  <si>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</si>
  <si>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</si>
  <si>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</si>
  <si>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</si>
  <si>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</si>
  <si>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</si>
  <si>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</si>
  <si>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</si>
  <si>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</si>
  <si>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</si>
  <si>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</si>
  <si>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</si>
  <si>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</si>
  <si>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</si>
  <si>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</si>
  <si>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</si>
  <si>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</si>
  <si>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</si>
  <si>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</si>
  <si>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</si>
  <si>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</si>
  <si>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</si>
  <si>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</si>
  <si>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</si>
  <si>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</si>
  <si>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</si>
  <si>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</si>
  <si>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</si>
  <si>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</si>
  <si>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</si>
  <si>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</si>
  <si>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</si>
  <si>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</si>
  <si>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</si>
  <si>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</si>
  <si>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</si>
  <si>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</si>
  <si>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</si>
  <si>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</si>
  <si>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</si>
  <si>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</si>
  <si>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</si>
  <si>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</si>
  <si>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</si>
  <si>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</si>
  <si>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</si>
  <si>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</si>
  <si>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</si>
  <si>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</si>
  <si>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</si>
  <si>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</si>
  <si>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</si>
  <si>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</si>
  <si>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</si>
  <si>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</si>
  <si>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</si>
  <si>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</si>
  <si>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</si>
  <si>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</si>
  <si>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</si>
  <si>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</si>
  <si>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</si>
  <si>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</si>
  <si>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</si>
  <si>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</si>
  <si>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</si>
  <si>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</si>
  <si>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</si>
  <si>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</si>
  <si>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</si>
  <si>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</si>
  <si>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</si>
  <si>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</si>
  <si>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</si>
  <si>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</si>
  <si>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</si>
  <si>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</si>
  <si>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</si>
  <si>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</si>
  <si>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</si>
  <si>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</si>
  <si>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</si>
  <si>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</si>
  <si>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</si>
  <si>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</si>
  <si>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</si>
  <si>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</si>
  <si>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</si>
  <si>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</si>
  <si>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</si>
  <si>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</si>
  <si>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</si>
  <si>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</si>
  <si>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</si>
  <si>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</si>
  <si>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</si>
  <si>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</si>
  <si>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</si>
  <si>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</si>
  <si>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</si>
  <si>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</si>
  <si>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</si>
  <si>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</si>
  <si>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</si>
  <si>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</si>
  <si>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</si>
  <si>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</si>
  <si>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</si>
  <si>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</si>
  <si>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</si>
  <si>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</si>
  <si>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</si>
  <si>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</si>
  <si>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</si>
  <si>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</si>
  <si>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</si>
  <si>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</si>
  <si>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</si>
  <si>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</si>
  <si>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</si>
  <si>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</si>
  <si>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</si>
  <si>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</si>
  <si>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</si>
  <si>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</si>
  <si>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</si>
  <si>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</si>
  <si>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</si>
  <si>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</si>
  <si>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</si>
  <si>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</si>
  <si>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</si>
  <si>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</si>
  <si>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</si>
  <si>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</si>
  <si>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</si>
  <si>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</si>
  <si>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</si>
  <si>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</si>
  <si>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M/s. Sunrise Housing</t>
  </si>
  <si>
    <t>Mr. Deven 9930763762</t>
  </si>
  <si>
    <t>Name in Truecaller</t>
  </si>
  <si>
    <t>Isle Of Calm Tower 1</t>
  </si>
  <si>
    <t>Approved Plans, CC, Airport NOC</t>
  </si>
  <si>
    <t>P51800077922</t>
  </si>
  <si>
    <t xml:space="preserve">27C(pt), 27D/1(pt), 27D/2(pt), 28, 28/1, 28/2, 28/3, 28/4 &amp; 28/5 </t>
  </si>
  <si>
    <t>Vihar Lake Road</t>
  </si>
  <si>
    <t>Powai</t>
  </si>
  <si>
    <t>Paspoli</t>
  </si>
  <si>
    <t>7.2KM from Kanjurmarg Railway Station</t>
  </si>
  <si>
    <t>IIM Mumbai</t>
  </si>
  <si>
    <t>Open Plot</t>
  </si>
  <si>
    <t>https://maps.app.goo.gl/2UquLTbt4z1mz8vH6</t>
  </si>
  <si>
    <t>01 Tower</t>
  </si>
  <si>
    <t>SNCR/WEST/B/021225/1561699</t>
  </si>
  <si>
    <t xml:space="preserve">Please check for Environment Clearance Certificate.
</t>
  </si>
  <si>
    <t>Tower No. 1 = 4B + G + 1st to 33rd Floor</t>
  </si>
  <si>
    <t>Tower No. 1 = 4B + G + 1st to 25th Floor</t>
  </si>
  <si>
    <t>As per RERA - 31/03/2029</t>
  </si>
  <si>
    <t>Café, Pet Friendly Zone, Rooftop, Community Lounge, Swimming Pool, Banquet Hall, Prayer &amp; Meditation Area, Multipurpose Games Room, Kids Play Area, Fitness Center, Library, Badminton Court etc.</t>
  </si>
  <si>
    <t>https://www.99acres.com/ghp-isle-of-calm-tower-2-powai-central-mumbai-suburbs-npxid-r433815?nn_source=Performance&amp;nn_account=Google_99acres-NPGoogle-Account&amp;nn_campaign=21156519557_165820215252_695555330565&amp;nn_medium=21156519557_165820215252_695555330565&amp;nn_adtype=g_&amp;nn_keyword=&amp;nn_placement=&amp;gad_source=1&amp;gclid=Cj0KCQjwhr6_BhD4ARIsAH1YdjCO4tMRffXTzct5a-uxOGy9UBWwQgUEUZT6GgPJBkJbQlQwCUG8VzwaAhxfEALw_wcB#showModal</t>
  </si>
  <si>
    <t>1st to 4th Basement Floor For Parking, Driveway</t>
  </si>
  <si>
    <t>Ground Floor For Entrance Lobby, Driveway</t>
  </si>
  <si>
    <t>1st Floor For Entrance Lobby</t>
  </si>
  <si>
    <t>Service Floor Between 1st &amp; 2nd Floor</t>
  </si>
  <si>
    <t>Tower No. 1</t>
  </si>
  <si>
    <t>2nd to 6th, 8th to 13th, 15th to 18th Floor For Residential</t>
  </si>
  <si>
    <t>2BHK</t>
  </si>
  <si>
    <t>1BHK</t>
  </si>
  <si>
    <t>3BHK</t>
  </si>
  <si>
    <t>7th &amp; 14th Floor (Part Refuge Area)</t>
  </si>
  <si>
    <t>Refuge Area</t>
  </si>
  <si>
    <t>21st Floor (Part Refuge Area)</t>
  </si>
  <si>
    <t>Deck Area</t>
  </si>
  <si>
    <t>19th to 20th, 22nd to 23rd Floor</t>
  </si>
  <si>
    <t xml:space="preserve">Details of Residential in Building   </t>
  </si>
  <si>
    <r>
      <t xml:space="preserve">Flat No.
</t>
    </r>
    <r>
      <rPr>
        <b/>
        <sz val="11"/>
        <rFont val="Times New Roman"/>
        <family val="1"/>
      </rPr>
      <t>(Approved Plan)</t>
    </r>
  </si>
  <si>
    <t>We considered Gross carpet area = Net carpet Area + Deck Area.</t>
  </si>
  <si>
    <t>Flats - 180</t>
  </si>
  <si>
    <t>unable to find in plan &amp; RERA site</t>
  </si>
  <si>
    <r>
      <t xml:space="preserve">Proposed Amenities :                                                                                                                                                                                                                         </t>
    </r>
    <r>
      <rPr>
        <b/>
        <sz val="12"/>
        <rFont val="Times New Roman"/>
        <family val="1"/>
      </rPr>
      <t xml:space="preserve">                                               </t>
    </r>
  </si>
  <si>
    <t>Mr. Akash Thorat (Sales) 9820026891</t>
  </si>
  <si>
    <t>Construction work is in process at the time of Visit (labour found).</t>
  </si>
  <si>
    <t>Re-Endorsement of Plinth CC for Phase I as per the approved phase program dated 30.07.2024 and as per amended plans approved dated 05.07.2024.
(CC valid upto 27.02.2025)</t>
  </si>
  <si>
    <t>01 Building</t>
  </si>
  <si>
    <t>Aarey Milk Colony</t>
  </si>
  <si>
    <t>Katharsis Studio 2</t>
  </si>
  <si>
    <t>Katharsis Studio 1</t>
  </si>
  <si>
    <t>Vihar Lake Road/IIM Mumbai</t>
  </si>
  <si>
    <t>09M Fire Tender Drive Way</t>
  </si>
  <si>
    <t>Other Plot</t>
  </si>
  <si>
    <t>Isle Of Calm Tower 2</t>
  </si>
  <si>
    <t>19.139954,72.897729</t>
  </si>
  <si>
    <t>Tower No. 1 = 4 LG + G + 1st floor + service floor + 2nd to 30th Floor
(Height 103.50 mtrs.)</t>
  </si>
  <si>
    <t xml:space="preserve">AMSL Site Elevation = 57.8 Mtr
AMSL Permissible Top Elevation = 132.69 Mtr </t>
  </si>
  <si>
    <t>25th Floor For Residential (Part Upper Duplex Floor)</t>
  </si>
  <si>
    <t>Lower Duplex with 24th Floor</t>
  </si>
  <si>
    <t>4BHK Upper Duplex With 25th Floor</t>
  </si>
  <si>
    <t>24th Floor For Residential (Part Lower Duplex Floor)</t>
  </si>
  <si>
    <t>Fire NOC is referred from the MCGM site.</t>
  </si>
  <si>
    <t>Approved area of building (Sq.Mt)
Tower 1</t>
  </si>
  <si>
    <t>The layout consists of three towers, but we have asked to draft Tower 1 only. 
So we have drafted the APF report for Tower 1.</t>
  </si>
  <si>
    <t>As per Airport NOC dated 21/02/2025, Permisssible Top Elevation above AMSL of the Building is restricted upto 74.89 M
But, As per Approved Plan, Height of the Building is upto Top Slab is 94.20 M
Please check this query from your end.</t>
  </si>
  <si>
    <t>P-11486/2022/(27C And
Other)/S Ward/PASPOLI/337/2/Amend</t>
  </si>
  <si>
    <t>P-11486/2022/(27C And Other)/S
Ward/PASPOLI/CC/2/Amend</t>
  </si>
  <si>
    <t>Flats</t>
  </si>
  <si>
    <t>Residential Area Details : Tower No. 1</t>
  </si>
  <si>
    <t>Ganesh Wadkar</t>
  </si>
  <si>
    <t>Tower No. 1 (Part I) = 4B + G + 1st to 33rd Floor</t>
  </si>
  <si>
    <t>Tower No. 1 (Part II) = 4B + G + 1st to 33rd Floor</t>
  </si>
  <si>
    <t>Average 
Progress %</t>
  </si>
  <si>
    <t>Average 
Disbursement %</t>
  </si>
  <si>
    <t>Average of 
Part I &amp; Part II</t>
  </si>
  <si>
    <t xml:space="preserve">P-11486/2022/ (27C and Other)/S-WARD/PASPOLI/337/1/NEW </t>
  </si>
  <si>
    <t>Validity of CC is expired on 05/08/2025. Please provide revised CC.</t>
  </si>
  <si>
    <t>Pranita Mhatre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</si>
</sst>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_(* #,##0.00_);_(* \(#,##0.00\);_(* &quot;-&quot;??_);_(@_)"/>
    <numFmt numFmtId="167" formatCode="_(* #,##0_);_(* \(#,##0\);_(* &quot;-&quot;??_);_(@_)"/>
    <numFmt numFmtId="168"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sz val="11"/>
      <color rgb="FFFF0000"/>
      <name val="Times New Roman"/>
      <family val="1"/>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6" fontId="4" fillId="0" borderId="0" applyFont="0" applyFill="0" applyBorder="0" applyAlignment="0" applyProtection="0"/>
    <xf numFmtId="0" fontId="20" fillId="0" borderId="0"/>
    <xf numFmtId="9" fontId="21" fillId="0" borderId="0" applyFont="0" applyFill="0" applyBorder="0" applyAlignment="0" applyProtection="0"/>
    <xf numFmtId="164" fontId="21" fillId="0" borderId="0" applyFont="0" applyFill="0" applyBorder="0" applyAlignment="0" applyProtection="0"/>
    <xf numFmtId="0" fontId="25" fillId="0" borderId="0" applyNumberFormat="0" applyFill="0" applyBorder="0" applyAlignment="0" applyProtection="0"/>
  </cellStyleXfs>
  <cellXfs count="247">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7"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4" fillId="2" borderId="0" xfId="1" applyFont="1" applyFill="1"/>
    <xf numFmtId="14" fontId="11"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2" xfId="0" applyBorder="1" applyAlignment="1">
      <alignment vertical="top"/>
    </xf>
    <xf numFmtId="0" fontId="0" fillId="0" borderId="33" xfId="0" applyBorder="1" applyAlignment="1">
      <alignment vertical="top" wrapText="1"/>
    </xf>
    <xf numFmtId="0" fontId="0" fillId="0" borderId="34"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3"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28" fillId="0" borderId="0" xfId="1" applyFont="1"/>
    <xf numFmtId="0" fontId="11" fillId="0" borderId="1" xfId="1" applyFont="1" applyBorder="1" applyAlignment="1" applyProtection="1">
      <alignment vertical="top" wrapText="1"/>
      <protection locked="0"/>
    </xf>
    <xf numFmtId="0" fontId="25" fillId="0" borderId="0" xfId="10"/>
    <xf numFmtId="1" fontId="6" fillId="0" borderId="1" xfId="1" applyNumberFormat="1" applyFont="1" applyBorder="1" applyAlignment="1">
      <alignment horizontal="center" vertical="center"/>
    </xf>
    <xf numFmtId="1" fontId="12" fillId="0" borderId="1" xfId="1" applyNumberFormat="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1" fontId="14" fillId="0" borderId="0" xfId="1" applyNumberFormat="1" applyFont="1"/>
    <xf numFmtId="2" fontId="14" fillId="0" borderId="0" xfId="1" applyNumberFormat="1" applyFont="1"/>
    <xf numFmtId="0" fontId="11" fillId="0" borderId="1" xfId="1" applyFont="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0" fontId="6" fillId="0" borderId="0" xfId="1" applyFont="1" applyAlignment="1">
      <alignment horizontal="center" vertical="center"/>
    </xf>
    <xf numFmtId="1" fontId="5" fillId="0" borderId="8"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9" fontId="11" fillId="0" borderId="17"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5" fillId="0" borderId="1" xfId="1" applyFont="1" applyBorder="1" applyAlignment="1" applyProtection="1">
      <alignment horizontal="left" vertical="top"/>
      <protection locked="0"/>
    </xf>
    <xf numFmtId="0" fontId="5"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9" fillId="0" borderId="16" xfId="1" applyFont="1" applyBorder="1" applyAlignment="1" applyProtection="1">
      <alignment horizontal="center" vertical="top"/>
      <protection locked="0"/>
    </xf>
    <xf numFmtId="168" fontId="6" fillId="0" borderId="1" xfId="9" applyNumberFormat="1" applyFont="1" applyFill="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25" fillId="0" borderId="1" xfId="10" applyFill="1" applyBorder="1" applyAlignment="1" applyProtection="1">
      <alignment horizontal="left" vertical="top" wrapText="1"/>
      <protection locked="0"/>
    </xf>
    <xf numFmtId="1" fontId="6" fillId="0" borderId="1" xfId="0" applyNumberFormat="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1" fontId="30" fillId="0" borderId="1" xfId="1" applyNumberFormat="1" applyFont="1" applyBorder="1" applyAlignment="1" applyProtection="1">
      <alignment horizontal="center" vertical="top" wrapText="1"/>
      <protection locked="0"/>
    </xf>
    <xf numFmtId="1" fontId="5" fillId="0" borderId="1" xfId="1" applyNumberFormat="1" applyFont="1" applyBorder="1" applyAlignment="1" applyProtection="1">
      <alignment horizontal="left" vertical="top" wrapText="1"/>
      <protection locked="0"/>
    </xf>
    <xf numFmtId="165" fontId="5"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14" fontId="11" fillId="0" borderId="8" xfId="1" applyNumberFormat="1" applyFont="1" applyBorder="1" applyAlignment="1" applyProtection="1">
      <alignment horizontal="left" vertical="top" wrapText="1"/>
      <protection locked="0"/>
    </xf>
    <xf numFmtId="14" fontId="11" fillId="0" borderId="9" xfId="1" applyNumberFormat="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11" fillId="0" borderId="8" xfId="1" applyFont="1" applyBorder="1" applyAlignment="1" applyProtection="1">
      <alignment horizontal="left" vertical="top" wrapText="1"/>
      <protection locked="0"/>
    </xf>
    <xf numFmtId="0" fontId="11" fillId="0" borderId="21"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0" fontId="11" fillId="0" borderId="8" xfId="1" applyFont="1" applyBorder="1" applyAlignment="1" applyProtection="1">
      <alignment vertical="top" wrapText="1"/>
      <protection locked="0"/>
    </xf>
    <xf numFmtId="0" fontId="11" fillId="0" borderId="21" xfId="1" applyFont="1" applyBorder="1" applyAlignment="1" applyProtection="1">
      <alignment vertical="top" wrapText="1"/>
      <protection locked="0"/>
    </xf>
    <xf numFmtId="0" fontId="11" fillId="0" borderId="9" xfId="1" applyFont="1" applyBorder="1" applyAlignment="1" applyProtection="1">
      <alignmen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25" xfId="1" applyFont="1" applyBorder="1" applyAlignment="1" applyProtection="1">
      <alignment horizontal="left" vertical="top" wrapText="1"/>
      <protection locked="0"/>
    </xf>
    <xf numFmtId="0" fontId="5" fillId="0" borderId="26"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11" fillId="0" borderId="3" xfId="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0" fontId="5" fillId="0" borderId="24" xfId="1" applyFont="1" applyBorder="1" applyAlignment="1" applyProtection="1">
      <alignment horizontal="left" vertical="top" wrapText="1"/>
      <protection locked="0"/>
    </xf>
    <xf numFmtId="0" fontId="5" fillId="0" borderId="2" xfId="1" applyFont="1" applyBorder="1" applyAlignment="1" applyProtection="1">
      <alignment horizontal="left" vertical="top" wrapText="1"/>
      <protection locked="0"/>
    </xf>
    <xf numFmtId="0" fontId="11" fillId="0" borderId="8" xfId="1" applyFont="1" applyBorder="1" applyAlignment="1" applyProtection="1">
      <alignment horizontal="center" vertical="top" wrapText="1"/>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1"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5" fillId="0" borderId="1" xfId="1" applyFont="1" applyBorder="1" applyAlignment="1" applyProtection="1">
      <alignment vertical="top"/>
      <protection locked="0"/>
    </xf>
    <xf numFmtId="0" fontId="7" fillId="0" borderId="16" xfId="1" applyFont="1" applyBorder="1" applyAlignment="1" applyProtection="1">
      <alignment horizontal="left" vertical="top"/>
      <protection locked="0"/>
    </xf>
    <xf numFmtId="0" fontId="9" fillId="0" borderId="1" xfId="0"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top" wrapText="1"/>
      <protection locked="0"/>
    </xf>
    <xf numFmtId="1" fontId="9" fillId="0" borderId="8" xfId="0" applyNumberFormat="1" applyFont="1" applyBorder="1" applyAlignment="1" applyProtection="1">
      <alignment vertical="top" wrapText="1"/>
      <protection locked="0"/>
    </xf>
    <xf numFmtId="1" fontId="9" fillId="0" borderId="21"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6" fillId="0" borderId="25" xfId="1" applyFont="1" applyBorder="1" applyAlignment="1">
      <alignment horizontal="center"/>
    </xf>
    <xf numFmtId="0" fontId="6" fillId="0" borderId="0" xfId="1" applyFont="1" applyAlignment="1">
      <alignment horizontal="center"/>
    </xf>
    <xf numFmtId="0" fontId="12" fillId="0" borderId="1" xfId="1" applyFont="1" applyBorder="1" applyAlignment="1" applyProtection="1">
      <alignment horizontal="center"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0" fontId="11" fillId="0" borderId="5" xfId="1" applyFont="1" applyBorder="1" applyAlignment="1" applyProtection="1">
      <alignment horizontal="center" vertical="top"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17" fillId="0" borderId="0" xfId="0" applyFont="1" applyBorder="1" applyProtection="1">
      <protection hidden="1"/>
    </xf>
    <xf numFmtId="1" fontId="0" fillId="0" borderId="0" xfId="0" applyNumberFormat="1" applyBorder="1"/>
    <xf numFmtId="0" fontId="12" fillId="3" borderId="32" xfId="1" applyFont="1" applyFill="1" applyBorder="1" applyAlignment="1" applyProtection="1">
      <alignment horizontal="center" vertical="top" wrapText="1"/>
      <protection locked="0"/>
    </xf>
    <xf numFmtId="0" fontId="12" fillId="3" borderId="35" xfId="1" applyFont="1" applyFill="1" applyBorder="1" applyAlignment="1" applyProtection="1">
      <alignment horizontal="center" vertical="top" wrapText="1"/>
      <protection locked="0"/>
    </xf>
    <xf numFmtId="0" fontId="9" fillId="3" borderId="36" xfId="0" applyFont="1" applyFill="1" applyBorder="1" applyAlignment="1">
      <alignment horizontal="center" vertical="center" wrapText="1"/>
    </xf>
    <xf numFmtId="0" fontId="9" fillId="3" borderId="35" xfId="0" applyFont="1" applyFill="1" applyBorder="1" applyAlignment="1">
      <alignment horizontal="center" vertical="center" wrapText="1"/>
    </xf>
    <xf numFmtId="9" fontId="12" fillId="3" borderId="37" xfId="8" applyFont="1" applyFill="1" applyBorder="1" applyAlignment="1" applyProtection="1">
      <alignment horizontal="center" vertical="center" wrapText="1"/>
      <protection locked="0"/>
    </xf>
    <xf numFmtId="9" fontId="12" fillId="3" borderId="38" xfId="8" applyFont="1" applyFill="1" applyBorder="1" applyAlignment="1" applyProtection="1">
      <alignment horizontal="center" vertical="center" wrapText="1"/>
      <protection locked="0"/>
    </xf>
    <xf numFmtId="0" fontId="12" fillId="3" borderId="34" xfId="1" applyFont="1" applyFill="1" applyBorder="1" applyAlignment="1" applyProtection="1">
      <alignment horizontal="center" vertical="top" wrapText="1"/>
      <protection locked="0"/>
    </xf>
    <xf numFmtId="0" fontId="12" fillId="3" borderId="29" xfId="1" applyFont="1" applyFill="1" applyBorder="1" applyAlignment="1" applyProtection="1">
      <alignment horizontal="center" vertical="top" wrapText="1"/>
      <protection locked="0"/>
    </xf>
    <xf numFmtId="0" fontId="9" fillId="3" borderId="28" xfId="0" applyFont="1" applyFill="1" applyBorder="1" applyAlignment="1">
      <alignment horizontal="center" vertical="center" wrapText="1"/>
    </xf>
    <xf numFmtId="0" fontId="9" fillId="3" borderId="29" xfId="0" applyFont="1" applyFill="1" applyBorder="1" applyAlignment="1">
      <alignment horizontal="center" vertical="center" wrapText="1"/>
    </xf>
    <xf numFmtId="9" fontId="12" fillId="3" borderId="39" xfId="8" applyFont="1" applyFill="1" applyBorder="1" applyAlignment="1" applyProtection="1">
      <alignment horizontal="center" vertical="center" wrapText="1"/>
      <protection locked="0"/>
    </xf>
    <xf numFmtId="9" fontId="12" fillId="3" borderId="40" xfId="8" applyFont="1" applyFill="1" applyBorder="1" applyAlignment="1" applyProtection="1">
      <alignment horizontal="center" vertical="center" wrapText="1"/>
      <protection locked="0"/>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8.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xdr:from>
      <xdr:col>0</xdr:col>
      <xdr:colOff>295275</xdr:colOff>
      <xdr:row>252</xdr:row>
      <xdr:rowOff>9525</xdr:rowOff>
    </xdr:from>
    <xdr:to>
      <xdr:col>7</xdr:col>
      <xdr:colOff>561975</xdr:colOff>
      <xdr:row>282</xdr:row>
      <xdr:rowOff>86364</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295275" y="54258063"/>
          <a:ext cx="5999285" cy="6055609"/>
          <a:chOff x="504825" y="1533205"/>
          <a:chExt cx="5848350" cy="6077589"/>
        </a:xfrm>
      </xdr:grpSpPr>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srcRect l="5087" t="-279" r="7676" b="1999"/>
          <a:stretch/>
        </xdr:blipFill>
        <xdr:spPr>
          <a:xfrm>
            <a:off x="2470547" y="5246426"/>
            <a:ext cx="1916907" cy="2364368"/>
          </a:xfrm>
          <a:prstGeom prst="rect">
            <a:avLst/>
          </a:prstGeom>
          <a:ln>
            <a:solidFill>
              <a:schemeClr val="tx1"/>
            </a:solidFill>
          </a:ln>
        </xdr:spPr>
      </xdr:pic>
      <xdr:grpSp>
        <xdr:nvGrpSpPr>
          <xdr:cNvPr id="4" name="Group 3">
            <a:extLst>
              <a:ext uri="{FF2B5EF4-FFF2-40B4-BE49-F238E27FC236}">
                <a16:creationId xmlns:a16="http://schemas.microsoft.com/office/drawing/2014/main" id="{00000000-0008-0000-0000-000004000000}"/>
              </a:ext>
            </a:extLst>
          </xdr:cNvPr>
          <xdr:cNvGrpSpPr/>
        </xdr:nvGrpSpPr>
        <xdr:grpSpPr>
          <a:xfrm>
            <a:off x="504825" y="1533205"/>
            <a:ext cx="5848350" cy="3562059"/>
            <a:chOff x="504825" y="1533205"/>
            <a:chExt cx="5848350" cy="3562059"/>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4825" y="1533205"/>
              <a:ext cx="5848350" cy="3562059"/>
            </a:xfrm>
            <a:prstGeom prst="rect">
              <a:avLst/>
            </a:prstGeom>
            <a:ln>
              <a:solidFill>
                <a:schemeClr val="tx1"/>
              </a:solidFill>
            </a:ln>
          </xdr:spPr>
        </xdr:pic>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14183276">
              <a:off x="715895" y="4034958"/>
              <a:ext cx="1013300" cy="921000"/>
            </a:xfrm>
            <a:prstGeom prst="rect">
              <a:avLst/>
            </a:prstGeom>
          </xdr:spPr>
        </xdr:pic>
        <xdr:sp macro="" textlink="">
          <xdr:nvSpPr>
            <xdr:cNvPr id="7" name="Rectangle 6">
              <a:extLst>
                <a:ext uri="{FF2B5EF4-FFF2-40B4-BE49-F238E27FC236}">
                  <a16:creationId xmlns:a16="http://schemas.microsoft.com/office/drawing/2014/main" id="{00000000-0008-0000-0000-000007000000}"/>
                </a:ext>
              </a:extLst>
            </xdr:cNvPr>
            <xdr:cNvSpPr/>
          </xdr:nvSpPr>
          <xdr:spPr>
            <a:xfrm rot="633105">
              <a:off x="2840629" y="2352653"/>
              <a:ext cx="1136559" cy="805788"/>
            </a:xfrm>
            <a:prstGeom prst="rect">
              <a:avLst/>
            </a:prstGeom>
            <a:no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solidFill>
                  <a:srgbClr val="7030A0"/>
                </a:solidFill>
              </a:endParaRPr>
            </a:p>
          </xdr:txBody>
        </xdr:sp>
        <xdr:sp macro="" textlink="">
          <xdr:nvSpPr>
            <xdr:cNvPr id="8" name="Rectangle 7">
              <a:extLst>
                <a:ext uri="{FF2B5EF4-FFF2-40B4-BE49-F238E27FC236}">
                  <a16:creationId xmlns:a16="http://schemas.microsoft.com/office/drawing/2014/main" id="{00000000-0008-0000-0000-000008000000}"/>
                </a:ext>
              </a:extLst>
            </xdr:cNvPr>
            <xdr:cNvSpPr/>
          </xdr:nvSpPr>
          <xdr:spPr>
            <a:xfrm rot="633105">
              <a:off x="3993174" y="2613326"/>
              <a:ext cx="1136559" cy="762772"/>
            </a:xfrm>
            <a:prstGeom prst="rect">
              <a:avLst/>
            </a:prstGeom>
            <a:no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solidFill>
                  <a:srgbClr val="7030A0"/>
                </a:solidFill>
              </a:endParaRPr>
            </a:p>
          </xdr:txBody>
        </xdr:sp>
        <xdr:sp macro="" textlink="">
          <xdr:nvSpPr>
            <xdr:cNvPr id="9" name="Rectangle 8">
              <a:extLst>
                <a:ext uri="{FF2B5EF4-FFF2-40B4-BE49-F238E27FC236}">
                  <a16:creationId xmlns:a16="http://schemas.microsoft.com/office/drawing/2014/main" id="{00000000-0008-0000-0000-000009000000}"/>
                </a:ext>
              </a:extLst>
            </xdr:cNvPr>
            <xdr:cNvSpPr/>
          </xdr:nvSpPr>
          <xdr:spPr>
            <a:xfrm rot="20698029" flipV="1">
              <a:off x="1273120" y="2353605"/>
              <a:ext cx="1575737" cy="84451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solidFill>
                  <a:srgbClr val="FF0000"/>
                </a:solidFill>
              </a:endParaRPr>
            </a:p>
          </xdr:txBody>
        </xdr:sp>
        <xdr:sp macro="" textlink="">
          <xdr:nvSpPr>
            <xdr:cNvPr id="10" name="TextBox 72">
              <a:extLst>
                <a:ext uri="{FF2B5EF4-FFF2-40B4-BE49-F238E27FC236}">
                  <a16:creationId xmlns:a16="http://schemas.microsoft.com/office/drawing/2014/main" id="{00000000-0008-0000-0000-00000A000000}"/>
                </a:ext>
              </a:extLst>
            </xdr:cNvPr>
            <xdr:cNvSpPr txBox="1"/>
          </xdr:nvSpPr>
          <xdr:spPr>
            <a:xfrm rot="690622">
              <a:off x="2637360" y="3093666"/>
              <a:ext cx="1348328" cy="374141"/>
            </a:xfrm>
            <a:prstGeom prst="rect">
              <a:avLst/>
            </a:prstGeom>
            <a:noFill/>
            <a:ln>
              <a:solidFill>
                <a:srgbClr val="7030A0"/>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7030A0"/>
                  </a:solidFill>
                </a:rPr>
                <a:t>Tower No. 2</a:t>
              </a:r>
              <a:endParaRPr lang="en-IN" b="1">
                <a:solidFill>
                  <a:srgbClr val="7030A0"/>
                </a:solidFill>
              </a:endParaRPr>
            </a:p>
          </xdr:txBody>
        </xdr:sp>
        <xdr:sp macro="" textlink="">
          <xdr:nvSpPr>
            <xdr:cNvPr id="11" name="TextBox 72">
              <a:extLst>
                <a:ext uri="{FF2B5EF4-FFF2-40B4-BE49-F238E27FC236}">
                  <a16:creationId xmlns:a16="http://schemas.microsoft.com/office/drawing/2014/main" id="{00000000-0008-0000-0000-00000B000000}"/>
                </a:ext>
              </a:extLst>
            </xdr:cNvPr>
            <xdr:cNvSpPr txBox="1"/>
          </xdr:nvSpPr>
          <xdr:spPr>
            <a:xfrm rot="9932160" flipV="1">
              <a:off x="1369107" y="3153762"/>
              <a:ext cx="1383856"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No. 1</a:t>
              </a:r>
              <a:endParaRPr lang="en-IN" b="1">
                <a:solidFill>
                  <a:srgbClr val="FF0000"/>
                </a:solidFill>
              </a:endParaRPr>
            </a:p>
          </xdr:txBody>
        </xdr:sp>
        <xdr:sp macro="" textlink="">
          <xdr:nvSpPr>
            <xdr:cNvPr id="12" name="TextBox 72">
              <a:extLst>
                <a:ext uri="{FF2B5EF4-FFF2-40B4-BE49-F238E27FC236}">
                  <a16:creationId xmlns:a16="http://schemas.microsoft.com/office/drawing/2014/main" id="{00000000-0008-0000-0000-00000C000000}"/>
                </a:ext>
              </a:extLst>
            </xdr:cNvPr>
            <xdr:cNvSpPr txBox="1"/>
          </xdr:nvSpPr>
          <xdr:spPr>
            <a:xfrm rot="690622">
              <a:off x="3969482" y="3381710"/>
              <a:ext cx="1383856" cy="374141"/>
            </a:xfrm>
            <a:prstGeom prst="rect">
              <a:avLst/>
            </a:prstGeom>
            <a:noFill/>
            <a:ln>
              <a:solidFill>
                <a:srgbClr val="7030A0"/>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7030A0"/>
                  </a:solidFill>
                </a:rPr>
                <a:t>Tower No. 3</a:t>
              </a:r>
              <a:endParaRPr lang="en-IN" b="1">
                <a:solidFill>
                  <a:srgbClr val="7030A0"/>
                </a:solidFill>
              </a:endParaRPr>
            </a:p>
          </xdr:txBody>
        </xdr:sp>
      </xdr:grpSp>
    </xdr:grpSp>
    <xdr:clientData/>
  </xdr:twoCellAnchor>
  <xdr:twoCellAnchor>
    <xdr:from>
      <xdr:col>1</xdr:col>
      <xdr:colOff>266700</xdr:colOff>
      <xdr:row>292</xdr:row>
      <xdr:rowOff>76200</xdr:rowOff>
    </xdr:from>
    <xdr:to>
      <xdr:col>7</xdr:col>
      <xdr:colOff>127050</xdr:colOff>
      <xdr:row>330</xdr:row>
      <xdr:rowOff>51765</xdr:rowOff>
    </xdr:to>
    <xdr:grpSp>
      <xdr:nvGrpSpPr>
        <xdr:cNvPr id="13" name="Group 12">
          <a:extLst>
            <a:ext uri="{FF2B5EF4-FFF2-40B4-BE49-F238E27FC236}">
              <a16:creationId xmlns:a16="http://schemas.microsoft.com/office/drawing/2014/main" id="{00000000-0008-0000-0000-00000D000000}"/>
            </a:ext>
          </a:extLst>
        </xdr:cNvPr>
        <xdr:cNvGrpSpPr/>
      </xdr:nvGrpSpPr>
      <xdr:grpSpPr>
        <a:xfrm>
          <a:off x="1052146" y="62296431"/>
          <a:ext cx="4807489" cy="7548672"/>
          <a:chOff x="1242203" y="394293"/>
          <a:chExt cx="4680000" cy="7576515"/>
        </a:xfrm>
      </xdr:grpSpPr>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4"/>
          <a:srcRect l="43271" t="19575" r="5016" b="12500"/>
          <a:stretch/>
        </xdr:blipFill>
        <xdr:spPr>
          <a:xfrm>
            <a:off x="1242203" y="394293"/>
            <a:ext cx="4680000" cy="3456001"/>
          </a:xfrm>
          <a:prstGeom prst="rect">
            <a:avLst/>
          </a:prstGeom>
          <a:ln>
            <a:solidFill>
              <a:schemeClr val="tx1"/>
            </a:solidFill>
          </a:ln>
        </xdr:spPr>
      </xdr:pic>
      <xdr:grpSp>
        <xdr:nvGrpSpPr>
          <xdr:cNvPr id="15" name="Group 14">
            <a:extLst>
              <a:ext uri="{FF2B5EF4-FFF2-40B4-BE49-F238E27FC236}">
                <a16:creationId xmlns:a16="http://schemas.microsoft.com/office/drawing/2014/main" id="{00000000-0008-0000-0000-00000F000000}"/>
              </a:ext>
            </a:extLst>
          </xdr:cNvPr>
          <xdr:cNvGrpSpPr/>
        </xdr:nvGrpSpPr>
        <xdr:grpSpPr>
          <a:xfrm>
            <a:off x="1242203" y="4010808"/>
            <a:ext cx="4680000" cy="3960000"/>
            <a:chOff x="-1000664" y="0"/>
            <a:chExt cx="8867955" cy="4899804"/>
          </a:xfrm>
        </xdr:grpSpPr>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5"/>
            <a:srcRect l="19667" t="18868" r="12176" b="14151"/>
            <a:stretch/>
          </xdr:blipFill>
          <xdr:spPr>
            <a:xfrm>
              <a:off x="-1000664" y="0"/>
              <a:ext cx="8867955" cy="4899804"/>
            </a:xfrm>
            <a:prstGeom prst="rect">
              <a:avLst/>
            </a:prstGeom>
            <a:ln>
              <a:solidFill>
                <a:schemeClr val="tx1"/>
              </a:solidFill>
            </a:ln>
          </xdr:spPr>
        </xdr:pic>
        <xdr:sp macro="" textlink="">
          <xdr:nvSpPr>
            <xdr:cNvPr id="17" name="Freeform 16">
              <a:extLst>
                <a:ext uri="{FF2B5EF4-FFF2-40B4-BE49-F238E27FC236}">
                  <a16:creationId xmlns:a16="http://schemas.microsoft.com/office/drawing/2014/main" id="{00000000-0008-0000-0000-000011000000}"/>
                </a:ext>
              </a:extLst>
            </xdr:cNvPr>
            <xdr:cNvSpPr/>
          </xdr:nvSpPr>
          <xdr:spPr>
            <a:xfrm rot="21083893">
              <a:off x="2040785" y="910561"/>
              <a:ext cx="773333" cy="641910"/>
            </a:xfrm>
            <a:custGeom>
              <a:avLst/>
              <a:gdLst>
                <a:gd name="connsiteX0" fmla="*/ 519246 w 651454"/>
                <a:gd name="connsiteY0" fmla="*/ 0 h 1873010"/>
                <a:gd name="connsiteX1" fmla="*/ 519246 w 651454"/>
                <a:gd name="connsiteY1" fmla="*/ 575031 h 1873010"/>
                <a:gd name="connsiteX2" fmla="*/ 535207 w 651454"/>
                <a:gd name="connsiteY2" fmla="*/ 573548 h 1873010"/>
                <a:gd name="connsiteX3" fmla="*/ 651454 w 651454"/>
                <a:gd name="connsiteY3" fmla="*/ 1824984 h 1873010"/>
                <a:gd name="connsiteX4" fmla="*/ 134434 w 651454"/>
                <a:gd name="connsiteY4" fmla="*/ 1873010 h 1873010"/>
                <a:gd name="connsiteX5" fmla="*/ 21207 w 651454"/>
                <a:gd name="connsiteY5" fmla="*/ 654086 h 1873010"/>
                <a:gd name="connsiteX6" fmla="*/ 0 w 651454"/>
                <a:gd name="connsiteY6" fmla="*/ 654086 h 1873010"/>
                <a:gd name="connsiteX7" fmla="*/ 0 w 651454"/>
                <a:gd name="connsiteY7" fmla="*/ 0 h 18730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651454" h="1873010">
                  <a:moveTo>
                    <a:pt x="519246" y="0"/>
                  </a:moveTo>
                  <a:lnTo>
                    <a:pt x="519246" y="575031"/>
                  </a:lnTo>
                  <a:lnTo>
                    <a:pt x="535207" y="573548"/>
                  </a:lnTo>
                  <a:lnTo>
                    <a:pt x="651454" y="1824984"/>
                  </a:lnTo>
                  <a:lnTo>
                    <a:pt x="134434" y="1873010"/>
                  </a:lnTo>
                  <a:lnTo>
                    <a:pt x="21207" y="654086"/>
                  </a:lnTo>
                  <a:lnTo>
                    <a:pt x="0" y="654086"/>
                  </a:lnTo>
                  <a:lnTo>
                    <a:pt x="0" y="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editAs="oneCell">
    <xdr:from>
      <xdr:col>9</xdr:col>
      <xdr:colOff>352425</xdr:colOff>
      <xdr:row>46</xdr:row>
      <xdr:rowOff>180975</xdr:rowOff>
    </xdr:from>
    <xdr:to>
      <xdr:col>16</xdr:col>
      <xdr:colOff>544576</xdr:colOff>
      <xdr:row>52</xdr:row>
      <xdr:rowOff>133125</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6"/>
        <a:stretch>
          <a:fillRect/>
        </a:stretch>
      </xdr:blipFill>
      <xdr:spPr>
        <a:xfrm>
          <a:off x="7829550" y="10391775"/>
          <a:ext cx="5850001" cy="1800000"/>
        </a:xfrm>
        <a:prstGeom prst="rect">
          <a:avLst/>
        </a:prstGeom>
      </xdr:spPr>
    </xdr:pic>
    <xdr:clientData/>
  </xdr:twoCellAnchor>
  <xdr:twoCellAnchor editAs="oneCell">
    <xdr:from>
      <xdr:col>9</xdr:col>
      <xdr:colOff>161925</xdr:colOff>
      <xdr:row>51</xdr:row>
      <xdr:rowOff>95250</xdr:rowOff>
    </xdr:from>
    <xdr:to>
      <xdr:col>12</xdr:col>
      <xdr:colOff>242102</xdr:colOff>
      <xdr:row>58</xdr:row>
      <xdr:rowOff>38100</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7"/>
        <a:stretch>
          <a:fillRect/>
        </a:stretch>
      </xdr:blipFill>
      <xdr:spPr>
        <a:xfrm>
          <a:off x="7639050" y="11534775"/>
          <a:ext cx="2518577" cy="1800000"/>
        </a:xfrm>
        <a:prstGeom prst="rect">
          <a:avLst/>
        </a:prstGeom>
      </xdr:spPr>
    </xdr:pic>
    <xdr:clientData/>
  </xdr:twoCellAnchor>
  <xdr:twoCellAnchor editAs="oneCell">
    <xdr:from>
      <xdr:col>9</xdr:col>
      <xdr:colOff>295275</xdr:colOff>
      <xdr:row>55</xdr:row>
      <xdr:rowOff>190500</xdr:rowOff>
    </xdr:from>
    <xdr:to>
      <xdr:col>11</xdr:col>
      <xdr:colOff>140800</xdr:colOff>
      <xdr:row>62</xdr:row>
      <xdr:rowOff>352200</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8"/>
        <a:stretch>
          <a:fillRect/>
        </a:stretch>
      </xdr:blipFill>
      <xdr:spPr>
        <a:xfrm>
          <a:off x="7772400" y="12906375"/>
          <a:ext cx="1360000" cy="1800000"/>
        </a:xfrm>
        <a:prstGeom prst="rect">
          <a:avLst/>
        </a:prstGeom>
      </xdr:spPr>
    </xdr:pic>
    <xdr:clientData/>
  </xdr:twoCellAnchor>
  <xdr:twoCellAnchor editAs="oneCell">
    <xdr:from>
      <xdr:col>10</xdr:col>
      <xdr:colOff>190500</xdr:colOff>
      <xdr:row>59</xdr:row>
      <xdr:rowOff>314325</xdr:rowOff>
    </xdr:from>
    <xdr:to>
      <xdr:col>11</xdr:col>
      <xdr:colOff>807152</xdr:colOff>
      <xdr:row>66</xdr:row>
      <xdr:rowOff>75975</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9"/>
        <a:stretch>
          <a:fillRect/>
        </a:stretch>
      </xdr:blipFill>
      <xdr:spPr>
        <a:xfrm>
          <a:off x="8429625" y="13639800"/>
          <a:ext cx="1369127" cy="1800000"/>
        </a:xfrm>
        <a:prstGeom prst="rect">
          <a:avLst/>
        </a:prstGeom>
      </xdr:spPr>
    </xdr:pic>
    <xdr:clientData/>
  </xdr:twoCellAnchor>
  <xdr:twoCellAnchor editAs="oneCell">
    <xdr:from>
      <xdr:col>10</xdr:col>
      <xdr:colOff>352426</xdr:colOff>
      <xdr:row>62</xdr:row>
      <xdr:rowOff>152400</xdr:rowOff>
    </xdr:from>
    <xdr:to>
      <xdr:col>12</xdr:col>
      <xdr:colOff>734571</xdr:colOff>
      <xdr:row>69</xdr:row>
      <xdr:rowOff>342675</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0"/>
        <a:stretch>
          <a:fillRect/>
        </a:stretch>
      </xdr:blipFill>
      <xdr:spPr>
        <a:xfrm>
          <a:off x="8591551" y="14506575"/>
          <a:ext cx="2058545" cy="1800000"/>
        </a:xfrm>
        <a:prstGeom prst="rect">
          <a:avLst/>
        </a:prstGeom>
      </xdr:spPr>
    </xdr:pic>
    <xdr:clientData/>
  </xdr:twoCellAnchor>
  <xdr:twoCellAnchor editAs="oneCell">
    <xdr:from>
      <xdr:col>9</xdr:col>
      <xdr:colOff>0</xdr:colOff>
      <xdr:row>105</xdr:row>
      <xdr:rowOff>66675</xdr:rowOff>
    </xdr:from>
    <xdr:to>
      <xdr:col>13</xdr:col>
      <xdr:colOff>305037</xdr:colOff>
      <xdr:row>122</xdr:row>
      <xdr:rowOff>199800</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1"/>
        <a:stretch>
          <a:fillRect/>
        </a:stretch>
      </xdr:blipFill>
      <xdr:spPr>
        <a:xfrm>
          <a:off x="7477125" y="20745450"/>
          <a:ext cx="3534012" cy="1800000"/>
        </a:xfrm>
        <a:prstGeom prst="rect">
          <a:avLst/>
        </a:prstGeom>
      </xdr:spPr>
    </xdr:pic>
    <xdr:clientData/>
  </xdr:twoCellAnchor>
  <xdr:twoCellAnchor>
    <xdr:from>
      <xdr:col>8</xdr:col>
      <xdr:colOff>681990</xdr:colOff>
      <xdr:row>191</xdr:row>
      <xdr:rowOff>129540</xdr:rowOff>
    </xdr:from>
    <xdr:to>
      <xdr:col>15</xdr:col>
      <xdr:colOff>775335</xdr:colOff>
      <xdr:row>218</xdr:row>
      <xdr:rowOff>127384</xdr:rowOff>
    </xdr:to>
    <xdr:grpSp>
      <xdr:nvGrpSpPr>
        <xdr:cNvPr id="24" name="Group 23">
          <a:extLst>
            <a:ext uri="{FF2B5EF4-FFF2-40B4-BE49-F238E27FC236}">
              <a16:creationId xmlns:a16="http://schemas.microsoft.com/office/drawing/2014/main" id="{00000000-0008-0000-0000-000018000000}"/>
            </a:ext>
          </a:extLst>
        </xdr:cNvPr>
        <xdr:cNvGrpSpPr/>
      </xdr:nvGrpSpPr>
      <xdr:grpSpPr>
        <a:xfrm>
          <a:off x="7170713" y="41635094"/>
          <a:ext cx="6318299" cy="5964890"/>
          <a:chOff x="-1764125" y="0"/>
          <a:chExt cx="10386250" cy="6970144"/>
        </a:xfrm>
      </xdr:grpSpPr>
      <xdr:grpSp>
        <xdr:nvGrpSpPr>
          <xdr:cNvPr id="25" name="Group 24">
            <a:extLst>
              <a:ext uri="{FF2B5EF4-FFF2-40B4-BE49-F238E27FC236}">
                <a16:creationId xmlns:a16="http://schemas.microsoft.com/office/drawing/2014/main" id="{00000000-0008-0000-0000-000019000000}"/>
              </a:ext>
            </a:extLst>
          </xdr:cNvPr>
          <xdr:cNvGrpSpPr/>
        </xdr:nvGrpSpPr>
        <xdr:grpSpPr>
          <a:xfrm>
            <a:off x="307519" y="5170144"/>
            <a:ext cx="6242962" cy="1800000"/>
            <a:chOff x="580532" y="7344000"/>
            <a:chExt cx="6242962" cy="1800000"/>
          </a:xfrm>
        </xdr:grpSpPr>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507548" y="7344000"/>
              <a:ext cx="2388930" cy="1800000"/>
            </a:xfrm>
            <a:prstGeom prst="rect">
              <a:avLst/>
            </a:prstGeom>
            <a:ln>
              <a:solidFill>
                <a:schemeClr val="tx1"/>
              </a:solidFill>
            </a:ln>
          </xdr:spPr>
        </xdr:pic>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80532" y="7344000"/>
              <a:ext cx="1798334" cy="1800000"/>
            </a:xfrm>
            <a:prstGeom prst="rect">
              <a:avLst/>
            </a:prstGeom>
            <a:ln>
              <a:solidFill>
                <a:schemeClr val="tx1"/>
              </a:solidFill>
            </a:ln>
          </xdr:spPr>
        </xdr:pic>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025160" y="7344000"/>
              <a:ext cx="1798334" cy="1800000"/>
            </a:xfrm>
            <a:prstGeom prst="rect">
              <a:avLst/>
            </a:prstGeom>
            <a:ln>
              <a:solidFill>
                <a:schemeClr val="tx1"/>
              </a:solidFill>
            </a:ln>
          </xdr:spPr>
        </xdr:pic>
      </xdr:grpSp>
      <xdr:grpSp>
        <xdr:nvGrpSpPr>
          <xdr:cNvPr id="26" name="Group 25">
            <a:extLst>
              <a:ext uri="{FF2B5EF4-FFF2-40B4-BE49-F238E27FC236}">
                <a16:creationId xmlns:a16="http://schemas.microsoft.com/office/drawing/2014/main" id="{00000000-0008-0000-0000-00001A000000}"/>
              </a:ext>
            </a:extLst>
          </xdr:cNvPr>
          <xdr:cNvGrpSpPr/>
        </xdr:nvGrpSpPr>
        <xdr:grpSpPr>
          <a:xfrm>
            <a:off x="-1764125" y="0"/>
            <a:ext cx="10386250" cy="2520000"/>
            <a:chOff x="-4603335" y="3741987"/>
            <a:chExt cx="10386250" cy="2520000"/>
          </a:xfrm>
        </xdr:grpSpPr>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603335" y="3741987"/>
              <a:ext cx="2517667" cy="2520000"/>
            </a:xfrm>
            <a:prstGeom prst="rect">
              <a:avLst/>
            </a:prstGeom>
            <a:ln>
              <a:solidFill>
                <a:schemeClr val="tx1"/>
              </a:solidFill>
            </a:ln>
          </xdr:spPr>
        </xdr:pic>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265248" y="3741987"/>
              <a:ext cx="2517667" cy="2520000"/>
            </a:xfrm>
            <a:prstGeom prst="rect">
              <a:avLst/>
            </a:prstGeom>
            <a:ln>
              <a:solidFill>
                <a:schemeClr val="tx1"/>
              </a:solidFill>
            </a:ln>
          </xdr:spPr>
        </xdr:pic>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42387" y="3741987"/>
              <a:ext cx="2517667" cy="2520000"/>
            </a:xfrm>
            <a:prstGeom prst="rect">
              <a:avLst/>
            </a:prstGeom>
            <a:ln>
              <a:solidFill>
                <a:schemeClr val="tx1"/>
              </a:solidFill>
            </a:ln>
          </xdr:spPr>
        </xdr:pic>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980474" y="3741987"/>
              <a:ext cx="2517667" cy="2520000"/>
            </a:xfrm>
            <a:prstGeom prst="rect">
              <a:avLst/>
            </a:prstGeom>
            <a:ln>
              <a:solidFill>
                <a:schemeClr val="tx1"/>
              </a:solidFill>
            </a:ln>
          </xdr:spPr>
        </xdr:pic>
      </xdr:grpSp>
      <xdr:grpSp>
        <xdr:nvGrpSpPr>
          <xdr:cNvPr id="27" name="Group 26">
            <a:extLst>
              <a:ext uri="{FF2B5EF4-FFF2-40B4-BE49-F238E27FC236}">
                <a16:creationId xmlns:a16="http://schemas.microsoft.com/office/drawing/2014/main" id="{00000000-0008-0000-0000-00001B000000}"/>
              </a:ext>
            </a:extLst>
          </xdr:cNvPr>
          <xdr:cNvGrpSpPr/>
        </xdr:nvGrpSpPr>
        <xdr:grpSpPr>
          <a:xfrm>
            <a:off x="1014365" y="2674185"/>
            <a:ext cx="4829271" cy="2340000"/>
            <a:chOff x="0" y="0"/>
            <a:chExt cx="4829271" cy="2340000"/>
          </a:xfrm>
        </xdr:grpSpPr>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0" y="0"/>
              <a:ext cx="2337834" cy="2340000"/>
            </a:xfrm>
            <a:prstGeom prst="rect">
              <a:avLst/>
            </a:prstGeom>
            <a:ln>
              <a:solidFill>
                <a:schemeClr val="tx1"/>
              </a:solidFill>
            </a:ln>
          </xdr:spPr>
        </xdr:pic>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2491437" y="0"/>
              <a:ext cx="2337834" cy="2340000"/>
            </a:xfrm>
            <a:prstGeom prst="rect">
              <a:avLst/>
            </a:prstGeom>
            <a:ln>
              <a:solidFill>
                <a:schemeClr val="tx1"/>
              </a:solidFill>
            </a:ln>
          </xdr:spPr>
        </xdr:pic>
      </xdr:grpSp>
    </xdr:grpSp>
    <xdr:clientData/>
  </xdr:twoCellAnchor>
  <xdr:twoCellAnchor>
    <xdr:from>
      <xdr:col>3</xdr:col>
      <xdr:colOff>247650</xdr:colOff>
      <xdr:row>314</xdr:row>
      <xdr:rowOff>161925</xdr:rowOff>
    </xdr:from>
    <xdr:to>
      <xdr:col>4</xdr:col>
      <xdr:colOff>9525</xdr:colOff>
      <xdr:row>322</xdr:row>
      <xdr:rowOff>152400</xdr:rowOff>
    </xdr:to>
    <xdr:grpSp>
      <xdr:nvGrpSpPr>
        <xdr:cNvPr id="43" name="Group 42">
          <a:extLst>
            <a:ext uri="{FF2B5EF4-FFF2-40B4-BE49-F238E27FC236}">
              <a16:creationId xmlns:a16="http://schemas.microsoft.com/office/drawing/2014/main" id="{00000000-0008-0000-0000-00002B000000}"/>
            </a:ext>
          </a:extLst>
        </xdr:cNvPr>
        <xdr:cNvGrpSpPr/>
      </xdr:nvGrpSpPr>
      <xdr:grpSpPr>
        <a:xfrm>
          <a:off x="2721219" y="66766587"/>
          <a:ext cx="699721" cy="1584813"/>
          <a:chOff x="2657475" y="65836800"/>
          <a:chExt cx="676275" cy="1590675"/>
        </a:xfrm>
      </xdr:grpSpPr>
      <xdr:sp macro="" textlink="">
        <xdr:nvSpPr>
          <xdr:cNvPr id="37" name="Rectangle 36">
            <a:extLst>
              <a:ext uri="{FF2B5EF4-FFF2-40B4-BE49-F238E27FC236}">
                <a16:creationId xmlns:a16="http://schemas.microsoft.com/office/drawing/2014/main" id="{00000000-0008-0000-0000-000025000000}"/>
              </a:ext>
            </a:extLst>
          </xdr:cNvPr>
          <xdr:cNvSpPr/>
        </xdr:nvSpPr>
        <xdr:spPr>
          <a:xfrm>
            <a:off x="2657475" y="65836800"/>
            <a:ext cx="428625" cy="400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i="0">
                <a:solidFill>
                  <a:srgbClr val="FFFF00"/>
                </a:solidFill>
              </a:rPr>
              <a:t>T1</a:t>
            </a:r>
          </a:p>
        </xdr:txBody>
      </xdr:sp>
      <xdr:sp macro="" textlink="">
        <xdr:nvSpPr>
          <xdr:cNvPr id="38" name="Rectangle 37">
            <a:extLst>
              <a:ext uri="{FF2B5EF4-FFF2-40B4-BE49-F238E27FC236}">
                <a16:creationId xmlns:a16="http://schemas.microsoft.com/office/drawing/2014/main" id="{00000000-0008-0000-0000-000026000000}"/>
              </a:ext>
            </a:extLst>
          </xdr:cNvPr>
          <xdr:cNvSpPr/>
        </xdr:nvSpPr>
        <xdr:spPr>
          <a:xfrm rot="20676946">
            <a:off x="2828925" y="66265425"/>
            <a:ext cx="352425" cy="571500"/>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9" name="Rectangle 38">
            <a:extLst>
              <a:ext uri="{FF2B5EF4-FFF2-40B4-BE49-F238E27FC236}">
                <a16:creationId xmlns:a16="http://schemas.microsoft.com/office/drawing/2014/main" id="{00000000-0008-0000-0000-000027000000}"/>
              </a:ext>
            </a:extLst>
          </xdr:cNvPr>
          <xdr:cNvSpPr/>
        </xdr:nvSpPr>
        <xdr:spPr>
          <a:xfrm rot="20676946">
            <a:off x="2981325" y="66855975"/>
            <a:ext cx="352425" cy="571500"/>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9</xdr:col>
      <xdr:colOff>57150</xdr:colOff>
      <xdr:row>314</xdr:row>
      <xdr:rowOff>104775</xdr:rowOff>
    </xdr:from>
    <xdr:to>
      <xdr:col>9</xdr:col>
      <xdr:colOff>485775</xdr:colOff>
      <xdr:row>316</xdr:row>
      <xdr:rowOff>104775</xdr:rowOff>
    </xdr:to>
    <xdr:sp macro="" textlink="">
      <xdr:nvSpPr>
        <xdr:cNvPr id="40" name="Rectangle 39">
          <a:extLst>
            <a:ext uri="{FF2B5EF4-FFF2-40B4-BE49-F238E27FC236}">
              <a16:creationId xmlns:a16="http://schemas.microsoft.com/office/drawing/2014/main" id="{00000000-0008-0000-0000-000028000000}"/>
            </a:ext>
          </a:extLst>
        </xdr:cNvPr>
        <xdr:cNvSpPr/>
      </xdr:nvSpPr>
      <xdr:spPr>
        <a:xfrm>
          <a:off x="7534275" y="65979675"/>
          <a:ext cx="428625" cy="400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i="0">
              <a:solidFill>
                <a:srgbClr val="FFFF00"/>
              </a:solidFill>
            </a:rPr>
            <a:t>T1</a:t>
          </a:r>
        </a:p>
      </xdr:txBody>
    </xdr:sp>
    <xdr:clientData/>
  </xdr:twoCellAnchor>
  <xdr:twoCellAnchor>
    <xdr:from>
      <xdr:col>3</xdr:col>
      <xdr:colOff>390525</xdr:colOff>
      <xdr:row>317</xdr:row>
      <xdr:rowOff>28575</xdr:rowOff>
    </xdr:from>
    <xdr:to>
      <xdr:col>3</xdr:col>
      <xdr:colOff>819150</xdr:colOff>
      <xdr:row>319</xdr:row>
      <xdr:rowOff>28575</xdr:rowOff>
    </xdr:to>
    <xdr:sp macro="" textlink="">
      <xdr:nvSpPr>
        <xdr:cNvPr id="41" name="Rectangle 40">
          <a:extLst>
            <a:ext uri="{FF2B5EF4-FFF2-40B4-BE49-F238E27FC236}">
              <a16:creationId xmlns:a16="http://schemas.microsoft.com/office/drawing/2014/main" id="{00000000-0008-0000-0000-000029000000}"/>
            </a:ext>
          </a:extLst>
        </xdr:cNvPr>
        <xdr:cNvSpPr/>
      </xdr:nvSpPr>
      <xdr:spPr>
        <a:xfrm>
          <a:off x="2800350" y="66303525"/>
          <a:ext cx="428625" cy="400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i="0">
              <a:solidFill>
                <a:srgbClr val="FFFF00"/>
              </a:solidFill>
            </a:rPr>
            <a:t>T2</a:t>
          </a:r>
        </a:p>
      </xdr:txBody>
    </xdr:sp>
    <xdr:clientData/>
  </xdr:twoCellAnchor>
  <xdr:twoCellAnchor>
    <xdr:from>
      <xdr:col>3</xdr:col>
      <xdr:colOff>523875</xdr:colOff>
      <xdr:row>320</xdr:row>
      <xdr:rowOff>123825</xdr:rowOff>
    </xdr:from>
    <xdr:to>
      <xdr:col>4</xdr:col>
      <xdr:colOff>38100</xdr:colOff>
      <xdr:row>322</xdr:row>
      <xdr:rowOff>123825</xdr:rowOff>
    </xdr:to>
    <xdr:sp macro="" textlink="">
      <xdr:nvSpPr>
        <xdr:cNvPr id="42" name="Rectangle 41">
          <a:extLst>
            <a:ext uri="{FF2B5EF4-FFF2-40B4-BE49-F238E27FC236}">
              <a16:creationId xmlns:a16="http://schemas.microsoft.com/office/drawing/2014/main" id="{00000000-0008-0000-0000-00002A000000}"/>
            </a:ext>
          </a:extLst>
        </xdr:cNvPr>
        <xdr:cNvSpPr/>
      </xdr:nvSpPr>
      <xdr:spPr>
        <a:xfrm>
          <a:off x="2933700" y="66998850"/>
          <a:ext cx="428625" cy="400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i="0">
              <a:solidFill>
                <a:srgbClr val="FFFF00"/>
              </a:solidFill>
            </a:rPr>
            <a:t>T3</a:t>
          </a:r>
        </a:p>
      </xdr:txBody>
    </xdr:sp>
    <xdr:clientData/>
  </xdr:twoCellAnchor>
  <xdr:twoCellAnchor>
    <xdr:from>
      <xdr:col>5</xdr:col>
      <xdr:colOff>733425</xdr:colOff>
      <xdr:row>310</xdr:row>
      <xdr:rowOff>85725</xdr:rowOff>
    </xdr:from>
    <xdr:to>
      <xdr:col>7</xdr:col>
      <xdr:colOff>133350</xdr:colOff>
      <xdr:row>321</xdr:row>
      <xdr:rowOff>76200</xdr:rowOff>
    </xdr:to>
    <xdr:sp macro="" textlink="">
      <xdr:nvSpPr>
        <xdr:cNvPr id="44" name="Freeform 43">
          <a:extLst>
            <a:ext uri="{FF2B5EF4-FFF2-40B4-BE49-F238E27FC236}">
              <a16:creationId xmlns:a16="http://schemas.microsoft.com/office/drawing/2014/main" id="{00000000-0008-0000-0000-00002C000000}"/>
            </a:ext>
          </a:extLst>
        </xdr:cNvPr>
        <xdr:cNvSpPr/>
      </xdr:nvSpPr>
      <xdr:spPr>
        <a:xfrm>
          <a:off x="4838700" y="63807975"/>
          <a:ext cx="876300" cy="2190750"/>
        </a:xfrm>
        <a:custGeom>
          <a:avLst/>
          <a:gdLst>
            <a:gd name="connsiteX0" fmla="*/ 19050 w 866775"/>
            <a:gd name="connsiteY0" fmla="*/ 0 h 2181225"/>
            <a:gd name="connsiteX1" fmla="*/ 0 w 866775"/>
            <a:gd name="connsiteY1" fmla="*/ 171450 h 2181225"/>
            <a:gd name="connsiteX2" fmla="*/ 95250 w 866775"/>
            <a:gd name="connsiteY2" fmla="*/ 276225 h 2181225"/>
            <a:gd name="connsiteX3" fmla="*/ 95250 w 866775"/>
            <a:gd name="connsiteY3" fmla="*/ 438150 h 2181225"/>
            <a:gd name="connsiteX4" fmla="*/ 190500 w 866775"/>
            <a:gd name="connsiteY4" fmla="*/ 866775 h 2181225"/>
            <a:gd name="connsiteX5" fmla="*/ 200025 w 866775"/>
            <a:gd name="connsiteY5" fmla="*/ 990600 h 2181225"/>
            <a:gd name="connsiteX6" fmla="*/ 95250 w 866775"/>
            <a:gd name="connsiteY6" fmla="*/ 1066800 h 2181225"/>
            <a:gd name="connsiteX7" fmla="*/ 95250 w 866775"/>
            <a:gd name="connsiteY7" fmla="*/ 1162050 h 2181225"/>
            <a:gd name="connsiteX8" fmla="*/ 190500 w 866775"/>
            <a:gd name="connsiteY8" fmla="*/ 1190625 h 2181225"/>
            <a:gd name="connsiteX9" fmla="*/ 190500 w 866775"/>
            <a:gd name="connsiteY9" fmla="*/ 1314450 h 2181225"/>
            <a:gd name="connsiteX10" fmla="*/ 228600 w 866775"/>
            <a:gd name="connsiteY10" fmla="*/ 1428750 h 2181225"/>
            <a:gd name="connsiteX11" fmla="*/ 238125 w 866775"/>
            <a:gd name="connsiteY11" fmla="*/ 1695450 h 2181225"/>
            <a:gd name="connsiteX12" fmla="*/ 200025 w 866775"/>
            <a:gd name="connsiteY12" fmla="*/ 2019300 h 2181225"/>
            <a:gd name="connsiteX13" fmla="*/ 247650 w 866775"/>
            <a:gd name="connsiteY13" fmla="*/ 2181225 h 2181225"/>
            <a:gd name="connsiteX14" fmla="*/ 381000 w 866775"/>
            <a:gd name="connsiteY14" fmla="*/ 2181225 h 2181225"/>
            <a:gd name="connsiteX15" fmla="*/ 428625 w 866775"/>
            <a:gd name="connsiteY15" fmla="*/ 2057400 h 2181225"/>
            <a:gd name="connsiteX16" fmla="*/ 552450 w 866775"/>
            <a:gd name="connsiteY16" fmla="*/ 1971675 h 2181225"/>
            <a:gd name="connsiteX17" fmla="*/ 657225 w 866775"/>
            <a:gd name="connsiteY17" fmla="*/ 1885950 h 2181225"/>
            <a:gd name="connsiteX18" fmla="*/ 762000 w 866775"/>
            <a:gd name="connsiteY18" fmla="*/ 1895475 h 2181225"/>
            <a:gd name="connsiteX19" fmla="*/ 866775 w 866775"/>
            <a:gd name="connsiteY19" fmla="*/ 1943100 h 2181225"/>
            <a:gd name="connsiteX20" fmla="*/ 838200 w 866775"/>
            <a:gd name="connsiteY20" fmla="*/ 1838325 h 2181225"/>
            <a:gd name="connsiteX21" fmla="*/ 838200 w 866775"/>
            <a:gd name="connsiteY21" fmla="*/ 28575 h 2181225"/>
            <a:gd name="connsiteX22" fmla="*/ 19050 w 866775"/>
            <a:gd name="connsiteY22" fmla="*/ 0 h 21812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866775" h="2181225">
              <a:moveTo>
                <a:pt x="19050" y="0"/>
              </a:moveTo>
              <a:lnTo>
                <a:pt x="0" y="171450"/>
              </a:lnTo>
              <a:lnTo>
                <a:pt x="95250" y="276225"/>
              </a:lnTo>
              <a:lnTo>
                <a:pt x="95250" y="438150"/>
              </a:lnTo>
              <a:lnTo>
                <a:pt x="190500" y="866775"/>
              </a:lnTo>
              <a:lnTo>
                <a:pt x="200025" y="990600"/>
              </a:lnTo>
              <a:lnTo>
                <a:pt x="95250" y="1066800"/>
              </a:lnTo>
              <a:lnTo>
                <a:pt x="95250" y="1162050"/>
              </a:lnTo>
              <a:lnTo>
                <a:pt x="190500" y="1190625"/>
              </a:lnTo>
              <a:lnTo>
                <a:pt x="190500" y="1314450"/>
              </a:lnTo>
              <a:lnTo>
                <a:pt x="228600" y="1428750"/>
              </a:lnTo>
              <a:lnTo>
                <a:pt x="238125" y="1695450"/>
              </a:lnTo>
              <a:lnTo>
                <a:pt x="200025" y="2019300"/>
              </a:lnTo>
              <a:lnTo>
                <a:pt x="247650" y="2181225"/>
              </a:lnTo>
              <a:lnTo>
                <a:pt x="381000" y="2181225"/>
              </a:lnTo>
              <a:lnTo>
                <a:pt x="428625" y="2057400"/>
              </a:lnTo>
              <a:lnTo>
                <a:pt x="552450" y="1971675"/>
              </a:lnTo>
              <a:lnTo>
                <a:pt x="657225" y="1885950"/>
              </a:lnTo>
              <a:lnTo>
                <a:pt x="762000" y="1895475"/>
              </a:lnTo>
              <a:lnTo>
                <a:pt x="866775" y="1943100"/>
              </a:lnTo>
              <a:lnTo>
                <a:pt x="838200" y="1838325"/>
              </a:lnTo>
              <a:lnTo>
                <a:pt x="838200" y="28575"/>
              </a:lnTo>
              <a:lnTo>
                <a:pt x="19050" y="0"/>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6</xdr:col>
      <xdr:colOff>190500</xdr:colOff>
      <xdr:row>314</xdr:row>
      <xdr:rowOff>19049</xdr:rowOff>
    </xdr:from>
    <xdr:to>
      <xdr:col>7</xdr:col>
      <xdr:colOff>485775</xdr:colOff>
      <xdr:row>316</xdr:row>
      <xdr:rowOff>19049</xdr:rowOff>
    </xdr:to>
    <xdr:sp macro="" textlink="">
      <xdr:nvSpPr>
        <xdr:cNvPr id="45" name="Rectangle 44">
          <a:extLst>
            <a:ext uri="{FF2B5EF4-FFF2-40B4-BE49-F238E27FC236}">
              <a16:creationId xmlns:a16="http://schemas.microsoft.com/office/drawing/2014/main" id="{00000000-0008-0000-0000-00002D000000}"/>
            </a:ext>
          </a:extLst>
        </xdr:cNvPr>
        <xdr:cNvSpPr/>
      </xdr:nvSpPr>
      <xdr:spPr>
        <a:xfrm>
          <a:off x="5038725" y="64541399"/>
          <a:ext cx="1028700" cy="400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i="0">
              <a:solidFill>
                <a:srgbClr val="FFFF00"/>
              </a:solidFill>
            </a:rPr>
            <a:t>Lake</a:t>
          </a:r>
        </a:p>
      </xdr:txBody>
    </xdr:sp>
    <xdr:clientData/>
  </xdr:twoCellAnchor>
  <xdr:twoCellAnchor>
    <xdr:from>
      <xdr:col>0</xdr:col>
      <xdr:colOff>146539</xdr:colOff>
      <xdr:row>208</xdr:row>
      <xdr:rowOff>70568</xdr:rowOff>
    </xdr:from>
    <xdr:to>
      <xdr:col>7</xdr:col>
      <xdr:colOff>291322</xdr:colOff>
      <xdr:row>247</xdr:row>
      <xdr:rowOff>162008</xdr:rowOff>
    </xdr:to>
    <xdr:grpSp>
      <xdr:nvGrpSpPr>
        <xdr:cNvPr id="76" name="Group 75">
          <a:extLst>
            <a:ext uri="{FF2B5EF4-FFF2-40B4-BE49-F238E27FC236}">
              <a16:creationId xmlns:a16="http://schemas.microsoft.com/office/drawing/2014/main" id="{507FB75B-DC3A-3FEB-A9C0-301C60004C31}"/>
            </a:ext>
          </a:extLst>
        </xdr:cNvPr>
        <xdr:cNvGrpSpPr/>
      </xdr:nvGrpSpPr>
      <xdr:grpSpPr>
        <a:xfrm>
          <a:off x="146539" y="45550245"/>
          <a:ext cx="5877368" cy="7863840"/>
          <a:chOff x="152401" y="42374821"/>
          <a:chExt cx="5877368" cy="7857978"/>
        </a:xfrm>
      </xdr:grpSpPr>
      <xdr:grpSp>
        <xdr:nvGrpSpPr>
          <xdr:cNvPr id="46" name="Group 45">
            <a:extLst>
              <a:ext uri="{FF2B5EF4-FFF2-40B4-BE49-F238E27FC236}">
                <a16:creationId xmlns:a16="http://schemas.microsoft.com/office/drawing/2014/main" id="{6A15C2AB-9771-AB88-89E4-B0932F4334BC}"/>
              </a:ext>
            </a:extLst>
          </xdr:cNvPr>
          <xdr:cNvGrpSpPr/>
        </xdr:nvGrpSpPr>
        <xdr:grpSpPr>
          <a:xfrm>
            <a:off x="152401" y="42374821"/>
            <a:ext cx="5877368" cy="7857978"/>
            <a:chOff x="480551" y="267855"/>
            <a:chExt cx="6110640" cy="8364931"/>
          </a:xfrm>
        </xdr:grpSpPr>
        <xdr:pic>
          <xdr:nvPicPr>
            <xdr:cNvPr id="47" name="Picture 46">
              <a:extLst>
                <a:ext uri="{FF2B5EF4-FFF2-40B4-BE49-F238E27FC236}">
                  <a16:creationId xmlns:a16="http://schemas.microsoft.com/office/drawing/2014/main" id="{0812F7BE-EA13-A27A-4E49-D83D68DDB7E6}"/>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4052842" y="6472786"/>
              <a:ext cx="215800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8" name="Picture 47">
              <a:extLst>
                <a:ext uri="{FF2B5EF4-FFF2-40B4-BE49-F238E27FC236}">
                  <a16:creationId xmlns:a16="http://schemas.microsoft.com/office/drawing/2014/main" id="{0DEA1F74-1AC4-CEF0-06DF-388724B08D4E}"/>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212117" y="267855"/>
              <a:ext cx="4796152" cy="333725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9" name="Picture 48">
              <a:extLst>
                <a:ext uri="{FF2B5EF4-FFF2-40B4-BE49-F238E27FC236}">
                  <a16:creationId xmlns:a16="http://schemas.microsoft.com/office/drawing/2014/main" id="{7CCEDF3B-5B52-77F8-D442-0DBE5056F07B}"/>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748959" y="3751232"/>
              <a:ext cx="2842232" cy="257542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0" name="Picture 49">
              <a:extLst>
                <a:ext uri="{FF2B5EF4-FFF2-40B4-BE49-F238E27FC236}">
                  <a16:creationId xmlns:a16="http://schemas.microsoft.com/office/drawing/2014/main" id="{C23CD855-6BC9-CD09-2B5F-BC7D4E5111ED}"/>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091202" y="6472786"/>
              <a:ext cx="2866728"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1" name="Picture 50">
              <a:extLst>
                <a:ext uri="{FF2B5EF4-FFF2-40B4-BE49-F238E27FC236}">
                  <a16:creationId xmlns:a16="http://schemas.microsoft.com/office/drawing/2014/main" id="{3FAB1E1D-6EBF-B764-C997-EE16ECC44C34}"/>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480551" y="3751232"/>
              <a:ext cx="3129642" cy="257542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53" name="Rectangle 52">
            <a:extLst>
              <a:ext uri="{FF2B5EF4-FFF2-40B4-BE49-F238E27FC236}">
                <a16:creationId xmlns:a16="http://schemas.microsoft.com/office/drawing/2014/main" id="{8BCB6F88-D1ED-4899-3A19-76000E034087}"/>
              </a:ext>
            </a:extLst>
          </xdr:cNvPr>
          <xdr:cNvSpPr/>
        </xdr:nvSpPr>
        <xdr:spPr>
          <a:xfrm>
            <a:off x="3603317" y="42851629"/>
            <a:ext cx="939609" cy="359063"/>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latin typeface="Times New Roman" panose="02020603050405020304" pitchFamily="18" charset="0"/>
                <a:cs typeface="Times New Roman" panose="02020603050405020304" pitchFamily="18" charset="0"/>
              </a:rPr>
              <a:t>Part</a:t>
            </a:r>
            <a:r>
              <a:rPr lang="en-IN" b="1" baseline="0">
                <a:solidFill>
                  <a:srgbClr val="FF0000"/>
                </a:solidFill>
                <a:latin typeface="Times New Roman" panose="02020603050405020304" pitchFamily="18" charset="0"/>
                <a:cs typeface="Times New Roman" panose="02020603050405020304" pitchFamily="18" charset="0"/>
              </a:rPr>
              <a:t> I</a:t>
            </a:r>
            <a:endParaRPr lang="en-IN" b="1">
              <a:solidFill>
                <a:srgbClr val="FF0000"/>
              </a:solidFill>
              <a:latin typeface="Times New Roman" panose="02020603050405020304" pitchFamily="18" charset="0"/>
              <a:cs typeface="Times New Roman" panose="02020603050405020304" pitchFamily="18" charset="0"/>
            </a:endParaRPr>
          </a:p>
        </xdr:txBody>
      </xdr:sp>
      <xdr:cxnSp macro="">
        <xdr:nvCxnSpPr>
          <xdr:cNvPr id="62" name="Straight Arrow Connector 61">
            <a:extLst>
              <a:ext uri="{FF2B5EF4-FFF2-40B4-BE49-F238E27FC236}">
                <a16:creationId xmlns:a16="http://schemas.microsoft.com/office/drawing/2014/main" id="{A5C4FE95-5FB7-FD74-4871-C4CB5E0CFD23}"/>
              </a:ext>
            </a:extLst>
          </xdr:cNvPr>
          <xdr:cNvCxnSpPr/>
        </xdr:nvCxnSpPr>
        <xdr:spPr>
          <a:xfrm>
            <a:off x="4066888" y="43153419"/>
            <a:ext cx="411327" cy="59711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0" name="Rectangle 69">
            <a:extLst>
              <a:ext uri="{FF2B5EF4-FFF2-40B4-BE49-F238E27FC236}">
                <a16:creationId xmlns:a16="http://schemas.microsoft.com/office/drawing/2014/main" id="{1F742A67-7125-EE8E-64ED-560D0720A7B2}"/>
              </a:ext>
            </a:extLst>
          </xdr:cNvPr>
          <xdr:cNvSpPr/>
        </xdr:nvSpPr>
        <xdr:spPr>
          <a:xfrm>
            <a:off x="1170778" y="43062685"/>
            <a:ext cx="939609" cy="359063"/>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latin typeface="Times New Roman" panose="02020603050405020304" pitchFamily="18" charset="0"/>
                <a:cs typeface="Times New Roman" panose="02020603050405020304" pitchFamily="18" charset="0"/>
              </a:rPr>
              <a:t>Part</a:t>
            </a:r>
            <a:r>
              <a:rPr lang="en-IN" b="1" baseline="0">
                <a:solidFill>
                  <a:srgbClr val="FF0000"/>
                </a:solidFill>
                <a:latin typeface="Times New Roman" panose="02020603050405020304" pitchFamily="18" charset="0"/>
                <a:cs typeface="Times New Roman" panose="02020603050405020304" pitchFamily="18" charset="0"/>
              </a:rPr>
              <a:t> II</a:t>
            </a:r>
            <a:endParaRPr lang="en-IN" b="1">
              <a:solidFill>
                <a:srgbClr val="FF0000"/>
              </a:solidFill>
              <a:latin typeface="Times New Roman" panose="02020603050405020304" pitchFamily="18" charset="0"/>
              <a:cs typeface="Times New Roman" panose="02020603050405020304" pitchFamily="18" charset="0"/>
            </a:endParaRPr>
          </a:p>
        </xdr:txBody>
      </xdr:sp>
      <xdr:cxnSp macro="">
        <xdr:nvCxnSpPr>
          <xdr:cNvPr id="73" name="Straight Arrow Connector 72">
            <a:extLst>
              <a:ext uri="{FF2B5EF4-FFF2-40B4-BE49-F238E27FC236}">
                <a16:creationId xmlns:a16="http://schemas.microsoft.com/office/drawing/2014/main" id="{77B4E7BA-1323-87A5-9722-D8614AC7D006}"/>
              </a:ext>
            </a:extLst>
          </xdr:cNvPr>
          <xdr:cNvCxnSpPr/>
        </xdr:nvCxnSpPr>
        <xdr:spPr>
          <a:xfrm>
            <a:off x="1843488" y="43366194"/>
            <a:ext cx="1532620" cy="101560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2UquLTbt4z1mz8vH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292"/>
  <sheetViews>
    <sheetView tabSelected="1" view="pageBreakPreview" topLeftCell="A118" zoomScale="130" zoomScaleNormal="100" zoomScaleSheetLayoutView="130" zoomScalePageLayoutView="85" workbookViewId="0">
      <selection activeCell="I125" sqref="I125"/>
    </sheetView>
  </sheetViews>
  <sheetFormatPr defaultColWidth="9.109375" defaultRowHeight="15.6" x14ac:dyDescent="0.3"/>
  <cols>
    <col min="1" max="1" width="11.44140625" style="37" customWidth="1"/>
    <col min="2" max="2" width="12" style="37" customWidth="1"/>
    <col min="3" max="3" width="12.6640625" style="37" customWidth="1"/>
    <col min="4" max="4" width="13.6640625" style="37" customWidth="1"/>
    <col min="5" max="5" width="11.6640625" style="37" customWidth="1"/>
    <col min="6" max="6" width="11.109375" style="37" customWidth="1"/>
    <col min="7" max="8" width="11" style="37" customWidth="1"/>
    <col min="9" max="9" width="17.44140625" style="18" customWidth="1"/>
    <col min="10" max="10" width="11.44140625" style="18" customWidth="1"/>
    <col min="11" max="11" width="11.33203125" style="18" bestFit="1" customWidth="1"/>
    <col min="12" max="12" width="13.88671875" style="18" bestFit="1" customWidth="1"/>
    <col min="13" max="13" width="11.88671875" style="18" customWidth="1"/>
    <col min="14" max="14" width="12.5546875" style="18" customWidth="1"/>
    <col min="15" max="15" width="12.109375" style="18" customWidth="1"/>
    <col min="16" max="16" width="11.6640625" style="18" customWidth="1"/>
    <col min="17" max="18" width="9.109375" style="18"/>
    <col min="19" max="19" width="10.88671875" style="18" bestFit="1" customWidth="1"/>
    <col min="20" max="20" width="10.6640625" style="18" customWidth="1"/>
    <col min="21" max="247" width="9.109375" style="18"/>
    <col min="248" max="248" width="8.6640625" style="18" customWidth="1"/>
    <col min="249" max="249" width="9.88671875" style="18" customWidth="1"/>
    <col min="250" max="250" width="14.44140625" style="18" customWidth="1"/>
    <col min="251" max="251" width="7.33203125" style="18" customWidth="1"/>
    <col min="252" max="252" width="5.5546875" style="18" customWidth="1"/>
    <col min="253" max="253" width="9" style="18" customWidth="1"/>
    <col min="254" max="255" width="9.88671875" style="18" customWidth="1"/>
    <col min="256" max="256" width="11.109375" style="18" customWidth="1"/>
    <col min="257" max="257" width="2.88671875" style="18" customWidth="1"/>
    <col min="258" max="258" width="3.5546875" style="18" customWidth="1"/>
    <col min="259" max="503" width="9.109375" style="18"/>
    <col min="504" max="504" width="8.6640625" style="18" customWidth="1"/>
    <col min="505" max="505" width="9.88671875" style="18" customWidth="1"/>
    <col min="506" max="506" width="14.44140625" style="18" customWidth="1"/>
    <col min="507" max="507" width="7.33203125" style="18" customWidth="1"/>
    <col min="508" max="508" width="5.5546875" style="18" customWidth="1"/>
    <col min="509" max="509" width="9" style="18" customWidth="1"/>
    <col min="510" max="511" width="9.88671875" style="18" customWidth="1"/>
    <col min="512" max="512" width="11.109375" style="18" customWidth="1"/>
    <col min="513" max="513" width="2.88671875" style="18" customWidth="1"/>
    <col min="514" max="514" width="3.5546875" style="18" customWidth="1"/>
    <col min="515" max="759" width="9.109375" style="18"/>
    <col min="760" max="760" width="8.6640625" style="18" customWidth="1"/>
    <col min="761" max="761" width="9.88671875" style="18" customWidth="1"/>
    <col min="762" max="762" width="14.44140625" style="18" customWidth="1"/>
    <col min="763" max="763" width="7.33203125" style="18" customWidth="1"/>
    <col min="764" max="764" width="5.5546875" style="18" customWidth="1"/>
    <col min="765" max="765" width="9" style="18" customWidth="1"/>
    <col min="766" max="767" width="9.88671875" style="18" customWidth="1"/>
    <col min="768" max="768" width="11.109375" style="18" customWidth="1"/>
    <col min="769" max="769" width="2.88671875" style="18" customWidth="1"/>
    <col min="770" max="770" width="3.5546875" style="18" customWidth="1"/>
    <col min="771" max="1015" width="9.109375" style="18"/>
    <col min="1016" max="1016" width="8.6640625" style="18" customWidth="1"/>
    <col min="1017" max="1017" width="9.88671875" style="18" customWidth="1"/>
    <col min="1018" max="1018" width="14.44140625" style="18" customWidth="1"/>
    <col min="1019" max="1019" width="7.33203125" style="18" customWidth="1"/>
    <col min="1020" max="1020" width="5.5546875" style="18" customWidth="1"/>
    <col min="1021" max="1021" width="9" style="18" customWidth="1"/>
    <col min="1022" max="1023" width="9.88671875" style="18" customWidth="1"/>
    <col min="1024" max="1024" width="11.109375" style="18" customWidth="1"/>
    <col min="1025" max="1025" width="2.88671875" style="18" customWidth="1"/>
    <col min="1026" max="1026" width="3.5546875" style="18" customWidth="1"/>
    <col min="1027" max="1271" width="9.109375" style="18"/>
    <col min="1272" max="1272" width="8.6640625" style="18" customWidth="1"/>
    <col min="1273" max="1273" width="9.88671875" style="18" customWidth="1"/>
    <col min="1274" max="1274" width="14.44140625" style="18" customWidth="1"/>
    <col min="1275" max="1275" width="7.33203125" style="18" customWidth="1"/>
    <col min="1276" max="1276" width="5.5546875" style="18" customWidth="1"/>
    <col min="1277" max="1277" width="9" style="18" customWidth="1"/>
    <col min="1278" max="1279" width="9.88671875" style="18" customWidth="1"/>
    <col min="1280" max="1280" width="11.109375" style="18" customWidth="1"/>
    <col min="1281" max="1281" width="2.88671875" style="18" customWidth="1"/>
    <col min="1282" max="1282" width="3.5546875" style="18" customWidth="1"/>
    <col min="1283" max="1527" width="9.109375" style="18"/>
    <col min="1528" max="1528" width="8.6640625" style="18" customWidth="1"/>
    <col min="1529" max="1529" width="9.88671875" style="18" customWidth="1"/>
    <col min="1530" max="1530" width="14.44140625" style="18" customWidth="1"/>
    <col min="1531" max="1531" width="7.33203125" style="18" customWidth="1"/>
    <col min="1532" max="1532" width="5.5546875" style="18" customWidth="1"/>
    <col min="1533" max="1533" width="9" style="18" customWidth="1"/>
    <col min="1534" max="1535" width="9.88671875" style="18" customWidth="1"/>
    <col min="1536" max="1536" width="11.109375" style="18" customWidth="1"/>
    <col min="1537" max="1537" width="2.88671875" style="18" customWidth="1"/>
    <col min="1538" max="1538" width="3.5546875" style="18" customWidth="1"/>
    <col min="1539" max="1783" width="9.109375" style="18"/>
    <col min="1784" max="1784" width="8.6640625" style="18" customWidth="1"/>
    <col min="1785" max="1785" width="9.88671875" style="18" customWidth="1"/>
    <col min="1786" max="1786" width="14.44140625" style="18" customWidth="1"/>
    <col min="1787" max="1787" width="7.33203125" style="18" customWidth="1"/>
    <col min="1788" max="1788" width="5.5546875" style="18" customWidth="1"/>
    <col min="1789" max="1789" width="9" style="18" customWidth="1"/>
    <col min="1790" max="1791" width="9.88671875" style="18" customWidth="1"/>
    <col min="1792" max="1792" width="11.109375" style="18" customWidth="1"/>
    <col min="1793" max="1793" width="2.88671875" style="18" customWidth="1"/>
    <col min="1794" max="1794" width="3.5546875" style="18" customWidth="1"/>
    <col min="1795" max="2039" width="9.109375" style="18"/>
    <col min="2040" max="2040" width="8.6640625" style="18" customWidth="1"/>
    <col min="2041" max="2041" width="9.88671875" style="18" customWidth="1"/>
    <col min="2042" max="2042" width="14.44140625" style="18" customWidth="1"/>
    <col min="2043" max="2043" width="7.33203125" style="18" customWidth="1"/>
    <col min="2044" max="2044" width="5.5546875" style="18" customWidth="1"/>
    <col min="2045" max="2045" width="9" style="18" customWidth="1"/>
    <col min="2046" max="2047" width="9.88671875" style="18" customWidth="1"/>
    <col min="2048" max="2048" width="11.109375" style="18" customWidth="1"/>
    <col min="2049" max="2049" width="2.88671875" style="18" customWidth="1"/>
    <col min="2050" max="2050" width="3.5546875" style="18" customWidth="1"/>
    <col min="2051" max="2295" width="9.109375" style="18"/>
    <col min="2296" max="2296" width="8.6640625" style="18" customWidth="1"/>
    <col min="2297" max="2297" width="9.88671875" style="18" customWidth="1"/>
    <col min="2298" max="2298" width="14.44140625" style="18" customWidth="1"/>
    <col min="2299" max="2299" width="7.33203125" style="18" customWidth="1"/>
    <col min="2300" max="2300" width="5.5546875" style="18" customWidth="1"/>
    <col min="2301" max="2301" width="9" style="18" customWidth="1"/>
    <col min="2302" max="2303" width="9.88671875" style="18" customWidth="1"/>
    <col min="2304" max="2304" width="11.109375" style="18" customWidth="1"/>
    <col min="2305" max="2305" width="2.88671875" style="18" customWidth="1"/>
    <col min="2306" max="2306" width="3.5546875" style="18" customWidth="1"/>
    <col min="2307" max="2551" width="9.109375" style="18"/>
    <col min="2552" max="2552" width="8.6640625" style="18" customWidth="1"/>
    <col min="2553" max="2553" width="9.88671875" style="18" customWidth="1"/>
    <col min="2554" max="2554" width="14.44140625" style="18" customWidth="1"/>
    <col min="2555" max="2555" width="7.33203125" style="18" customWidth="1"/>
    <col min="2556" max="2556" width="5.5546875" style="18" customWidth="1"/>
    <col min="2557" max="2557" width="9" style="18" customWidth="1"/>
    <col min="2558" max="2559" width="9.88671875" style="18" customWidth="1"/>
    <col min="2560" max="2560" width="11.109375" style="18" customWidth="1"/>
    <col min="2561" max="2561" width="2.88671875" style="18" customWidth="1"/>
    <col min="2562" max="2562" width="3.5546875" style="18" customWidth="1"/>
    <col min="2563" max="2807" width="9.109375" style="18"/>
    <col min="2808" max="2808" width="8.6640625" style="18" customWidth="1"/>
    <col min="2809" max="2809" width="9.88671875" style="18" customWidth="1"/>
    <col min="2810" max="2810" width="14.44140625" style="18" customWidth="1"/>
    <col min="2811" max="2811" width="7.33203125" style="18" customWidth="1"/>
    <col min="2812" max="2812" width="5.5546875" style="18" customWidth="1"/>
    <col min="2813" max="2813" width="9" style="18" customWidth="1"/>
    <col min="2814" max="2815" width="9.88671875" style="18" customWidth="1"/>
    <col min="2816" max="2816" width="11.109375" style="18" customWidth="1"/>
    <col min="2817" max="2817" width="2.88671875" style="18" customWidth="1"/>
    <col min="2818" max="2818" width="3.5546875" style="18" customWidth="1"/>
    <col min="2819" max="3063" width="9.109375" style="18"/>
    <col min="3064" max="3064" width="8.6640625" style="18" customWidth="1"/>
    <col min="3065" max="3065" width="9.88671875" style="18" customWidth="1"/>
    <col min="3066" max="3066" width="14.44140625" style="18" customWidth="1"/>
    <col min="3067" max="3067" width="7.33203125" style="18" customWidth="1"/>
    <col min="3068" max="3068" width="5.5546875" style="18" customWidth="1"/>
    <col min="3069" max="3069" width="9" style="18" customWidth="1"/>
    <col min="3070" max="3071" width="9.88671875" style="18" customWidth="1"/>
    <col min="3072" max="3072" width="11.109375" style="18" customWidth="1"/>
    <col min="3073" max="3073" width="2.88671875" style="18" customWidth="1"/>
    <col min="3074" max="3074" width="3.5546875" style="18" customWidth="1"/>
    <col min="3075" max="3319" width="9.109375" style="18"/>
    <col min="3320" max="3320" width="8.6640625" style="18" customWidth="1"/>
    <col min="3321" max="3321" width="9.88671875" style="18" customWidth="1"/>
    <col min="3322" max="3322" width="14.44140625" style="18" customWidth="1"/>
    <col min="3323" max="3323" width="7.33203125" style="18" customWidth="1"/>
    <col min="3324" max="3324" width="5.5546875" style="18" customWidth="1"/>
    <col min="3325" max="3325" width="9" style="18" customWidth="1"/>
    <col min="3326" max="3327" width="9.88671875" style="18" customWidth="1"/>
    <col min="3328" max="3328" width="11.109375" style="18" customWidth="1"/>
    <col min="3329" max="3329" width="2.88671875" style="18" customWidth="1"/>
    <col min="3330" max="3330" width="3.5546875" style="18" customWidth="1"/>
    <col min="3331" max="3575" width="9.109375" style="18"/>
    <col min="3576" max="3576" width="8.6640625" style="18" customWidth="1"/>
    <col min="3577" max="3577" width="9.88671875" style="18" customWidth="1"/>
    <col min="3578" max="3578" width="14.44140625" style="18" customWidth="1"/>
    <col min="3579" max="3579" width="7.33203125" style="18" customWidth="1"/>
    <col min="3580" max="3580" width="5.5546875" style="18" customWidth="1"/>
    <col min="3581" max="3581" width="9" style="18" customWidth="1"/>
    <col min="3582" max="3583" width="9.88671875" style="18" customWidth="1"/>
    <col min="3584" max="3584" width="11.109375" style="18" customWidth="1"/>
    <col min="3585" max="3585" width="2.88671875" style="18" customWidth="1"/>
    <col min="3586" max="3586" width="3.5546875" style="18" customWidth="1"/>
    <col min="3587" max="3831" width="9.109375" style="18"/>
    <col min="3832" max="3832" width="8.6640625" style="18" customWidth="1"/>
    <col min="3833" max="3833" width="9.88671875" style="18" customWidth="1"/>
    <col min="3834" max="3834" width="14.44140625" style="18" customWidth="1"/>
    <col min="3835" max="3835" width="7.33203125" style="18" customWidth="1"/>
    <col min="3836" max="3836" width="5.5546875" style="18" customWidth="1"/>
    <col min="3837" max="3837" width="9" style="18" customWidth="1"/>
    <col min="3838" max="3839" width="9.88671875" style="18" customWidth="1"/>
    <col min="3840" max="3840" width="11.109375" style="18" customWidth="1"/>
    <col min="3841" max="3841" width="2.88671875" style="18" customWidth="1"/>
    <col min="3842" max="3842" width="3.5546875" style="18" customWidth="1"/>
    <col min="3843" max="4087" width="9.109375" style="18"/>
    <col min="4088" max="4088" width="8.6640625" style="18" customWidth="1"/>
    <col min="4089" max="4089" width="9.88671875" style="18" customWidth="1"/>
    <col min="4090" max="4090" width="14.44140625" style="18" customWidth="1"/>
    <col min="4091" max="4091" width="7.33203125" style="18" customWidth="1"/>
    <col min="4092" max="4092" width="5.5546875" style="18" customWidth="1"/>
    <col min="4093" max="4093" width="9" style="18" customWidth="1"/>
    <col min="4094" max="4095" width="9.88671875" style="18" customWidth="1"/>
    <col min="4096" max="4096" width="11.109375" style="18" customWidth="1"/>
    <col min="4097" max="4097" width="2.88671875" style="18" customWidth="1"/>
    <col min="4098" max="4098" width="3.5546875" style="18" customWidth="1"/>
    <col min="4099" max="4343" width="9.109375" style="18"/>
    <col min="4344" max="4344" width="8.6640625" style="18" customWidth="1"/>
    <col min="4345" max="4345" width="9.88671875" style="18" customWidth="1"/>
    <col min="4346" max="4346" width="14.44140625" style="18" customWidth="1"/>
    <col min="4347" max="4347" width="7.33203125" style="18" customWidth="1"/>
    <col min="4348" max="4348" width="5.5546875" style="18" customWidth="1"/>
    <col min="4349" max="4349" width="9" style="18" customWidth="1"/>
    <col min="4350" max="4351" width="9.88671875" style="18" customWidth="1"/>
    <col min="4352" max="4352" width="11.109375" style="18" customWidth="1"/>
    <col min="4353" max="4353" width="2.88671875" style="18" customWidth="1"/>
    <col min="4354" max="4354" width="3.5546875" style="18" customWidth="1"/>
    <col min="4355" max="4599" width="9.109375" style="18"/>
    <col min="4600" max="4600" width="8.6640625" style="18" customWidth="1"/>
    <col min="4601" max="4601" width="9.88671875" style="18" customWidth="1"/>
    <col min="4602" max="4602" width="14.44140625" style="18" customWidth="1"/>
    <col min="4603" max="4603" width="7.33203125" style="18" customWidth="1"/>
    <col min="4604" max="4604" width="5.5546875" style="18" customWidth="1"/>
    <col min="4605" max="4605" width="9" style="18" customWidth="1"/>
    <col min="4606" max="4607" width="9.88671875" style="18" customWidth="1"/>
    <col min="4608" max="4608" width="11.109375" style="18" customWidth="1"/>
    <col min="4609" max="4609" width="2.88671875" style="18" customWidth="1"/>
    <col min="4610" max="4610" width="3.5546875" style="18" customWidth="1"/>
    <col min="4611" max="4855" width="9.109375" style="18"/>
    <col min="4856" max="4856" width="8.6640625" style="18" customWidth="1"/>
    <col min="4857" max="4857" width="9.88671875" style="18" customWidth="1"/>
    <col min="4858" max="4858" width="14.44140625" style="18" customWidth="1"/>
    <col min="4859" max="4859" width="7.33203125" style="18" customWidth="1"/>
    <col min="4860" max="4860" width="5.5546875" style="18" customWidth="1"/>
    <col min="4861" max="4861" width="9" style="18" customWidth="1"/>
    <col min="4862" max="4863" width="9.88671875" style="18" customWidth="1"/>
    <col min="4864" max="4864" width="11.109375" style="18" customWidth="1"/>
    <col min="4865" max="4865" width="2.88671875" style="18" customWidth="1"/>
    <col min="4866" max="4866" width="3.5546875" style="18" customWidth="1"/>
    <col min="4867" max="5111" width="9.109375" style="18"/>
    <col min="5112" max="5112" width="8.6640625" style="18" customWidth="1"/>
    <col min="5113" max="5113" width="9.88671875" style="18" customWidth="1"/>
    <col min="5114" max="5114" width="14.44140625" style="18" customWidth="1"/>
    <col min="5115" max="5115" width="7.33203125" style="18" customWidth="1"/>
    <col min="5116" max="5116" width="5.5546875" style="18" customWidth="1"/>
    <col min="5117" max="5117" width="9" style="18" customWidth="1"/>
    <col min="5118" max="5119" width="9.88671875" style="18" customWidth="1"/>
    <col min="5120" max="5120" width="11.109375" style="18" customWidth="1"/>
    <col min="5121" max="5121" width="2.88671875" style="18" customWidth="1"/>
    <col min="5122" max="5122" width="3.5546875" style="18" customWidth="1"/>
    <col min="5123" max="5367" width="9.109375" style="18"/>
    <col min="5368" max="5368" width="8.6640625" style="18" customWidth="1"/>
    <col min="5369" max="5369" width="9.88671875" style="18" customWidth="1"/>
    <col min="5370" max="5370" width="14.44140625" style="18" customWidth="1"/>
    <col min="5371" max="5371" width="7.33203125" style="18" customWidth="1"/>
    <col min="5372" max="5372" width="5.5546875" style="18" customWidth="1"/>
    <col min="5373" max="5373" width="9" style="18" customWidth="1"/>
    <col min="5374" max="5375" width="9.88671875" style="18" customWidth="1"/>
    <col min="5376" max="5376" width="11.109375" style="18" customWidth="1"/>
    <col min="5377" max="5377" width="2.88671875" style="18" customWidth="1"/>
    <col min="5378" max="5378" width="3.5546875" style="18" customWidth="1"/>
    <col min="5379" max="5623" width="9.109375" style="18"/>
    <col min="5624" max="5624" width="8.6640625" style="18" customWidth="1"/>
    <col min="5625" max="5625" width="9.88671875" style="18" customWidth="1"/>
    <col min="5626" max="5626" width="14.44140625" style="18" customWidth="1"/>
    <col min="5627" max="5627" width="7.33203125" style="18" customWidth="1"/>
    <col min="5628" max="5628" width="5.5546875" style="18" customWidth="1"/>
    <col min="5629" max="5629" width="9" style="18" customWidth="1"/>
    <col min="5630" max="5631" width="9.88671875" style="18" customWidth="1"/>
    <col min="5632" max="5632" width="11.109375" style="18" customWidth="1"/>
    <col min="5633" max="5633" width="2.88671875" style="18" customWidth="1"/>
    <col min="5634" max="5634" width="3.5546875" style="18" customWidth="1"/>
    <col min="5635" max="5879" width="9.109375" style="18"/>
    <col min="5880" max="5880" width="8.6640625" style="18" customWidth="1"/>
    <col min="5881" max="5881" width="9.88671875" style="18" customWidth="1"/>
    <col min="5882" max="5882" width="14.44140625" style="18" customWidth="1"/>
    <col min="5883" max="5883" width="7.33203125" style="18" customWidth="1"/>
    <col min="5884" max="5884" width="5.5546875" style="18" customWidth="1"/>
    <col min="5885" max="5885" width="9" style="18" customWidth="1"/>
    <col min="5886" max="5887" width="9.88671875" style="18" customWidth="1"/>
    <col min="5888" max="5888" width="11.109375" style="18" customWidth="1"/>
    <col min="5889" max="5889" width="2.88671875" style="18" customWidth="1"/>
    <col min="5890" max="5890" width="3.5546875" style="18" customWidth="1"/>
    <col min="5891" max="6135" width="9.109375" style="18"/>
    <col min="6136" max="6136" width="8.6640625" style="18" customWidth="1"/>
    <col min="6137" max="6137" width="9.88671875" style="18" customWidth="1"/>
    <col min="6138" max="6138" width="14.44140625" style="18" customWidth="1"/>
    <col min="6139" max="6139" width="7.33203125" style="18" customWidth="1"/>
    <col min="6140" max="6140" width="5.5546875" style="18" customWidth="1"/>
    <col min="6141" max="6141" width="9" style="18" customWidth="1"/>
    <col min="6142" max="6143" width="9.88671875" style="18" customWidth="1"/>
    <col min="6144" max="6144" width="11.109375" style="18" customWidth="1"/>
    <col min="6145" max="6145" width="2.88671875" style="18" customWidth="1"/>
    <col min="6146" max="6146" width="3.5546875" style="18" customWidth="1"/>
    <col min="6147" max="6391" width="9.109375" style="18"/>
    <col min="6392" max="6392" width="8.6640625" style="18" customWidth="1"/>
    <col min="6393" max="6393" width="9.88671875" style="18" customWidth="1"/>
    <col min="6394" max="6394" width="14.44140625" style="18" customWidth="1"/>
    <col min="6395" max="6395" width="7.33203125" style="18" customWidth="1"/>
    <col min="6396" max="6396" width="5.5546875" style="18" customWidth="1"/>
    <col min="6397" max="6397" width="9" style="18" customWidth="1"/>
    <col min="6398" max="6399" width="9.88671875" style="18" customWidth="1"/>
    <col min="6400" max="6400" width="11.109375" style="18" customWidth="1"/>
    <col min="6401" max="6401" width="2.88671875" style="18" customWidth="1"/>
    <col min="6402" max="6402" width="3.5546875" style="18" customWidth="1"/>
    <col min="6403" max="6647" width="9.109375" style="18"/>
    <col min="6648" max="6648" width="8.6640625" style="18" customWidth="1"/>
    <col min="6649" max="6649" width="9.88671875" style="18" customWidth="1"/>
    <col min="6650" max="6650" width="14.44140625" style="18" customWidth="1"/>
    <col min="6651" max="6651" width="7.33203125" style="18" customWidth="1"/>
    <col min="6652" max="6652" width="5.5546875" style="18" customWidth="1"/>
    <col min="6653" max="6653" width="9" style="18" customWidth="1"/>
    <col min="6654" max="6655" width="9.88671875" style="18" customWidth="1"/>
    <col min="6656" max="6656" width="11.109375" style="18" customWidth="1"/>
    <col min="6657" max="6657" width="2.88671875" style="18" customWidth="1"/>
    <col min="6658" max="6658" width="3.5546875" style="18" customWidth="1"/>
    <col min="6659" max="6903" width="9.109375" style="18"/>
    <col min="6904" max="6904" width="8.6640625" style="18" customWidth="1"/>
    <col min="6905" max="6905" width="9.88671875" style="18" customWidth="1"/>
    <col min="6906" max="6906" width="14.44140625" style="18" customWidth="1"/>
    <col min="6907" max="6907" width="7.33203125" style="18" customWidth="1"/>
    <col min="6908" max="6908" width="5.5546875" style="18" customWidth="1"/>
    <col min="6909" max="6909" width="9" style="18" customWidth="1"/>
    <col min="6910" max="6911" width="9.88671875" style="18" customWidth="1"/>
    <col min="6912" max="6912" width="11.109375" style="18" customWidth="1"/>
    <col min="6913" max="6913" width="2.88671875" style="18" customWidth="1"/>
    <col min="6914" max="6914" width="3.5546875" style="18" customWidth="1"/>
    <col min="6915" max="7159" width="9.109375" style="18"/>
    <col min="7160" max="7160" width="8.6640625" style="18" customWidth="1"/>
    <col min="7161" max="7161" width="9.88671875" style="18" customWidth="1"/>
    <col min="7162" max="7162" width="14.44140625" style="18" customWidth="1"/>
    <col min="7163" max="7163" width="7.33203125" style="18" customWidth="1"/>
    <col min="7164" max="7164" width="5.5546875" style="18" customWidth="1"/>
    <col min="7165" max="7165" width="9" style="18" customWidth="1"/>
    <col min="7166" max="7167" width="9.88671875" style="18" customWidth="1"/>
    <col min="7168" max="7168" width="11.109375" style="18" customWidth="1"/>
    <col min="7169" max="7169" width="2.88671875" style="18" customWidth="1"/>
    <col min="7170" max="7170" width="3.5546875" style="18" customWidth="1"/>
    <col min="7171" max="7415" width="9.109375" style="18"/>
    <col min="7416" max="7416" width="8.6640625" style="18" customWidth="1"/>
    <col min="7417" max="7417" width="9.88671875" style="18" customWidth="1"/>
    <col min="7418" max="7418" width="14.44140625" style="18" customWidth="1"/>
    <col min="7419" max="7419" width="7.33203125" style="18" customWidth="1"/>
    <col min="7420" max="7420" width="5.5546875" style="18" customWidth="1"/>
    <col min="7421" max="7421" width="9" style="18" customWidth="1"/>
    <col min="7422" max="7423" width="9.88671875" style="18" customWidth="1"/>
    <col min="7424" max="7424" width="11.109375" style="18" customWidth="1"/>
    <col min="7425" max="7425" width="2.88671875" style="18" customWidth="1"/>
    <col min="7426" max="7426" width="3.5546875" style="18" customWidth="1"/>
    <col min="7427" max="7671" width="9.109375" style="18"/>
    <col min="7672" max="7672" width="8.6640625" style="18" customWidth="1"/>
    <col min="7673" max="7673" width="9.88671875" style="18" customWidth="1"/>
    <col min="7674" max="7674" width="14.44140625" style="18" customWidth="1"/>
    <col min="7675" max="7675" width="7.33203125" style="18" customWidth="1"/>
    <col min="7676" max="7676" width="5.5546875" style="18" customWidth="1"/>
    <col min="7677" max="7677" width="9" style="18" customWidth="1"/>
    <col min="7678" max="7679" width="9.88671875" style="18" customWidth="1"/>
    <col min="7680" max="7680" width="11.109375" style="18" customWidth="1"/>
    <col min="7681" max="7681" width="2.88671875" style="18" customWidth="1"/>
    <col min="7682" max="7682" width="3.5546875" style="18" customWidth="1"/>
    <col min="7683" max="7927" width="9.109375" style="18"/>
    <col min="7928" max="7928" width="8.6640625" style="18" customWidth="1"/>
    <col min="7929" max="7929" width="9.88671875" style="18" customWidth="1"/>
    <col min="7930" max="7930" width="14.44140625" style="18" customWidth="1"/>
    <col min="7931" max="7931" width="7.33203125" style="18" customWidth="1"/>
    <col min="7932" max="7932" width="5.5546875" style="18" customWidth="1"/>
    <col min="7933" max="7933" width="9" style="18" customWidth="1"/>
    <col min="7934" max="7935" width="9.88671875" style="18" customWidth="1"/>
    <col min="7936" max="7936" width="11.109375" style="18" customWidth="1"/>
    <col min="7937" max="7937" width="2.88671875" style="18" customWidth="1"/>
    <col min="7938" max="7938" width="3.5546875" style="18" customWidth="1"/>
    <col min="7939" max="8183" width="9.109375" style="18"/>
    <col min="8184" max="8184" width="8.6640625" style="18" customWidth="1"/>
    <col min="8185" max="8185" width="9.88671875" style="18" customWidth="1"/>
    <col min="8186" max="8186" width="14.44140625" style="18" customWidth="1"/>
    <col min="8187" max="8187" width="7.33203125" style="18" customWidth="1"/>
    <col min="8188" max="8188" width="5.5546875" style="18" customWidth="1"/>
    <col min="8189" max="8189" width="9" style="18" customWidth="1"/>
    <col min="8190" max="8191" width="9.88671875" style="18" customWidth="1"/>
    <col min="8192" max="8192" width="11.109375" style="18" customWidth="1"/>
    <col min="8193" max="8193" width="2.88671875" style="18" customWidth="1"/>
    <col min="8194" max="8194" width="3.5546875" style="18" customWidth="1"/>
    <col min="8195" max="8439" width="9.109375" style="18"/>
    <col min="8440" max="8440" width="8.6640625" style="18" customWidth="1"/>
    <col min="8441" max="8441" width="9.88671875" style="18" customWidth="1"/>
    <col min="8442" max="8442" width="14.44140625" style="18" customWidth="1"/>
    <col min="8443" max="8443" width="7.33203125" style="18" customWidth="1"/>
    <col min="8444" max="8444" width="5.5546875" style="18" customWidth="1"/>
    <col min="8445" max="8445" width="9" style="18" customWidth="1"/>
    <col min="8446" max="8447" width="9.88671875" style="18" customWidth="1"/>
    <col min="8448" max="8448" width="11.109375" style="18" customWidth="1"/>
    <col min="8449" max="8449" width="2.88671875" style="18" customWidth="1"/>
    <col min="8450" max="8450" width="3.5546875" style="18" customWidth="1"/>
    <col min="8451" max="8695" width="9.109375" style="18"/>
    <col min="8696" max="8696" width="8.6640625" style="18" customWidth="1"/>
    <col min="8697" max="8697" width="9.88671875" style="18" customWidth="1"/>
    <col min="8698" max="8698" width="14.44140625" style="18" customWidth="1"/>
    <col min="8699" max="8699" width="7.33203125" style="18" customWidth="1"/>
    <col min="8700" max="8700" width="5.5546875" style="18" customWidth="1"/>
    <col min="8701" max="8701" width="9" style="18" customWidth="1"/>
    <col min="8702" max="8703" width="9.88671875" style="18" customWidth="1"/>
    <col min="8704" max="8704" width="11.109375" style="18" customWidth="1"/>
    <col min="8705" max="8705" width="2.88671875" style="18" customWidth="1"/>
    <col min="8706" max="8706" width="3.5546875" style="18" customWidth="1"/>
    <col min="8707" max="8951" width="9.109375" style="18"/>
    <col min="8952" max="8952" width="8.6640625" style="18" customWidth="1"/>
    <col min="8953" max="8953" width="9.88671875" style="18" customWidth="1"/>
    <col min="8954" max="8954" width="14.44140625" style="18" customWidth="1"/>
    <col min="8955" max="8955" width="7.33203125" style="18" customWidth="1"/>
    <col min="8956" max="8956" width="5.5546875" style="18" customWidth="1"/>
    <col min="8957" max="8957" width="9" style="18" customWidth="1"/>
    <col min="8958" max="8959" width="9.88671875" style="18" customWidth="1"/>
    <col min="8960" max="8960" width="11.109375" style="18" customWidth="1"/>
    <col min="8961" max="8961" width="2.88671875" style="18" customWidth="1"/>
    <col min="8962" max="8962" width="3.5546875" style="18" customWidth="1"/>
    <col min="8963" max="9207" width="9.109375" style="18"/>
    <col min="9208" max="9208" width="8.6640625" style="18" customWidth="1"/>
    <col min="9209" max="9209" width="9.88671875" style="18" customWidth="1"/>
    <col min="9210" max="9210" width="14.44140625" style="18" customWidth="1"/>
    <col min="9211" max="9211" width="7.33203125" style="18" customWidth="1"/>
    <col min="9212" max="9212" width="5.5546875" style="18" customWidth="1"/>
    <col min="9213" max="9213" width="9" style="18" customWidth="1"/>
    <col min="9214" max="9215" width="9.88671875" style="18" customWidth="1"/>
    <col min="9216" max="9216" width="11.109375" style="18" customWidth="1"/>
    <col min="9217" max="9217" width="2.88671875" style="18" customWidth="1"/>
    <col min="9218" max="9218" width="3.5546875" style="18" customWidth="1"/>
    <col min="9219" max="9463" width="9.109375" style="18"/>
    <col min="9464" max="9464" width="8.6640625" style="18" customWidth="1"/>
    <col min="9465" max="9465" width="9.88671875" style="18" customWidth="1"/>
    <col min="9466" max="9466" width="14.44140625" style="18" customWidth="1"/>
    <col min="9467" max="9467" width="7.33203125" style="18" customWidth="1"/>
    <col min="9468" max="9468" width="5.5546875" style="18" customWidth="1"/>
    <col min="9469" max="9469" width="9" style="18" customWidth="1"/>
    <col min="9470" max="9471" width="9.88671875" style="18" customWidth="1"/>
    <col min="9472" max="9472" width="11.109375" style="18" customWidth="1"/>
    <col min="9473" max="9473" width="2.88671875" style="18" customWidth="1"/>
    <col min="9474" max="9474" width="3.5546875" style="18" customWidth="1"/>
    <col min="9475" max="9719" width="9.109375" style="18"/>
    <col min="9720" max="9720" width="8.6640625" style="18" customWidth="1"/>
    <col min="9721" max="9721" width="9.88671875" style="18" customWidth="1"/>
    <col min="9722" max="9722" width="14.44140625" style="18" customWidth="1"/>
    <col min="9723" max="9723" width="7.33203125" style="18" customWidth="1"/>
    <col min="9724" max="9724" width="5.5546875" style="18" customWidth="1"/>
    <col min="9725" max="9725" width="9" style="18" customWidth="1"/>
    <col min="9726" max="9727" width="9.88671875" style="18" customWidth="1"/>
    <col min="9728" max="9728" width="11.109375" style="18" customWidth="1"/>
    <col min="9729" max="9729" width="2.88671875" style="18" customWidth="1"/>
    <col min="9730" max="9730" width="3.5546875" style="18" customWidth="1"/>
    <col min="9731" max="9975" width="9.109375" style="18"/>
    <col min="9976" max="9976" width="8.6640625" style="18" customWidth="1"/>
    <col min="9977" max="9977" width="9.88671875" style="18" customWidth="1"/>
    <col min="9978" max="9978" width="14.44140625" style="18" customWidth="1"/>
    <col min="9979" max="9979" width="7.33203125" style="18" customWidth="1"/>
    <col min="9980" max="9980" width="5.5546875" style="18" customWidth="1"/>
    <col min="9981" max="9981" width="9" style="18" customWidth="1"/>
    <col min="9982" max="9983" width="9.88671875" style="18" customWidth="1"/>
    <col min="9984" max="9984" width="11.109375" style="18" customWidth="1"/>
    <col min="9985" max="9985" width="2.88671875" style="18" customWidth="1"/>
    <col min="9986" max="9986" width="3.5546875" style="18" customWidth="1"/>
    <col min="9987" max="10231" width="9.109375" style="18"/>
    <col min="10232" max="10232" width="8.6640625" style="18" customWidth="1"/>
    <col min="10233" max="10233" width="9.88671875" style="18" customWidth="1"/>
    <col min="10234" max="10234" width="14.44140625" style="18" customWidth="1"/>
    <col min="10235" max="10235" width="7.33203125" style="18" customWidth="1"/>
    <col min="10236" max="10236" width="5.5546875" style="18" customWidth="1"/>
    <col min="10237" max="10237" width="9" style="18" customWidth="1"/>
    <col min="10238" max="10239" width="9.88671875" style="18" customWidth="1"/>
    <col min="10240" max="10240" width="11.109375" style="18" customWidth="1"/>
    <col min="10241" max="10241" width="2.88671875" style="18" customWidth="1"/>
    <col min="10242" max="10242" width="3.5546875" style="18" customWidth="1"/>
    <col min="10243" max="10487" width="9.109375" style="18"/>
    <col min="10488" max="10488" width="8.6640625" style="18" customWidth="1"/>
    <col min="10489" max="10489" width="9.88671875" style="18" customWidth="1"/>
    <col min="10490" max="10490" width="14.44140625" style="18" customWidth="1"/>
    <col min="10491" max="10491" width="7.33203125" style="18" customWidth="1"/>
    <col min="10492" max="10492" width="5.5546875" style="18" customWidth="1"/>
    <col min="10493" max="10493" width="9" style="18" customWidth="1"/>
    <col min="10494" max="10495" width="9.88671875" style="18" customWidth="1"/>
    <col min="10496" max="10496" width="11.109375" style="18" customWidth="1"/>
    <col min="10497" max="10497" width="2.88671875" style="18" customWidth="1"/>
    <col min="10498" max="10498" width="3.5546875" style="18" customWidth="1"/>
    <col min="10499" max="10743" width="9.109375" style="18"/>
    <col min="10744" max="10744" width="8.6640625" style="18" customWidth="1"/>
    <col min="10745" max="10745" width="9.88671875" style="18" customWidth="1"/>
    <col min="10746" max="10746" width="14.44140625" style="18" customWidth="1"/>
    <col min="10747" max="10747" width="7.33203125" style="18" customWidth="1"/>
    <col min="10748" max="10748" width="5.5546875" style="18" customWidth="1"/>
    <col min="10749" max="10749" width="9" style="18" customWidth="1"/>
    <col min="10750" max="10751" width="9.88671875" style="18" customWidth="1"/>
    <col min="10752" max="10752" width="11.109375" style="18" customWidth="1"/>
    <col min="10753" max="10753" width="2.88671875" style="18" customWidth="1"/>
    <col min="10754" max="10754" width="3.5546875" style="18" customWidth="1"/>
    <col min="10755" max="10999" width="9.109375" style="18"/>
    <col min="11000" max="11000" width="8.6640625" style="18" customWidth="1"/>
    <col min="11001" max="11001" width="9.88671875" style="18" customWidth="1"/>
    <col min="11002" max="11002" width="14.44140625" style="18" customWidth="1"/>
    <col min="11003" max="11003" width="7.33203125" style="18" customWidth="1"/>
    <col min="11004" max="11004" width="5.5546875" style="18" customWidth="1"/>
    <col min="11005" max="11005" width="9" style="18" customWidth="1"/>
    <col min="11006" max="11007" width="9.88671875" style="18" customWidth="1"/>
    <col min="11008" max="11008" width="11.109375" style="18" customWidth="1"/>
    <col min="11009" max="11009" width="2.88671875" style="18" customWidth="1"/>
    <col min="11010" max="11010" width="3.5546875" style="18" customWidth="1"/>
    <col min="11011" max="11255" width="9.109375" style="18"/>
    <col min="11256" max="11256" width="8.6640625" style="18" customWidth="1"/>
    <col min="11257" max="11257" width="9.88671875" style="18" customWidth="1"/>
    <col min="11258" max="11258" width="14.44140625" style="18" customWidth="1"/>
    <col min="11259" max="11259" width="7.33203125" style="18" customWidth="1"/>
    <col min="11260" max="11260" width="5.5546875" style="18" customWidth="1"/>
    <col min="11261" max="11261" width="9" style="18" customWidth="1"/>
    <col min="11262" max="11263" width="9.88671875" style="18" customWidth="1"/>
    <col min="11264" max="11264" width="11.109375" style="18" customWidth="1"/>
    <col min="11265" max="11265" width="2.88671875" style="18" customWidth="1"/>
    <col min="11266" max="11266" width="3.5546875" style="18" customWidth="1"/>
    <col min="11267" max="11511" width="9.109375" style="18"/>
    <col min="11512" max="11512" width="8.6640625" style="18" customWidth="1"/>
    <col min="11513" max="11513" width="9.88671875" style="18" customWidth="1"/>
    <col min="11514" max="11514" width="14.44140625" style="18" customWidth="1"/>
    <col min="11515" max="11515" width="7.33203125" style="18" customWidth="1"/>
    <col min="11516" max="11516" width="5.5546875" style="18" customWidth="1"/>
    <col min="11517" max="11517" width="9" style="18" customWidth="1"/>
    <col min="11518" max="11519" width="9.88671875" style="18" customWidth="1"/>
    <col min="11520" max="11520" width="11.109375" style="18" customWidth="1"/>
    <col min="11521" max="11521" width="2.88671875" style="18" customWidth="1"/>
    <col min="11522" max="11522" width="3.5546875" style="18" customWidth="1"/>
    <col min="11523" max="11767" width="9.109375" style="18"/>
    <col min="11768" max="11768" width="8.6640625" style="18" customWidth="1"/>
    <col min="11769" max="11769" width="9.88671875" style="18" customWidth="1"/>
    <col min="11770" max="11770" width="14.44140625" style="18" customWidth="1"/>
    <col min="11771" max="11771" width="7.33203125" style="18" customWidth="1"/>
    <col min="11772" max="11772" width="5.5546875" style="18" customWidth="1"/>
    <col min="11773" max="11773" width="9" style="18" customWidth="1"/>
    <col min="11774" max="11775" width="9.88671875" style="18" customWidth="1"/>
    <col min="11776" max="11776" width="11.109375" style="18" customWidth="1"/>
    <col min="11777" max="11777" width="2.88671875" style="18" customWidth="1"/>
    <col min="11778" max="11778" width="3.5546875" style="18" customWidth="1"/>
    <col min="11779" max="12023" width="9.109375" style="18"/>
    <col min="12024" max="12024" width="8.6640625" style="18" customWidth="1"/>
    <col min="12025" max="12025" width="9.88671875" style="18" customWidth="1"/>
    <col min="12026" max="12026" width="14.44140625" style="18" customWidth="1"/>
    <col min="12027" max="12027" width="7.33203125" style="18" customWidth="1"/>
    <col min="12028" max="12028" width="5.5546875" style="18" customWidth="1"/>
    <col min="12029" max="12029" width="9" style="18" customWidth="1"/>
    <col min="12030" max="12031" width="9.88671875" style="18" customWidth="1"/>
    <col min="12032" max="12032" width="11.109375" style="18" customWidth="1"/>
    <col min="12033" max="12033" width="2.88671875" style="18" customWidth="1"/>
    <col min="12034" max="12034" width="3.5546875" style="18" customWidth="1"/>
    <col min="12035" max="12279" width="9.109375" style="18"/>
    <col min="12280" max="12280" width="8.6640625" style="18" customWidth="1"/>
    <col min="12281" max="12281" width="9.88671875" style="18" customWidth="1"/>
    <col min="12282" max="12282" width="14.44140625" style="18" customWidth="1"/>
    <col min="12283" max="12283" width="7.33203125" style="18" customWidth="1"/>
    <col min="12284" max="12284" width="5.5546875" style="18" customWidth="1"/>
    <col min="12285" max="12285" width="9" style="18" customWidth="1"/>
    <col min="12286" max="12287" width="9.88671875" style="18" customWidth="1"/>
    <col min="12288" max="12288" width="11.109375" style="18" customWidth="1"/>
    <col min="12289" max="12289" width="2.88671875" style="18" customWidth="1"/>
    <col min="12290" max="12290" width="3.5546875" style="18" customWidth="1"/>
    <col min="12291" max="12535" width="9.109375" style="18"/>
    <col min="12536" max="12536" width="8.6640625" style="18" customWidth="1"/>
    <col min="12537" max="12537" width="9.88671875" style="18" customWidth="1"/>
    <col min="12538" max="12538" width="14.44140625" style="18" customWidth="1"/>
    <col min="12539" max="12539" width="7.33203125" style="18" customWidth="1"/>
    <col min="12540" max="12540" width="5.5546875" style="18" customWidth="1"/>
    <col min="12541" max="12541" width="9" style="18" customWidth="1"/>
    <col min="12542" max="12543" width="9.88671875" style="18" customWidth="1"/>
    <col min="12544" max="12544" width="11.109375" style="18" customWidth="1"/>
    <col min="12545" max="12545" width="2.88671875" style="18" customWidth="1"/>
    <col min="12546" max="12546" width="3.5546875" style="18" customWidth="1"/>
    <col min="12547" max="12791" width="9.109375" style="18"/>
    <col min="12792" max="12792" width="8.6640625" style="18" customWidth="1"/>
    <col min="12793" max="12793" width="9.88671875" style="18" customWidth="1"/>
    <col min="12794" max="12794" width="14.44140625" style="18" customWidth="1"/>
    <col min="12795" max="12795" width="7.33203125" style="18" customWidth="1"/>
    <col min="12796" max="12796" width="5.5546875" style="18" customWidth="1"/>
    <col min="12797" max="12797" width="9" style="18" customWidth="1"/>
    <col min="12798" max="12799" width="9.88671875" style="18" customWidth="1"/>
    <col min="12800" max="12800" width="11.109375" style="18" customWidth="1"/>
    <col min="12801" max="12801" width="2.88671875" style="18" customWidth="1"/>
    <col min="12802" max="12802" width="3.5546875" style="18" customWidth="1"/>
    <col min="12803" max="13047" width="9.109375" style="18"/>
    <col min="13048" max="13048" width="8.6640625" style="18" customWidth="1"/>
    <col min="13049" max="13049" width="9.88671875" style="18" customWidth="1"/>
    <col min="13050" max="13050" width="14.44140625" style="18" customWidth="1"/>
    <col min="13051" max="13051" width="7.33203125" style="18" customWidth="1"/>
    <col min="13052" max="13052" width="5.5546875" style="18" customWidth="1"/>
    <col min="13053" max="13053" width="9" style="18" customWidth="1"/>
    <col min="13054" max="13055" width="9.88671875" style="18" customWidth="1"/>
    <col min="13056" max="13056" width="11.109375" style="18" customWidth="1"/>
    <col min="13057" max="13057" width="2.88671875" style="18" customWidth="1"/>
    <col min="13058" max="13058" width="3.5546875" style="18" customWidth="1"/>
    <col min="13059" max="13303" width="9.109375" style="18"/>
    <col min="13304" max="13304" width="8.6640625" style="18" customWidth="1"/>
    <col min="13305" max="13305" width="9.88671875" style="18" customWidth="1"/>
    <col min="13306" max="13306" width="14.44140625" style="18" customWidth="1"/>
    <col min="13307" max="13307" width="7.33203125" style="18" customWidth="1"/>
    <col min="13308" max="13308" width="5.5546875" style="18" customWidth="1"/>
    <col min="13309" max="13309" width="9" style="18" customWidth="1"/>
    <col min="13310" max="13311" width="9.88671875" style="18" customWidth="1"/>
    <col min="13312" max="13312" width="11.109375" style="18" customWidth="1"/>
    <col min="13313" max="13313" width="2.88671875" style="18" customWidth="1"/>
    <col min="13314" max="13314" width="3.5546875" style="18" customWidth="1"/>
    <col min="13315" max="13559" width="9.109375" style="18"/>
    <col min="13560" max="13560" width="8.6640625" style="18" customWidth="1"/>
    <col min="13561" max="13561" width="9.88671875" style="18" customWidth="1"/>
    <col min="13562" max="13562" width="14.44140625" style="18" customWidth="1"/>
    <col min="13563" max="13563" width="7.33203125" style="18" customWidth="1"/>
    <col min="13564" max="13564" width="5.5546875" style="18" customWidth="1"/>
    <col min="13565" max="13565" width="9" style="18" customWidth="1"/>
    <col min="13566" max="13567" width="9.88671875" style="18" customWidth="1"/>
    <col min="13568" max="13568" width="11.109375" style="18" customWidth="1"/>
    <col min="13569" max="13569" width="2.88671875" style="18" customWidth="1"/>
    <col min="13570" max="13570" width="3.5546875" style="18" customWidth="1"/>
    <col min="13571" max="13815" width="9.109375" style="18"/>
    <col min="13816" max="13816" width="8.6640625" style="18" customWidth="1"/>
    <col min="13817" max="13817" width="9.88671875" style="18" customWidth="1"/>
    <col min="13818" max="13818" width="14.44140625" style="18" customWidth="1"/>
    <col min="13819" max="13819" width="7.33203125" style="18" customWidth="1"/>
    <col min="13820" max="13820" width="5.5546875" style="18" customWidth="1"/>
    <col min="13821" max="13821" width="9" style="18" customWidth="1"/>
    <col min="13822" max="13823" width="9.88671875" style="18" customWidth="1"/>
    <col min="13824" max="13824" width="11.109375" style="18" customWidth="1"/>
    <col min="13825" max="13825" width="2.88671875" style="18" customWidth="1"/>
    <col min="13826" max="13826" width="3.5546875" style="18" customWidth="1"/>
    <col min="13827" max="14071" width="9.109375" style="18"/>
    <col min="14072" max="14072" width="8.6640625" style="18" customWidth="1"/>
    <col min="14073" max="14073" width="9.88671875" style="18" customWidth="1"/>
    <col min="14074" max="14074" width="14.44140625" style="18" customWidth="1"/>
    <col min="14075" max="14075" width="7.33203125" style="18" customWidth="1"/>
    <col min="14076" max="14076" width="5.5546875" style="18" customWidth="1"/>
    <col min="14077" max="14077" width="9" style="18" customWidth="1"/>
    <col min="14078" max="14079" width="9.88671875" style="18" customWidth="1"/>
    <col min="14080" max="14080" width="11.109375" style="18" customWidth="1"/>
    <col min="14081" max="14081" width="2.88671875" style="18" customWidth="1"/>
    <col min="14082" max="14082" width="3.5546875" style="18" customWidth="1"/>
    <col min="14083" max="14327" width="9.109375" style="18"/>
    <col min="14328" max="14328" width="8.6640625" style="18" customWidth="1"/>
    <col min="14329" max="14329" width="9.88671875" style="18" customWidth="1"/>
    <col min="14330" max="14330" width="14.44140625" style="18" customWidth="1"/>
    <col min="14331" max="14331" width="7.33203125" style="18" customWidth="1"/>
    <col min="14332" max="14332" width="5.5546875" style="18" customWidth="1"/>
    <col min="14333" max="14333" width="9" style="18" customWidth="1"/>
    <col min="14334" max="14335" width="9.88671875" style="18" customWidth="1"/>
    <col min="14336" max="14336" width="11.109375" style="18" customWidth="1"/>
    <col min="14337" max="14337" width="2.88671875" style="18" customWidth="1"/>
    <col min="14338" max="14338" width="3.5546875" style="18" customWidth="1"/>
    <col min="14339" max="14583" width="9.109375" style="18"/>
    <col min="14584" max="14584" width="8.6640625" style="18" customWidth="1"/>
    <col min="14585" max="14585" width="9.88671875" style="18" customWidth="1"/>
    <col min="14586" max="14586" width="14.44140625" style="18" customWidth="1"/>
    <col min="14587" max="14587" width="7.33203125" style="18" customWidth="1"/>
    <col min="14588" max="14588" width="5.5546875" style="18" customWidth="1"/>
    <col min="14589" max="14589" width="9" style="18" customWidth="1"/>
    <col min="14590" max="14591" width="9.88671875" style="18" customWidth="1"/>
    <col min="14592" max="14592" width="11.109375" style="18" customWidth="1"/>
    <col min="14593" max="14593" width="2.88671875" style="18" customWidth="1"/>
    <col min="14594" max="14594" width="3.5546875" style="18" customWidth="1"/>
    <col min="14595" max="14839" width="9.109375" style="18"/>
    <col min="14840" max="14840" width="8.6640625" style="18" customWidth="1"/>
    <col min="14841" max="14841" width="9.88671875" style="18" customWidth="1"/>
    <col min="14842" max="14842" width="14.44140625" style="18" customWidth="1"/>
    <col min="14843" max="14843" width="7.33203125" style="18" customWidth="1"/>
    <col min="14844" max="14844" width="5.5546875" style="18" customWidth="1"/>
    <col min="14845" max="14845" width="9" style="18" customWidth="1"/>
    <col min="14846" max="14847" width="9.88671875" style="18" customWidth="1"/>
    <col min="14848" max="14848" width="11.109375" style="18" customWidth="1"/>
    <col min="14849" max="14849" width="2.88671875" style="18" customWidth="1"/>
    <col min="14850" max="14850" width="3.5546875" style="18" customWidth="1"/>
    <col min="14851" max="15095" width="9.109375" style="18"/>
    <col min="15096" max="15096" width="8.6640625" style="18" customWidth="1"/>
    <col min="15097" max="15097" width="9.88671875" style="18" customWidth="1"/>
    <col min="15098" max="15098" width="14.44140625" style="18" customWidth="1"/>
    <col min="15099" max="15099" width="7.33203125" style="18" customWidth="1"/>
    <col min="15100" max="15100" width="5.5546875" style="18" customWidth="1"/>
    <col min="15101" max="15101" width="9" style="18" customWidth="1"/>
    <col min="15102" max="15103" width="9.88671875" style="18" customWidth="1"/>
    <col min="15104" max="15104" width="11.109375" style="18" customWidth="1"/>
    <col min="15105" max="15105" width="2.88671875" style="18" customWidth="1"/>
    <col min="15106" max="15106" width="3.5546875" style="18" customWidth="1"/>
    <col min="15107" max="15351" width="9.109375" style="18"/>
    <col min="15352" max="15352" width="8.6640625" style="18" customWidth="1"/>
    <col min="15353" max="15353" width="9.88671875" style="18" customWidth="1"/>
    <col min="15354" max="15354" width="14.44140625" style="18" customWidth="1"/>
    <col min="15355" max="15355" width="7.33203125" style="18" customWidth="1"/>
    <col min="15356" max="15356" width="5.5546875" style="18" customWidth="1"/>
    <col min="15357" max="15357" width="9" style="18" customWidth="1"/>
    <col min="15358" max="15359" width="9.88671875" style="18" customWidth="1"/>
    <col min="15360" max="15360" width="11.109375" style="18" customWidth="1"/>
    <col min="15361" max="15361" width="2.88671875" style="18" customWidth="1"/>
    <col min="15362" max="15362" width="3.5546875" style="18" customWidth="1"/>
    <col min="15363" max="15607" width="9.109375" style="18"/>
    <col min="15608" max="15608" width="8.6640625" style="18" customWidth="1"/>
    <col min="15609" max="15609" width="9.88671875" style="18" customWidth="1"/>
    <col min="15610" max="15610" width="14.44140625" style="18" customWidth="1"/>
    <col min="15611" max="15611" width="7.33203125" style="18" customWidth="1"/>
    <col min="15612" max="15612" width="5.5546875" style="18" customWidth="1"/>
    <col min="15613" max="15613" width="9" style="18" customWidth="1"/>
    <col min="15614" max="15615" width="9.88671875" style="18" customWidth="1"/>
    <col min="15616" max="15616" width="11.109375" style="18" customWidth="1"/>
    <col min="15617" max="15617" width="2.88671875" style="18" customWidth="1"/>
    <col min="15618" max="15618" width="3.5546875" style="18" customWidth="1"/>
    <col min="15619" max="15863" width="9.109375" style="18"/>
    <col min="15864" max="15864" width="8.6640625" style="18" customWidth="1"/>
    <col min="15865" max="15865" width="9.88671875" style="18" customWidth="1"/>
    <col min="15866" max="15866" width="14.44140625" style="18" customWidth="1"/>
    <col min="15867" max="15867" width="7.33203125" style="18" customWidth="1"/>
    <col min="15868" max="15868" width="5.5546875" style="18" customWidth="1"/>
    <col min="15869" max="15869" width="9" style="18" customWidth="1"/>
    <col min="15870" max="15871" width="9.88671875" style="18" customWidth="1"/>
    <col min="15872" max="15872" width="11.109375" style="18" customWidth="1"/>
    <col min="15873" max="15873" width="2.88671875" style="18" customWidth="1"/>
    <col min="15874" max="15874" width="3.5546875" style="18" customWidth="1"/>
    <col min="15875" max="16119" width="9.109375" style="18"/>
    <col min="16120" max="16120" width="8.6640625" style="18" customWidth="1"/>
    <col min="16121" max="16121" width="9.88671875" style="18" customWidth="1"/>
    <col min="16122" max="16122" width="14.44140625" style="18" customWidth="1"/>
    <col min="16123" max="16123" width="7.33203125" style="18" customWidth="1"/>
    <col min="16124" max="16124" width="5.5546875" style="18" customWidth="1"/>
    <col min="16125" max="16125" width="9" style="18" customWidth="1"/>
    <col min="16126" max="16127" width="9.88671875" style="18" customWidth="1"/>
    <col min="16128" max="16128" width="11.109375" style="18" customWidth="1"/>
    <col min="16129" max="16129" width="2.88671875" style="18" customWidth="1"/>
    <col min="16130" max="16130" width="3.5546875" style="18" customWidth="1"/>
    <col min="16131" max="16384" width="9.109375" style="18"/>
  </cols>
  <sheetData>
    <row r="1" spans="1:26" ht="46.5" customHeight="1" x14ac:dyDescent="0.3">
      <c r="A1" s="188" t="s">
        <v>156</v>
      </c>
      <c r="B1" s="188"/>
      <c r="C1" s="188"/>
      <c r="D1" s="188"/>
      <c r="E1" s="188"/>
      <c r="F1" s="188"/>
      <c r="G1" s="188"/>
      <c r="H1" s="188"/>
    </row>
    <row r="2" spans="1:26" ht="16.5" customHeight="1" x14ac:dyDescent="0.3">
      <c r="A2" s="189" t="s">
        <v>0</v>
      </c>
      <c r="B2" s="189"/>
      <c r="C2" s="189"/>
      <c r="D2" s="189"/>
      <c r="E2" s="189"/>
      <c r="F2" s="189"/>
      <c r="G2" s="189"/>
      <c r="H2" s="189"/>
    </row>
    <row r="3" spans="1:26" x14ac:dyDescent="0.3">
      <c r="A3" s="129" t="s">
        <v>1</v>
      </c>
      <c r="B3" s="129"/>
      <c r="C3" s="129"/>
      <c r="D3" s="129"/>
      <c r="E3" s="129" t="str">
        <f ca="1">TEXT(TODAY(),"DD/MM/YYYY")</f>
        <v>19/08/2025</v>
      </c>
      <c r="F3" s="129"/>
      <c r="G3" s="129"/>
      <c r="H3" s="129"/>
      <c r="K3" s="49" t="s">
        <v>225</v>
      </c>
      <c r="L3" s="48" t="s">
        <v>223</v>
      </c>
      <c r="M3" s="48" t="s">
        <v>228</v>
      </c>
      <c r="N3" s="48" t="s">
        <v>226</v>
      </c>
      <c r="O3" s="48" t="s">
        <v>345</v>
      </c>
      <c r="P3" s="48" t="s">
        <v>229</v>
      </c>
    </row>
    <row r="4" spans="1:26" ht="15" customHeight="1" x14ac:dyDescent="0.3">
      <c r="A4" s="129" t="s">
        <v>222</v>
      </c>
      <c r="B4" s="129"/>
      <c r="C4" s="129"/>
      <c r="D4" s="129"/>
      <c r="E4" s="129" t="s">
        <v>223</v>
      </c>
      <c r="F4" s="129"/>
      <c r="G4" s="129"/>
      <c r="H4" s="129"/>
      <c r="K4" s="47" t="s">
        <v>224</v>
      </c>
      <c r="L4" s="48" t="s">
        <v>161</v>
      </c>
      <c r="M4" s="48" t="s">
        <v>233</v>
      </c>
      <c r="N4" s="48" t="s">
        <v>235</v>
      </c>
      <c r="O4" s="48" t="s">
        <v>330</v>
      </c>
      <c r="P4" s="48"/>
    </row>
    <row r="5" spans="1:26" ht="15" customHeight="1" x14ac:dyDescent="0.3">
      <c r="A5" s="129" t="s">
        <v>2</v>
      </c>
      <c r="B5" s="129"/>
      <c r="C5" s="129"/>
      <c r="D5" s="129"/>
      <c r="E5" s="129" t="s">
        <v>161</v>
      </c>
      <c r="F5" s="129"/>
      <c r="G5" s="129"/>
      <c r="H5" s="129"/>
      <c r="K5" s="47"/>
      <c r="L5" s="48" t="s">
        <v>230</v>
      </c>
      <c r="M5" s="48" t="s">
        <v>234</v>
      </c>
      <c r="N5" s="48" t="s">
        <v>236</v>
      </c>
      <c r="O5" s="48" t="s">
        <v>331</v>
      </c>
      <c r="P5" s="48"/>
    </row>
    <row r="6" spans="1:26" x14ac:dyDescent="0.3">
      <c r="A6" s="129" t="s">
        <v>3</v>
      </c>
      <c r="B6" s="129"/>
      <c r="C6" s="129"/>
      <c r="D6" s="129"/>
      <c r="E6" s="190">
        <v>45882</v>
      </c>
      <c r="F6" s="129"/>
      <c r="G6" s="129"/>
      <c r="H6" s="129"/>
      <c r="K6" s="47"/>
      <c r="L6" s="48" t="s">
        <v>231</v>
      </c>
      <c r="M6" s="48" t="s">
        <v>343</v>
      </c>
      <c r="N6" s="48"/>
      <c r="O6" s="48" t="s">
        <v>332</v>
      </c>
      <c r="P6" s="48"/>
    </row>
    <row r="7" spans="1:26" ht="16.5" customHeight="1" x14ac:dyDescent="0.3">
      <c r="A7" s="129" t="s">
        <v>4</v>
      </c>
      <c r="B7" s="129"/>
      <c r="C7" s="129"/>
      <c r="D7" s="129"/>
      <c r="E7" s="129" t="s">
        <v>361</v>
      </c>
      <c r="F7" s="129"/>
      <c r="G7" s="129"/>
      <c r="H7" s="129"/>
      <c r="K7" s="47"/>
      <c r="L7" s="48" t="s">
        <v>232</v>
      </c>
      <c r="M7" s="48"/>
      <c r="N7" s="48"/>
      <c r="O7" s="48" t="s">
        <v>332</v>
      </c>
      <c r="P7" s="48"/>
    </row>
    <row r="8" spans="1:26" ht="15" customHeight="1" x14ac:dyDescent="0.3">
      <c r="A8" s="129" t="s">
        <v>5</v>
      </c>
      <c r="B8" s="129"/>
      <c r="C8" s="129"/>
      <c r="D8" s="129"/>
      <c r="E8" s="129" t="str">
        <f>E7</f>
        <v>M/s. Sunrise Housing</v>
      </c>
      <c r="F8" s="129"/>
      <c r="G8" s="129"/>
      <c r="H8" s="129"/>
      <c r="K8" s="47"/>
      <c r="L8" s="48"/>
      <c r="M8" s="48"/>
      <c r="N8" s="48"/>
      <c r="O8" s="48" t="s">
        <v>333</v>
      </c>
      <c r="P8" s="48"/>
    </row>
    <row r="9" spans="1:26" x14ac:dyDescent="0.3">
      <c r="A9" s="129" t="s">
        <v>6</v>
      </c>
      <c r="B9" s="129"/>
      <c r="C9" s="129"/>
      <c r="D9" s="129"/>
      <c r="E9" s="139" t="s">
        <v>364</v>
      </c>
      <c r="F9" s="139"/>
      <c r="G9" s="139"/>
      <c r="H9" s="139"/>
      <c r="K9" s="47"/>
      <c r="L9" s="48"/>
      <c r="M9" s="48"/>
      <c r="N9" s="48"/>
      <c r="O9" s="48" t="s">
        <v>334</v>
      </c>
      <c r="P9" s="48"/>
    </row>
    <row r="10" spans="1:26" x14ac:dyDescent="0.3">
      <c r="A10" s="129" t="s">
        <v>158</v>
      </c>
      <c r="B10" s="129"/>
      <c r="C10" s="129"/>
      <c r="D10" s="129"/>
      <c r="E10" s="129" t="s">
        <v>362</v>
      </c>
      <c r="F10" s="129"/>
      <c r="G10" s="129"/>
      <c r="H10" s="129"/>
      <c r="I10" s="19" t="s">
        <v>363</v>
      </c>
      <c r="K10" s="47"/>
      <c r="L10" s="48"/>
      <c r="M10" s="48"/>
      <c r="N10" s="48"/>
      <c r="O10" s="48" t="s">
        <v>335</v>
      </c>
      <c r="P10" s="48"/>
    </row>
    <row r="11" spans="1:26" x14ac:dyDescent="0.3">
      <c r="A11" s="129" t="s">
        <v>159</v>
      </c>
      <c r="B11" s="129"/>
      <c r="C11" s="129"/>
      <c r="D11" s="129"/>
      <c r="E11" s="129" t="s">
        <v>403</v>
      </c>
      <c r="F11" s="129"/>
      <c r="G11" s="129"/>
      <c r="H11" s="129"/>
      <c r="O11" s="48" t="s">
        <v>336</v>
      </c>
    </row>
    <row r="12" spans="1:26" x14ac:dyDescent="0.3">
      <c r="A12" s="129" t="s">
        <v>7</v>
      </c>
      <c r="B12" s="129"/>
      <c r="C12" s="129"/>
      <c r="D12" s="129"/>
      <c r="E12" s="129" t="s">
        <v>406</v>
      </c>
      <c r="F12" s="129"/>
      <c r="G12" s="129"/>
      <c r="H12" s="129"/>
    </row>
    <row r="13" spans="1:26" x14ac:dyDescent="0.3">
      <c r="A13" s="129" t="s">
        <v>162</v>
      </c>
      <c r="B13" s="129"/>
      <c r="C13" s="129"/>
      <c r="D13" s="129"/>
      <c r="E13" s="129" t="s">
        <v>28</v>
      </c>
      <c r="F13" s="129"/>
      <c r="G13" s="129"/>
      <c r="H13" s="129"/>
      <c r="S13" s="48" t="s">
        <v>169</v>
      </c>
      <c r="T13" s="48" t="s">
        <v>178</v>
      </c>
      <c r="U13" s="48" t="s">
        <v>163</v>
      </c>
      <c r="V13" s="48" t="s">
        <v>183</v>
      </c>
      <c r="W13" s="48" t="s">
        <v>201</v>
      </c>
      <c r="X13"/>
      <c r="Y13" t="s">
        <v>183</v>
      </c>
      <c r="Z13" t="e">
        <f ca="1">OFFSET($S$13,1,MATCH($G20,$S$13:$W$13,0)-1,15,1)</f>
        <v>#VALUE!</v>
      </c>
    </row>
    <row r="14" spans="1:26" x14ac:dyDescent="0.3">
      <c r="A14" s="129" t="s">
        <v>268</v>
      </c>
      <c r="B14" s="129"/>
      <c r="C14" s="129"/>
      <c r="D14" s="129"/>
      <c r="E14" s="130" t="s">
        <v>365</v>
      </c>
      <c r="F14" s="130"/>
      <c r="G14" s="130"/>
      <c r="H14" s="130"/>
      <c r="S14" s="48" t="s">
        <v>169</v>
      </c>
      <c r="T14" s="48" t="s">
        <v>176</v>
      </c>
      <c r="U14" s="48" t="s">
        <v>198</v>
      </c>
      <c r="V14" s="48" t="s">
        <v>184</v>
      </c>
      <c r="W14" s="48" t="s">
        <v>202</v>
      </c>
      <c r="X14"/>
      <c r="Y14"/>
      <c r="Z14"/>
    </row>
    <row r="15" spans="1:26" x14ac:dyDescent="0.3">
      <c r="A15" s="129" t="s">
        <v>8</v>
      </c>
      <c r="B15" s="129"/>
      <c r="C15" s="129"/>
      <c r="D15" s="129"/>
      <c r="E15" s="130" t="s">
        <v>366</v>
      </c>
      <c r="F15" s="129"/>
      <c r="G15" s="129"/>
      <c r="H15" s="129"/>
      <c r="I15" s="211" t="e">
        <f ca="1">OFFSET($D$5,1,MATCH($J13,$D$5:$H$5,0)-1,15,1)</f>
        <v>#N/A</v>
      </c>
      <c r="J15" s="212"/>
      <c r="K15" s="212"/>
      <c r="L15" s="212"/>
      <c r="M15" s="212"/>
      <c r="N15" s="212"/>
      <c r="O15" s="212"/>
      <c r="P15" s="212"/>
      <c r="S15" s="48" t="s">
        <v>170</v>
      </c>
      <c r="T15" s="48" t="s">
        <v>177</v>
      </c>
      <c r="U15" s="48" t="s">
        <v>199</v>
      </c>
      <c r="V15" s="48" t="s">
        <v>185</v>
      </c>
      <c r="W15" s="48" t="s">
        <v>215</v>
      </c>
      <c r="X15"/>
      <c r="Y15"/>
      <c r="Z15"/>
    </row>
    <row r="16" spans="1:26" ht="48.75" customHeight="1" x14ac:dyDescent="0.3">
      <c r="A16" s="130" t="s">
        <v>9</v>
      </c>
      <c r="B16" s="130"/>
      <c r="C16" s="130" t="str">
        <f>CONCATENATE((IF(OR(E9="",E9="NA"),"",E9)),", ",(IF(OR(A17="",A17="NA"),"",A17)),".",(IF(OR(C17="",C17="NA"),"",C17)),", near ",(IF(OR(C22="",C22="NA"),"",C22)),", ",(IF(OR(C19="",C19="NA"),"",C19)),", ",(IF(OR(C18="",C18="NA"),"",C18)),", ",(IF(OR(G19="",G19="NA"),"",G19)),", ",(IF(OR(C20="",C20="NA"),"",C20)),", ",(IF(OR(C21="",C21="NA"),"",C21)),", ",(IF(OR(G20="",G20="NA"),"",G20))," - ",(IF(OR(G21="",G21="NA"),"",G21)),".")</f>
        <v>Isle Of Calm Tower 1, CTS No.27C(pt), 27D/1(pt), 27D/2(pt), 28, 28/1, 28/2, 28/3, 28/4 &amp; 28/5 , near IIM Mumbai, Vihar Lake Road, Aarey Milk Colony, Paspoli, Powai, Kurla, Mumbai - 400087.</v>
      </c>
      <c r="D16" s="130"/>
      <c r="E16" s="130"/>
      <c r="F16" s="130"/>
      <c r="G16" s="130"/>
      <c r="H16" s="130"/>
      <c r="S16" s="48" t="s">
        <v>171</v>
      </c>
      <c r="T16" s="48" t="s">
        <v>179</v>
      </c>
      <c r="U16" s="48" t="s">
        <v>200</v>
      </c>
      <c r="V16" s="48" t="s">
        <v>186</v>
      </c>
      <c r="W16" s="48" t="s">
        <v>203</v>
      </c>
      <c r="X16"/>
      <c r="Y16"/>
      <c r="Z16"/>
    </row>
    <row r="17" spans="1:26" x14ac:dyDescent="0.3">
      <c r="A17" s="130" t="s">
        <v>166</v>
      </c>
      <c r="B17" s="130"/>
      <c r="C17" s="130" t="s">
        <v>367</v>
      </c>
      <c r="D17" s="130"/>
      <c r="E17" s="130"/>
      <c r="F17" s="130"/>
      <c r="G17" s="130"/>
      <c r="H17" s="130"/>
      <c r="S17" s="48" t="s">
        <v>172</v>
      </c>
      <c r="T17" s="48" t="s">
        <v>180</v>
      </c>
      <c r="U17" s="48" t="s">
        <v>163</v>
      </c>
      <c r="V17" s="48" t="s">
        <v>187</v>
      </c>
      <c r="W17" s="48" t="s">
        <v>204</v>
      </c>
      <c r="X17"/>
      <c r="Y17"/>
      <c r="Z17"/>
    </row>
    <row r="18" spans="1:26" ht="15.75" customHeight="1" x14ac:dyDescent="0.3">
      <c r="A18" s="130" t="s">
        <v>154</v>
      </c>
      <c r="B18" s="130"/>
      <c r="C18" s="130" t="s">
        <v>407</v>
      </c>
      <c r="D18" s="130"/>
      <c r="E18" s="130"/>
      <c r="F18" s="130"/>
      <c r="G18" s="130"/>
      <c r="H18" s="130"/>
      <c r="S18" s="48" t="s">
        <v>173</v>
      </c>
      <c r="T18" s="48" t="s">
        <v>178</v>
      </c>
      <c r="U18" s="48"/>
      <c r="V18" s="48" t="s">
        <v>188</v>
      </c>
      <c r="W18" s="48" t="s">
        <v>205</v>
      </c>
      <c r="X18"/>
      <c r="Y18"/>
      <c r="Z18"/>
    </row>
    <row r="19" spans="1:26" ht="15.75" customHeight="1" x14ac:dyDescent="0.3">
      <c r="A19" s="130" t="s">
        <v>10</v>
      </c>
      <c r="B19" s="130"/>
      <c r="C19" s="129" t="s">
        <v>368</v>
      </c>
      <c r="D19" s="129"/>
      <c r="E19" s="130" t="s">
        <v>68</v>
      </c>
      <c r="F19" s="130"/>
      <c r="G19" s="130" t="s">
        <v>370</v>
      </c>
      <c r="H19" s="130"/>
      <c r="S19" s="48" t="s">
        <v>174</v>
      </c>
      <c r="T19" s="48" t="s">
        <v>181</v>
      </c>
      <c r="U19" s="48"/>
      <c r="V19" s="48" t="s">
        <v>189</v>
      </c>
      <c r="W19" s="48" t="s">
        <v>206</v>
      </c>
      <c r="X19"/>
      <c r="Y19"/>
      <c r="Z19"/>
    </row>
    <row r="20" spans="1:26" x14ac:dyDescent="0.3">
      <c r="A20" s="129" t="s">
        <v>12</v>
      </c>
      <c r="B20" s="129"/>
      <c r="C20" s="130" t="s">
        <v>369</v>
      </c>
      <c r="D20" s="130"/>
      <c r="E20" s="130" t="s">
        <v>11</v>
      </c>
      <c r="F20" s="130"/>
      <c r="G20" s="187" t="s">
        <v>163</v>
      </c>
      <c r="H20" s="187"/>
      <c r="S20" s="48" t="s">
        <v>175</v>
      </c>
      <c r="T20" s="48" t="s">
        <v>182</v>
      </c>
      <c r="U20" s="48"/>
      <c r="V20" s="48" t="s">
        <v>190</v>
      </c>
      <c r="W20" s="48" t="s">
        <v>207</v>
      </c>
      <c r="X20"/>
      <c r="Y20"/>
      <c r="Z20"/>
    </row>
    <row r="21" spans="1:26" x14ac:dyDescent="0.3">
      <c r="A21" s="129" t="s">
        <v>69</v>
      </c>
      <c r="B21" s="129"/>
      <c r="C21" s="130" t="s">
        <v>200</v>
      </c>
      <c r="D21" s="130"/>
      <c r="E21" s="130" t="s">
        <v>13</v>
      </c>
      <c r="F21" s="130"/>
      <c r="G21" s="130">
        <v>400087</v>
      </c>
      <c r="H21" s="130"/>
      <c r="S21" s="48"/>
      <c r="T21" s="48"/>
      <c r="U21" s="48"/>
      <c r="V21" s="48" t="s">
        <v>191</v>
      </c>
      <c r="W21" s="48" t="s">
        <v>208</v>
      </c>
      <c r="X21"/>
      <c r="Y21"/>
      <c r="Z21"/>
    </row>
    <row r="22" spans="1:26" ht="46.5" customHeight="1" x14ac:dyDescent="0.3">
      <c r="A22" s="129" t="s">
        <v>114</v>
      </c>
      <c r="B22" s="129"/>
      <c r="C22" s="130" t="s">
        <v>372</v>
      </c>
      <c r="D22" s="130"/>
      <c r="E22" s="130" t="s">
        <v>14</v>
      </c>
      <c r="F22" s="130"/>
      <c r="G22" s="130" t="s">
        <v>371</v>
      </c>
      <c r="H22" s="130"/>
      <c r="S22" s="48"/>
      <c r="T22" s="48"/>
      <c r="U22" s="48"/>
      <c r="V22" s="48" t="s">
        <v>192</v>
      </c>
      <c r="W22" s="48" t="s">
        <v>209</v>
      </c>
      <c r="X22"/>
      <c r="Y22"/>
      <c r="Z22"/>
    </row>
    <row r="23" spans="1:26" ht="15" customHeight="1" x14ac:dyDescent="0.3">
      <c r="A23" s="126" t="s">
        <v>70</v>
      </c>
      <c r="B23" s="126"/>
      <c r="C23" s="126"/>
      <c r="D23" s="126"/>
      <c r="E23" s="129" t="s">
        <v>15</v>
      </c>
      <c r="F23" s="129"/>
      <c r="G23" s="129"/>
      <c r="H23" s="129"/>
      <c r="S23" s="48"/>
      <c r="T23" s="48"/>
      <c r="U23" s="48"/>
      <c r="V23" s="48" t="s">
        <v>193</v>
      </c>
      <c r="W23" s="48" t="s">
        <v>210</v>
      </c>
      <c r="X23"/>
      <c r="Y23"/>
      <c r="Z23"/>
    </row>
    <row r="24" spans="1:26" ht="18.75" customHeight="1" x14ac:dyDescent="0.3">
      <c r="A24" s="126"/>
      <c r="B24" s="126"/>
      <c r="C24" s="126"/>
      <c r="D24" s="126"/>
      <c r="E24" s="129"/>
      <c r="F24" s="129"/>
      <c r="G24" s="129"/>
      <c r="H24" s="129"/>
      <c r="S24" s="48"/>
      <c r="T24" s="48"/>
      <c r="U24" s="48"/>
      <c r="V24" s="48" t="s">
        <v>194</v>
      </c>
      <c r="W24" s="48" t="s">
        <v>211</v>
      </c>
      <c r="X24"/>
      <c r="Y24"/>
      <c r="Z24"/>
    </row>
    <row r="25" spans="1:26" ht="15" customHeight="1" x14ac:dyDescent="0.3">
      <c r="A25" s="126" t="s">
        <v>16</v>
      </c>
      <c r="B25" s="126"/>
      <c r="C25" s="126"/>
      <c r="D25" s="126"/>
      <c r="E25" s="130" t="s">
        <v>17</v>
      </c>
      <c r="F25" s="130"/>
      <c r="G25" s="130"/>
      <c r="H25" s="130"/>
      <c r="S25" s="48"/>
      <c r="T25" s="48"/>
      <c r="U25" s="48"/>
      <c r="V25" s="48" t="s">
        <v>195</v>
      </c>
      <c r="W25" s="48" t="s">
        <v>212</v>
      </c>
      <c r="X25"/>
      <c r="Y25"/>
      <c r="Z25"/>
    </row>
    <row r="26" spans="1:26" ht="15" customHeight="1" x14ac:dyDescent="0.3">
      <c r="A26" s="125" t="s">
        <v>18</v>
      </c>
      <c r="B26" s="125"/>
      <c r="C26" s="125"/>
      <c r="D26" s="125"/>
      <c r="E26" s="130" t="str">
        <f>IF(AND(G20="Mumbai"),"Upper Class","Middle Class")</f>
        <v>Upper Class</v>
      </c>
      <c r="F26" s="130"/>
      <c r="G26" s="130"/>
      <c r="H26" s="130"/>
      <c r="S26" s="48"/>
      <c r="T26" s="48"/>
      <c r="U26" s="48"/>
      <c r="V26" s="48" t="s">
        <v>196</v>
      </c>
      <c r="W26" s="48" t="s">
        <v>213</v>
      </c>
      <c r="X26"/>
      <c r="Y26"/>
      <c r="Z26"/>
    </row>
    <row r="27" spans="1:26" x14ac:dyDescent="0.3">
      <c r="A27" s="125" t="s">
        <v>19</v>
      </c>
      <c r="B27" s="125"/>
      <c r="C27" s="125"/>
      <c r="D27" s="125"/>
      <c r="E27" s="130" t="s">
        <v>20</v>
      </c>
      <c r="F27" s="130"/>
      <c r="G27" s="130"/>
      <c r="H27" s="130"/>
      <c r="S27" s="48"/>
      <c r="T27" s="48"/>
      <c r="U27" s="48"/>
      <c r="V27" s="48" t="s">
        <v>197</v>
      </c>
      <c r="W27" s="48" t="s">
        <v>214</v>
      </c>
      <c r="X27"/>
      <c r="Y27"/>
      <c r="Z27"/>
    </row>
    <row r="28" spans="1:26" ht="15.75" customHeight="1" x14ac:dyDescent="0.3">
      <c r="A28" s="125" t="s">
        <v>21</v>
      </c>
      <c r="B28" s="125"/>
      <c r="C28" s="125"/>
      <c r="D28" s="125"/>
      <c r="E28" s="130" t="str">
        <f>IF(AND(G20="Mumbai"),"Developed","Developing")</f>
        <v>Developed</v>
      </c>
      <c r="F28" s="130"/>
      <c r="G28" s="130"/>
      <c r="H28" s="130"/>
    </row>
    <row r="29" spans="1:26" x14ac:dyDescent="0.3">
      <c r="A29" s="125" t="s">
        <v>22</v>
      </c>
      <c r="B29" s="125"/>
      <c r="C29" s="125"/>
      <c r="D29" s="125"/>
      <c r="E29" s="130" t="s">
        <v>23</v>
      </c>
      <c r="F29" s="130"/>
      <c r="G29" s="130"/>
      <c r="H29" s="130"/>
    </row>
    <row r="30" spans="1:26" ht="15.75" customHeight="1" x14ac:dyDescent="0.3">
      <c r="A30" s="125" t="s">
        <v>75</v>
      </c>
      <c r="B30" s="125"/>
      <c r="C30" s="125"/>
      <c r="D30" s="125"/>
      <c r="E30" s="130" t="s">
        <v>76</v>
      </c>
      <c r="F30" s="130"/>
      <c r="G30" s="130"/>
      <c r="H30" s="130"/>
    </row>
    <row r="31" spans="1:26" ht="15" customHeight="1" x14ac:dyDescent="0.3">
      <c r="A31" s="125" t="s">
        <v>30</v>
      </c>
      <c r="B31" s="125"/>
      <c r="C31" s="125"/>
      <c r="D31" s="125"/>
      <c r="E31" s="130"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v>
      </c>
      <c r="F31" s="130"/>
      <c r="G31" s="130"/>
      <c r="H31" s="130"/>
    </row>
    <row r="32" spans="1:26" ht="15.75" customHeight="1" x14ac:dyDescent="0.3">
      <c r="A32" s="125" t="s">
        <v>86</v>
      </c>
      <c r="B32" s="125"/>
      <c r="C32" s="125"/>
      <c r="D32" s="125"/>
      <c r="E32" s="130" t="s">
        <v>31</v>
      </c>
      <c r="F32" s="130"/>
      <c r="G32" s="130"/>
      <c r="H32" s="130"/>
    </row>
    <row r="33" spans="1:19" s="19" customFormat="1" x14ac:dyDescent="0.3">
      <c r="A33" s="186" t="s">
        <v>87</v>
      </c>
      <c r="B33" s="186"/>
      <c r="C33" s="183" t="s">
        <v>164</v>
      </c>
      <c r="D33" s="184"/>
      <c r="E33" s="185"/>
      <c r="F33" s="183" t="s">
        <v>29</v>
      </c>
      <c r="G33" s="184"/>
      <c r="H33" s="185"/>
      <c r="S33" s="19" t="e">
        <f ca="1">OFFSET($S$13,1,MATCH($G20,$S$13:$W$13,0)-1,15,1)</f>
        <v>#VALUE!</v>
      </c>
    </row>
    <row r="34" spans="1:19" s="19" customFormat="1" x14ac:dyDescent="0.3">
      <c r="A34" s="146" t="s">
        <v>24</v>
      </c>
      <c r="B34" s="146" t="s">
        <v>28</v>
      </c>
      <c r="C34" s="182" t="s">
        <v>411</v>
      </c>
      <c r="D34" s="148"/>
      <c r="E34" s="149"/>
      <c r="F34" s="147" t="s">
        <v>408</v>
      </c>
      <c r="G34" s="148"/>
      <c r="H34" s="149"/>
    </row>
    <row r="35" spans="1:19" x14ac:dyDescent="0.3">
      <c r="A35" s="146" t="s">
        <v>25</v>
      </c>
      <c r="B35" s="146" t="s">
        <v>28</v>
      </c>
      <c r="C35" s="182" t="s">
        <v>411</v>
      </c>
      <c r="D35" s="148"/>
      <c r="E35" s="149"/>
      <c r="F35" s="147" t="s">
        <v>409</v>
      </c>
      <c r="G35" s="148"/>
      <c r="H35" s="149"/>
    </row>
    <row r="36" spans="1:19" s="19" customFormat="1" x14ac:dyDescent="0.3">
      <c r="A36" s="146" t="s">
        <v>27</v>
      </c>
      <c r="B36" s="146" t="s">
        <v>28</v>
      </c>
      <c r="C36" s="182" t="s">
        <v>412</v>
      </c>
      <c r="D36" s="148"/>
      <c r="E36" s="149"/>
      <c r="F36" s="147" t="s">
        <v>373</v>
      </c>
      <c r="G36" s="148"/>
      <c r="H36" s="149"/>
    </row>
    <row r="37" spans="1:19" x14ac:dyDescent="0.3">
      <c r="A37" s="146" t="s">
        <v>26</v>
      </c>
      <c r="B37" s="146" t="s">
        <v>28</v>
      </c>
      <c r="C37" s="147" t="s">
        <v>413</v>
      </c>
      <c r="D37" s="148"/>
      <c r="E37" s="149"/>
      <c r="F37" s="147" t="s">
        <v>410</v>
      </c>
      <c r="G37" s="148"/>
      <c r="H37" s="149"/>
    </row>
    <row r="38" spans="1:19" x14ac:dyDescent="0.3">
      <c r="A38" s="125" t="s">
        <v>269</v>
      </c>
      <c r="B38" s="125"/>
      <c r="C38" s="125"/>
      <c r="D38" s="125"/>
      <c r="E38" s="125"/>
      <c r="F38" s="125"/>
      <c r="G38" s="125"/>
      <c r="H38" s="125"/>
    </row>
    <row r="39" spans="1:19" ht="15.75" customHeight="1" x14ac:dyDescent="0.3">
      <c r="A39" s="125" t="s">
        <v>157</v>
      </c>
      <c r="B39" s="125"/>
      <c r="C39" s="151" t="s">
        <v>414</v>
      </c>
      <c r="D39" s="151"/>
      <c r="E39" s="151"/>
      <c r="F39" s="151"/>
      <c r="G39" s="151"/>
      <c r="H39" s="151"/>
    </row>
    <row r="40" spans="1:19" x14ac:dyDescent="0.3">
      <c r="A40" s="125" t="s">
        <v>153</v>
      </c>
      <c r="B40" s="125"/>
      <c r="C40" s="140" t="s">
        <v>374</v>
      </c>
      <c r="D40" s="130"/>
      <c r="E40" s="130"/>
      <c r="F40" s="130"/>
      <c r="G40" s="130"/>
      <c r="H40" s="130"/>
    </row>
    <row r="41" spans="1:19" x14ac:dyDescent="0.3">
      <c r="A41" s="151" t="s">
        <v>32</v>
      </c>
      <c r="B41" s="151"/>
      <c r="C41" s="151"/>
      <c r="D41" s="151"/>
      <c r="E41" s="151"/>
      <c r="F41" s="151"/>
      <c r="G41" s="151"/>
      <c r="H41" s="151"/>
    </row>
    <row r="42" spans="1:19" x14ac:dyDescent="0.3">
      <c r="A42" s="125" t="s">
        <v>33</v>
      </c>
      <c r="B42" s="125"/>
      <c r="C42" s="125"/>
      <c r="D42" s="125"/>
      <c r="E42" s="150">
        <v>11602.79</v>
      </c>
      <c r="F42" s="150"/>
      <c r="G42" s="150"/>
      <c r="H42" s="150"/>
    </row>
    <row r="43" spans="1:19" x14ac:dyDescent="0.3">
      <c r="A43" s="125" t="s">
        <v>34</v>
      </c>
      <c r="B43" s="125"/>
      <c r="C43" s="125"/>
      <c r="D43" s="125"/>
      <c r="E43" s="145">
        <f>11602.79/E42</f>
        <v>1</v>
      </c>
      <c r="F43" s="145"/>
      <c r="G43" s="145"/>
      <c r="H43" s="145"/>
    </row>
    <row r="44" spans="1:19" x14ac:dyDescent="0.3">
      <c r="A44" s="125" t="s">
        <v>35</v>
      </c>
      <c r="B44" s="125"/>
      <c r="C44" s="125"/>
      <c r="D44" s="125"/>
      <c r="E44" s="145">
        <f>E46/E42-E43</f>
        <v>0.97770450038309731</v>
      </c>
      <c r="F44" s="145"/>
      <c r="G44" s="145"/>
      <c r="H44" s="145"/>
    </row>
    <row r="45" spans="1:19" x14ac:dyDescent="0.3">
      <c r="A45" s="125" t="s">
        <v>36</v>
      </c>
      <c r="B45" s="125"/>
      <c r="C45" s="125"/>
      <c r="D45" s="125"/>
      <c r="E45" s="145">
        <f>E43+E44</f>
        <v>1.9777045003830973</v>
      </c>
      <c r="F45" s="145"/>
      <c r="G45" s="145"/>
      <c r="H45" s="145"/>
    </row>
    <row r="46" spans="1:19" x14ac:dyDescent="0.3">
      <c r="A46" s="125" t="s">
        <v>85</v>
      </c>
      <c r="B46" s="125"/>
      <c r="C46" s="125"/>
      <c r="D46" s="125"/>
      <c r="E46" s="174">
        <f>22946.89</f>
        <v>22946.89</v>
      </c>
      <c r="F46" s="174"/>
      <c r="G46" s="174"/>
      <c r="H46" s="174"/>
    </row>
    <row r="47" spans="1:19" x14ac:dyDescent="0.3">
      <c r="A47" s="129" t="s">
        <v>37</v>
      </c>
      <c r="B47" s="129"/>
      <c r="C47" s="129"/>
      <c r="D47" s="129"/>
      <c r="E47" s="129" t="s">
        <v>375</v>
      </c>
      <c r="F47" s="129"/>
      <c r="G47" s="129"/>
      <c r="H47" s="129"/>
    </row>
    <row r="48" spans="1:19" x14ac:dyDescent="0.3">
      <c r="A48" s="151" t="s">
        <v>38</v>
      </c>
      <c r="B48" s="151"/>
      <c r="C48" s="151"/>
      <c r="D48" s="151"/>
      <c r="E48" s="151"/>
      <c r="F48" s="151"/>
      <c r="G48" s="151"/>
      <c r="H48" s="151"/>
    </row>
    <row r="49" spans="1:24" ht="33.75" customHeight="1" x14ac:dyDescent="0.3">
      <c r="A49" s="152" t="s">
        <v>143</v>
      </c>
      <c r="B49" s="154"/>
      <c r="C49" s="176" t="s">
        <v>244</v>
      </c>
      <c r="D49" s="177"/>
      <c r="E49" s="177"/>
      <c r="F49" s="177"/>
      <c r="G49" s="177"/>
      <c r="H49" s="178"/>
      <c r="R49" t="s">
        <v>242</v>
      </c>
      <c r="S49" s="50" t="s">
        <v>163</v>
      </c>
      <c r="T49" s="50" t="s">
        <v>169</v>
      </c>
      <c r="U49" s="50" t="s">
        <v>183</v>
      </c>
      <c r="V49" s="50" t="s">
        <v>178</v>
      </c>
    </row>
    <row r="50" spans="1:24" ht="32.25" customHeight="1" x14ac:dyDescent="0.3">
      <c r="A50" s="152" t="s">
        <v>39</v>
      </c>
      <c r="B50" s="154"/>
      <c r="C50" s="152" t="s">
        <v>425</v>
      </c>
      <c r="D50" s="153"/>
      <c r="E50" s="154"/>
      <c r="F50" s="17" t="s">
        <v>40</v>
      </c>
      <c r="G50" s="155">
        <v>45478</v>
      </c>
      <c r="H50" s="156"/>
      <c r="R50"/>
      <c r="S50" s="50" t="s">
        <v>243</v>
      </c>
      <c r="T50" s="50" t="s">
        <v>248</v>
      </c>
      <c r="U50" s="50" t="s">
        <v>259</v>
      </c>
      <c r="V50" s="50" t="s">
        <v>264</v>
      </c>
    </row>
    <row r="51" spans="1:24" ht="32.25" customHeight="1" x14ac:dyDescent="0.3">
      <c r="A51" s="152" t="s">
        <v>41</v>
      </c>
      <c r="B51" s="154"/>
      <c r="C51" s="152" t="str">
        <f>C50</f>
        <v>P-11486/2022/(27C And
Other)/S Ward/PASPOLI/337/2/Amend</v>
      </c>
      <c r="D51" s="153"/>
      <c r="E51" s="154"/>
      <c r="F51" s="17" t="s">
        <v>40</v>
      </c>
      <c r="G51" s="155">
        <f>G50</f>
        <v>45478</v>
      </c>
      <c r="H51" s="156"/>
      <c r="R51"/>
      <c r="S51" s="50" t="s">
        <v>244</v>
      </c>
      <c r="T51" s="50" t="s">
        <v>346</v>
      </c>
      <c r="U51" s="50" t="s">
        <v>257</v>
      </c>
      <c r="V51" s="50" t="s">
        <v>265</v>
      </c>
    </row>
    <row r="52" spans="1:24" s="20" customFormat="1" ht="15.75" customHeight="1" x14ac:dyDescent="0.3">
      <c r="A52" s="168" t="s">
        <v>147</v>
      </c>
      <c r="B52" s="169"/>
      <c r="C52" s="168" t="s">
        <v>426</v>
      </c>
      <c r="D52" s="180"/>
      <c r="E52" s="169"/>
      <c r="F52" s="17" t="s">
        <v>40</v>
      </c>
      <c r="G52" s="155">
        <v>45510</v>
      </c>
      <c r="H52" s="156"/>
      <c r="I52" s="19" t="str">
        <f ca="1">IF(G52&gt;EDATE(E3,-48),"NO REMARK","CC REMARK FOR CC")</f>
        <v>NO REMARK</v>
      </c>
      <c r="J52" s="69"/>
      <c r="R52"/>
      <c r="S52" s="50" t="s">
        <v>245</v>
      </c>
      <c r="T52" s="50" t="s">
        <v>250</v>
      </c>
      <c r="U52" s="50" t="s">
        <v>247</v>
      </c>
      <c r="V52" s="50" t="s">
        <v>266</v>
      </c>
    </row>
    <row r="53" spans="1:24" s="20" customFormat="1" ht="16.5" customHeight="1" x14ac:dyDescent="0.3">
      <c r="A53" s="170"/>
      <c r="B53" s="171"/>
      <c r="C53" s="172"/>
      <c r="D53" s="181"/>
      <c r="E53" s="173"/>
      <c r="F53" s="17" t="s">
        <v>113</v>
      </c>
      <c r="G53" s="155">
        <v>45874</v>
      </c>
      <c r="H53" s="156"/>
      <c r="R53"/>
      <c r="S53" s="50" t="s">
        <v>246</v>
      </c>
      <c r="T53" s="50" t="s">
        <v>253</v>
      </c>
      <c r="U53" s="50" t="s">
        <v>260</v>
      </c>
      <c r="V53" s="65" t="s">
        <v>338</v>
      </c>
    </row>
    <row r="54" spans="1:24" s="20" customFormat="1" ht="49.5" customHeight="1" x14ac:dyDescent="0.3">
      <c r="A54" s="172"/>
      <c r="B54" s="173"/>
      <c r="C54" s="152" t="s">
        <v>405</v>
      </c>
      <c r="D54" s="153"/>
      <c r="E54" s="153"/>
      <c r="F54" s="153"/>
      <c r="G54" s="153"/>
      <c r="H54" s="154"/>
      <c r="R54"/>
      <c r="S54" s="50"/>
      <c r="T54" s="50"/>
      <c r="U54" s="50"/>
      <c r="V54" s="65"/>
    </row>
    <row r="55" spans="1:24" s="20" customFormat="1" ht="31.5" customHeight="1" x14ac:dyDescent="0.3">
      <c r="A55" s="136" t="s">
        <v>270</v>
      </c>
      <c r="B55" s="159"/>
      <c r="C55" s="162" t="s">
        <v>435</v>
      </c>
      <c r="D55" s="163"/>
      <c r="E55" s="164"/>
      <c r="F55" s="84" t="s">
        <v>40</v>
      </c>
      <c r="G55" s="157">
        <v>44961</v>
      </c>
      <c r="H55" s="158"/>
      <c r="K55" s="70">
        <f>EDATE(G52,-48)</f>
        <v>44049</v>
      </c>
      <c r="L55" s="20" t="str">
        <f ca="1">IF(G52&gt;EDATE(E3,-48),"NO REMARK","CC REMARK FOR CC")</f>
        <v>NO REMARK</v>
      </c>
      <c r="R55"/>
      <c r="S55" s="50" t="s">
        <v>245</v>
      </c>
      <c r="T55" s="50" t="s">
        <v>250</v>
      </c>
      <c r="U55" s="50" t="s">
        <v>247</v>
      </c>
      <c r="V55" s="50" t="s">
        <v>266</v>
      </c>
    </row>
    <row r="56" spans="1:24" s="20" customFormat="1" ht="32.25" customHeight="1" x14ac:dyDescent="0.3">
      <c r="A56" s="160"/>
      <c r="B56" s="161"/>
      <c r="C56" s="165" t="s">
        <v>415</v>
      </c>
      <c r="D56" s="166"/>
      <c r="E56" s="166"/>
      <c r="F56" s="166"/>
      <c r="G56" s="166"/>
      <c r="H56" s="167"/>
      <c r="R56"/>
      <c r="S56" s="50" t="s">
        <v>247</v>
      </c>
      <c r="T56" s="50" t="s">
        <v>251</v>
      </c>
      <c r="U56" s="50" t="s">
        <v>261</v>
      </c>
      <c r="V56" s="66"/>
      <c r="W56" s="18"/>
      <c r="X56" s="18"/>
    </row>
    <row r="57" spans="1:24" s="20" customFormat="1" ht="34.5" hidden="1" customHeight="1" x14ac:dyDescent="0.3">
      <c r="A57" s="136" t="s">
        <v>271</v>
      </c>
      <c r="B57" s="159"/>
      <c r="C57" s="162"/>
      <c r="D57" s="163"/>
      <c r="E57" s="164"/>
      <c r="F57" s="84" t="s">
        <v>40</v>
      </c>
      <c r="G57" s="157">
        <f>G56</f>
        <v>0</v>
      </c>
      <c r="H57" s="158"/>
      <c r="R57"/>
      <c r="S57" s="66"/>
      <c r="T57" s="50" t="s">
        <v>252</v>
      </c>
      <c r="U57" s="50" t="s">
        <v>262</v>
      </c>
      <c r="V57" s="66"/>
      <c r="W57" s="18"/>
      <c r="X57" s="18"/>
    </row>
    <row r="58" spans="1:24" s="20" customFormat="1" ht="41.25" hidden="1" customHeight="1" x14ac:dyDescent="0.3">
      <c r="A58" s="160"/>
      <c r="B58" s="161"/>
      <c r="C58" s="162"/>
      <c r="D58" s="163"/>
      <c r="E58" s="163"/>
      <c r="F58" s="163"/>
      <c r="G58" s="163"/>
      <c r="H58" s="164"/>
      <c r="R58"/>
      <c r="S58" s="66"/>
      <c r="T58" s="50" t="s">
        <v>254</v>
      </c>
      <c r="U58" s="50" t="s">
        <v>263</v>
      </c>
      <c r="V58" s="66"/>
      <c r="W58" s="18"/>
      <c r="X58" s="18"/>
    </row>
    <row r="59" spans="1:24" s="20" customFormat="1" ht="15.75" customHeight="1" x14ac:dyDescent="0.3">
      <c r="A59" s="136" t="s">
        <v>341</v>
      </c>
      <c r="B59" s="159"/>
      <c r="C59" s="162" t="s">
        <v>376</v>
      </c>
      <c r="D59" s="163"/>
      <c r="E59" s="164"/>
      <c r="F59" s="84" t="s">
        <v>40</v>
      </c>
      <c r="G59" s="157">
        <v>45709</v>
      </c>
      <c r="H59" s="158"/>
      <c r="R59"/>
      <c r="S59" s="66"/>
      <c r="T59" s="50" t="s">
        <v>255</v>
      </c>
      <c r="U59" s="66" t="s">
        <v>285</v>
      </c>
      <c r="V59" s="66"/>
      <c r="W59" s="18"/>
      <c r="X59" s="18"/>
    </row>
    <row r="60" spans="1:24" s="20" customFormat="1" ht="49.5" customHeight="1" x14ac:dyDescent="0.3">
      <c r="A60" s="160"/>
      <c r="B60" s="161"/>
      <c r="C60" s="220" t="s">
        <v>416</v>
      </c>
      <c r="D60" s="220"/>
      <c r="E60" s="220"/>
      <c r="F60" s="84" t="s">
        <v>342</v>
      </c>
      <c r="G60" s="157">
        <v>48630</v>
      </c>
      <c r="H60" s="158"/>
      <c r="I60" s="20">
        <f>132.69-57.8</f>
        <v>74.89</v>
      </c>
      <c r="R60"/>
      <c r="S60" s="66"/>
      <c r="T60" s="50" t="s">
        <v>256</v>
      </c>
      <c r="U60" s="66"/>
      <c r="V60" s="66"/>
      <c r="W60" s="18"/>
      <c r="X60" s="18"/>
    </row>
    <row r="61" spans="1:24" x14ac:dyDescent="0.3">
      <c r="A61" s="214" t="s">
        <v>42</v>
      </c>
      <c r="B61" s="215"/>
      <c r="C61" s="214" t="s">
        <v>99</v>
      </c>
      <c r="D61" s="216"/>
      <c r="E61" s="215"/>
      <c r="F61" s="40" t="s">
        <v>40</v>
      </c>
      <c r="G61" s="218" t="s">
        <v>28</v>
      </c>
      <c r="H61" s="219"/>
      <c r="R61"/>
      <c r="S61" s="66"/>
      <c r="T61" s="50" t="s">
        <v>258</v>
      </c>
      <c r="U61" s="66"/>
      <c r="V61" s="66"/>
    </row>
    <row r="62" spans="1:24" x14ac:dyDescent="0.3">
      <c r="A62" s="179" t="s">
        <v>44</v>
      </c>
      <c r="B62" s="179"/>
      <c r="C62" s="179"/>
      <c r="D62" s="179"/>
      <c r="E62" s="179"/>
      <c r="F62" s="179"/>
      <c r="G62" s="179"/>
      <c r="H62" s="179"/>
      <c r="S62" s="66"/>
      <c r="T62" s="50" t="s">
        <v>267</v>
      </c>
      <c r="U62" s="66"/>
      <c r="V62" s="66"/>
    </row>
    <row r="63" spans="1:24" ht="32.25" customHeight="1" x14ac:dyDescent="0.3">
      <c r="A63" s="126" t="s">
        <v>422</v>
      </c>
      <c r="B63" s="126"/>
      <c r="C63" s="126"/>
      <c r="D63" s="125">
        <v>14568.25</v>
      </c>
      <c r="E63" s="125"/>
      <c r="F63" s="125"/>
      <c r="G63" s="125"/>
      <c r="H63" s="125"/>
      <c r="I63" s="90">
        <v>14568.25</v>
      </c>
      <c r="R63"/>
    </row>
    <row r="64" spans="1:24" x14ac:dyDescent="0.3">
      <c r="A64" s="130" t="s">
        <v>45</v>
      </c>
      <c r="B64" s="129"/>
      <c r="C64" s="129"/>
      <c r="D64" s="217" t="s">
        <v>400</v>
      </c>
      <c r="E64" s="217"/>
      <c r="F64" s="217"/>
      <c r="G64" s="217"/>
      <c r="H64" s="217"/>
      <c r="I64" s="89" t="s">
        <v>401</v>
      </c>
      <c r="R64"/>
    </row>
    <row r="65" spans="1:19" x14ac:dyDescent="0.3">
      <c r="A65" s="136" t="s">
        <v>46</v>
      </c>
      <c r="B65" s="137"/>
      <c r="C65" s="159"/>
      <c r="D65" s="132" t="s">
        <v>379</v>
      </c>
      <c r="E65" s="175"/>
      <c r="F65" s="175"/>
      <c r="G65" s="175"/>
      <c r="H65" s="175"/>
      <c r="R65"/>
    </row>
    <row r="66" spans="1:19" ht="15.75" customHeight="1" x14ac:dyDescent="0.3">
      <c r="A66" s="136" t="s">
        <v>83</v>
      </c>
      <c r="B66" s="137"/>
      <c r="C66" s="137"/>
      <c r="D66" s="129" t="s">
        <v>378</v>
      </c>
      <c r="E66" s="129"/>
      <c r="F66" s="129"/>
      <c r="G66" s="129"/>
      <c r="H66" s="129"/>
      <c r="R66"/>
    </row>
    <row r="67" spans="1:19" ht="15.75" customHeight="1" x14ac:dyDescent="0.3">
      <c r="A67" s="125" t="s">
        <v>43</v>
      </c>
      <c r="B67" s="125"/>
      <c r="C67" s="125"/>
      <c r="D67" s="130" t="s">
        <v>380</v>
      </c>
      <c r="E67" s="130"/>
      <c r="F67" s="130"/>
      <c r="G67" s="130"/>
      <c r="H67" s="130"/>
      <c r="J67" s="22"/>
      <c r="K67" s="21"/>
      <c r="N67" s="21"/>
      <c r="S67"/>
    </row>
    <row r="68" spans="1:19" ht="15.75" customHeight="1" x14ac:dyDescent="0.3">
      <c r="A68" s="125" t="s">
        <v>81</v>
      </c>
      <c r="B68" s="125"/>
      <c r="C68" s="125"/>
      <c r="D68" s="144" t="str">
        <f>(IF(G61="NA","60 Years After Completion",IF(G61&lt;&gt;"NA",""&amp;60-ROUNDDOWN((E3-G61)/360,0)&amp;" Years"," ")))</f>
        <v>60 Years After Completion</v>
      </c>
      <c r="E68" s="144"/>
      <c r="F68" s="144"/>
      <c r="G68" s="144"/>
      <c r="H68" s="144"/>
      <c r="N68" s="21"/>
      <c r="S68"/>
    </row>
    <row r="69" spans="1:19" ht="15.75" customHeight="1" x14ac:dyDescent="0.3">
      <c r="A69" s="125" t="s">
        <v>82</v>
      </c>
      <c r="B69" s="125"/>
      <c r="C69" s="125"/>
      <c r="D69" s="126" t="s">
        <v>23</v>
      </c>
      <c r="E69" s="126"/>
      <c r="F69" s="126"/>
      <c r="G69" s="126"/>
      <c r="H69" s="126"/>
      <c r="J69" s="23"/>
      <c r="K69" s="23"/>
      <c r="S69"/>
    </row>
    <row r="70" spans="1:19" ht="63" customHeight="1" x14ac:dyDescent="0.3">
      <c r="A70" s="129" t="s">
        <v>402</v>
      </c>
      <c r="B70" s="129"/>
      <c r="C70" s="129"/>
      <c r="D70" s="130" t="s">
        <v>381</v>
      </c>
      <c r="E70" s="126"/>
      <c r="F70" s="126"/>
      <c r="G70" s="126"/>
      <c r="H70" s="126"/>
      <c r="J70" s="85" t="s">
        <v>382</v>
      </c>
      <c r="S70"/>
    </row>
    <row r="71" spans="1:19" x14ac:dyDescent="0.3">
      <c r="A71" s="126" t="s">
        <v>140</v>
      </c>
      <c r="B71" s="126"/>
      <c r="C71" s="126"/>
      <c r="D71" s="126" t="s">
        <v>28</v>
      </c>
      <c r="E71" s="126"/>
      <c r="F71" s="126"/>
      <c r="G71" s="126"/>
      <c r="H71" s="126"/>
      <c r="I71" s="24"/>
      <c r="J71" s="24"/>
      <c r="K71" s="24"/>
      <c r="L71" s="24"/>
      <c r="M71" s="24"/>
      <c r="N71" s="24"/>
    </row>
    <row r="72" spans="1:19" ht="15.75" customHeight="1" x14ac:dyDescent="0.3">
      <c r="A72" s="133" t="s">
        <v>80</v>
      </c>
      <c r="B72" s="133"/>
      <c r="C72" s="133"/>
      <c r="D72" s="132" t="str">
        <f ca="1">(IF(G78&gt;95%,"Nothing",IF(G78&gt;0%,"Cement, Aggregate, Steel, etc",IF(G78=0%,"Work not yet Started"))))</f>
        <v>Cement, Aggregate, Steel, etc</v>
      </c>
      <c r="E72" s="132"/>
      <c r="F72" s="132"/>
      <c r="G72" s="132"/>
      <c r="H72" s="132"/>
      <c r="J72" s="23"/>
      <c r="S72"/>
    </row>
    <row r="73" spans="1:19" ht="33.75" customHeight="1" thickBot="1" x14ac:dyDescent="0.35">
      <c r="A73" s="131" t="s">
        <v>112</v>
      </c>
      <c r="B73" s="131"/>
      <c r="C73" s="131"/>
      <c r="D73" s="132" t="str">
        <f ca="1">(IF(D72="Nothing","Yes",IF(D72="Cement, Aggregate, Steel, etc","Under Construction",IF(D72="Work not yet Started","Work not yet Started"))))</f>
        <v>Under Construction</v>
      </c>
      <c r="E73" s="132"/>
      <c r="F73" s="132" t="str">
        <f ca="1">(IF(D72="Nothing","Yes",IF(D72="Cement, Aggregate, Steel, etc","Under Construction",IF(D72="Work not yet Started","Work not yet Started"))))</f>
        <v>Under Construction</v>
      </c>
      <c r="G73" s="132"/>
      <c r="H73" s="132"/>
      <c r="S73"/>
    </row>
    <row r="74" spans="1:19" ht="15.75" customHeight="1" x14ac:dyDescent="0.3">
      <c r="A74" s="120" t="s">
        <v>132</v>
      </c>
      <c r="B74" s="121"/>
      <c r="C74" s="122" t="s">
        <v>430</v>
      </c>
      <c r="D74" s="123"/>
      <c r="E74" s="123"/>
      <c r="F74" s="123"/>
      <c r="G74" s="123"/>
      <c r="H74" s="124"/>
      <c r="I74" s="42" t="str">
        <f ca="1">IF(D87=100%,"All work Completed. Possession granted to the Building.",IF(D86=100%,"All work Completed, Waiting for OC",I75&amp;""&amp;I76&amp;""&amp;J75&amp;""&amp;J74&amp;" "&amp;J76))</f>
        <v xml:space="preserve">Excavation, Plinth Completed </v>
      </c>
      <c r="J74" s="43"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c>
      <c r="K74" s="19"/>
      <c r="S74"/>
    </row>
    <row r="75" spans="1:19" x14ac:dyDescent="0.3">
      <c r="A75" s="15" t="s">
        <v>134</v>
      </c>
      <c r="B75" s="46">
        <f>IF(AND(ISNUMBER(SEARCH("1B",C74))),1,IF(AND(ISNUMBER(SEARCH("2B",C74))),2,IF(AND(ISNUMBER(SEARCH("3B",C74))),3,IF(AND(ISNUMBER(SEARCH("4B",C74))),4,IF(ISNUMBER(SEARCH("5B",C74)),5,0)))))</f>
        <v>4</v>
      </c>
      <c r="C75" s="46" t="s">
        <v>67</v>
      </c>
      <c r="D75" s="46">
        <v>1</v>
      </c>
      <c r="E75" s="46" t="s">
        <v>66</v>
      </c>
      <c r="F75" s="46">
        <v>0</v>
      </c>
      <c r="G75" s="46" t="s">
        <v>74</v>
      </c>
      <c r="H75" s="16">
        <f ca="1">--TRIM(RIGHT(SUBSTITUTE(LEFT(C74,_xlfn.AGGREGATE(16,6,FIND({0,1,2,3,4,5,6,7,8,9},C74,ROW(INDIRECT("1:"&amp;LEN(C74)))),1))," ",REPT(" ",LEN(C74))),LEN(C74)))</f>
        <v>33</v>
      </c>
      <c r="I75" s="44" t="str">
        <f ca="1">IF(D78=100%,"Excavation","")&amp;IF(D79=100%,", Plinth","")&amp;IF(D80=100%,", RCC Slab","")&amp;IF(D81=100%,", Brickwork","")&amp;IF(D82=100%,", Internal Plaster","")&amp;IF(D83=100%,", External Plaster","")&amp;IF(D84=100%,", Flooring","")&amp;IF(D85=100%,", Painting","")&amp;IF(D86=100%,", Building common Amenities","")</f>
        <v>Excavation, Plinth</v>
      </c>
      <c r="J75" s="45"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x14ac:dyDescent="0.3">
      <c r="A76" s="138" t="s">
        <v>84</v>
      </c>
      <c r="B76" s="139"/>
      <c r="C76" s="127" t="str">
        <f ca="1">I74</f>
        <v xml:space="preserve">Excavation, Plinth Completed </v>
      </c>
      <c r="D76" s="127"/>
      <c r="E76" s="127"/>
      <c r="F76" s="127"/>
      <c r="G76" s="127"/>
      <c r="H76" s="128"/>
      <c r="I76" s="44" t="str">
        <f ca="1">IF(I75&lt;&gt;""," Completed","")</f>
        <v xml:space="preserve"> Completed</v>
      </c>
      <c r="J76" s="45" t="str">
        <f ca="1">IF(J74&lt;&gt;"","Completed","")</f>
        <v/>
      </c>
      <c r="S76"/>
    </row>
    <row r="77" spans="1:19" ht="15.75" customHeight="1" x14ac:dyDescent="0.3">
      <c r="A77" s="109" t="s">
        <v>47</v>
      </c>
      <c r="B77" s="110"/>
      <c r="C77" s="91" t="s">
        <v>131</v>
      </c>
      <c r="D77" s="91" t="s">
        <v>77</v>
      </c>
      <c r="E77" s="110" t="s">
        <v>79</v>
      </c>
      <c r="F77" s="110"/>
      <c r="G77" s="110" t="s">
        <v>78</v>
      </c>
      <c r="H77" s="225"/>
      <c r="I77" s="13" t="s">
        <v>133</v>
      </c>
      <c r="J77" s="25">
        <f ca="1">H75*25%</f>
        <v>8.25</v>
      </c>
      <c r="S77"/>
    </row>
    <row r="78" spans="1:19" x14ac:dyDescent="0.3">
      <c r="A78" s="109" t="s">
        <v>120</v>
      </c>
      <c r="B78" s="110"/>
      <c r="C78" s="92">
        <f ca="1">J87</f>
        <v>33</v>
      </c>
      <c r="D78" s="93">
        <f ca="1">((100/H75)*C78)/100</f>
        <v>1</v>
      </c>
      <c r="E78" s="111">
        <f ca="1">(((C79/H75*10)+(40/(D75+F75+H75)*C80)+(7.5/(H75)*C81)+(7.5/(H75)*C82)+(10/H75*C83)+(10/H75*C84)+(5/H75*C85)+(5/H75*C86)+(5/H75*C87))/100)</f>
        <v>0.1</v>
      </c>
      <c r="F78" s="112"/>
      <c r="G78" s="111">
        <f ca="1">((((C78/H75)*20)+((C79/H75)*25)+(30/(H75+F75+D75)*C80)+(5/H75*C81)+(5/H75*C82)+(5/H75*C83)+(5/H75*C84)+(0/H75*C85)+(0/H75*C86)+(5/H75*C87))/100)</f>
        <v>0.45</v>
      </c>
      <c r="H78" s="117"/>
      <c r="I78" s="13" t="s">
        <v>94</v>
      </c>
      <c r="J78" s="26">
        <f ca="1">H75*50%</f>
        <v>16.5</v>
      </c>
    </row>
    <row r="79" spans="1:19" x14ac:dyDescent="0.3">
      <c r="A79" s="109" t="s">
        <v>48</v>
      </c>
      <c r="B79" s="110"/>
      <c r="C79" s="92">
        <f ca="1">J87</f>
        <v>33</v>
      </c>
      <c r="D79" s="93">
        <f ca="1">((100/H75)*C79)/100</f>
        <v>1</v>
      </c>
      <c r="E79" s="113"/>
      <c r="F79" s="114"/>
      <c r="G79" s="113"/>
      <c r="H79" s="118"/>
      <c r="I79" s="13" t="s">
        <v>95</v>
      </c>
      <c r="J79" s="26">
        <f ca="1">H75</f>
        <v>33</v>
      </c>
      <c r="S79"/>
    </row>
    <row r="80" spans="1:19" ht="15.75" customHeight="1" x14ac:dyDescent="0.3">
      <c r="A80" s="109" t="s">
        <v>121</v>
      </c>
      <c r="B80" s="110"/>
      <c r="C80" s="91">
        <v>0</v>
      </c>
      <c r="D80" s="93">
        <f ca="1">((100/(D75+F75+H75))*C80)/100</f>
        <v>0</v>
      </c>
      <c r="E80" s="113"/>
      <c r="F80" s="114"/>
      <c r="G80" s="113"/>
      <c r="H80" s="118"/>
      <c r="I80" s="13" t="s">
        <v>96</v>
      </c>
      <c r="J80" s="27">
        <f ca="1">(IF(B75&gt;1,(H75/(B75+2)),H75/4))</f>
        <v>5.5</v>
      </c>
      <c r="S80"/>
    </row>
    <row r="81" spans="1:22" ht="15.75" customHeight="1" x14ac:dyDescent="0.3">
      <c r="A81" s="109" t="s">
        <v>128</v>
      </c>
      <c r="B81" s="110" t="s">
        <v>122</v>
      </c>
      <c r="C81" s="91">
        <v>0</v>
      </c>
      <c r="D81" s="93">
        <f ca="1">((100/H75)*C81)/100</f>
        <v>0</v>
      </c>
      <c r="E81" s="113"/>
      <c r="F81" s="114"/>
      <c r="G81" s="113"/>
      <c r="H81" s="118"/>
      <c r="I81" s="13" t="s">
        <v>97</v>
      </c>
      <c r="J81" s="27">
        <f ca="1">(IF(B75&gt;1,(H75/(B75+2)+J80),H75/4+J80))</f>
        <v>11</v>
      </c>
    </row>
    <row r="82" spans="1:22" ht="15.75" customHeight="1" x14ac:dyDescent="0.3">
      <c r="A82" s="109" t="s">
        <v>129</v>
      </c>
      <c r="B82" s="110" t="s">
        <v>122</v>
      </c>
      <c r="C82" s="91">
        <v>0</v>
      </c>
      <c r="D82" s="93">
        <f ca="1">((100/H75)*C82)/100</f>
        <v>0</v>
      </c>
      <c r="E82" s="113"/>
      <c r="F82" s="114"/>
      <c r="G82" s="113"/>
      <c r="H82" s="118"/>
      <c r="I82" s="13" t="s">
        <v>138</v>
      </c>
      <c r="J82" s="27">
        <f ca="1">(IF(B75&gt;1,(H75/(B75+2)+J81),0))</f>
        <v>16.5</v>
      </c>
    </row>
    <row r="83" spans="1:22" ht="15" customHeight="1" x14ac:dyDescent="0.3">
      <c r="A83" s="109" t="s">
        <v>127</v>
      </c>
      <c r="B83" s="110" t="s">
        <v>124</v>
      </c>
      <c r="C83" s="91">
        <v>0</v>
      </c>
      <c r="D83" s="93">
        <f ca="1">((100/(H75))*C83)/100</f>
        <v>0</v>
      </c>
      <c r="E83" s="113"/>
      <c r="F83" s="114"/>
      <c r="G83" s="113"/>
      <c r="H83" s="118"/>
      <c r="I83" s="13" t="s">
        <v>135</v>
      </c>
      <c r="J83" s="27">
        <f ca="1">(IF(B75&gt;2,(H75/(B75+2)+J82),0))</f>
        <v>22</v>
      </c>
    </row>
    <row r="84" spans="1:22" ht="15.75" customHeight="1" x14ac:dyDescent="0.3">
      <c r="A84" s="109" t="s">
        <v>123</v>
      </c>
      <c r="B84" s="110" t="s">
        <v>123</v>
      </c>
      <c r="C84" s="91">
        <v>0</v>
      </c>
      <c r="D84" s="93">
        <f ca="1">((100/H75)*C84)/100</f>
        <v>0</v>
      </c>
      <c r="E84" s="113"/>
      <c r="F84" s="114"/>
      <c r="G84" s="113"/>
      <c r="H84" s="118"/>
      <c r="I84" s="13" t="s">
        <v>136</v>
      </c>
      <c r="J84" s="28">
        <f ca="1">(IF(B75&gt;3,(H75/(B75+2)+J83),0))</f>
        <v>27.5</v>
      </c>
    </row>
    <row r="85" spans="1:22" ht="15.75" customHeight="1" x14ac:dyDescent="0.3">
      <c r="A85" s="109" t="s">
        <v>130</v>
      </c>
      <c r="B85" s="110"/>
      <c r="C85" s="91">
        <v>0</v>
      </c>
      <c r="D85" s="93">
        <f ca="1">((100/H75)*C85)/100</f>
        <v>0</v>
      </c>
      <c r="E85" s="113"/>
      <c r="F85" s="114"/>
      <c r="G85" s="113"/>
      <c r="H85" s="118"/>
      <c r="I85" s="13" t="s">
        <v>137</v>
      </c>
      <c r="J85" s="27">
        <f>(IF(B75&gt;4,(H75/(B75+2)+J84),0))</f>
        <v>0</v>
      </c>
    </row>
    <row r="86" spans="1:22" ht="15.75" customHeight="1" x14ac:dyDescent="0.3">
      <c r="A86" s="109" t="s">
        <v>125</v>
      </c>
      <c r="B86" s="110" t="s">
        <v>125</v>
      </c>
      <c r="C86" s="91">
        <v>0</v>
      </c>
      <c r="D86" s="93">
        <f ca="1">((100/(H75))*C86)/100</f>
        <v>0</v>
      </c>
      <c r="E86" s="113"/>
      <c r="F86" s="114"/>
      <c r="G86" s="113"/>
      <c r="H86" s="118"/>
      <c r="I86" s="13" t="s">
        <v>139</v>
      </c>
      <c r="J86" s="27">
        <f>(IF(B75=1,(H75/(B75+3)+J81),IF(B75=0,(H75/4+J81),IF(B75&gt;1,0))))</f>
        <v>0</v>
      </c>
    </row>
    <row r="87" spans="1:22" ht="16.2" thickBot="1" x14ac:dyDescent="0.35">
      <c r="A87" s="226" t="s">
        <v>126</v>
      </c>
      <c r="B87" s="227"/>
      <c r="C87" s="94">
        <v>0</v>
      </c>
      <c r="D87" s="95">
        <f ca="1">((100/(H75))*C87)/100</f>
        <v>0</v>
      </c>
      <c r="E87" s="115"/>
      <c r="F87" s="116"/>
      <c r="G87" s="115"/>
      <c r="H87" s="119"/>
      <c r="I87" s="14" t="s">
        <v>98</v>
      </c>
      <c r="J87" s="29">
        <f ca="1">(IF(B75&gt;1.5,(H75/(B75+2)+J81+MAX(0,J82-J81)+MAX(0,J83-J82)+MAX(0,J84-J83)+MAX(0,J85-J84)+MAX(0,J86-J85)),IF(B75=1,(H75/(B75+3)+J86),IF(B75=0,H75/4+J86))))</f>
        <v>33</v>
      </c>
    </row>
    <row r="88" spans="1:22" x14ac:dyDescent="0.3">
      <c r="A88" s="120" t="s">
        <v>132</v>
      </c>
      <c r="B88" s="121"/>
      <c r="C88" s="122" t="s">
        <v>431</v>
      </c>
      <c r="D88" s="123"/>
      <c r="E88" s="123"/>
      <c r="F88" s="123"/>
      <c r="G88" s="123"/>
      <c r="H88" s="124"/>
      <c r="I88" s="42" t="str">
        <f ca="1">IF(D101=100%,"All work Completed. Possession granted to the Building.",IF(D100=100%,"All work Completed, Waiting for OC",I89&amp;""&amp;I90&amp;""&amp;J89&amp;""&amp;J88&amp;" "&amp;J90))</f>
        <v xml:space="preserve">Excavation Completed, 1st &amp; 2nd Basement Completed </v>
      </c>
      <c r="J88" s="43"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c>
      <c r="R88" t="s">
        <v>242</v>
      </c>
      <c r="S88" t="s">
        <v>163</v>
      </c>
      <c r="T88" t="s">
        <v>169</v>
      </c>
      <c r="U88" t="s">
        <v>183</v>
      </c>
      <c r="V88" t="s">
        <v>178</v>
      </c>
    </row>
    <row r="89" spans="1:22" x14ac:dyDescent="0.3">
      <c r="A89" s="15" t="s">
        <v>134</v>
      </c>
      <c r="B89" s="46">
        <f>IF(AND(ISNUMBER(SEARCH("1B",C88))),1,IF(AND(ISNUMBER(SEARCH("2B",C88))),2,IF(AND(ISNUMBER(SEARCH("3B",C88))),3,IF(AND(ISNUMBER(SEARCH("4B",C88))),4,IF(ISNUMBER(SEARCH("5B",C88)),5,0)))))</f>
        <v>4</v>
      </c>
      <c r="C89" s="46" t="s">
        <v>67</v>
      </c>
      <c r="D89" s="46">
        <v>1</v>
      </c>
      <c r="E89" s="46" t="s">
        <v>66</v>
      </c>
      <c r="F89" s="46">
        <v>0</v>
      </c>
      <c r="G89" s="46" t="s">
        <v>74</v>
      </c>
      <c r="H89" s="16">
        <f ca="1">--TRIM(RIGHT(SUBSTITUTE(LEFT(C88,_xlfn.AGGREGATE(16,6,FIND({0,1,2,3,4,5,6,7,8,9},C88,ROW(INDIRECT("1:"&amp;LEN(C88)))),1))," ",REPT(" ",LEN(C88))),LEN(C88)))</f>
        <v>33</v>
      </c>
      <c r="I89" s="44" t="str">
        <f ca="1">IF(D92=100%,"Excavation","")&amp;IF(D93=100%,", Plinth","")&amp;IF(D94=100%,", RCC Slab","")&amp;IF(D95=100%,", Brickwork","")&amp;IF(D96=100%,", Internal Plaster","")&amp;IF(D97=100%,", External Plaster","")&amp;IF(D98=100%,", Flooring","")&amp;IF(D99=100%,", Painting","")&amp;IF(D100=100%,", Building common Amenities","")</f>
        <v>Excavation</v>
      </c>
      <c r="J89" s="45"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 1st &amp; 2nd Basement Completed</v>
      </c>
      <c r="R89"/>
      <c r="S89">
        <v>800000</v>
      </c>
      <c r="T89">
        <v>150000</v>
      </c>
      <c r="U89">
        <v>100000</v>
      </c>
      <c r="V89">
        <v>100000</v>
      </c>
    </row>
    <row r="90" spans="1:22" x14ac:dyDescent="0.3">
      <c r="A90" s="138" t="s">
        <v>84</v>
      </c>
      <c r="B90" s="139"/>
      <c r="C90" s="127" t="str">
        <f ca="1">I88</f>
        <v xml:space="preserve">Excavation Completed, 1st &amp; 2nd Basement Completed </v>
      </c>
      <c r="D90" s="127"/>
      <c r="E90" s="127"/>
      <c r="F90" s="127"/>
      <c r="G90" s="127"/>
      <c r="H90" s="128"/>
      <c r="I90" s="44" t="str">
        <f ca="1">IF(I89&lt;&gt;""," Completed","")</f>
        <v xml:space="preserve"> Completed</v>
      </c>
      <c r="J90" s="45" t="str">
        <f ca="1">IF(J88&lt;&gt;"","Completed","")</f>
        <v/>
      </c>
      <c r="R90"/>
      <c r="S90">
        <v>900000</v>
      </c>
      <c r="T90">
        <v>200000</v>
      </c>
      <c r="U90">
        <v>150000</v>
      </c>
      <c r="V90">
        <v>150000</v>
      </c>
    </row>
    <row r="91" spans="1:22" x14ac:dyDescent="0.3">
      <c r="A91" s="109" t="s">
        <v>47</v>
      </c>
      <c r="B91" s="110"/>
      <c r="C91" s="91" t="s">
        <v>131</v>
      </c>
      <c r="D91" s="91" t="s">
        <v>77</v>
      </c>
      <c r="E91" s="110" t="s">
        <v>79</v>
      </c>
      <c r="F91" s="110"/>
      <c r="G91" s="110" t="s">
        <v>78</v>
      </c>
      <c r="H91" s="225"/>
      <c r="I91" s="13" t="s">
        <v>133</v>
      </c>
      <c r="J91" s="25">
        <f ca="1">H89*25%</f>
        <v>8.25</v>
      </c>
      <c r="R91"/>
      <c r="S91">
        <v>1000000</v>
      </c>
      <c r="T91">
        <v>250000</v>
      </c>
      <c r="U91">
        <v>200000</v>
      </c>
      <c r="V91">
        <v>200000</v>
      </c>
    </row>
    <row r="92" spans="1:22" s="30" customFormat="1" x14ac:dyDescent="0.3">
      <c r="A92" s="109" t="s">
        <v>120</v>
      </c>
      <c r="B92" s="110"/>
      <c r="C92" s="92">
        <f ca="1">J101</f>
        <v>33</v>
      </c>
      <c r="D92" s="93">
        <f ca="1">((100/H89)*C92)/100</f>
        <v>1</v>
      </c>
      <c r="E92" s="111">
        <f ca="1">(((C93/H89*10)+(40/(D89+F89+H89)*C94)+(7.5/(H89)*C95)+(7.5/(H89)*C96)+(10/H89*C97)+(10/H89*C98)+(5/H89*C99)+(5/H89*C100)+(5/H89*C101))/100)</f>
        <v>6.6666666666666666E-2</v>
      </c>
      <c r="F92" s="112"/>
      <c r="G92" s="111">
        <f ca="1">((((C92/H89)*20)+((C93/H89)*25)+(30/(H89+F89+D89)*C94)+(5/H89*C95)+(5/H89*C96)+(5/H89*C97)+(5/H89*C98)+(0/H89*C99)+(0/H89*C100)+(5/H89*C101))/100)</f>
        <v>0.36666666666666664</v>
      </c>
      <c r="H92" s="117"/>
      <c r="I92" s="13" t="s">
        <v>94</v>
      </c>
      <c r="J92" s="26">
        <f ca="1">H89*50%</f>
        <v>16.5</v>
      </c>
      <c r="R92"/>
      <c r="S92">
        <v>1100000</v>
      </c>
      <c r="T92">
        <v>300000</v>
      </c>
      <c r="U92">
        <v>250000</v>
      </c>
      <c r="V92" s="20">
        <v>250000</v>
      </c>
    </row>
    <row r="93" spans="1:22" s="30" customFormat="1" x14ac:dyDescent="0.3">
      <c r="A93" s="109" t="s">
        <v>48</v>
      </c>
      <c r="B93" s="110"/>
      <c r="C93" s="92">
        <f ca="1">J97</f>
        <v>22</v>
      </c>
      <c r="D93" s="93">
        <f ca="1">((100/H89)*C93)/100</f>
        <v>0.66666666666666674</v>
      </c>
      <c r="E93" s="113"/>
      <c r="F93" s="114"/>
      <c r="G93" s="113"/>
      <c r="H93" s="118"/>
      <c r="I93" s="13" t="s">
        <v>95</v>
      </c>
      <c r="J93" s="26">
        <f ca="1">H89</f>
        <v>33</v>
      </c>
      <c r="R93"/>
      <c r="S93">
        <v>1200000</v>
      </c>
      <c r="T93">
        <v>350000</v>
      </c>
      <c r="U93">
        <v>300000</v>
      </c>
      <c r="V93">
        <v>300000</v>
      </c>
    </row>
    <row r="94" spans="1:22" s="30" customFormat="1" x14ac:dyDescent="0.3">
      <c r="A94" s="109" t="s">
        <v>121</v>
      </c>
      <c r="B94" s="110"/>
      <c r="C94" s="91">
        <v>0</v>
      </c>
      <c r="D94" s="93">
        <f ca="1">((100/(D89+F89+H89))*C94)/100</f>
        <v>0</v>
      </c>
      <c r="E94" s="113"/>
      <c r="F94" s="114"/>
      <c r="G94" s="113"/>
      <c r="H94" s="118"/>
      <c r="I94" s="13" t="s">
        <v>96</v>
      </c>
      <c r="J94" s="27">
        <f ca="1">(IF(B89&gt;1,(H89/(B89+2)),H89/4))</f>
        <v>5.5</v>
      </c>
      <c r="R94"/>
      <c r="S94">
        <v>1300000</v>
      </c>
      <c r="T94">
        <v>400000</v>
      </c>
      <c r="U94">
        <v>350000</v>
      </c>
      <c r="V94" s="20">
        <v>400000</v>
      </c>
    </row>
    <row r="95" spans="1:22" s="30" customFormat="1" x14ac:dyDescent="0.3">
      <c r="A95" s="109" t="s">
        <v>128</v>
      </c>
      <c r="B95" s="110" t="s">
        <v>122</v>
      </c>
      <c r="C95" s="91">
        <v>0</v>
      </c>
      <c r="D95" s="93">
        <f ca="1">((100/H89)*C95)/100</f>
        <v>0</v>
      </c>
      <c r="E95" s="113"/>
      <c r="F95" s="114"/>
      <c r="G95" s="113"/>
      <c r="H95" s="118"/>
      <c r="I95" s="13" t="s">
        <v>97</v>
      </c>
      <c r="J95" s="27">
        <f ca="1">(IF(B89&gt;1,(H89/(B89+2)+J94),H89/4+J94))</f>
        <v>11</v>
      </c>
      <c r="R95"/>
      <c r="S95">
        <v>1400000</v>
      </c>
      <c r="T95">
        <v>500000</v>
      </c>
      <c r="U95">
        <v>400000</v>
      </c>
      <c r="V95"/>
    </row>
    <row r="96" spans="1:22" s="30" customFormat="1" x14ac:dyDescent="0.3">
      <c r="A96" s="109" t="s">
        <v>129</v>
      </c>
      <c r="B96" s="110" t="s">
        <v>122</v>
      </c>
      <c r="C96" s="91">
        <v>0</v>
      </c>
      <c r="D96" s="93">
        <f ca="1">((100/H89)*C96)/100</f>
        <v>0</v>
      </c>
      <c r="E96" s="113"/>
      <c r="F96" s="114"/>
      <c r="G96" s="113"/>
      <c r="H96" s="118"/>
      <c r="I96" s="13" t="s">
        <v>138</v>
      </c>
      <c r="J96" s="27">
        <f ca="1">(IF(B89&gt;1,(H89/(B89+2)+J95),0))</f>
        <v>16.5</v>
      </c>
      <c r="R96"/>
      <c r="S96">
        <v>1500000</v>
      </c>
      <c r="T96">
        <v>600000</v>
      </c>
      <c r="U96">
        <v>500000</v>
      </c>
      <c r="V96" s="20"/>
    </row>
    <row r="97" spans="1:22" s="30" customFormat="1" x14ac:dyDescent="0.3">
      <c r="A97" s="109" t="s">
        <v>127</v>
      </c>
      <c r="B97" s="110" t="s">
        <v>124</v>
      </c>
      <c r="C97" s="91">
        <v>0</v>
      </c>
      <c r="D97" s="93">
        <f ca="1">((100/(H89))*C97)/100</f>
        <v>0</v>
      </c>
      <c r="E97" s="113"/>
      <c r="F97" s="114"/>
      <c r="G97" s="113"/>
      <c r="H97" s="118"/>
      <c r="I97" s="13" t="s">
        <v>135</v>
      </c>
      <c r="J97" s="27">
        <f ca="1">(IF(B89&gt;2,(H89/(B89+2)+J96),0))</f>
        <v>22</v>
      </c>
      <c r="R97"/>
      <c r="S97">
        <v>1600000</v>
      </c>
      <c r="T97">
        <v>700000</v>
      </c>
      <c r="U97">
        <v>600000</v>
      </c>
      <c r="V97"/>
    </row>
    <row r="98" spans="1:22" s="30" customFormat="1" x14ac:dyDescent="0.3">
      <c r="A98" s="109" t="s">
        <v>123</v>
      </c>
      <c r="B98" s="110" t="s">
        <v>123</v>
      </c>
      <c r="C98" s="91">
        <v>0</v>
      </c>
      <c r="D98" s="93">
        <f ca="1">((100/H89)*C98)/100</f>
        <v>0</v>
      </c>
      <c r="E98" s="113"/>
      <c r="F98" s="114"/>
      <c r="G98" s="113"/>
      <c r="H98" s="118"/>
      <c r="I98" s="13" t="s">
        <v>136</v>
      </c>
      <c r="J98" s="28">
        <f ca="1">(IF(B89&gt;3,(H89/(B89+2)+J97),0))</f>
        <v>27.5</v>
      </c>
      <c r="R98"/>
      <c r="S98">
        <v>1700000</v>
      </c>
      <c r="T98">
        <v>800000</v>
      </c>
      <c r="U98"/>
      <c r="V98" s="20"/>
    </row>
    <row r="99" spans="1:22" x14ac:dyDescent="0.3">
      <c r="A99" s="109" t="s">
        <v>130</v>
      </c>
      <c r="B99" s="110"/>
      <c r="C99" s="91">
        <v>0</v>
      </c>
      <c r="D99" s="93">
        <f ca="1">((100/H89)*C99)/100</f>
        <v>0</v>
      </c>
      <c r="E99" s="113"/>
      <c r="F99" s="114"/>
      <c r="G99" s="113"/>
      <c r="H99" s="118"/>
      <c r="I99" s="13" t="s">
        <v>137</v>
      </c>
      <c r="J99" s="27">
        <f>(IF(B89&gt;4,(H89/(B89+2)+J98),0))</f>
        <v>0</v>
      </c>
      <c r="R99"/>
      <c r="S99">
        <v>1800000</v>
      </c>
      <c r="T99">
        <v>900000</v>
      </c>
      <c r="U99"/>
    </row>
    <row r="100" spans="1:22" s="31" customFormat="1" x14ac:dyDescent="0.3">
      <c r="A100" s="109" t="s">
        <v>125</v>
      </c>
      <c r="B100" s="110" t="s">
        <v>125</v>
      </c>
      <c r="C100" s="91">
        <v>0</v>
      </c>
      <c r="D100" s="93">
        <f ca="1">((100/(H89))*C100)/100</f>
        <v>0</v>
      </c>
      <c r="E100" s="113"/>
      <c r="F100" s="114"/>
      <c r="G100" s="113"/>
      <c r="H100" s="118"/>
      <c r="I100" s="13" t="s">
        <v>139</v>
      </c>
      <c r="J100" s="27">
        <f>(IF(B89=1,(H89/(B89+3)+J95),IF(B89=0,(H89/4+J95),IF(B89&gt;1,0))))</f>
        <v>0</v>
      </c>
      <c r="R100" s="18"/>
      <c r="S100" s="18"/>
      <c r="T100">
        <v>1000000</v>
      </c>
      <c r="U100"/>
      <c r="V100" s="18"/>
    </row>
    <row r="101" spans="1:22" s="32" customFormat="1" ht="16.2" thickBot="1" x14ac:dyDescent="0.35">
      <c r="A101" s="226" t="s">
        <v>126</v>
      </c>
      <c r="B101" s="227"/>
      <c r="C101" s="94">
        <v>0</v>
      </c>
      <c r="D101" s="95">
        <f ca="1">((100/(H89))*C101)/100</f>
        <v>0</v>
      </c>
      <c r="E101" s="115"/>
      <c r="F101" s="116"/>
      <c r="G101" s="115"/>
      <c r="H101" s="119"/>
      <c r="I101" s="14" t="s">
        <v>98</v>
      </c>
      <c r="J101" s="29">
        <f ca="1">(IF(B89&gt;1.5,(H89/(B89+2)+J95+MAX(0,J96-J95)+MAX(0,J97-J96)+MAX(0,J98-J97)+MAX(0,J99-J98)+MAX(0,J100-J99)),IF(B89=1,(H89/(B89+3)+J100),IF(B89=0,H89/4+J100))))</f>
        <v>33</v>
      </c>
      <c r="T101"/>
    </row>
    <row r="102" spans="1:22" s="32" customFormat="1" x14ac:dyDescent="0.3">
      <c r="A102" s="235" t="s">
        <v>434</v>
      </c>
      <c r="B102" s="236"/>
      <c r="C102" s="237" t="s">
        <v>432</v>
      </c>
      <c r="D102" s="238"/>
      <c r="E102" s="239">
        <f ca="1">AVERAGE(E78,E92)</f>
        <v>8.3333333333333343E-2</v>
      </c>
      <c r="F102" s="237" t="s">
        <v>433</v>
      </c>
      <c r="G102" s="238"/>
      <c r="H102" s="240">
        <f ca="1">AVERAGE(G78,G92)</f>
        <v>0.40833333333333333</v>
      </c>
      <c r="I102" s="233"/>
      <c r="J102" s="234"/>
      <c r="T102"/>
    </row>
    <row r="103" spans="1:22" s="32" customFormat="1" ht="16.2" thickBot="1" x14ac:dyDescent="0.35">
      <c r="A103" s="241"/>
      <c r="B103" s="242"/>
      <c r="C103" s="243"/>
      <c r="D103" s="244"/>
      <c r="E103" s="245"/>
      <c r="F103" s="243"/>
      <c r="G103" s="244"/>
      <c r="H103" s="246"/>
      <c r="I103" s="233"/>
      <c r="J103" s="234"/>
      <c r="T103"/>
    </row>
    <row r="104" spans="1:22" s="32" customFormat="1" ht="15.75" customHeight="1" x14ac:dyDescent="0.3">
      <c r="A104" s="200" t="s">
        <v>148</v>
      </c>
      <c r="B104" s="200"/>
      <c r="C104" s="200"/>
      <c r="D104" s="200"/>
      <c r="E104" s="200"/>
      <c r="F104" s="134" t="s">
        <v>152</v>
      </c>
      <c r="G104" s="134"/>
      <c r="H104" s="134"/>
      <c r="I104" s="18"/>
      <c r="J104" s="18"/>
      <c r="T104"/>
    </row>
    <row r="105" spans="1:22" s="32" customFormat="1" x14ac:dyDescent="0.3">
      <c r="A105" s="125" t="s">
        <v>150</v>
      </c>
      <c r="B105" s="125"/>
      <c r="C105" s="125"/>
      <c r="D105" s="125"/>
      <c r="E105" s="125"/>
      <c r="F105" s="135">
        <v>17000</v>
      </c>
      <c r="G105" s="135"/>
      <c r="H105" s="135"/>
      <c r="I105" s="18"/>
      <c r="J105" s="18"/>
      <c r="T105"/>
    </row>
    <row r="106" spans="1:22" s="32" customFormat="1" hidden="1" x14ac:dyDescent="0.3">
      <c r="A106" s="125" t="s">
        <v>149</v>
      </c>
      <c r="B106" s="125"/>
      <c r="C106" s="125"/>
      <c r="D106" s="125"/>
      <c r="E106" s="125"/>
      <c r="F106" s="135"/>
      <c r="G106" s="135"/>
      <c r="H106" s="135"/>
      <c r="I106" s="19"/>
      <c r="J106" s="83"/>
      <c r="T106"/>
    </row>
    <row r="107" spans="1:22" s="31" customFormat="1" hidden="1" x14ac:dyDescent="0.3">
      <c r="A107" s="125" t="s">
        <v>151</v>
      </c>
      <c r="B107" s="125"/>
      <c r="C107" s="125"/>
      <c r="D107" s="125"/>
      <c r="E107" s="125"/>
      <c r="F107" s="135"/>
      <c r="G107" s="135"/>
      <c r="H107" s="135"/>
      <c r="I107" s="19"/>
      <c r="J107" s="18"/>
      <c r="T107" s="32"/>
    </row>
    <row r="108" spans="1:22" hidden="1" x14ac:dyDescent="0.3">
      <c r="A108" s="125" t="s">
        <v>165</v>
      </c>
      <c r="B108" s="125"/>
      <c r="C108" s="125"/>
      <c r="D108" s="125"/>
      <c r="E108" s="125"/>
      <c r="F108" s="135"/>
      <c r="G108" s="135"/>
      <c r="H108" s="135"/>
      <c r="I108" s="83"/>
      <c r="J108" s="30"/>
      <c r="T108" s="32"/>
    </row>
    <row r="109" spans="1:22" ht="47.25" hidden="1" customHeight="1" x14ac:dyDescent="0.3">
      <c r="A109" s="125" t="s">
        <v>88</v>
      </c>
      <c r="B109" s="125"/>
      <c r="C109" s="125"/>
      <c r="D109" s="125"/>
      <c r="E109" s="125"/>
      <c r="F109" s="135"/>
      <c r="G109" s="135"/>
      <c r="H109" s="135"/>
      <c r="I109" s="30"/>
      <c r="J109" s="30"/>
      <c r="T109" s="34"/>
    </row>
    <row r="110" spans="1:22" s="34" customFormat="1" hidden="1" x14ac:dyDescent="0.25">
      <c r="A110" s="125" t="s">
        <v>89</v>
      </c>
      <c r="B110" s="125"/>
      <c r="C110" s="125"/>
      <c r="D110" s="125"/>
      <c r="E110" s="125"/>
      <c r="F110" s="135"/>
      <c r="G110" s="135"/>
      <c r="H110" s="135"/>
      <c r="I110" s="30"/>
      <c r="J110" s="30"/>
    </row>
    <row r="111" spans="1:22" s="34" customFormat="1" ht="15.75" hidden="1" customHeight="1" x14ac:dyDescent="0.25">
      <c r="A111" s="125" t="s">
        <v>90</v>
      </c>
      <c r="B111" s="125"/>
      <c r="C111" s="125"/>
      <c r="D111" s="125"/>
      <c r="E111" s="125"/>
      <c r="F111" s="135"/>
      <c r="G111" s="135"/>
      <c r="H111" s="135"/>
      <c r="I111" s="30"/>
      <c r="J111" s="30"/>
    </row>
    <row r="112" spans="1:22" s="34" customFormat="1" ht="15.75" hidden="1" customHeight="1" x14ac:dyDescent="0.25">
      <c r="A112" s="125" t="s">
        <v>91</v>
      </c>
      <c r="B112" s="125"/>
      <c r="C112" s="125"/>
      <c r="D112" s="125"/>
      <c r="E112" s="125"/>
      <c r="F112" s="135"/>
      <c r="G112" s="135"/>
      <c r="H112" s="135"/>
      <c r="I112" s="30"/>
      <c r="J112" s="30"/>
    </row>
    <row r="113" spans="1:20" s="34" customFormat="1" ht="15.75" hidden="1" customHeight="1" x14ac:dyDescent="0.25">
      <c r="A113" s="125" t="s">
        <v>92</v>
      </c>
      <c r="B113" s="125"/>
      <c r="C113" s="125"/>
      <c r="D113" s="125"/>
      <c r="E113" s="125"/>
      <c r="F113" s="135"/>
      <c r="G113" s="135"/>
      <c r="H113" s="135"/>
      <c r="I113" s="30"/>
      <c r="J113" s="30"/>
    </row>
    <row r="114" spans="1:20" s="34" customFormat="1" ht="15.75" hidden="1" customHeight="1" x14ac:dyDescent="0.25">
      <c r="A114" s="125" t="s">
        <v>93</v>
      </c>
      <c r="B114" s="125"/>
      <c r="C114" s="125"/>
      <c r="D114" s="125"/>
      <c r="E114" s="125"/>
      <c r="F114" s="135"/>
      <c r="G114" s="135"/>
      <c r="H114" s="135"/>
      <c r="I114" s="30"/>
      <c r="J114" s="30"/>
    </row>
    <row r="115" spans="1:20" s="34" customFormat="1" ht="15.75" customHeight="1" x14ac:dyDescent="0.3">
      <c r="A115" s="125" t="s">
        <v>49</v>
      </c>
      <c r="B115" s="125"/>
      <c r="C115" s="125"/>
      <c r="D115" s="125"/>
      <c r="E115" s="125"/>
      <c r="F115" s="135">
        <v>1000000</v>
      </c>
      <c r="G115" s="135"/>
      <c r="H115" s="135"/>
      <c r="I115" s="18"/>
      <c r="J115" s="18"/>
    </row>
    <row r="116" spans="1:20" s="34" customFormat="1" ht="15.75" customHeight="1" x14ac:dyDescent="0.3">
      <c r="A116" s="151" t="s">
        <v>50</v>
      </c>
      <c r="B116" s="151"/>
      <c r="C116" s="151"/>
      <c r="D116" s="151"/>
      <c r="E116" s="151"/>
      <c r="F116" s="135">
        <f>F105*0.8</f>
        <v>13600</v>
      </c>
      <c r="G116" s="135"/>
      <c r="H116" s="135"/>
      <c r="I116" s="31"/>
      <c r="J116" s="31"/>
      <c r="K116" s="34">
        <v>16000</v>
      </c>
    </row>
    <row r="117" spans="1:20" s="34" customFormat="1" ht="15.75" customHeight="1" x14ac:dyDescent="0.3">
      <c r="A117" s="194" t="s">
        <v>428</v>
      </c>
      <c r="B117" s="194"/>
      <c r="C117" s="194"/>
      <c r="D117" s="194"/>
      <c r="E117" s="194"/>
      <c r="F117" s="194"/>
      <c r="G117" s="194"/>
      <c r="H117" s="194"/>
      <c r="I117" s="32"/>
      <c r="J117" s="32"/>
      <c r="K117" s="34">
        <f>K$116*H131</f>
        <v>17771010.9408</v>
      </c>
      <c r="L117" s="96"/>
      <c r="M117" s="96"/>
      <c r="N117" s="33"/>
    </row>
    <row r="118" spans="1:20" s="34" customFormat="1" ht="15.75" customHeight="1" x14ac:dyDescent="0.3">
      <c r="A118" s="195" t="s">
        <v>51</v>
      </c>
      <c r="B118" s="195"/>
      <c r="C118" s="210" t="s">
        <v>72</v>
      </c>
      <c r="D118" s="210"/>
      <c r="E118" s="201" t="s">
        <v>52</v>
      </c>
      <c r="F118" s="201"/>
      <c r="G118" s="195" t="s">
        <v>53</v>
      </c>
      <c r="H118" s="195"/>
      <c r="I118" s="32"/>
      <c r="J118" s="32"/>
      <c r="K118" s="34">
        <f>K$116*H132</f>
        <v>17771010.9408</v>
      </c>
      <c r="L118" s="96"/>
      <c r="M118" s="96"/>
      <c r="N118" s="33"/>
    </row>
    <row r="119" spans="1:20" s="34" customFormat="1" ht="15.75" customHeight="1" x14ac:dyDescent="0.3">
      <c r="A119" s="193" t="s">
        <v>427</v>
      </c>
      <c r="B119" s="193"/>
      <c r="C119" s="141">
        <f>COUNT(D131:D138)*15+COUNT(D140:D145)*2+COUNT(D149:D156)*4+COUNT(D160:D165)+COUNT(D167:D172)+COUNT(D175:D178)</f>
        <v>180</v>
      </c>
      <c r="D119" s="141"/>
      <c r="E119" s="141">
        <f>SUM(F131:F138)*15+SUM(F140:F145)*2+SUM(F149:F156)*4+SUM(F160:F165)+SUM(F167:F172)+SUM(F175:F178)</f>
        <v>132121.35228520801</v>
      </c>
      <c r="F119" s="141"/>
      <c r="G119" s="141">
        <f>SUM(H131:H138)*15+SUM(H140:H145)*2+SUM(H149:H156)*4+SUM(H160:H165)+SUM(H167:H172)+SUM(H175:H178)</f>
        <v>198746.485591212</v>
      </c>
      <c r="H119" s="141"/>
      <c r="I119" s="32"/>
      <c r="J119" s="32"/>
      <c r="K119" s="34">
        <f>K$116*H133</f>
        <v>11237667.667199999</v>
      </c>
      <c r="L119" s="96"/>
      <c r="M119" s="96"/>
      <c r="N119" s="33"/>
    </row>
    <row r="120" spans="1:20" s="34" customFormat="1" ht="15.75" customHeight="1" x14ac:dyDescent="0.3">
      <c r="A120" s="194" t="s">
        <v>142</v>
      </c>
      <c r="B120" s="194"/>
      <c r="C120" s="209">
        <f>SUM(C119)</f>
        <v>180</v>
      </c>
      <c r="D120" s="210"/>
      <c r="E120" s="202">
        <f>SUM(E119)</f>
        <v>132121.35228520801</v>
      </c>
      <c r="F120" s="201"/>
      <c r="G120" s="195">
        <f>SUM(G119)</f>
        <v>198746.485591212</v>
      </c>
      <c r="H120" s="195"/>
      <c r="I120" s="32"/>
      <c r="J120" s="32"/>
      <c r="K120" s="34">
        <f>K$116*H134</f>
        <v>16671532.924799997</v>
      </c>
      <c r="L120" s="96"/>
      <c r="M120" s="96"/>
      <c r="N120" s="33"/>
      <c r="T120" s="18"/>
    </row>
    <row r="121" spans="1:20" s="34" customFormat="1" ht="15.75" customHeight="1" x14ac:dyDescent="0.3">
      <c r="A121" s="189" t="s">
        <v>344</v>
      </c>
      <c r="B121" s="189"/>
      <c r="C121" s="189"/>
      <c r="D121" s="189"/>
      <c r="E121" s="189"/>
      <c r="F121" s="189"/>
      <c r="G121" s="189"/>
      <c r="H121" s="189"/>
      <c r="I121" s="31"/>
      <c r="J121" s="31"/>
      <c r="K121" s="34">
        <f>K$116*H135</f>
        <v>16671532.924799997</v>
      </c>
      <c r="L121" s="96"/>
      <c r="M121" s="96"/>
      <c r="N121" s="33"/>
    </row>
    <row r="122" spans="1:20" s="34" customFormat="1" ht="15.75" customHeight="1" x14ac:dyDescent="0.3">
      <c r="A122" s="213" t="s">
        <v>397</v>
      </c>
      <c r="B122" s="213"/>
      <c r="C122" s="213"/>
      <c r="D122" s="213"/>
      <c r="E122" s="213"/>
      <c r="F122" s="213"/>
      <c r="G122" s="213"/>
      <c r="H122" s="213"/>
      <c r="I122" s="18"/>
      <c r="J122" s="18"/>
      <c r="K122" s="34">
        <f>K$116*H136</f>
        <v>16671532.924799997</v>
      </c>
      <c r="L122" s="96"/>
      <c r="M122" s="96"/>
      <c r="N122" s="33"/>
    </row>
    <row r="123" spans="1:20" s="34" customFormat="1" ht="52.8" customHeight="1" x14ac:dyDescent="0.3">
      <c r="A123" s="142" t="s">
        <v>398</v>
      </c>
      <c r="B123" s="142" t="s">
        <v>167</v>
      </c>
      <c r="C123" s="142" t="s">
        <v>54</v>
      </c>
      <c r="D123" s="142" t="s">
        <v>221</v>
      </c>
      <c r="E123" s="142" t="s">
        <v>395</v>
      </c>
      <c r="F123" s="142" t="s">
        <v>55</v>
      </c>
      <c r="G123" s="143" t="s">
        <v>56</v>
      </c>
      <c r="H123" s="87" t="s">
        <v>141</v>
      </c>
      <c r="I123" s="33"/>
      <c r="J123" s="18"/>
      <c r="K123" s="34">
        <f>K$116*H137</f>
        <v>23225543.078399997</v>
      </c>
      <c r="L123" s="96"/>
      <c r="M123" s="96"/>
      <c r="N123" s="33"/>
    </row>
    <row r="124" spans="1:20" s="34" customFormat="1" ht="15.75" customHeight="1" x14ac:dyDescent="0.3">
      <c r="A124" s="142"/>
      <c r="B124" s="142"/>
      <c r="C124" s="142"/>
      <c r="D124" s="142"/>
      <c r="E124" s="142"/>
      <c r="F124" s="142"/>
      <c r="G124" s="143"/>
      <c r="H124" s="88">
        <v>0.5</v>
      </c>
      <c r="I124" s="33"/>
      <c r="K124" s="34">
        <f>K$116*H138</f>
        <v>17771010.9408</v>
      </c>
      <c r="L124" s="96"/>
      <c r="M124" s="96"/>
      <c r="N124" s="33"/>
      <c r="T124" s="18"/>
    </row>
    <row r="125" spans="1:20" s="34" customFormat="1" ht="15.75" customHeight="1" x14ac:dyDescent="0.3">
      <c r="A125" s="100" t="s">
        <v>387</v>
      </c>
      <c r="B125" s="101"/>
      <c r="C125" s="101"/>
      <c r="D125" s="101"/>
      <c r="E125" s="101"/>
      <c r="F125" s="101"/>
      <c r="G125" s="101"/>
      <c r="H125" s="102"/>
      <c r="I125" s="34">
        <f>10.764</f>
        <v>10.763999999999999</v>
      </c>
      <c r="J125" s="33"/>
      <c r="K125" s="34">
        <f>K$116*H139</f>
        <v>0</v>
      </c>
    </row>
    <row r="126" spans="1:20" s="34" customFormat="1" ht="15.75" customHeight="1" x14ac:dyDescent="0.3">
      <c r="A126" s="100" t="s">
        <v>383</v>
      </c>
      <c r="B126" s="101"/>
      <c r="C126" s="101"/>
      <c r="D126" s="101"/>
      <c r="E126" s="101"/>
      <c r="F126" s="101"/>
      <c r="G126" s="101"/>
      <c r="H126" s="102"/>
      <c r="J126" s="33"/>
      <c r="K126" s="34">
        <f>K$116*H140</f>
        <v>17771010.9408</v>
      </c>
      <c r="L126" s="96"/>
      <c r="M126" s="96"/>
      <c r="N126" s="33"/>
    </row>
    <row r="127" spans="1:20" s="34" customFormat="1" ht="15.75" customHeight="1" x14ac:dyDescent="0.3">
      <c r="A127" s="100" t="s">
        <v>384</v>
      </c>
      <c r="B127" s="101"/>
      <c r="C127" s="101"/>
      <c r="D127" s="101"/>
      <c r="E127" s="101"/>
      <c r="F127" s="101"/>
      <c r="G127" s="101"/>
      <c r="H127" s="102"/>
      <c r="J127" s="33"/>
      <c r="K127" s="34">
        <f>K$116*H141</f>
        <v>17771010.9408</v>
      </c>
      <c r="L127" s="96"/>
      <c r="M127" s="96"/>
      <c r="N127" s="33"/>
    </row>
    <row r="128" spans="1:20" s="34" customFormat="1" ht="15.75" customHeight="1" x14ac:dyDescent="0.3">
      <c r="A128" s="100" t="s">
        <v>385</v>
      </c>
      <c r="B128" s="101"/>
      <c r="C128" s="101"/>
      <c r="D128" s="101"/>
      <c r="E128" s="101"/>
      <c r="F128" s="101"/>
      <c r="G128" s="101"/>
      <c r="H128" s="102"/>
      <c r="J128" s="33"/>
      <c r="K128" s="34">
        <f>K$116*H142</f>
        <v>11237667.667199999</v>
      </c>
      <c r="L128" s="96"/>
      <c r="M128" s="96"/>
      <c r="N128" s="33"/>
    </row>
    <row r="129" spans="1:20" s="34" customFormat="1" ht="15.75" customHeight="1" x14ac:dyDescent="0.3">
      <c r="A129" s="100" t="s">
        <v>386</v>
      </c>
      <c r="B129" s="101"/>
      <c r="C129" s="101"/>
      <c r="D129" s="101"/>
      <c r="E129" s="101"/>
      <c r="F129" s="101"/>
      <c r="G129" s="101"/>
      <c r="H129" s="102"/>
      <c r="J129" s="33"/>
      <c r="K129" s="34">
        <f>K$116*H143</f>
        <v>16671532.924799997</v>
      </c>
      <c r="L129" s="96"/>
      <c r="M129" s="96"/>
      <c r="N129" s="33"/>
      <c r="T129" s="18"/>
    </row>
    <row r="130" spans="1:20" s="34" customFormat="1" ht="15.75" customHeight="1" x14ac:dyDescent="0.3">
      <c r="A130" s="100" t="s">
        <v>388</v>
      </c>
      <c r="B130" s="101"/>
      <c r="C130" s="101"/>
      <c r="D130" s="101"/>
      <c r="E130" s="101"/>
      <c r="F130" s="101"/>
      <c r="G130" s="101"/>
      <c r="H130" s="102"/>
      <c r="I130" s="34">
        <f>5+6+4</f>
        <v>15</v>
      </c>
      <c r="J130" s="33"/>
      <c r="K130" s="34">
        <f>K$116*H144</f>
        <v>16671532.924799997</v>
      </c>
      <c r="L130" s="96"/>
      <c r="M130" s="96"/>
      <c r="N130" s="33"/>
    </row>
    <row r="131" spans="1:20" s="34" customFormat="1" ht="15.75" customHeight="1" x14ac:dyDescent="0.3">
      <c r="A131" s="97">
        <v>1</v>
      </c>
      <c r="B131" s="99"/>
      <c r="C131" s="39" t="s">
        <v>389</v>
      </c>
      <c r="D131" s="86">
        <f>(3.05*6.28+2.23*3.13+2*3.05+3.05*(3.05+3.37)+1.38*(2.15+2.13)+2.32*0.6+1.77*0.9+1.48*0.9+2.08*0.9)*(10.764)</f>
        <v>687.93046919999995</v>
      </c>
      <c r="E131" s="86">
        <f>(3.05*1.6)*(10.764)</f>
        <v>52.528319999999994</v>
      </c>
      <c r="F131" s="39">
        <f t="shared" ref="F131:F138" si="0">D131+E131</f>
        <v>740.45878919999996</v>
      </c>
      <c r="G131" s="39">
        <v>0</v>
      </c>
      <c r="H131" s="39">
        <f>F131*(($H$124)+1)+(IF(G131&lt;101,G131,IF(G131&lt;201,G131/2,IF(G131&lt;=301,G131/3,G131/4))))</f>
        <v>1110.6881837999999</v>
      </c>
      <c r="I131" s="33"/>
      <c r="K131" s="34">
        <f>K$116*H145</f>
        <v>16671532.924799997</v>
      </c>
      <c r="L131" s="96"/>
      <c r="M131" s="96"/>
      <c r="N131" s="33"/>
    </row>
    <row r="132" spans="1:20" s="34" customFormat="1" ht="15.75" customHeight="1" x14ac:dyDescent="0.3">
      <c r="A132" s="97">
        <v>2</v>
      </c>
      <c r="B132" s="99"/>
      <c r="C132" s="39" t="s">
        <v>389</v>
      </c>
      <c r="D132" s="86">
        <f>(3.05*6.28+2.23*3.13+2*3.05+3.05*(3.05+3.37)+1.38*(2.15+2.13)+2.32*0.6+1.77*0.9+1.48*0.9+2.08*0.9)*(10.764)</f>
        <v>687.93046919999995</v>
      </c>
      <c r="E132" s="86">
        <f>(3.05*1.6)*(10.764)</f>
        <v>52.528319999999994</v>
      </c>
      <c r="F132" s="39">
        <f t="shared" si="0"/>
        <v>740.45878919999996</v>
      </c>
      <c r="G132" s="39">
        <v>0</v>
      </c>
      <c r="H132" s="39">
        <f>F132*(($H$124)+1)+(IF(G132&lt;101,G132,IF(G132&lt;201,G132/2,IF(G132&lt;=301,G132/3,G132/4))))</f>
        <v>1110.6881837999999</v>
      </c>
      <c r="I132" s="33"/>
      <c r="K132" s="34">
        <f>K$116*H146</f>
        <v>0</v>
      </c>
      <c r="L132" s="96"/>
      <c r="M132" s="96"/>
      <c r="N132" s="33"/>
    </row>
    <row r="133" spans="1:20" s="34" customFormat="1" ht="15.75" customHeight="1" x14ac:dyDescent="0.3">
      <c r="A133" s="97">
        <v>3</v>
      </c>
      <c r="B133" s="99"/>
      <c r="C133" s="39" t="s">
        <v>390</v>
      </c>
      <c r="D133" s="86">
        <f>(2.92*5.87+2.13*2.64+2.9*3.05+1.55*0.6+0.9*(1.37+0.97)+1.38*(2.15+2.13))*(10.764)</f>
        <v>436.49096400000002</v>
      </c>
      <c r="E133" s="86">
        <f>(2.92*1.01)*(10.764)</f>
        <v>31.745188799999998</v>
      </c>
      <c r="F133" s="39">
        <f t="shared" si="0"/>
        <v>468.23615280000001</v>
      </c>
      <c r="G133" s="39">
        <v>0</v>
      </c>
      <c r="H133" s="39">
        <f>F133*(($H$124)+1)+(IF(G133&lt;101,G133,IF(G133&lt;201,G133/2,IF(G133&lt;=301,G133/3,G133/4))))</f>
        <v>702.35422919999996</v>
      </c>
      <c r="I133" s="33">
        <f>9999000/H133</f>
        <v>14236.406053095352</v>
      </c>
      <c r="J133" s="34">
        <f>11600000/H133</f>
        <v>16515.882609851593</v>
      </c>
      <c r="K133" s="34">
        <f>K$116*H147</f>
        <v>0</v>
      </c>
      <c r="L133" s="96"/>
      <c r="M133" s="96"/>
      <c r="N133" s="33"/>
      <c r="T133" s="18"/>
    </row>
    <row r="134" spans="1:20" s="34" customFormat="1" ht="15.75" customHeight="1" x14ac:dyDescent="0.3">
      <c r="A134" s="97">
        <v>4</v>
      </c>
      <c r="B134" s="99"/>
      <c r="C134" s="39" t="s">
        <v>389</v>
      </c>
      <c r="D134" s="86">
        <f>(3.05*5.97+2.23*3.23+2*3.05+3.05*3.05+3.37*3.05+1.38*(2.15+2.23)+2.32*0.6+0.9*(2.25+1))*(10.764)</f>
        <v>661.48870319999992</v>
      </c>
      <c r="E134" s="86">
        <f>(3.05*1.01)*(10.764)</f>
        <v>33.158501999999999</v>
      </c>
      <c r="F134" s="39">
        <f t="shared" si="0"/>
        <v>694.64720519999992</v>
      </c>
      <c r="G134" s="39">
        <v>0</v>
      </c>
      <c r="H134" s="39">
        <f>F134*(($H$124)+1)+(IF(G134&lt;101,G134,IF(G134&lt;201,G134/2,IF(G134&lt;=301,G134/3,G134/4))))</f>
        <v>1041.9708077999999</v>
      </c>
      <c r="I134" s="33"/>
      <c r="K134" s="34">
        <f>K$116*H148</f>
        <v>0</v>
      </c>
    </row>
    <row r="135" spans="1:20" s="34" customFormat="1" ht="15.75" customHeight="1" x14ac:dyDescent="0.3">
      <c r="A135" s="97">
        <v>5</v>
      </c>
      <c r="B135" s="99"/>
      <c r="C135" s="39" t="s">
        <v>389</v>
      </c>
      <c r="D135" s="86">
        <f t="shared" ref="D135:D136" si="1">(3.05*5.97+2.23*3.23+2*3.05+3.05*3.05+3.37*3.05+1.38*(2.15+2.23)+2.32*0.6+0.9*(2.25+1))*(10.764)</f>
        <v>661.48870319999992</v>
      </c>
      <c r="E135" s="86">
        <f>(3.05*1.01)*(10.764)</f>
        <v>33.158501999999999</v>
      </c>
      <c r="F135" s="39">
        <f t="shared" si="0"/>
        <v>694.64720519999992</v>
      </c>
      <c r="G135" s="39">
        <v>0</v>
      </c>
      <c r="H135" s="39">
        <f>F135*(($H$124)+1)+(IF(G135&lt;101,G135,IF(G135&lt;201,G135/2,IF(G135&lt;=301,G135/3,G135/4))))</f>
        <v>1041.9708077999999</v>
      </c>
      <c r="I135" s="33"/>
      <c r="K135" s="34">
        <f>K$116*H149</f>
        <v>18086180.860799998</v>
      </c>
      <c r="L135" s="96"/>
      <c r="M135" s="96"/>
      <c r="N135" s="33"/>
    </row>
    <row r="136" spans="1:20" s="34" customFormat="1" ht="15.75" customHeight="1" x14ac:dyDescent="0.3">
      <c r="A136" s="97">
        <v>6</v>
      </c>
      <c r="B136" s="99"/>
      <c r="C136" s="39" t="s">
        <v>389</v>
      </c>
      <c r="D136" s="86">
        <f t="shared" si="1"/>
        <v>661.48870319999992</v>
      </c>
      <c r="E136" s="86">
        <f>(3.05*1.01)*(10.764)</f>
        <v>33.158501999999999</v>
      </c>
      <c r="F136" s="39">
        <f t="shared" si="0"/>
        <v>694.64720519999992</v>
      </c>
      <c r="G136" s="39">
        <v>0</v>
      </c>
      <c r="H136" s="39">
        <f>F136*(($H$124)+1)+(IF(G136&lt;101,G136,IF(G136&lt;201,G136/2,IF(G136&lt;=301,G136/3,G136/4))))</f>
        <v>1041.9708077999999</v>
      </c>
      <c r="I136" s="33"/>
      <c r="K136" s="34">
        <f>K$116*H150</f>
        <v>18086180.860799998</v>
      </c>
      <c r="L136" s="96"/>
      <c r="M136" s="96"/>
      <c r="N136" s="33"/>
    </row>
    <row r="137" spans="1:20" s="34" customFormat="1" ht="15.75" customHeight="1" x14ac:dyDescent="0.3">
      <c r="A137" s="97">
        <v>7</v>
      </c>
      <c r="B137" s="99"/>
      <c r="C137" s="39" t="s">
        <v>391</v>
      </c>
      <c r="D137" s="86">
        <f>(3.05*6.28+3.25*2.88+2.25*3.58+3.45*(3.05+2.92)+2.9*4.05+1.38*(2.13+2.12)+2.13*1.88+1.42*1.3+4.63*0.95)*(10.764)</f>
        <v>915.20264159999999</v>
      </c>
      <c r="E137" s="86">
        <f>(3.05*1.6)*(10.764)</f>
        <v>52.528319999999994</v>
      </c>
      <c r="F137" s="39">
        <f t="shared" si="0"/>
        <v>967.7309616</v>
      </c>
      <c r="G137" s="39">
        <v>0</v>
      </c>
      <c r="H137" s="39">
        <f>F137*(($H$124)+1)+(IF(G137&lt;101,G137,IF(G137&lt;201,G137/2,IF(G137&lt;=301,G137/3,G137/4))))</f>
        <v>1451.5964423999999</v>
      </c>
      <c r="I137" s="33"/>
      <c r="K137" s="34">
        <f>K$116*H151</f>
        <v>11237667.667199999</v>
      </c>
      <c r="L137" s="96"/>
      <c r="M137" s="96"/>
      <c r="N137" s="33"/>
    </row>
    <row r="138" spans="1:20" s="34" customFormat="1" ht="15.75" customHeight="1" x14ac:dyDescent="0.3">
      <c r="A138" s="97">
        <v>8</v>
      </c>
      <c r="B138" s="99"/>
      <c r="C138" s="39" t="s">
        <v>389</v>
      </c>
      <c r="D138" s="86">
        <f>(3.05*6.28+2.23*3.13+2*3.05+3.05*(3.05+3.37)+1.38*(2.15+2.13)+2.32*0.6+1.77*0.9+1.48*0.9+2.08*0.9)*(10.764)</f>
        <v>687.93046919999995</v>
      </c>
      <c r="E138" s="86">
        <f>(3.05*1.6)*(10.764)</f>
        <v>52.528319999999994</v>
      </c>
      <c r="F138" s="39">
        <f t="shared" si="0"/>
        <v>740.45878919999996</v>
      </c>
      <c r="G138" s="39">
        <v>0</v>
      </c>
      <c r="H138" s="39">
        <f>F138*(($H$124)+1)+(IF(G138&lt;101,G138,IF(G138&lt;201,G138/2,IF(G138&lt;=301,G138/3,G138/4))))</f>
        <v>1110.6881837999999</v>
      </c>
      <c r="I138" s="33"/>
      <c r="K138" s="34">
        <f>K$116*H152</f>
        <v>16671532.924799997</v>
      </c>
      <c r="L138" s="96"/>
      <c r="M138" s="96"/>
      <c r="N138" s="33"/>
      <c r="T138" s="18"/>
    </row>
    <row r="139" spans="1:20" s="34" customFormat="1" ht="15.75" customHeight="1" x14ac:dyDescent="0.3">
      <c r="A139" s="100" t="s">
        <v>392</v>
      </c>
      <c r="B139" s="101"/>
      <c r="C139" s="101"/>
      <c r="D139" s="101"/>
      <c r="E139" s="101"/>
      <c r="F139" s="101"/>
      <c r="G139" s="101"/>
      <c r="H139" s="102"/>
      <c r="I139" s="34">
        <f>2</f>
        <v>2</v>
      </c>
      <c r="J139" s="33"/>
      <c r="K139" s="34">
        <f>K$116*H153</f>
        <v>16671532.924799997</v>
      </c>
      <c r="L139" s="96"/>
      <c r="M139" s="96"/>
      <c r="N139" s="33"/>
    </row>
    <row r="140" spans="1:20" s="34" customFormat="1" ht="15.75" customHeight="1" x14ac:dyDescent="0.3">
      <c r="A140" s="97">
        <v>1</v>
      </c>
      <c r="B140" s="99"/>
      <c r="C140" s="39" t="s">
        <v>389</v>
      </c>
      <c r="D140" s="86">
        <f>(3.05*6.28+2.23*3.13+2*3.05+3.05*(3.05+3.37)+1.38*(2.15+2.13)+2.32*0.6+1.77*0.9+1.48*0.9+2.08*0.9)*(10.764)</f>
        <v>687.93046919999995</v>
      </c>
      <c r="E140" s="86">
        <f>(3.05*1.6)*(10.764)</f>
        <v>52.528319999999994</v>
      </c>
      <c r="F140" s="39">
        <f t="shared" ref="F140:F145" si="2">D140+E140</f>
        <v>740.45878919999996</v>
      </c>
      <c r="G140" s="39">
        <v>0</v>
      </c>
      <c r="H140" s="39">
        <f t="shared" ref="H140:H145" si="3">F140*(($H$124)+1)+(IF(G140&lt;101,G140,IF(G140&lt;201,G140/2,IF(G140&lt;=301,G140/3,G140/4))))</f>
        <v>1110.6881837999999</v>
      </c>
      <c r="I140" s="33"/>
      <c r="K140" s="34">
        <f>K$116*H154</f>
        <v>16671532.924799997</v>
      </c>
      <c r="L140" s="96"/>
      <c r="M140" s="96"/>
      <c r="N140" s="33"/>
    </row>
    <row r="141" spans="1:20" s="34" customFormat="1" ht="15.75" customHeight="1" x14ac:dyDescent="0.3">
      <c r="A141" s="97">
        <v>2</v>
      </c>
      <c r="B141" s="99"/>
      <c r="C141" s="39" t="s">
        <v>389</v>
      </c>
      <c r="D141" s="86">
        <f>(3.05*6.28+2.23*3.13+2*3.05+3.05*(3.05+3.37)+1.38*(2.15+2.13)+2.32*0.6+1.77*0.9+1.48*0.9+2.08*0.9)*(10.764)</f>
        <v>687.93046919999995</v>
      </c>
      <c r="E141" s="86">
        <f>(3.05*1.6)*(10.764)</f>
        <v>52.528319999999994</v>
      </c>
      <c r="F141" s="39">
        <f t="shared" si="2"/>
        <v>740.45878919999996</v>
      </c>
      <c r="G141" s="39">
        <v>0</v>
      </c>
      <c r="H141" s="39">
        <f t="shared" si="3"/>
        <v>1110.6881837999999</v>
      </c>
      <c r="I141" s="33"/>
      <c r="K141" s="34">
        <f>K$116*H155</f>
        <v>23540712.998399999</v>
      </c>
      <c r="L141" s="96"/>
      <c r="M141" s="96"/>
      <c r="N141" s="33"/>
    </row>
    <row r="142" spans="1:20" s="34" customFormat="1" ht="15.75" customHeight="1" x14ac:dyDescent="0.3">
      <c r="A142" s="97">
        <v>3</v>
      </c>
      <c r="B142" s="99"/>
      <c r="C142" s="39" t="s">
        <v>390</v>
      </c>
      <c r="D142" s="86">
        <f>(2.92*5.87+2.13*2.64+2.9*3.05+1.55*0.6+0.9*(1.37+0.97)+1.38*(2.15+2.13))*(10.764)</f>
        <v>436.49096400000002</v>
      </c>
      <c r="E142" s="86">
        <f>(2.92*1.01)*(10.764)</f>
        <v>31.745188799999998</v>
      </c>
      <c r="F142" s="39">
        <f t="shared" si="2"/>
        <v>468.23615280000001</v>
      </c>
      <c r="G142" s="39">
        <v>0</v>
      </c>
      <c r="H142" s="39">
        <f t="shared" si="3"/>
        <v>702.35422919999996</v>
      </c>
      <c r="I142" s="33"/>
      <c r="K142" s="34">
        <f>K$116*H156</f>
        <v>18086180.860799998</v>
      </c>
      <c r="L142" s="96"/>
      <c r="M142" s="96"/>
      <c r="N142" s="33"/>
      <c r="T142" s="18"/>
    </row>
    <row r="143" spans="1:20" s="34" customFormat="1" ht="15.75" customHeight="1" x14ac:dyDescent="0.3">
      <c r="A143" s="97">
        <v>4</v>
      </c>
      <c r="B143" s="99"/>
      <c r="C143" s="39" t="s">
        <v>389</v>
      </c>
      <c r="D143" s="86">
        <f>(3.05*5.97+2.23*3.23+2*3.05+3.05*3.05+3.37*3.05+1.38*(2.15+2.23)+2.32*0.6+0.9*(2.25+1))*(10.764)</f>
        <v>661.48870319999992</v>
      </c>
      <c r="E143" s="86">
        <f>(3.05*1.01)*(10.764)</f>
        <v>33.158501999999999</v>
      </c>
      <c r="F143" s="39">
        <f t="shared" si="2"/>
        <v>694.64720519999992</v>
      </c>
      <c r="G143" s="39">
        <v>0</v>
      </c>
      <c r="H143" s="39">
        <f t="shared" si="3"/>
        <v>1041.9708077999999</v>
      </c>
      <c r="I143" s="33"/>
      <c r="K143" s="34">
        <f>K$116*H157</f>
        <v>0</v>
      </c>
    </row>
    <row r="144" spans="1:20" s="34" customFormat="1" ht="15.75" customHeight="1" x14ac:dyDescent="0.3">
      <c r="A144" s="97">
        <v>5</v>
      </c>
      <c r="B144" s="99"/>
      <c r="C144" s="39" t="s">
        <v>389</v>
      </c>
      <c r="D144" s="86">
        <f t="shared" ref="D144:D145" si="4">(3.05*5.97+2.23*3.23+2*3.05+3.05*3.05+3.37*3.05+1.38*(2.15+2.23)+2.32*0.6+0.9*(2.25+1))*(10.764)</f>
        <v>661.48870319999992</v>
      </c>
      <c r="E144" s="86">
        <f>(3.05*1.01)*(10.764)</f>
        <v>33.158501999999999</v>
      </c>
      <c r="F144" s="39">
        <f t="shared" si="2"/>
        <v>694.64720519999992</v>
      </c>
      <c r="G144" s="39">
        <v>0</v>
      </c>
      <c r="H144" s="39">
        <f t="shared" si="3"/>
        <v>1041.9708077999999</v>
      </c>
      <c r="I144" s="33"/>
      <c r="L144" s="96"/>
      <c r="M144" s="96"/>
      <c r="N144" s="33"/>
    </row>
    <row r="145" spans="1:20" s="34" customFormat="1" ht="15.75" customHeight="1" x14ac:dyDescent="0.3">
      <c r="A145" s="97">
        <v>6</v>
      </c>
      <c r="B145" s="99"/>
      <c r="C145" s="39" t="s">
        <v>389</v>
      </c>
      <c r="D145" s="86">
        <f t="shared" si="4"/>
        <v>661.48870319999992</v>
      </c>
      <c r="E145" s="86">
        <f>(3.05*1.01)*(10.764)</f>
        <v>33.158501999999999</v>
      </c>
      <c r="F145" s="39">
        <f t="shared" si="2"/>
        <v>694.64720519999992</v>
      </c>
      <c r="G145" s="39">
        <v>0</v>
      </c>
      <c r="H145" s="39">
        <f t="shared" si="3"/>
        <v>1041.9708077999999</v>
      </c>
      <c r="I145" s="33"/>
      <c r="L145" s="96"/>
      <c r="M145" s="96"/>
      <c r="N145" s="33"/>
    </row>
    <row r="146" spans="1:20" s="34" customFormat="1" ht="15.75" customHeight="1" x14ac:dyDescent="0.3">
      <c r="A146" s="97">
        <v>7</v>
      </c>
      <c r="B146" s="99"/>
      <c r="C146" s="103" t="s">
        <v>393</v>
      </c>
      <c r="D146" s="104"/>
      <c r="E146" s="104"/>
      <c r="F146" s="104"/>
      <c r="G146" s="104"/>
      <c r="H146" s="105"/>
      <c r="I146" s="33"/>
      <c r="L146" s="96"/>
      <c r="M146" s="96"/>
      <c r="N146" s="33"/>
    </row>
    <row r="147" spans="1:20" s="34" customFormat="1" ht="15.75" customHeight="1" x14ac:dyDescent="0.3">
      <c r="A147" s="97">
        <v>8</v>
      </c>
      <c r="B147" s="99"/>
      <c r="C147" s="106"/>
      <c r="D147" s="107"/>
      <c r="E147" s="107"/>
      <c r="F147" s="107"/>
      <c r="G147" s="107"/>
      <c r="H147" s="108"/>
      <c r="I147" s="33"/>
      <c r="L147" s="96"/>
      <c r="M147" s="96"/>
      <c r="N147" s="33"/>
      <c r="T147" s="18"/>
    </row>
    <row r="148" spans="1:20" s="34" customFormat="1" ht="15.75" customHeight="1" x14ac:dyDescent="0.3">
      <c r="A148" s="100" t="s">
        <v>396</v>
      </c>
      <c r="B148" s="101"/>
      <c r="C148" s="101"/>
      <c r="D148" s="101"/>
      <c r="E148" s="101"/>
      <c r="F148" s="101"/>
      <c r="G148" s="101"/>
      <c r="H148" s="102"/>
      <c r="I148" s="34">
        <f>4</f>
        <v>4</v>
      </c>
      <c r="J148" s="33"/>
      <c r="L148" s="96"/>
      <c r="M148" s="96"/>
      <c r="N148" s="33"/>
    </row>
    <row r="149" spans="1:20" s="34" customFormat="1" ht="15.75" customHeight="1" x14ac:dyDescent="0.3">
      <c r="A149" s="97">
        <v>1</v>
      </c>
      <c r="B149" s="99"/>
      <c r="C149" s="39" t="s">
        <v>389</v>
      </c>
      <c r="D149" s="86">
        <f>(3.05*6.28+2.23*3.13+2*3.05+3.05*(3.05+3.37)+1.38*(2.15+2.13)+2.32*0.6+1.77*0.9+1.48*0.9+2.08*0.9)*(10.764)</f>
        <v>687.93046919999995</v>
      </c>
      <c r="E149" s="86">
        <f>(3.05*2)*(10.764)</f>
        <v>65.660399999999996</v>
      </c>
      <c r="F149" s="39">
        <f t="shared" ref="F149:F156" si="5">D149+E149</f>
        <v>753.59086919999993</v>
      </c>
      <c r="G149" s="39">
        <v>0</v>
      </c>
      <c r="H149" s="39">
        <f t="shared" ref="H149:H156" si="6">F149*(($H$124)+1)+(IF(G149&lt;101,G149,IF(G149&lt;201,G149/2,IF(G149&lt;=301,G149/3,G149/4))))</f>
        <v>1130.3863038</v>
      </c>
      <c r="I149" s="33"/>
      <c r="L149" s="96"/>
      <c r="M149" s="96"/>
      <c r="N149" s="33"/>
    </row>
    <row r="150" spans="1:20" s="34" customFormat="1" ht="15.75" customHeight="1" x14ac:dyDescent="0.3">
      <c r="A150" s="97">
        <v>2</v>
      </c>
      <c r="B150" s="99"/>
      <c r="C150" s="39" t="s">
        <v>389</v>
      </c>
      <c r="D150" s="86">
        <f>(3.05*6.28+2.23*3.13+2*3.05+3.05*(3.05+3.37)+1.38*(2.15+2.13)+2.32*0.6+1.77*0.9+1.48*0.9+2.08*0.9)*(10.764)</f>
        <v>687.93046919999995</v>
      </c>
      <c r="E150" s="86">
        <f>(3.05*2)*(10.764)</f>
        <v>65.660399999999996</v>
      </c>
      <c r="F150" s="39">
        <f t="shared" si="5"/>
        <v>753.59086919999993</v>
      </c>
      <c r="G150" s="39">
        <v>0</v>
      </c>
      <c r="H150" s="39">
        <f t="shared" si="6"/>
        <v>1130.3863038</v>
      </c>
      <c r="I150" s="33"/>
      <c r="L150" s="96"/>
      <c r="M150" s="96"/>
      <c r="N150" s="33"/>
    </row>
    <row r="151" spans="1:20" s="34" customFormat="1" ht="15.75" customHeight="1" x14ac:dyDescent="0.3">
      <c r="A151" s="97">
        <v>3</v>
      </c>
      <c r="B151" s="99"/>
      <c r="C151" s="39" t="s">
        <v>390</v>
      </c>
      <c r="D151" s="86">
        <f>(2.92*5.87+2.13*2.64+2.9*3.05+1.55*0.6+0.9*(1.37+0.97)+1.38*(2.15+2.13))*(10.764)</f>
        <v>436.49096400000002</v>
      </c>
      <c r="E151" s="86">
        <f>(2.92*1.01)*(10.764)</f>
        <v>31.745188799999998</v>
      </c>
      <c r="F151" s="39">
        <f t="shared" si="5"/>
        <v>468.23615280000001</v>
      </c>
      <c r="G151" s="39">
        <v>0</v>
      </c>
      <c r="H151" s="39">
        <f t="shared" si="6"/>
        <v>702.35422919999996</v>
      </c>
      <c r="I151" s="33"/>
      <c r="L151" s="96"/>
      <c r="M151" s="96"/>
      <c r="N151" s="33"/>
      <c r="T151" s="18"/>
    </row>
    <row r="152" spans="1:20" s="34" customFormat="1" ht="15.75" customHeight="1" x14ac:dyDescent="0.3">
      <c r="A152" s="97">
        <v>4</v>
      </c>
      <c r="B152" s="99"/>
      <c r="C152" s="39" t="s">
        <v>389</v>
      </c>
      <c r="D152" s="86">
        <f>(3.05*5.97+2.23*3.23+2*3.05+3.05*3.05+3.37*3.05+1.38*(2.15+2.23)+2.32*0.6+0.9*(2.25+1))*(10.764)</f>
        <v>661.48870319999992</v>
      </c>
      <c r="E152" s="86">
        <f>(3.05*1.01)*(10.764)</f>
        <v>33.158501999999999</v>
      </c>
      <c r="F152" s="39">
        <f t="shared" si="5"/>
        <v>694.64720519999992</v>
      </c>
      <c r="G152" s="39">
        <v>0</v>
      </c>
      <c r="H152" s="39">
        <f t="shared" si="6"/>
        <v>1041.9708077999999</v>
      </c>
      <c r="I152" s="33">
        <f>16000000/H152</f>
        <v>15355.516565557282</v>
      </c>
    </row>
    <row r="153" spans="1:20" s="34" customFormat="1" x14ac:dyDescent="0.3">
      <c r="A153" s="97">
        <v>5</v>
      </c>
      <c r="B153" s="99"/>
      <c r="C153" s="39" t="s">
        <v>389</v>
      </c>
      <c r="D153" s="86">
        <f t="shared" ref="D153:D154" si="7">(3.05*5.97+2.23*3.23+2*3.05+3.05*3.05+3.37*3.05+1.38*(2.15+2.23)+2.32*0.6+0.9*(2.25+1))*(10.764)</f>
        <v>661.48870319999992</v>
      </c>
      <c r="E153" s="86">
        <f>(3.05*1.01)*(10.764)</f>
        <v>33.158501999999999</v>
      </c>
      <c r="F153" s="39">
        <f t="shared" si="5"/>
        <v>694.64720519999992</v>
      </c>
      <c r="G153" s="39">
        <v>0</v>
      </c>
      <c r="H153" s="39">
        <f t="shared" si="6"/>
        <v>1041.9708077999999</v>
      </c>
      <c r="I153" s="33"/>
      <c r="L153" s="96"/>
      <c r="M153" s="96"/>
      <c r="N153" s="33"/>
    </row>
    <row r="154" spans="1:20" s="34" customFormat="1" ht="15.75" customHeight="1" x14ac:dyDescent="0.3">
      <c r="A154" s="97">
        <v>6</v>
      </c>
      <c r="B154" s="99"/>
      <c r="C154" s="39" t="s">
        <v>389</v>
      </c>
      <c r="D154" s="86">
        <f t="shared" si="7"/>
        <v>661.48870319999992</v>
      </c>
      <c r="E154" s="86">
        <f>(3.05*1.01)*(10.764)</f>
        <v>33.158501999999999</v>
      </c>
      <c r="F154" s="39">
        <f t="shared" si="5"/>
        <v>694.64720519999992</v>
      </c>
      <c r="G154" s="39">
        <v>0</v>
      </c>
      <c r="H154" s="39">
        <f t="shared" si="6"/>
        <v>1041.9708077999999</v>
      </c>
      <c r="I154" s="33"/>
      <c r="L154" s="96"/>
      <c r="M154" s="96"/>
      <c r="N154" s="33"/>
    </row>
    <row r="155" spans="1:20" s="34" customFormat="1" ht="15.75" customHeight="1" x14ac:dyDescent="0.3">
      <c r="A155" s="97">
        <v>7</v>
      </c>
      <c r="B155" s="99"/>
      <c r="C155" s="39" t="s">
        <v>391</v>
      </c>
      <c r="D155" s="86">
        <f>(3.05*6.28+3.25*2.88+2.25*3.58+3.45*(3.05+2.92)+2.9*4.05+1.38*(2.13+2.12)+2.13*1.88+1.42*1.3+4.63*0.95)*(10.764)</f>
        <v>915.20264159999999</v>
      </c>
      <c r="E155" s="86">
        <f>(3.05*2)*(10.764)</f>
        <v>65.660399999999996</v>
      </c>
      <c r="F155" s="39">
        <f t="shared" si="5"/>
        <v>980.86304159999997</v>
      </c>
      <c r="G155" s="39">
        <v>0</v>
      </c>
      <c r="H155" s="39">
        <f t="shared" si="6"/>
        <v>1471.2945623999999</v>
      </c>
      <c r="I155" s="33"/>
      <c r="L155" s="96"/>
      <c r="M155" s="96"/>
      <c r="N155" s="33"/>
      <c r="T155" s="18"/>
    </row>
    <row r="156" spans="1:20" s="34" customFormat="1" ht="15.75" customHeight="1" x14ac:dyDescent="0.3">
      <c r="A156" s="97">
        <v>8</v>
      </c>
      <c r="B156" s="99"/>
      <c r="C156" s="39" t="s">
        <v>389</v>
      </c>
      <c r="D156" s="86">
        <f>(3.05*6.28+2.23*3.13+2*3.05+3.05*(3.05+3.37)+1.38*(2.15+2.13)+2.32*0.6+1.77*0.9+1.48*0.9+2.08*0.9)*(10.764)</f>
        <v>687.93046919999995</v>
      </c>
      <c r="E156" s="86">
        <f>(3.05*2)*(10.764)</f>
        <v>65.660399999999996</v>
      </c>
      <c r="F156" s="39">
        <f t="shared" si="5"/>
        <v>753.59086919999993</v>
      </c>
      <c r="G156" s="39">
        <v>0</v>
      </c>
      <c r="H156" s="39">
        <f t="shared" si="6"/>
        <v>1130.3863038</v>
      </c>
      <c r="I156" s="33">
        <f>19000000/H156</f>
        <v>16808.413138170581</v>
      </c>
      <c r="L156" s="96"/>
      <c r="M156" s="96"/>
      <c r="N156" s="33"/>
    </row>
    <row r="157" spans="1:20" s="34" customFormat="1" ht="15.75" customHeight="1" x14ac:dyDescent="0.3">
      <c r="A157" s="100" t="s">
        <v>394</v>
      </c>
      <c r="B157" s="101"/>
      <c r="C157" s="101"/>
      <c r="D157" s="101"/>
      <c r="E157" s="101"/>
      <c r="F157" s="101"/>
      <c r="G157" s="101"/>
      <c r="H157" s="102"/>
      <c r="I157" s="34">
        <f>1</f>
        <v>1</v>
      </c>
      <c r="J157" s="33"/>
      <c r="L157" s="96"/>
      <c r="M157" s="96"/>
      <c r="N157" s="33"/>
    </row>
    <row r="158" spans="1:20" s="34" customFormat="1" x14ac:dyDescent="0.3">
      <c r="A158" s="97">
        <v>1</v>
      </c>
      <c r="B158" s="99"/>
      <c r="C158" s="103" t="s">
        <v>393</v>
      </c>
      <c r="D158" s="104"/>
      <c r="E158" s="104"/>
      <c r="F158" s="104"/>
      <c r="G158" s="104"/>
      <c r="H158" s="105"/>
      <c r="I158" s="33"/>
      <c r="L158" s="96"/>
      <c r="M158" s="96"/>
      <c r="N158" s="33"/>
    </row>
    <row r="159" spans="1:20" s="34" customFormat="1" ht="15.75" customHeight="1" x14ac:dyDescent="0.3">
      <c r="A159" s="97">
        <v>2</v>
      </c>
      <c r="B159" s="99"/>
      <c r="C159" s="106"/>
      <c r="D159" s="107"/>
      <c r="E159" s="107"/>
      <c r="F159" s="107"/>
      <c r="G159" s="107"/>
      <c r="H159" s="108"/>
      <c r="I159" s="33"/>
    </row>
    <row r="160" spans="1:20" s="34" customFormat="1" ht="15.75" customHeight="1" x14ac:dyDescent="0.3">
      <c r="A160" s="97">
        <v>3</v>
      </c>
      <c r="B160" s="99"/>
      <c r="C160" s="39" t="s">
        <v>390</v>
      </c>
      <c r="D160" s="86">
        <f>(2.92*5.87+2.13*2.64+2.9*3.05+1.55*0.6+0.9*(1.37+0.97)+1.38*(2.15+2.13))*(10.764)</f>
        <v>436.49096400000002</v>
      </c>
      <c r="E160" s="86">
        <f>(2.92*1.01)*(10.764)</f>
        <v>31.745188799999998</v>
      </c>
      <c r="F160" s="39">
        <f t="shared" ref="F160:F165" si="8">D160+E160</f>
        <v>468.23615280000001</v>
      </c>
      <c r="G160" s="39">
        <v>0</v>
      </c>
      <c r="H160" s="39">
        <f t="shared" ref="H160:H165" si="9">F160*(($H$124)+1)+(IF(G160&lt;101,G160,IF(G160&lt;201,G160/2,IF(G160&lt;=301,G160/3,G160/4))))</f>
        <v>702.35422919999996</v>
      </c>
      <c r="I160" s="33"/>
      <c r="L160" s="96"/>
      <c r="M160" s="96"/>
      <c r="N160" s="33"/>
    </row>
    <row r="161" spans="1:20" s="34" customFormat="1" ht="15.75" customHeight="1" x14ac:dyDescent="0.3">
      <c r="A161" s="97">
        <v>4</v>
      </c>
      <c r="B161" s="99"/>
      <c r="C161" s="39" t="s">
        <v>389</v>
      </c>
      <c r="D161" s="86">
        <f>(3.05*5.97+2.23*3.23+2*3.05+3.05*3.05+3.37*3.05+1.38*(2.15+2.23)+2.32*0.6+0.9*(2.25+1))*(10.764)</f>
        <v>661.48870319999992</v>
      </c>
      <c r="E161" s="86">
        <f>(3.05*1.01)*(10.764)</f>
        <v>33.158501999999999</v>
      </c>
      <c r="F161" s="39">
        <f t="shared" si="8"/>
        <v>694.64720519999992</v>
      </c>
      <c r="G161" s="39">
        <v>0</v>
      </c>
      <c r="H161" s="39">
        <f t="shared" si="9"/>
        <v>1041.9708077999999</v>
      </c>
      <c r="I161" s="33"/>
      <c r="L161" s="96"/>
      <c r="M161" s="96"/>
      <c r="N161" s="33"/>
    </row>
    <row r="162" spans="1:20" s="34" customFormat="1" ht="15.75" customHeight="1" x14ac:dyDescent="0.3">
      <c r="A162" s="97">
        <v>5</v>
      </c>
      <c r="B162" s="99"/>
      <c r="C162" s="39" t="s">
        <v>389</v>
      </c>
      <c r="D162" s="86">
        <f t="shared" ref="D162:D163" si="10">(3.05*5.97+2.23*3.23+2*3.05+3.05*3.05+3.37*3.05+1.38*(2.15+2.23)+2.32*0.6+0.9*(2.25+1))*(10.764)</f>
        <v>661.48870319999992</v>
      </c>
      <c r="E162" s="86">
        <f>(3.05*1.01)*(10.764)</f>
        <v>33.158501999999999</v>
      </c>
      <c r="F162" s="39">
        <f t="shared" si="8"/>
        <v>694.64720519999992</v>
      </c>
      <c r="G162" s="39">
        <v>0</v>
      </c>
      <c r="H162" s="39">
        <f t="shared" si="9"/>
        <v>1041.9708077999999</v>
      </c>
      <c r="I162" s="33"/>
      <c r="L162" s="96"/>
      <c r="M162" s="96"/>
      <c r="N162" s="33"/>
      <c r="T162" s="18"/>
    </row>
    <row r="163" spans="1:20" s="34" customFormat="1" ht="15.75" customHeight="1" x14ac:dyDescent="0.3">
      <c r="A163" s="97">
        <v>6</v>
      </c>
      <c r="B163" s="99"/>
      <c r="C163" s="39" t="s">
        <v>389</v>
      </c>
      <c r="D163" s="86">
        <f t="shared" si="10"/>
        <v>661.48870319999992</v>
      </c>
      <c r="E163" s="86">
        <f>(3.05*1.01)*(10.764)</f>
        <v>33.158501999999999</v>
      </c>
      <c r="F163" s="39">
        <f t="shared" si="8"/>
        <v>694.64720519999992</v>
      </c>
      <c r="G163" s="39">
        <v>0</v>
      </c>
      <c r="H163" s="39">
        <f t="shared" si="9"/>
        <v>1041.9708077999999</v>
      </c>
      <c r="I163" s="33"/>
      <c r="L163" s="96"/>
      <c r="M163" s="96"/>
      <c r="N163" s="33"/>
    </row>
    <row r="164" spans="1:20" s="34" customFormat="1" ht="15.75" customHeight="1" x14ac:dyDescent="0.3">
      <c r="A164" s="97">
        <v>7</v>
      </c>
      <c r="B164" s="99"/>
      <c r="C164" s="39" t="s">
        <v>391</v>
      </c>
      <c r="D164" s="86">
        <f>(3.05*6.28+3.25*2.88+2.25*3.58+3.45*(3.05+2.92)+2.9*4.05+1.38*(2.13+2.12)+2.13*1.88+1.42*1.3+4.63*0.95)*(10.764)</f>
        <v>915.20264159999999</v>
      </c>
      <c r="E164" s="86">
        <f>(3.05*2)*(10.764)</f>
        <v>65.660399999999996</v>
      </c>
      <c r="F164" s="39">
        <f t="shared" si="8"/>
        <v>980.86304159999997</v>
      </c>
      <c r="G164" s="39">
        <v>0</v>
      </c>
      <c r="H164" s="39">
        <f t="shared" si="9"/>
        <v>1471.2945623999999</v>
      </c>
      <c r="I164" s="33"/>
      <c r="L164" s="96"/>
      <c r="M164" s="96"/>
      <c r="N164" s="33"/>
    </row>
    <row r="165" spans="1:20" s="34" customFormat="1" ht="15.75" customHeight="1" x14ac:dyDescent="0.3">
      <c r="A165" s="97">
        <v>8</v>
      </c>
      <c r="B165" s="99"/>
      <c r="C165" s="39" t="s">
        <v>389</v>
      </c>
      <c r="D165" s="86">
        <f>(3.05*6.28+2.23*3.13+2*3.05+3.05*(3.05+3.37)+1.38*(2.15+2.13)+2.32*0.6+1.77*0.9+1.48*0.9+2.08*0.9)*(10.764)</f>
        <v>687.93046919999995</v>
      </c>
      <c r="E165" s="86">
        <f>(3.05*2)*(10.764)</f>
        <v>65.660399999999996</v>
      </c>
      <c r="F165" s="39">
        <f t="shared" si="8"/>
        <v>753.59086919999993</v>
      </c>
      <c r="G165" s="39">
        <v>0</v>
      </c>
      <c r="H165" s="39">
        <f t="shared" si="9"/>
        <v>1130.3863038</v>
      </c>
      <c r="I165" s="33"/>
      <c r="L165" s="96"/>
      <c r="M165" s="96"/>
      <c r="N165" s="33"/>
    </row>
    <row r="166" spans="1:20" s="32" customFormat="1" x14ac:dyDescent="0.3">
      <c r="A166" s="100" t="s">
        <v>420</v>
      </c>
      <c r="B166" s="101"/>
      <c r="C166" s="101"/>
      <c r="D166" s="101"/>
      <c r="E166" s="101"/>
      <c r="F166" s="101"/>
      <c r="G166" s="101"/>
      <c r="H166" s="102"/>
      <c r="I166" s="34">
        <f>1</f>
        <v>1</v>
      </c>
      <c r="J166" s="33"/>
      <c r="T166" s="34"/>
    </row>
    <row r="167" spans="1:20" s="32" customFormat="1" ht="46.8" x14ac:dyDescent="0.3">
      <c r="A167" s="97">
        <v>2</v>
      </c>
      <c r="B167" s="99"/>
      <c r="C167" s="39" t="s">
        <v>419</v>
      </c>
      <c r="D167" s="86">
        <f>(7.41*7.33+1.02*5.1+1.38*2.23+2.13*2.8+3.05*3.05+2.9*3.37+2.15*1.38+2.32*0.6+2.25*0.9+3.23*0.9+6.2*4.72+2.32*0.6+2.3*1.38+3.25*2.13+5.23*6.03+1.02*3.8+2*3.05+3.05*3.05+2.9*3.37+2.15*1.48+2.32*0.6+5.48*0.9+1.38*2.13
*2.13)*(10.764)</f>
        <v>2303.8514488079991</v>
      </c>
      <c r="E167" s="86">
        <f>(8.48*2)*(10.764)</f>
        <v>182.55743999999999</v>
      </c>
      <c r="F167" s="39">
        <f t="shared" ref="F167:F172" si="11">D167+E167</f>
        <v>2486.4088888079991</v>
      </c>
      <c r="G167" s="86">
        <f>(8.3*6.86+6.76*1.63+2.15*0.88+0.67*1.99+6.43*2.31+5.58*2.06+3*2.74)*(10.764)</f>
        <v>1138.2951528000001</v>
      </c>
      <c r="H167" s="39">
        <f t="shared" ref="H167:H172" si="12">F167*(($H$124)+1)+(IF(G167&lt;101,G167,IF(G167&lt;201,G167/2,IF(G167&lt;=301,G167/3,G167/4))))</f>
        <v>4014.1871214119988</v>
      </c>
      <c r="I167" s="33"/>
      <c r="J167" s="34"/>
      <c r="T167" s="34"/>
    </row>
    <row r="168" spans="1:20" s="32" customFormat="1" x14ac:dyDescent="0.3">
      <c r="A168" s="97">
        <v>3</v>
      </c>
      <c r="B168" s="99"/>
      <c r="C168" s="39" t="s">
        <v>390</v>
      </c>
      <c r="D168" s="86">
        <f>(2.92*5.87+2.13*2.64+2.9*3.05+1.55*0.6+0.9*(1.37+0.97)+1.38*(2.15+2.13))*(10.764)</f>
        <v>436.49096400000002</v>
      </c>
      <c r="E168" s="86">
        <f>(2.92*1.01)*(10.764)</f>
        <v>31.745188799999998</v>
      </c>
      <c r="F168" s="39">
        <f t="shared" si="11"/>
        <v>468.23615280000001</v>
      </c>
      <c r="G168" s="39">
        <v>0</v>
      </c>
      <c r="H168" s="39">
        <f t="shared" si="12"/>
        <v>702.35422919999996</v>
      </c>
      <c r="I168" s="33"/>
      <c r="J168" s="34"/>
      <c r="T168" s="34"/>
    </row>
    <row r="169" spans="1:20" s="32" customFormat="1" x14ac:dyDescent="0.3">
      <c r="A169" s="97">
        <v>4</v>
      </c>
      <c r="B169" s="99"/>
      <c r="C169" s="39" t="s">
        <v>389</v>
      </c>
      <c r="D169" s="86">
        <f>(3.05*5.97+2.23*3.23+2*3.05+3.05*3.05+3.37*3.05+1.38*(2.15+2.23)+2.32*0.6+0.9*(2.25+1))*(10.764)</f>
        <v>661.48870319999992</v>
      </c>
      <c r="E169" s="86">
        <f>(3.05*1.01)*(10.764)</f>
        <v>33.158501999999999</v>
      </c>
      <c r="F169" s="39">
        <f t="shared" si="11"/>
        <v>694.64720519999992</v>
      </c>
      <c r="G169" s="39">
        <v>0</v>
      </c>
      <c r="H169" s="39">
        <f t="shared" si="12"/>
        <v>1041.9708077999999</v>
      </c>
      <c r="I169" s="33"/>
      <c r="J169" s="34"/>
      <c r="T169" s="34"/>
    </row>
    <row r="170" spans="1:20" s="32" customFormat="1" x14ac:dyDescent="0.3">
      <c r="A170" s="97">
        <v>5</v>
      </c>
      <c r="B170" s="99"/>
      <c r="C170" s="39" t="s">
        <v>389</v>
      </c>
      <c r="D170" s="86">
        <f t="shared" ref="D170:D171" si="13">(3.05*5.97+2.23*3.23+2*3.05+3.05*3.05+3.37*3.05+1.38*(2.15+2.23)+2.32*0.6+0.9*(2.25+1))*(10.764)</f>
        <v>661.48870319999992</v>
      </c>
      <c r="E170" s="86">
        <f>(3.05*1.01)*(10.764)</f>
        <v>33.158501999999999</v>
      </c>
      <c r="F170" s="39">
        <f t="shared" si="11"/>
        <v>694.64720519999992</v>
      </c>
      <c r="G170" s="39">
        <v>0</v>
      </c>
      <c r="H170" s="39">
        <f t="shared" si="12"/>
        <v>1041.9708077999999</v>
      </c>
      <c r="I170" s="33"/>
      <c r="J170" s="34"/>
      <c r="T170" s="34"/>
    </row>
    <row r="171" spans="1:20" s="32" customFormat="1" x14ac:dyDescent="0.3">
      <c r="A171" s="97">
        <v>6</v>
      </c>
      <c r="B171" s="99"/>
      <c r="C171" s="39" t="s">
        <v>389</v>
      </c>
      <c r="D171" s="86">
        <f t="shared" si="13"/>
        <v>661.48870319999992</v>
      </c>
      <c r="E171" s="86">
        <f>(3.05*1.01)*(10.764)</f>
        <v>33.158501999999999</v>
      </c>
      <c r="F171" s="39">
        <f t="shared" si="11"/>
        <v>694.64720519999992</v>
      </c>
      <c r="G171" s="39">
        <v>0</v>
      </c>
      <c r="H171" s="39">
        <f t="shared" si="12"/>
        <v>1041.9708077999999</v>
      </c>
      <c r="I171" s="33"/>
      <c r="J171" s="34"/>
    </row>
    <row r="172" spans="1:20" s="32" customFormat="1" ht="46.8" x14ac:dyDescent="0.3">
      <c r="A172" s="97">
        <v>7</v>
      </c>
      <c r="B172" s="99"/>
      <c r="C172" s="39" t="s">
        <v>419</v>
      </c>
      <c r="D172" s="86">
        <f>(8.43*7.33+3.15*2.88+1.38*2.23+6.2*4.72+2.32*0.6+2.3*1.38+2.92*3.45+4.63*0.9+3.05*3.45+1.42*1.4+2.9*4.05+1.38*2.13+2.55*3.25+6.25*6.03+3.15*2.88+2.92*3.05+2.13*1.88+4.53*3.12+2.85*0.93+2.9*5.45+1.38*0.83)*(10.764)</f>
        <v>2700.6779124</v>
      </c>
      <c r="E172" s="86">
        <f>(8.48*2)*(10.764)</f>
        <v>182.55743999999999</v>
      </c>
      <c r="F172" s="39">
        <f t="shared" si="11"/>
        <v>2883.2353524</v>
      </c>
      <c r="G172" s="86">
        <f>(8.3*6.86+6.76*1.63+2.15*0.88+0.67*1.99+14.21*2.31)*(10.764)</f>
        <v>1119.5335008</v>
      </c>
      <c r="H172" s="39">
        <f t="shared" si="12"/>
        <v>4604.7364038000005</v>
      </c>
      <c r="I172" s="33"/>
      <c r="J172" s="34"/>
    </row>
    <row r="173" spans="1:20" s="32" customFormat="1" x14ac:dyDescent="0.3">
      <c r="A173" s="100" t="s">
        <v>417</v>
      </c>
      <c r="B173" s="101"/>
      <c r="C173" s="101"/>
      <c r="D173" s="101"/>
      <c r="E173" s="101"/>
      <c r="F173" s="101"/>
      <c r="G173" s="101"/>
      <c r="H173" s="102"/>
      <c r="I173" s="34">
        <f>1</f>
        <v>1</v>
      </c>
      <c r="J173" s="33"/>
    </row>
    <row r="174" spans="1:20" s="32" customFormat="1" x14ac:dyDescent="0.3">
      <c r="A174" s="97">
        <v>2</v>
      </c>
      <c r="B174" s="99"/>
      <c r="C174" s="97" t="s">
        <v>418</v>
      </c>
      <c r="D174" s="98"/>
      <c r="E174" s="98"/>
      <c r="F174" s="98"/>
      <c r="G174" s="98"/>
      <c r="H174" s="99"/>
      <c r="I174" s="33"/>
      <c r="J174" s="34"/>
    </row>
    <row r="175" spans="1:20" s="32" customFormat="1" x14ac:dyDescent="0.3">
      <c r="A175" s="97">
        <v>3</v>
      </c>
      <c r="B175" s="99"/>
      <c r="C175" s="39" t="s">
        <v>390</v>
      </c>
      <c r="D175" s="86">
        <f>(2.92*5.87+2.13*2.64+2.9*3.05+1.55*0.6+0.9*(1.37+0.97)+1.38*(2.15+2.13))*(10.764)</f>
        <v>436.49096400000002</v>
      </c>
      <c r="E175" s="86">
        <f>(2.92*1.01)*(10.764)</f>
        <v>31.745188799999998</v>
      </c>
      <c r="F175" s="39">
        <f>D175+E175</f>
        <v>468.23615280000001</v>
      </c>
      <c r="G175" s="39">
        <v>0</v>
      </c>
      <c r="H175" s="39">
        <f>F175*(($H$124)+1)+(IF(G175&lt;101,G175,IF(G175&lt;201,G175/2,IF(G175&lt;=301,G175/3,G175/4))))</f>
        <v>702.35422919999996</v>
      </c>
      <c r="I175" s="33"/>
      <c r="J175" s="34"/>
    </row>
    <row r="176" spans="1:20" s="32" customFormat="1" x14ac:dyDescent="0.3">
      <c r="A176" s="97">
        <v>4</v>
      </c>
      <c r="B176" s="99"/>
      <c r="C176" s="39" t="s">
        <v>389</v>
      </c>
      <c r="D176" s="86">
        <f>(3.05*5.97+2.23*3.23+2*3.05+3.05*3.05+3.37*3.05+1.38*(2.15+2.23)+2.32*0.6+0.9*(2.25+1))*(10.764)</f>
        <v>661.48870319999992</v>
      </c>
      <c r="E176" s="86">
        <f>(3.05*1.01)*(10.764)</f>
        <v>33.158501999999999</v>
      </c>
      <c r="F176" s="39">
        <f>D176+E176</f>
        <v>694.64720519999992</v>
      </c>
      <c r="G176" s="39">
        <v>0</v>
      </c>
      <c r="H176" s="39">
        <f>F176*(($H$124)+1)+(IF(G176&lt;101,G176,IF(G176&lt;201,G176/2,IF(G176&lt;=301,G176/3,G176/4))))</f>
        <v>1041.9708077999999</v>
      </c>
      <c r="I176" s="33"/>
      <c r="J176" s="34"/>
    </row>
    <row r="177" spans="1:20" s="32" customFormat="1" x14ac:dyDescent="0.3">
      <c r="A177" s="97">
        <v>5</v>
      </c>
      <c r="B177" s="99"/>
      <c r="C177" s="39" t="s">
        <v>389</v>
      </c>
      <c r="D177" s="86">
        <f t="shared" ref="D177:D178" si="14">(3.05*5.97+2.23*3.23+2*3.05+3.05*3.05+3.37*3.05+1.38*(2.15+2.23)+2.32*0.6+0.9*(2.25+1))*(10.764)</f>
        <v>661.48870319999992</v>
      </c>
      <c r="E177" s="86">
        <f>(3.05*1.01)*(10.764)</f>
        <v>33.158501999999999</v>
      </c>
      <c r="F177" s="39">
        <f>D177+E177</f>
        <v>694.64720519999992</v>
      </c>
      <c r="G177" s="39">
        <v>0</v>
      </c>
      <c r="H177" s="39">
        <f>F177*(($H$124)+1)+(IF(G177&lt;101,G177,IF(G177&lt;201,G177/2,IF(G177&lt;=301,G177/3,G177/4))))</f>
        <v>1041.9708077999999</v>
      </c>
      <c r="I177" s="33"/>
      <c r="J177" s="34"/>
      <c r="T177" s="34"/>
    </row>
    <row r="178" spans="1:20" s="32" customFormat="1" x14ac:dyDescent="0.3">
      <c r="A178" s="97">
        <v>6</v>
      </c>
      <c r="B178" s="99"/>
      <c r="C178" s="39" t="s">
        <v>389</v>
      </c>
      <c r="D178" s="86">
        <f t="shared" si="14"/>
        <v>661.48870319999992</v>
      </c>
      <c r="E178" s="86">
        <f>(3.05*1.01)*(10.764)</f>
        <v>33.158501999999999</v>
      </c>
      <c r="F178" s="39">
        <f>D178+E178</f>
        <v>694.64720519999992</v>
      </c>
      <c r="G178" s="39">
        <v>0</v>
      </c>
      <c r="H178" s="39">
        <f>F178*(($H$124)+1)+(IF(G178&lt;101,G178,IF(G178&lt;201,G178/2,IF(G178&lt;=301,G178/3,G178/4))))</f>
        <v>1041.9708077999999</v>
      </c>
      <c r="I178" s="33"/>
      <c r="J178" s="34"/>
      <c r="T178" s="34"/>
    </row>
    <row r="179" spans="1:20" s="32" customFormat="1" x14ac:dyDescent="0.3">
      <c r="A179" s="97">
        <v>7</v>
      </c>
      <c r="B179" s="99"/>
      <c r="C179" s="97" t="s">
        <v>418</v>
      </c>
      <c r="D179" s="98"/>
      <c r="E179" s="98"/>
      <c r="F179" s="98"/>
      <c r="G179" s="98"/>
      <c r="H179" s="99"/>
      <c r="I179" s="33"/>
      <c r="J179" s="34"/>
      <c r="T179" s="34"/>
    </row>
    <row r="180" spans="1:20" s="32" customFormat="1" x14ac:dyDescent="0.3">
      <c r="A180" s="224" t="s">
        <v>64</v>
      </c>
      <c r="B180" s="224"/>
      <c r="C180" s="224"/>
      <c r="D180" s="224"/>
      <c r="E180" s="224"/>
      <c r="F180" s="224"/>
      <c r="G180" s="224"/>
      <c r="H180" s="224"/>
    </row>
    <row r="181" spans="1:20" x14ac:dyDescent="0.3">
      <c r="A181" s="41" t="s">
        <v>145</v>
      </c>
      <c r="B181" s="206" t="s">
        <v>404</v>
      </c>
      <c r="C181" s="207"/>
      <c r="D181" s="207"/>
      <c r="E181" s="207"/>
      <c r="F181" s="207"/>
      <c r="G181" s="207"/>
      <c r="H181" s="208"/>
      <c r="I181" s="32"/>
      <c r="J181" s="32"/>
      <c r="T181" s="32"/>
    </row>
    <row r="182" spans="1:20" x14ac:dyDescent="0.3">
      <c r="A182" s="41" t="s">
        <v>145</v>
      </c>
      <c r="B182" s="206" t="str">
        <f>(IF(H123="Saleable area Loading :","We have considered Saleable area of Flats as per our Calculation.","We considered Saleable area of Flat as per Builder area Sheet."))</f>
        <v>We have considered Saleable area of Flats as per our Calculation.</v>
      </c>
      <c r="C182" s="207"/>
      <c r="D182" s="207"/>
      <c r="E182" s="207"/>
      <c r="F182" s="207"/>
      <c r="G182" s="207"/>
      <c r="H182" s="208"/>
      <c r="I182" s="32"/>
      <c r="J182" s="32"/>
      <c r="T182" s="32"/>
    </row>
    <row r="183" spans="1:20" ht="15.75" customHeight="1" x14ac:dyDescent="0.3">
      <c r="A183" s="41" t="s">
        <v>145</v>
      </c>
      <c r="B183" s="196" t="s">
        <v>115</v>
      </c>
      <c r="C183" s="197"/>
      <c r="D183" s="197"/>
      <c r="E183" s="197"/>
      <c r="F183" s="197"/>
      <c r="G183" s="197"/>
      <c r="H183" s="198"/>
      <c r="I183" s="32"/>
      <c r="J183" s="32"/>
      <c r="T183" s="32"/>
    </row>
    <row r="184" spans="1:20" x14ac:dyDescent="0.3">
      <c r="A184" s="41" t="s">
        <v>145</v>
      </c>
      <c r="B184" s="206" t="s">
        <v>399</v>
      </c>
      <c r="C184" s="207"/>
      <c r="D184" s="207"/>
      <c r="E184" s="207"/>
      <c r="F184" s="207"/>
      <c r="G184" s="207"/>
      <c r="H184" s="208"/>
      <c r="I184" s="32"/>
      <c r="J184" s="32"/>
      <c r="T184" s="32"/>
    </row>
    <row r="185" spans="1:20" x14ac:dyDescent="0.3">
      <c r="A185" s="41" t="s">
        <v>145</v>
      </c>
      <c r="B185" s="196" t="s">
        <v>144</v>
      </c>
      <c r="C185" s="197"/>
      <c r="D185" s="197"/>
      <c r="E185" s="197"/>
      <c r="F185" s="197"/>
      <c r="G185" s="197"/>
      <c r="H185" s="198"/>
      <c r="I185" s="32"/>
      <c r="J185" s="32"/>
      <c r="T185" s="32"/>
    </row>
    <row r="186" spans="1:20" x14ac:dyDescent="0.3">
      <c r="A186" s="41" t="s">
        <v>145</v>
      </c>
      <c r="B186" s="196" t="s">
        <v>116</v>
      </c>
      <c r="C186" s="197"/>
      <c r="D186" s="197"/>
      <c r="E186" s="197"/>
      <c r="F186" s="197"/>
      <c r="G186" s="197"/>
      <c r="H186" s="198"/>
      <c r="I186" s="32"/>
      <c r="J186" s="32"/>
      <c r="T186" s="32"/>
    </row>
    <row r="187" spans="1:20" ht="33.9" customHeight="1" x14ac:dyDescent="0.3">
      <c r="A187" s="41" t="s">
        <v>145</v>
      </c>
      <c r="B187" s="206" t="s">
        <v>146</v>
      </c>
      <c r="C187" s="207"/>
      <c r="D187" s="207"/>
      <c r="E187" s="207"/>
      <c r="F187" s="207"/>
      <c r="G187" s="207"/>
      <c r="H187" s="208"/>
      <c r="I187" s="32"/>
      <c r="J187" s="32"/>
    </row>
    <row r="188" spans="1:20" x14ac:dyDescent="0.3">
      <c r="A188" s="41" t="s">
        <v>145</v>
      </c>
      <c r="B188" s="203" t="s">
        <v>339</v>
      </c>
      <c r="C188" s="204"/>
      <c r="D188" s="204"/>
      <c r="E188" s="204"/>
      <c r="F188" s="204"/>
      <c r="G188" s="204"/>
      <c r="H188" s="205"/>
      <c r="I188" s="32"/>
      <c r="J188" s="32"/>
    </row>
    <row r="189" spans="1:20" x14ac:dyDescent="0.3">
      <c r="A189" s="41" t="s">
        <v>145</v>
      </c>
      <c r="B189" s="196" t="s">
        <v>117</v>
      </c>
      <c r="C189" s="197"/>
      <c r="D189" s="197"/>
      <c r="E189" s="197"/>
      <c r="F189" s="197"/>
      <c r="G189" s="197"/>
      <c r="H189" s="198"/>
      <c r="I189" s="32"/>
      <c r="J189" s="32"/>
    </row>
    <row r="190" spans="1:20" x14ac:dyDescent="0.3">
      <c r="A190" s="41" t="s">
        <v>145</v>
      </c>
      <c r="B190" s="206" t="s">
        <v>377</v>
      </c>
      <c r="C190" s="207"/>
      <c r="D190" s="207"/>
      <c r="E190" s="207"/>
      <c r="F190" s="207"/>
      <c r="G190" s="207"/>
      <c r="H190" s="208"/>
      <c r="I190" s="32"/>
      <c r="J190" s="32"/>
    </row>
    <row r="191" spans="1:20" x14ac:dyDescent="0.3">
      <c r="A191" s="41" t="s">
        <v>145</v>
      </c>
      <c r="B191" s="206" t="s">
        <v>421</v>
      </c>
      <c r="C191" s="207"/>
      <c r="D191" s="207"/>
      <c r="E191" s="207"/>
      <c r="F191" s="207"/>
      <c r="G191" s="207"/>
      <c r="H191" s="208"/>
      <c r="I191" s="32"/>
      <c r="J191" s="32"/>
    </row>
    <row r="192" spans="1:20" ht="29.4" customHeight="1" x14ac:dyDescent="0.3">
      <c r="A192" s="41" t="s">
        <v>145</v>
      </c>
      <c r="B192" s="206" t="s">
        <v>423</v>
      </c>
      <c r="C192" s="207"/>
      <c r="D192" s="207"/>
      <c r="E192" s="207"/>
      <c r="F192" s="207"/>
      <c r="G192" s="207"/>
      <c r="H192" s="208"/>
      <c r="I192" s="32"/>
      <c r="J192" s="32"/>
    </row>
    <row r="193" spans="1:10" ht="64.2" customHeight="1" x14ac:dyDescent="0.3">
      <c r="A193" s="41" t="s">
        <v>145</v>
      </c>
      <c r="B193" s="206" t="s">
        <v>424</v>
      </c>
      <c r="C193" s="207"/>
      <c r="D193" s="207"/>
      <c r="E193" s="207"/>
      <c r="F193" s="207"/>
      <c r="G193" s="207"/>
      <c r="H193" s="208"/>
      <c r="I193" s="32">
        <f>132.69-57.8</f>
        <v>74.89</v>
      </c>
      <c r="J193" s="32"/>
    </row>
    <row r="194" spans="1:10" hidden="1" x14ac:dyDescent="0.3">
      <c r="A194" s="41" t="s">
        <v>145</v>
      </c>
      <c r="B194" s="221" t="str">
        <f ca="1">IF(G52&gt;EDATE(E3,-48),"NO REMARK FOR CC","REMARK FOR CC")</f>
        <v>NO REMARK FOR CC</v>
      </c>
      <c r="C194" s="222"/>
      <c r="D194" s="222"/>
      <c r="E194" s="222"/>
      <c r="F194" s="222"/>
      <c r="G194" s="222"/>
      <c r="H194" s="223"/>
      <c r="I194" s="32"/>
      <c r="J194" s="32"/>
    </row>
    <row r="195" spans="1:10" x14ac:dyDescent="0.3">
      <c r="A195" s="41" t="s">
        <v>145</v>
      </c>
      <c r="B195" s="203" t="s">
        <v>436</v>
      </c>
      <c r="C195" s="204"/>
      <c r="D195" s="204"/>
      <c r="E195" s="204"/>
      <c r="F195" s="204"/>
      <c r="G195" s="204"/>
      <c r="H195" s="205"/>
    </row>
    <row r="196" spans="1:10" ht="15" customHeight="1" x14ac:dyDescent="0.3">
      <c r="A196" s="179" t="s">
        <v>57</v>
      </c>
      <c r="B196" s="179"/>
      <c r="C196" s="179"/>
      <c r="D196" s="179"/>
      <c r="E196" s="179"/>
      <c r="F196" s="179"/>
      <c r="G196" s="179"/>
      <c r="H196" s="179"/>
    </row>
    <row r="197" spans="1:10" x14ac:dyDescent="0.3">
      <c r="A197" s="125" t="s">
        <v>58</v>
      </c>
      <c r="B197" s="125"/>
      <c r="C197" s="125"/>
      <c r="D197" s="125"/>
      <c r="E197" s="125"/>
      <c r="F197" s="125"/>
      <c r="G197" s="125"/>
      <c r="H197" s="125"/>
    </row>
    <row r="198" spans="1:10" x14ac:dyDescent="0.3">
      <c r="A198" s="199" t="s">
        <v>59</v>
      </c>
      <c r="B198" s="199"/>
      <c r="C198" s="199"/>
      <c r="D198" s="199"/>
      <c r="E198" s="199"/>
      <c r="F198" s="199"/>
      <c r="G198" s="199"/>
      <c r="H198" s="199"/>
    </row>
    <row r="199" spans="1:10" x14ac:dyDescent="0.3">
      <c r="A199" s="125" t="s">
        <v>60</v>
      </c>
      <c r="B199" s="125"/>
      <c r="C199" s="125"/>
      <c r="D199" s="125"/>
      <c r="E199" s="125"/>
      <c r="F199" s="125"/>
      <c r="G199" s="125"/>
      <c r="H199" s="125"/>
    </row>
    <row r="200" spans="1:10" x14ac:dyDescent="0.3">
      <c r="A200" s="125" t="s">
        <v>61</v>
      </c>
      <c r="B200" s="125"/>
      <c r="C200" s="125"/>
      <c r="D200" s="125"/>
      <c r="E200" s="125"/>
      <c r="F200" s="125"/>
      <c r="G200" s="125"/>
      <c r="H200" s="125"/>
    </row>
    <row r="201" spans="1:10" x14ac:dyDescent="0.3">
      <c r="A201" s="125" t="s">
        <v>118</v>
      </c>
      <c r="B201" s="125"/>
      <c r="C201" s="125"/>
      <c r="D201" s="125"/>
      <c r="E201" s="125"/>
      <c r="F201" s="125"/>
      <c r="G201" s="125"/>
      <c r="H201" s="125"/>
    </row>
    <row r="202" spans="1:10" x14ac:dyDescent="0.3">
      <c r="A202" s="126" t="s">
        <v>119</v>
      </c>
      <c r="B202" s="126"/>
      <c r="C202" s="126"/>
      <c r="D202" s="126"/>
      <c r="E202" s="126"/>
      <c r="F202" s="126"/>
      <c r="G202" s="126"/>
      <c r="H202" s="126"/>
    </row>
    <row r="203" spans="1:10" x14ac:dyDescent="0.3">
      <c r="A203" s="192" t="s">
        <v>71</v>
      </c>
      <c r="B203" s="192"/>
      <c r="C203" s="192" t="s">
        <v>429</v>
      </c>
      <c r="D203" s="192"/>
      <c r="E203" s="192" t="s">
        <v>100</v>
      </c>
      <c r="F203" s="192"/>
      <c r="G203" s="192" t="s">
        <v>437</v>
      </c>
      <c r="H203" s="192"/>
    </row>
    <row r="204" spans="1:10" x14ac:dyDescent="0.3">
      <c r="A204" s="191" t="s">
        <v>73</v>
      </c>
      <c r="B204" s="191"/>
      <c r="C204" s="191"/>
      <c r="D204" s="191"/>
      <c r="E204" s="191"/>
      <c r="F204" s="191"/>
      <c r="G204" s="191"/>
      <c r="H204" s="191"/>
    </row>
    <row r="205" spans="1:10" x14ac:dyDescent="0.3">
      <c r="A205" s="191"/>
      <c r="B205" s="191"/>
      <c r="C205" s="191"/>
      <c r="D205" s="191"/>
      <c r="E205" s="191"/>
      <c r="F205" s="191"/>
      <c r="G205" s="191"/>
      <c r="H205" s="191"/>
    </row>
    <row r="206" spans="1:10" x14ac:dyDescent="0.3">
      <c r="A206" s="191"/>
      <c r="B206" s="191"/>
      <c r="C206" s="191"/>
      <c r="D206" s="191"/>
      <c r="E206" s="191"/>
      <c r="F206" s="191"/>
      <c r="G206" s="191"/>
      <c r="H206" s="191"/>
    </row>
    <row r="207" spans="1:10" x14ac:dyDescent="0.3">
      <c r="A207" s="191"/>
      <c r="B207" s="191"/>
      <c r="C207" s="191"/>
      <c r="D207" s="191"/>
      <c r="E207" s="191"/>
      <c r="F207" s="191"/>
      <c r="G207" s="191"/>
      <c r="H207" s="191"/>
    </row>
    <row r="208" spans="1:10" x14ac:dyDescent="0.3">
      <c r="A208" s="35" t="s">
        <v>62</v>
      </c>
      <c r="B208" s="36"/>
      <c r="C208" s="36"/>
      <c r="D208" s="35" t="str">
        <f>E9</f>
        <v>Isle Of Calm Tower 1</v>
      </c>
      <c r="F208" s="36"/>
      <c r="G208" s="36"/>
      <c r="H208" s="36"/>
    </row>
    <row r="209" spans="1:8" x14ac:dyDescent="0.3">
      <c r="A209" s="36"/>
      <c r="B209" s="36"/>
      <c r="C209" s="36"/>
      <c r="D209" s="36"/>
      <c r="E209" s="36"/>
      <c r="F209" s="36"/>
      <c r="G209" s="36"/>
      <c r="H209" s="36"/>
    </row>
    <row r="210" spans="1:8" x14ac:dyDescent="0.3">
      <c r="A210" s="36"/>
      <c r="B210" s="36"/>
      <c r="C210" s="36"/>
      <c r="D210" s="36"/>
      <c r="E210" s="36"/>
      <c r="F210" s="36"/>
      <c r="G210" s="36"/>
      <c r="H210" s="36"/>
    </row>
    <row r="250" spans="1:1" x14ac:dyDescent="0.3">
      <c r="A250" s="38" t="s">
        <v>155</v>
      </c>
    </row>
    <row r="292" spans="1:1" x14ac:dyDescent="0.3">
      <c r="A292" s="38" t="s">
        <v>63</v>
      </c>
    </row>
  </sheetData>
  <mergeCells count="377">
    <mergeCell ref="A102:B103"/>
    <mergeCell ref="F102:G103"/>
    <mergeCell ref="E102:E103"/>
    <mergeCell ref="C102:D103"/>
    <mergeCell ref="H102:H103"/>
    <mergeCell ref="B195:H195"/>
    <mergeCell ref="A91:B91"/>
    <mergeCell ref="E91:F91"/>
    <mergeCell ref="G91:H91"/>
    <mergeCell ref="A92:B92"/>
    <mergeCell ref="E92:F101"/>
    <mergeCell ref="G92:H101"/>
    <mergeCell ref="A93:B93"/>
    <mergeCell ref="A94:B94"/>
    <mergeCell ref="A95:B95"/>
    <mergeCell ref="A96:B96"/>
    <mergeCell ref="A97:B97"/>
    <mergeCell ref="A98:B98"/>
    <mergeCell ref="A99:B99"/>
    <mergeCell ref="A100:B100"/>
    <mergeCell ref="A101:B101"/>
    <mergeCell ref="A83:B83"/>
    <mergeCell ref="A50:B50"/>
    <mergeCell ref="A180:H180"/>
    <mergeCell ref="A155:B155"/>
    <mergeCell ref="A156:B156"/>
    <mergeCell ref="A160:B160"/>
    <mergeCell ref="A157:H157"/>
    <mergeCell ref="A71:C71"/>
    <mergeCell ref="D72:H72"/>
    <mergeCell ref="A78:B78"/>
    <mergeCell ref="G77:H77"/>
    <mergeCell ref="A86:B86"/>
    <mergeCell ref="A87:B87"/>
    <mergeCell ref="A82:B82"/>
    <mergeCell ref="A81:B81"/>
    <mergeCell ref="E77:F77"/>
    <mergeCell ref="A79:B79"/>
    <mergeCell ref="E123:E124"/>
    <mergeCell ref="F105:H105"/>
    <mergeCell ref="F111:H111"/>
    <mergeCell ref="A88:B88"/>
    <mergeCell ref="C88:H88"/>
    <mergeCell ref="A90:B90"/>
    <mergeCell ref="C90:H90"/>
    <mergeCell ref="A197:H197"/>
    <mergeCell ref="A110:E110"/>
    <mergeCell ref="A84:B84"/>
    <mergeCell ref="I15:P15"/>
    <mergeCell ref="F114:H114"/>
    <mergeCell ref="F112:H112"/>
    <mergeCell ref="A122:H122"/>
    <mergeCell ref="A113:E113"/>
    <mergeCell ref="A61:B61"/>
    <mergeCell ref="C61:E61"/>
    <mergeCell ref="D63:H63"/>
    <mergeCell ref="F113:H113"/>
    <mergeCell ref="C118:D118"/>
    <mergeCell ref="D71:H71"/>
    <mergeCell ref="D64:H64"/>
    <mergeCell ref="G61:H61"/>
    <mergeCell ref="A55:B56"/>
    <mergeCell ref="C60:E60"/>
    <mergeCell ref="G55:H55"/>
    <mergeCell ref="A57:B58"/>
    <mergeCell ref="G60:H60"/>
    <mergeCell ref="B194:H194"/>
    <mergeCell ref="B191:H191"/>
    <mergeCell ref="B192:H192"/>
    <mergeCell ref="B188:H188"/>
    <mergeCell ref="D123:D124"/>
    <mergeCell ref="B193:H193"/>
    <mergeCell ref="A125:H125"/>
    <mergeCell ref="A126:H126"/>
    <mergeCell ref="B184:H184"/>
    <mergeCell ref="A158:B158"/>
    <mergeCell ref="A159:B159"/>
    <mergeCell ref="A162:B162"/>
    <mergeCell ref="B190:H190"/>
    <mergeCell ref="B189:H189"/>
    <mergeCell ref="B186:H186"/>
    <mergeCell ref="A142:B142"/>
    <mergeCell ref="A152:B152"/>
    <mergeCell ref="A137:B137"/>
    <mergeCell ref="A171:B171"/>
    <mergeCell ref="A179:B179"/>
    <mergeCell ref="B187:H187"/>
    <mergeCell ref="A153:B153"/>
    <mergeCell ref="A161:B161"/>
    <mergeCell ref="B181:H181"/>
    <mergeCell ref="B182:H182"/>
    <mergeCell ref="B183:H183"/>
    <mergeCell ref="A149:B149"/>
    <mergeCell ref="A104:E104"/>
    <mergeCell ref="F108:H108"/>
    <mergeCell ref="A150:B150"/>
    <mergeCell ref="A108:E108"/>
    <mergeCell ref="A134:B134"/>
    <mergeCell ref="F110:H110"/>
    <mergeCell ref="A112:E112"/>
    <mergeCell ref="F107:H107"/>
    <mergeCell ref="A111:E111"/>
    <mergeCell ref="E118:F118"/>
    <mergeCell ref="A121:H121"/>
    <mergeCell ref="A123:A124"/>
    <mergeCell ref="F123:F124"/>
    <mergeCell ref="A140:B140"/>
    <mergeCell ref="B123:B124"/>
    <mergeCell ref="A109:E109"/>
    <mergeCell ref="A120:B120"/>
    <mergeCell ref="E120:F120"/>
    <mergeCell ref="A114:E114"/>
    <mergeCell ref="G120:H120"/>
    <mergeCell ref="A127:H127"/>
    <mergeCell ref="A144:B144"/>
    <mergeCell ref="A141:B141"/>
    <mergeCell ref="C120:D120"/>
    <mergeCell ref="A204:H207"/>
    <mergeCell ref="A203:B203"/>
    <mergeCell ref="E203:F203"/>
    <mergeCell ref="C203:D203"/>
    <mergeCell ref="G203:H203"/>
    <mergeCell ref="A115:E115"/>
    <mergeCell ref="F115:H115"/>
    <mergeCell ref="A116:E116"/>
    <mergeCell ref="F116:H116"/>
    <mergeCell ref="A139:H139"/>
    <mergeCell ref="A119:B119"/>
    <mergeCell ref="A199:H199"/>
    <mergeCell ref="A117:H117"/>
    <mergeCell ref="A202:H202"/>
    <mergeCell ref="A200:H200"/>
    <mergeCell ref="A196:H196"/>
    <mergeCell ref="G118:H118"/>
    <mergeCell ref="B185:H185"/>
    <mergeCell ref="A154:B154"/>
    <mergeCell ref="A143:B143"/>
    <mergeCell ref="A146:B146"/>
    <mergeCell ref="A201:H201"/>
    <mergeCell ref="A198:H198"/>
    <mergeCell ref="A118:B118"/>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49:B49"/>
    <mergeCell ref="C49:H49"/>
    <mergeCell ref="G53:H53"/>
    <mergeCell ref="G52:H52"/>
    <mergeCell ref="A62:H62"/>
    <mergeCell ref="C54:H54"/>
    <mergeCell ref="A63:C63"/>
    <mergeCell ref="A64:C64"/>
    <mergeCell ref="C57:E57"/>
    <mergeCell ref="C52:E53"/>
    <mergeCell ref="A67:C67"/>
    <mergeCell ref="A68:C68"/>
    <mergeCell ref="D67:H67"/>
    <mergeCell ref="F37:H37"/>
    <mergeCell ref="C51:E51"/>
    <mergeCell ref="C50:E50"/>
    <mergeCell ref="G50:H50"/>
    <mergeCell ref="A51:B51"/>
    <mergeCell ref="G57:H57"/>
    <mergeCell ref="A59:B60"/>
    <mergeCell ref="C59:E59"/>
    <mergeCell ref="G59:H59"/>
    <mergeCell ref="G51:H51"/>
    <mergeCell ref="A39:B39"/>
    <mergeCell ref="C39:H39"/>
    <mergeCell ref="C56:H56"/>
    <mergeCell ref="A52:B54"/>
    <mergeCell ref="C55:E55"/>
    <mergeCell ref="E46:H46"/>
    <mergeCell ref="E47:H47"/>
    <mergeCell ref="C58:H58"/>
    <mergeCell ref="A48:H48"/>
    <mergeCell ref="D65:H65"/>
    <mergeCell ref="A65:C65"/>
    <mergeCell ref="A44:D44"/>
    <mergeCell ref="E44:H44"/>
    <mergeCell ref="E45:H45"/>
    <mergeCell ref="A38:H38"/>
    <mergeCell ref="A37:B37"/>
    <mergeCell ref="C37:E37"/>
    <mergeCell ref="A42:D42"/>
    <mergeCell ref="E42:H42"/>
    <mergeCell ref="A41:H41"/>
    <mergeCell ref="A45:D45"/>
    <mergeCell ref="E43:H43"/>
    <mergeCell ref="A43:D43"/>
    <mergeCell ref="A66:C66"/>
    <mergeCell ref="D66:H66"/>
    <mergeCell ref="A76:B76"/>
    <mergeCell ref="A128:H128"/>
    <mergeCell ref="A129:H129"/>
    <mergeCell ref="A130:H130"/>
    <mergeCell ref="A135:B135"/>
    <mergeCell ref="A40:B40"/>
    <mergeCell ref="C40:H40"/>
    <mergeCell ref="C119:D119"/>
    <mergeCell ref="C123:C124"/>
    <mergeCell ref="G123:G124"/>
    <mergeCell ref="A132:B132"/>
    <mergeCell ref="A133:B133"/>
    <mergeCell ref="A85:B85"/>
    <mergeCell ref="E119:F119"/>
    <mergeCell ref="G119:H119"/>
    <mergeCell ref="A105:E105"/>
    <mergeCell ref="F106:H106"/>
    <mergeCell ref="A106:E106"/>
    <mergeCell ref="A77:B77"/>
    <mergeCell ref="A46:D46"/>
    <mergeCell ref="A47:D47"/>
    <mergeCell ref="D68:H68"/>
    <mergeCell ref="L121:M121"/>
    <mergeCell ref="A136:B136"/>
    <mergeCell ref="L122:M122"/>
    <mergeCell ref="A80:B80"/>
    <mergeCell ref="E78:F87"/>
    <mergeCell ref="G78:H87"/>
    <mergeCell ref="A74:B74"/>
    <mergeCell ref="C74:H74"/>
    <mergeCell ref="A69:C69"/>
    <mergeCell ref="D69:H69"/>
    <mergeCell ref="C76:H76"/>
    <mergeCell ref="A70:C70"/>
    <mergeCell ref="D70:H70"/>
    <mergeCell ref="A73:C73"/>
    <mergeCell ref="D73:H73"/>
    <mergeCell ref="A72:C72"/>
    <mergeCell ref="F104:H104"/>
    <mergeCell ref="F109:H109"/>
    <mergeCell ref="A131:B131"/>
    <mergeCell ref="L120:M120"/>
    <mergeCell ref="L117:M117"/>
    <mergeCell ref="L118:M118"/>
    <mergeCell ref="L119:M119"/>
    <mergeCell ref="A107:E107"/>
    <mergeCell ref="L123:M123"/>
    <mergeCell ref="A138:B138"/>
    <mergeCell ref="L124:M124"/>
    <mergeCell ref="L126:M126"/>
    <mergeCell ref="L127:M127"/>
    <mergeCell ref="L128:M128"/>
    <mergeCell ref="L129:M129"/>
    <mergeCell ref="L130:M130"/>
    <mergeCell ref="A145:B145"/>
    <mergeCell ref="L131:M131"/>
    <mergeCell ref="L132:M132"/>
    <mergeCell ref="A147:B147"/>
    <mergeCell ref="L133:M133"/>
    <mergeCell ref="C146:H147"/>
    <mergeCell ref="A148:H148"/>
    <mergeCell ref="L135:M135"/>
    <mergeCell ref="L136:M136"/>
    <mergeCell ref="A151:B151"/>
    <mergeCell ref="L137:M137"/>
    <mergeCell ref="L138:M138"/>
    <mergeCell ref="L139:M139"/>
    <mergeCell ref="L140:M140"/>
    <mergeCell ref="L141:M141"/>
    <mergeCell ref="L142:M142"/>
    <mergeCell ref="L144:M144"/>
    <mergeCell ref="L145:M145"/>
    <mergeCell ref="L146:M146"/>
    <mergeCell ref="L147:M147"/>
    <mergeCell ref="L148:M148"/>
    <mergeCell ref="A163:B163"/>
    <mergeCell ref="L149:M149"/>
    <mergeCell ref="A164:B164"/>
    <mergeCell ref="L150:M150"/>
    <mergeCell ref="A165:B165"/>
    <mergeCell ref="L151:M151"/>
    <mergeCell ref="C158:H159"/>
    <mergeCell ref="A166:H166"/>
    <mergeCell ref="L157:M157"/>
    <mergeCell ref="A172:B172"/>
    <mergeCell ref="L158:M158"/>
    <mergeCell ref="A173:H173"/>
    <mergeCell ref="A167:B167"/>
    <mergeCell ref="L153:M153"/>
    <mergeCell ref="A168:B168"/>
    <mergeCell ref="L154:M154"/>
    <mergeCell ref="A169:B169"/>
    <mergeCell ref="L155:M155"/>
    <mergeCell ref="A170:B170"/>
    <mergeCell ref="L156:M156"/>
    <mergeCell ref="L165:M165"/>
    <mergeCell ref="C179:H179"/>
    <mergeCell ref="C174:H174"/>
    <mergeCell ref="A174:B174"/>
    <mergeCell ref="L160:M160"/>
    <mergeCell ref="A175:B175"/>
    <mergeCell ref="L161:M161"/>
    <mergeCell ref="A176:B176"/>
    <mergeCell ref="L162:M162"/>
    <mergeCell ref="A177:B177"/>
    <mergeCell ref="L163:M163"/>
    <mergeCell ref="A178:B178"/>
    <mergeCell ref="L164:M164"/>
  </mergeCells>
  <dataValidations count="15">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G203:H203" xr:uid="{00000000-0002-0000-0000-000003000000}">
      <formula1>"Kunal Kadam,Pranita Mhatre,Shruti Fule,Pooja Kawale,Gaurav Panchal,Shruti Tathare, Dipti Gothawade,Saurav Panse, Sachin Sawant"</formula1>
    </dataValidation>
    <dataValidation type="list" allowBlank="1" showInputMessage="1" showErrorMessage="1" sqref="F104:H104" xr:uid="{00000000-0002-0000-0000-000004000000}">
      <formula1>"On Saleable Area,On Builtup Area,On Carpet Area,On Plot Area"</formula1>
    </dataValidation>
    <dataValidation type="list" allowBlank="1" showInputMessage="1" showErrorMessage="1" sqref="F115:H115" xr:uid="{00000000-0002-0000-0000-000005000000}">
      <formula1>OFFSET($S$88,1,MATCH($G20,$S$88:$W$88,0)-1,15,1)</formula1>
    </dataValidation>
    <dataValidation type="list" allowBlank="1" showInputMessage="1" showErrorMessage="1" sqref="B123:B124" xr:uid="{00000000-0002-0000-0000-000006000000}">
      <formula1>"Flat No. (Sale Plan),Sale / Rehab,Sale / Mhada"</formula1>
    </dataValidation>
    <dataValidation type="list" allowBlank="1" showInputMessage="1" showErrorMessage="1" sqref="C21:D21" xr:uid="{00000000-0002-0000-0000-000007000000}">
      <formula1>OFFSET($S$13,1,MATCH($G20,$S$13:$W$13,0)-1,15,1)</formula1>
    </dataValidation>
    <dataValidation type="list" allowBlank="1" showInputMessage="1" showErrorMessage="1" sqref="Y13" xr:uid="{00000000-0002-0000-0000-000008000000}">
      <formula1>$D$5:$H$5</formula1>
    </dataValidation>
    <dataValidation type="list" allowBlank="1" showInputMessage="1" showErrorMessage="1" sqref="E123:E124" xr:uid="{00000000-0002-0000-0000-000009000000}">
      <formula1>"Deck Area, Fungible area,Balcony Area,Chajja Area,Cornice Area,AP Area,WS Area"</formula1>
    </dataValidation>
    <dataValidation type="list" allowBlank="1" showInputMessage="1" showErrorMessage="1" sqref="H124" xr:uid="{00000000-0002-0000-0000-00000A000000}">
      <formula1>".45,.50,.55,.60"</formula1>
    </dataValidation>
    <dataValidation type="list" allowBlank="1" showInputMessage="1" showErrorMessage="1" sqref="E4:H4" xr:uid="{00000000-0002-0000-0000-00000B000000}">
      <formula1>$L$3:$P$3</formula1>
    </dataValidation>
    <dataValidation type="list" allowBlank="1" showInputMessage="1" showErrorMessage="1" sqref="C49:H49" xr:uid="{00000000-0002-0000-0000-00000C000000}">
      <formula1>OFFSET($S$49,1,MATCH($G20,$S$49:$W$49,0)-1,15,1)</formula1>
    </dataValidation>
    <dataValidation type="list" allowBlank="1" showInputMessage="1" showErrorMessage="1" sqref="H123" xr:uid="{00000000-0002-0000-0000-00000D000000}">
      <formula1>"Saleable area Loading :,Builder Saleable Area"</formula1>
    </dataValidation>
    <dataValidation type="list" allowBlank="1" showInputMessage="1" showErrorMessage="1" sqref="D123:D124" xr:uid="{00000000-0002-0000-0000-00000E000000}">
      <formula1>"Carpet area,RERA Carpet area"</formula1>
    </dataValidation>
  </dataValidations>
  <hyperlinks>
    <hyperlink ref="C40" r:id="rId1" xr:uid="{00000000-0004-0000-0000-000000000000}"/>
    <hyperlink ref="J70" display="https://www.99acres.com/ghp-isle-of-calm-tower-2-powai-central-mumbai-suburbs-npxid-r433815?nn_source=Performance&amp;nn_account=Google_99acres-NPGoogle-Account&amp;nn_campaign=21156519557_165820215252_695555330565&amp;nn_medium=21156519557_165820215252_695555330565&amp;" xr:uid="{00000000-0004-0000-0000-000001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103" max="7" man="1"/>
    <brk id="179" max="7" man="1"/>
    <brk id="207" max="7" man="1"/>
    <brk id="249" max="7" man="1"/>
    <brk id="291"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28" t="s">
        <v>101</v>
      </c>
      <c r="C3" s="228"/>
      <c r="D3" s="228"/>
      <c r="E3" s="228"/>
      <c r="F3" s="228"/>
      <c r="G3" s="228"/>
      <c r="H3" s="228"/>
    </row>
    <row r="4" spans="1:9" x14ac:dyDescent="0.3">
      <c r="A4" s="2"/>
      <c r="B4" s="3" t="s">
        <v>102</v>
      </c>
      <c r="C4" s="3" t="s">
        <v>103</v>
      </c>
      <c r="D4" s="3" t="s">
        <v>65</v>
      </c>
      <c r="E4" s="3" t="s">
        <v>104</v>
      </c>
      <c r="F4" s="3" t="s">
        <v>110</v>
      </c>
      <c r="G4" s="3" t="s">
        <v>111</v>
      </c>
      <c r="H4" s="3" t="s">
        <v>105</v>
      </c>
    </row>
    <row r="5" spans="1:9" ht="15" customHeight="1" x14ac:dyDescent="0.3">
      <c r="A5" s="2"/>
      <c r="B5" s="5" t="s">
        <v>106</v>
      </c>
      <c r="C5" s="6"/>
      <c r="D5" s="5"/>
      <c r="E5" s="5"/>
      <c r="F5" s="7">
        <f>E5*1.6</f>
        <v>0</v>
      </c>
      <c r="G5" s="7" t="e">
        <f>H5/F5</f>
        <v>#DIV/0!</v>
      </c>
      <c r="H5" s="8"/>
    </row>
    <row r="6" spans="1:9" x14ac:dyDescent="0.3">
      <c r="A6" s="2"/>
      <c r="B6" s="5" t="s">
        <v>106</v>
      </c>
      <c r="C6" s="9"/>
      <c r="D6" s="5"/>
      <c r="E6" s="5"/>
      <c r="F6" s="7">
        <f t="shared" ref="F6:F11" si="0">E6*1.6</f>
        <v>0</v>
      </c>
      <c r="G6" s="7" t="e">
        <f t="shared" ref="G6:G11" si="1">H6/F6</f>
        <v>#DIV/0!</v>
      </c>
      <c r="H6" s="8"/>
    </row>
    <row r="7" spans="1:9" ht="15" customHeight="1" x14ac:dyDescent="0.3">
      <c r="A7" s="2"/>
      <c r="B7" s="5" t="s">
        <v>106</v>
      </c>
      <c r="C7" s="6"/>
      <c r="D7" s="5"/>
      <c r="E7" s="5"/>
      <c r="F7" s="7">
        <f t="shared" si="0"/>
        <v>0</v>
      </c>
      <c r="G7" s="7" t="e">
        <f t="shared" si="1"/>
        <v>#DIV/0!</v>
      </c>
      <c r="H7" s="8"/>
    </row>
    <row r="8" spans="1:9" x14ac:dyDescent="0.3">
      <c r="A8" s="2"/>
      <c r="B8" s="5" t="s">
        <v>106</v>
      </c>
      <c r="C8" s="9"/>
      <c r="D8" s="5"/>
      <c r="E8" s="5"/>
      <c r="F8" s="7">
        <f t="shared" si="0"/>
        <v>0</v>
      </c>
      <c r="G8" s="7" t="e">
        <f t="shared" si="1"/>
        <v>#DIV/0!</v>
      </c>
      <c r="H8" s="8"/>
    </row>
    <row r="9" spans="1:9" ht="15" customHeight="1" x14ac:dyDescent="0.3">
      <c r="A9" s="2"/>
      <c r="B9" s="5" t="s">
        <v>106</v>
      </c>
      <c r="C9" s="9"/>
      <c r="D9" s="5"/>
      <c r="E9" s="5"/>
      <c r="F9" s="7">
        <f t="shared" si="0"/>
        <v>0</v>
      </c>
      <c r="G9" s="7" t="e">
        <f t="shared" si="1"/>
        <v>#DIV/0!</v>
      </c>
      <c r="H9" s="8"/>
    </row>
    <row r="10" spans="1:9" ht="15" customHeight="1" x14ac:dyDescent="0.3">
      <c r="A10" s="2"/>
      <c r="B10" s="5" t="s">
        <v>107</v>
      </c>
      <c r="C10" s="6"/>
      <c r="D10" s="5"/>
      <c r="E10" s="5"/>
      <c r="F10" s="7">
        <f t="shared" si="0"/>
        <v>0</v>
      </c>
      <c r="G10" s="7" t="e">
        <f t="shared" si="1"/>
        <v>#DIV/0!</v>
      </c>
      <c r="H10" s="8"/>
    </row>
    <row r="11" spans="1:9" ht="15" customHeight="1" x14ac:dyDescent="0.3">
      <c r="A11" s="2"/>
      <c r="B11" s="5" t="s">
        <v>107</v>
      </c>
      <c r="C11" s="6"/>
      <c r="D11" s="5"/>
      <c r="E11" s="5"/>
      <c r="F11" s="7">
        <f t="shared" si="0"/>
        <v>0</v>
      </c>
      <c r="G11" s="7" t="e">
        <f t="shared" si="1"/>
        <v>#DIV/0!</v>
      </c>
      <c r="H11" s="8"/>
    </row>
    <row r="12" spans="1:9" ht="15" customHeight="1" x14ac:dyDescent="0.3">
      <c r="A12" s="2"/>
      <c r="B12" s="10" t="s">
        <v>108</v>
      </c>
      <c r="C12" s="5"/>
      <c r="D12" s="5"/>
      <c r="E12" s="5"/>
      <c r="F12" s="5"/>
      <c r="G12" s="11" t="e">
        <f>AVERAGE(G5:G11)</f>
        <v>#DIV/0!</v>
      </c>
      <c r="H12" s="5"/>
    </row>
    <row r="13" spans="1:9" ht="15" customHeight="1" x14ac:dyDescent="0.3">
      <c r="B13" s="10" t="s">
        <v>109</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47"/>
      <c r="C4" s="47" t="s">
        <v>11</v>
      </c>
      <c r="D4" s="48" t="s">
        <v>168</v>
      </c>
      <c r="E4" s="48" t="s">
        <v>178</v>
      </c>
      <c r="F4" s="48" t="s">
        <v>163</v>
      </c>
      <c r="G4" s="48" t="s">
        <v>183</v>
      </c>
      <c r="H4" s="48" t="s">
        <v>201</v>
      </c>
      <c r="J4" t="s">
        <v>183</v>
      </c>
      <c r="K4" t="s">
        <v>199</v>
      </c>
    </row>
    <row r="5" spans="2:11" x14ac:dyDescent="0.3">
      <c r="B5" s="47"/>
      <c r="C5" s="47"/>
      <c r="D5" s="48" t="s">
        <v>169</v>
      </c>
      <c r="E5" s="48" t="s">
        <v>176</v>
      </c>
      <c r="F5" s="48" t="s">
        <v>198</v>
      </c>
      <c r="G5" s="48" t="s">
        <v>184</v>
      </c>
      <c r="H5" s="48" t="s">
        <v>202</v>
      </c>
    </row>
    <row r="6" spans="2:11" x14ac:dyDescent="0.3">
      <c r="B6" s="47"/>
      <c r="C6" s="47"/>
      <c r="D6" s="48" t="s">
        <v>170</v>
      </c>
      <c r="E6" s="48" t="s">
        <v>177</v>
      </c>
      <c r="F6" s="48" t="s">
        <v>199</v>
      </c>
      <c r="G6" s="48" t="s">
        <v>185</v>
      </c>
      <c r="H6" s="48" t="s">
        <v>215</v>
      </c>
    </row>
    <row r="7" spans="2:11" x14ac:dyDescent="0.3">
      <c r="B7" s="47"/>
      <c r="C7" s="47"/>
      <c r="D7" s="48" t="s">
        <v>171</v>
      </c>
      <c r="E7" s="48" t="s">
        <v>179</v>
      </c>
      <c r="F7" s="48" t="s">
        <v>200</v>
      </c>
      <c r="G7" s="48" t="s">
        <v>186</v>
      </c>
      <c r="H7" s="48" t="s">
        <v>203</v>
      </c>
    </row>
    <row r="8" spans="2:11" x14ac:dyDescent="0.3">
      <c r="B8" s="47"/>
      <c r="C8" s="47"/>
      <c r="D8" s="48" t="s">
        <v>172</v>
      </c>
      <c r="E8" s="48" t="s">
        <v>180</v>
      </c>
      <c r="F8" s="48"/>
      <c r="G8" s="48" t="s">
        <v>187</v>
      </c>
      <c r="H8" s="48" t="s">
        <v>204</v>
      </c>
    </row>
    <row r="9" spans="2:11" x14ac:dyDescent="0.3">
      <c r="B9" s="47"/>
      <c r="C9" s="47"/>
      <c r="D9" s="48" t="s">
        <v>173</v>
      </c>
      <c r="E9" s="48" t="s">
        <v>178</v>
      </c>
      <c r="F9" s="48"/>
      <c r="G9" s="48" t="s">
        <v>188</v>
      </c>
      <c r="H9" s="48" t="s">
        <v>205</v>
      </c>
    </row>
    <row r="10" spans="2:11" x14ac:dyDescent="0.3">
      <c r="B10" s="47"/>
      <c r="C10" s="47"/>
      <c r="D10" s="48" t="s">
        <v>174</v>
      </c>
      <c r="E10" s="48" t="s">
        <v>181</v>
      </c>
      <c r="F10" s="48"/>
      <c r="G10" s="48" t="s">
        <v>189</v>
      </c>
      <c r="H10" s="48" t="s">
        <v>206</v>
      </c>
    </row>
    <row r="11" spans="2:11" x14ac:dyDescent="0.3">
      <c r="B11" s="47"/>
      <c r="C11" s="47"/>
      <c r="D11" s="48" t="s">
        <v>175</v>
      </c>
      <c r="E11" s="48" t="s">
        <v>182</v>
      </c>
      <c r="F11" s="48"/>
      <c r="G11" s="48" t="s">
        <v>190</v>
      </c>
      <c r="H11" s="48" t="s">
        <v>207</v>
      </c>
    </row>
    <row r="12" spans="2:11" x14ac:dyDescent="0.3">
      <c r="B12" s="47"/>
      <c r="C12" s="47"/>
      <c r="D12" s="48"/>
      <c r="E12" s="48"/>
      <c r="F12" s="48"/>
      <c r="G12" s="48" t="s">
        <v>191</v>
      </c>
      <c r="H12" s="48" t="s">
        <v>208</v>
      </c>
    </row>
    <row r="13" spans="2:11" x14ac:dyDescent="0.3">
      <c r="B13" s="47"/>
      <c r="C13" s="47"/>
      <c r="D13" s="48"/>
      <c r="E13" s="48"/>
      <c r="F13" s="48"/>
      <c r="G13" s="48" t="s">
        <v>192</v>
      </c>
      <c r="H13" s="48" t="s">
        <v>209</v>
      </c>
    </row>
    <row r="14" spans="2:11" x14ac:dyDescent="0.3">
      <c r="B14" s="47"/>
      <c r="C14" s="47"/>
      <c r="D14" s="48"/>
      <c r="E14" s="48"/>
      <c r="F14" s="48"/>
      <c r="G14" s="48" t="s">
        <v>193</v>
      </c>
      <c r="H14" s="48" t="s">
        <v>210</v>
      </c>
    </row>
    <row r="15" spans="2:11" x14ac:dyDescent="0.3">
      <c r="B15" s="47"/>
      <c r="C15" s="47"/>
      <c r="D15" s="48"/>
      <c r="E15" s="48"/>
      <c r="F15" s="48"/>
      <c r="G15" s="48" t="s">
        <v>194</v>
      </c>
      <c r="H15" s="48" t="s">
        <v>211</v>
      </c>
    </row>
    <row r="16" spans="2:11" x14ac:dyDescent="0.3">
      <c r="B16" s="47"/>
      <c r="C16" s="47"/>
      <c r="D16" s="48"/>
      <c r="E16" s="48"/>
      <c r="F16" s="48"/>
      <c r="G16" s="48" t="s">
        <v>195</v>
      </c>
      <c r="H16" s="48" t="s">
        <v>212</v>
      </c>
    </row>
    <row r="17" spans="2:8" x14ac:dyDescent="0.3">
      <c r="B17" s="47"/>
      <c r="C17" s="47"/>
      <c r="D17" s="48"/>
      <c r="E17" s="48"/>
      <c r="F17" s="48"/>
      <c r="G17" s="48" t="s">
        <v>196</v>
      </c>
      <c r="H17" s="48" t="s">
        <v>213</v>
      </c>
    </row>
    <row r="18" spans="2:8" x14ac:dyDescent="0.3">
      <c r="B18" s="47"/>
      <c r="C18" s="47"/>
      <c r="D18" s="48"/>
      <c r="E18" s="48"/>
      <c r="F18" s="48"/>
      <c r="G18" s="48" t="s">
        <v>197</v>
      </c>
      <c r="H18" s="48" t="s">
        <v>214</v>
      </c>
    </row>
    <row r="24" spans="2:8" x14ac:dyDescent="0.3">
      <c r="C24" t="s">
        <v>160</v>
      </c>
    </row>
    <row r="25" spans="2:8" x14ac:dyDescent="0.3">
      <c r="C25" t="s">
        <v>216</v>
      </c>
    </row>
    <row r="26" spans="2:8" x14ac:dyDescent="0.3">
      <c r="C26" t="s">
        <v>217</v>
      </c>
    </row>
    <row r="27" spans="2:8" x14ac:dyDescent="0.3">
      <c r="C27" t="s">
        <v>218</v>
      </c>
    </row>
    <row r="28" spans="2:8" x14ac:dyDescent="0.3">
      <c r="C28" t="s">
        <v>219</v>
      </c>
    </row>
    <row r="29" spans="2:8" x14ac:dyDescent="0.3">
      <c r="C29" t="s">
        <v>220</v>
      </c>
    </row>
    <row r="30" spans="2:8" x14ac:dyDescent="0.3">
      <c r="C30" t="s">
        <v>160</v>
      </c>
    </row>
    <row r="33" spans="3:11" x14ac:dyDescent="0.3">
      <c r="J33">
        <v>1</v>
      </c>
      <c r="K33">
        <v>2</v>
      </c>
    </row>
    <row r="34" spans="3:11" x14ac:dyDescent="0.3">
      <c r="C34" s="49" t="s">
        <v>225</v>
      </c>
      <c r="D34" s="48" t="s">
        <v>223</v>
      </c>
      <c r="E34" s="48" t="s">
        <v>228</v>
      </c>
      <c r="F34" s="48" t="s">
        <v>226</v>
      </c>
      <c r="G34" s="48" t="s">
        <v>227</v>
      </c>
      <c r="H34" s="48" t="s">
        <v>229</v>
      </c>
      <c r="J34" t="s">
        <v>183</v>
      </c>
      <c r="K34" t="s">
        <v>199</v>
      </c>
    </row>
    <row r="35" spans="3:11" x14ac:dyDescent="0.3">
      <c r="C35" s="47" t="s">
        <v>224</v>
      </c>
      <c r="D35" s="48" t="s">
        <v>161</v>
      </c>
      <c r="E35" s="48" t="s">
        <v>233</v>
      </c>
      <c r="F35" s="48" t="s">
        <v>235</v>
      </c>
      <c r="G35" s="48" t="s">
        <v>237</v>
      </c>
      <c r="H35" s="48"/>
    </row>
    <row r="36" spans="3:11" x14ac:dyDescent="0.3">
      <c r="C36" s="47"/>
      <c r="D36" s="48" t="s">
        <v>230</v>
      </c>
      <c r="E36" s="48" t="s">
        <v>234</v>
      </c>
      <c r="F36" s="48" t="s">
        <v>236</v>
      </c>
      <c r="G36" s="48" t="s">
        <v>238</v>
      </c>
      <c r="H36" s="48"/>
    </row>
    <row r="37" spans="3:11" x14ac:dyDescent="0.3">
      <c r="C37" s="47"/>
      <c r="D37" s="48" t="s">
        <v>231</v>
      </c>
      <c r="E37" s="48"/>
      <c r="F37" s="48"/>
      <c r="G37" s="48" t="s">
        <v>239</v>
      </c>
      <c r="H37" s="48"/>
    </row>
    <row r="38" spans="3:11" x14ac:dyDescent="0.3">
      <c r="C38" s="47"/>
      <c r="D38" s="48" t="s">
        <v>232</v>
      </c>
      <c r="E38" s="48"/>
      <c r="F38" s="48"/>
      <c r="G38" s="48" t="s">
        <v>239</v>
      </c>
      <c r="H38" s="48"/>
    </row>
    <row r="39" spans="3:11" x14ac:dyDescent="0.3">
      <c r="C39" s="47"/>
      <c r="D39" s="48"/>
      <c r="E39" s="48"/>
      <c r="F39" s="48"/>
      <c r="G39" s="48" t="s">
        <v>240</v>
      </c>
      <c r="H39" s="48"/>
    </row>
    <row r="40" spans="3:11" x14ac:dyDescent="0.3">
      <c r="C40" s="47"/>
      <c r="D40" s="48"/>
      <c r="E40" s="48"/>
      <c r="F40" s="48"/>
      <c r="G40" s="48" t="s">
        <v>241</v>
      </c>
      <c r="H40" s="48"/>
    </row>
    <row r="41" spans="3:11" x14ac:dyDescent="0.3">
      <c r="C41" s="47"/>
      <c r="D41" s="48"/>
      <c r="E41" s="48"/>
      <c r="F41" s="48"/>
      <c r="G41" s="48"/>
      <c r="H41" s="48"/>
    </row>
    <row r="43" spans="3:11" x14ac:dyDescent="0.3">
      <c r="C43" t="s">
        <v>242</v>
      </c>
    </row>
    <row r="44" spans="3:11" x14ac:dyDescent="0.3">
      <c r="C44" t="s">
        <v>163</v>
      </c>
      <c r="D44" t="s">
        <v>243</v>
      </c>
    </row>
    <row r="45" spans="3:11" x14ac:dyDescent="0.3">
      <c r="D45" t="s">
        <v>244</v>
      </c>
    </row>
    <row r="46" spans="3:11" x14ac:dyDescent="0.3">
      <c r="D46" t="s">
        <v>245</v>
      </c>
    </row>
    <row r="47" spans="3:11" x14ac:dyDescent="0.3">
      <c r="D47" t="s">
        <v>246</v>
      </c>
    </row>
    <row r="48" spans="3:11" x14ac:dyDescent="0.3">
      <c r="D48" t="s">
        <v>247</v>
      </c>
    </row>
    <row r="49" spans="3:4" x14ac:dyDescent="0.3">
      <c r="C49" t="s">
        <v>168</v>
      </c>
      <c r="D49" t="s">
        <v>248</v>
      </c>
    </row>
    <row r="50" spans="3:4" x14ac:dyDescent="0.3">
      <c r="D50" t="s">
        <v>249</v>
      </c>
    </row>
    <row r="51" spans="3:4" x14ac:dyDescent="0.3">
      <c r="D51" t="s">
        <v>250</v>
      </c>
    </row>
    <row r="52" spans="3:4" x14ac:dyDescent="0.3">
      <c r="D52" t="s">
        <v>253</v>
      </c>
    </row>
    <row r="53" spans="3:4" x14ac:dyDescent="0.3">
      <c r="D53" t="s">
        <v>251</v>
      </c>
    </row>
    <row r="54" spans="3:4" x14ac:dyDescent="0.3">
      <c r="D54" t="s">
        <v>252</v>
      </c>
    </row>
    <row r="55" spans="3:4" x14ac:dyDescent="0.3">
      <c r="D55" t="s">
        <v>254</v>
      </c>
    </row>
    <row r="56" spans="3:4" x14ac:dyDescent="0.3">
      <c r="D56" t="s">
        <v>255</v>
      </c>
    </row>
    <row r="57" spans="3:4" x14ac:dyDescent="0.3">
      <c r="D57" t="s">
        <v>256</v>
      </c>
    </row>
    <row r="58" spans="3:4" x14ac:dyDescent="0.3">
      <c r="D58" t="s">
        <v>258</v>
      </c>
    </row>
    <row r="59" spans="3:4" x14ac:dyDescent="0.3">
      <c r="D59" t="s">
        <v>267</v>
      </c>
    </row>
    <row r="60" spans="3:4" x14ac:dyDescent="0.3">
      <c r="C60" t="s">
        <v>183</v>
      </c>
      <c r="D60" t="s">
        <v>259</v>
      </c>
    </row>
    <row r="61" spans="3:4" x14ac:dyDescent="0.3">
      <c r="D61" t="s">
        <v>257</v>
      </c>
    </row>
    <row r="62" spans="3:4" x14ac:dyDescent="0.3">
      <c r="D62" t="s">
        <v>247</v>
      </c>
    </row>
    <row r="63" spans="3:4" x14ac:dyDescent="0.3">
      <c r="D63" t="s">
        <v>260</v>
      </c>
    </row>
    <row r="64" spans="3:4" x14ac:dyDescent="0.3">
      <c r="D64" t="s">
        <v>261</v>
      </c>
    </row>
    <row r="65" spans="3:4" x14ac:dyDescent="0.3">
      <c r="D65" t="s">
        <v>262</v>
      </c>
    </row>
    <row r="66" spans="3:4" x14ac:dyDescent="0.3">
      <c r="D66" t="s">
        <v>263</v>
      </c>
    </row>
    <row r="67" spans="3:4" x14ac:dyDescent="0.3">
      <c r="C67" t="s">
        <v>178</v>
      </c>
      <c r="D67" t="s">
        <v>264</v>
      </c>
    </row>
    <row r="68" spans="3:4" x14ac:dyDescent="0.3">
      <c r="D68" t="s">
        <v>265</v>
      </c>
    </row>
    <row r="69" spans="3:4" x14ac:dyDescent="0.3">
      <c r="D69" t="s">
        <v>266</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49"/>
  <sheetViews>
    <sheetView topLeftCell="A38" zoomScaleNormal="100" workbookViewId="0">
      <selection activeCell="C50" sqref="C50"/>
    </sheetView>
  </sheetViews>
  <sheetFormatPr defaultRowHeight="14.4" x14ac:dyDescent="0.3"/>
  <cols>
    <col min="2" max="2" width="3" bestFit="1" customWidth="1"/>
    <col min="3" max="3" width="155.33203125" customWidth="1"/>
  </cols>
  <sheetData>
    <row r="2" spans="2:3" ht="15" customHeight="1" x14ac:dyDescent="0.3">
      <c r="B2" s="50">
        <v>1</v>
      </c>
      <c r="C2" s="52" t="s">
        <v>272</v>
      </c>
    </row>
    <row r="3" spans="2:3" x14ac:dyDescent="0.3">
      <c r="B3" s="50">
        <v>2</v>
      </c>
      <c r="C3" s="51" t="s">
        <v>273</v>
      </c>
    </row>
    <row r="4" spans="2:3" x14ac:dyDescent="0.3">
      <c r="B4" s="50">
        <v>3</v>
      </c>
      <c r="C4" s="50" t="s">
        <v>274</v>
      </c>
    </row>
    <row r="5" spans="2:3" x14ac:dyDescent="0.3">
      <c r="B5" s="50">
        <v>4</v>
      </c>
      <c r="C5" s="51" t="s">
        <v>275</v>
      </c>
    </row>
    <row r="6" spans="2:3" x14ac:dyDescent="0.3">
      <c r="B6" s="50">
        <v>5</v>
      </c>
      <c r="C6" s="50" t="s">
        <v>276</v>
      </c>
    </row>
    <row r="7" spans="2:3" x14ac:dyDescent="0.3">
      <c r="B7" s="50">
        <v>6</v>
      </c>
      <c r="C7" s="51" t="s">
        <v>277</v>
      </c>
    </row>
    <row r="8" spans="2:3" ht="72" x14ac:dyDescent="0.3">
      <c r="B8" s="50">
        <v>7</v>
      </c>
      <c r="C8" s="51" t="s">
        <v>278</v>
      </c>
    </row>
    <row r="9" spans="2:3" x14ac:dyDescent="0.3">
      <c r="B9" s="50">
        <v>8</v>
      </c>
      <c r="C9" s="50" t="s">
        <v>279</v>
      </c>
    </row>
    <row r="10" spans="2:3" x14ac:dyDescent="0.3">
      <c r="B10" s="50">
        <v>9</v>
      </c>
      <c r="C10" s="50" t="s">
        <v>280</v>
      </c>
    </row>
    <row r="11" spans="2:3" x14ac:dyDescent="0.3">
      <c r="B11" s="50">
        <v>10</v>
      </c>
      <c r="C11" s="50" t="s">
        <v>281</v>
      </c>
    </row>
    <row r="12" spans="2:3" x14ac:dyDescent="0.3">
      <c r="B12" s="50">
        <v>11</v>
      </c>
      <c r="C12" s="50" t="s">
        <v>282</v>
      </c>
    </row>
    <row r="13" spans="2:3" x14ac:dyDescent="0.3">
      <c r="B13" s="50">
        <v>12</v>
      </c>
      <c r="C13" s="50" t="s">
        <v>283</v>
      </c>
    </row>
    <row r="14" spans="2:3" x14ac:dyDescent="0.3">
      <c r="B14" s="50">
        <v>13</v>
      </c>
      <c r="C14" s="50" t="s">
        <v>284</v>
      </c>
    </row>
    <row r="15" spans="2:3" x14ac:dyDescent="0.3">
      <c r="B15" s="50">
        <v>14</v>
      </c>
      <c r="C15" s="50" t="s">
        <v>274</v>
      </c>
    </row>
    <row r="16" spans="2:3" x14ac:dyDescent="0.3">
      <c r="B16" s="50">
        <v>15</v>
      </c>
      <c r="C16" s="50" t="s">
        <v>286</v>
      </c>
    </row>
    <row r="17" spans="2:3" x14ac:dyDescent="0.3">
      <c r="B17" s="68">
        <v>16</v>
      </c>
      <c r="C17" s="55" t="s">
        <v>287</v>
      </c>
    </row>
    <row r="18" spans="2:3" x14ac:dyDescent="0.3">
      <c r="B18" s="54">
        <v>17</v>
      </c>
      <c r="C18" s="55" t="s">
        <v>288</v>
      </c>
    </row>
    <row r="19" spans="2:3" x14ac:dyDescent="0.3">
      <c r="B19" s="53">
        <v>18</v>
      </c>
      <c r="C19" s="50" t="s">
        <v>289</v>
      </c>
    </row>
    <row r="20" spans="2:3" x14ac:dyDescent="0.3">
      <c r="B20" s="54">
        <v>19</v>
      </c>
      <c r="C20" s="50" t="s">
        <v>325</v>
      </c>
    </row>
    <row r="21" spans="2:3" x14ac:dyDescent="0.3">
      <c r="B21" s="50">
        <v>20</v>
      </c>
      <c r="C21" s="50" t="s">
        <v>290</v>
      </c>
    </row>
    <row r="22" spans="2:3" x14ac:dyDescent="0.3">
      <c r="B22" s="54">
        <v>21</v>
      </c>
      <c r="C22" s="50" t="s">
        <v>289</v>
      </c>
    </row>
    <row r="23" spans="2:3" s="63" customFormat="1" ht="29.25" customHeight="1" x14ac:dyDescent="0.3">
      <c r="B23" s="62">
        <v>22</v>
      </c>
      <c r="C23" s="52" t="s">
        <v>317</v>
      </c>
    </row>
    <row r="24" spans="2:3" s="63" customFormat="1" ht="30.75" customHeight="1" x14ac:dyDescent="0.3">
      <c r="B24" s="64">
        <v>23</v>
      </c>
      <c r="C24" s="52" t="s">
        <v>318</v>
      </c>
    </row>
    <row r="25" spans="2:3" x14ac:dyDescent="0.3">
      <c r="B25" s="50">
        <v>24</v>
      </c>
      <c r="C25" s="50" t="s">
        <v>321</v>
      </c>
    </row>
    <row r="26" spans="2:3" x14ac:dyDescent="0.3">
      <c r="B26" s="54">
        <v>25</v>
      </c>
      <c r="C26" s="50" t="s">
        <v>319</v>
      </c>
    </row>
    <row r="27" spans="2:3" x14ac:dyDescent="0.3">
      <c r="B27" s="64">
        <v>26</v>
      </c>
      <c r="C27" s="50" t="s">
        <v>320</v>
      </c>
    </row>
    <row r="28" spans="2:3" x14ac:dyDescent="0.3">
      <c r="B28" s="54">
        <v>27</v>
      </c>
      <c r="C28" s="50" t="s">
        <v>322</v>
      </c>
    </row>
    <row r="29" spans="2:3" ht="43.2" x14ac:dyDescent="0.3">
      <c r="B29" s="67">
        <v>28</v>
      </c>
      <c r="C29" s="51" t="s">
        <v>323</v>
      </c>
    </row>
    <row r="30" spans="2:3" x14ac:dyDescent="0.3">
      <c r="B30" s="64">
        <v>29</v>
      </c>
      <c r="C30" s="50" t="s">
        <v>324</v>
      </c>
    </row>
    <row r="31" spans="2:3" ht="28.8" x14ac:dyDescent="0.3">
      <c r="B31" s="64">
        <v>30</v>
      </c>
      <c r="C31" s="51" t="s">
        <v>326</v>
      </c>
    </row>
    <row r="32" spans="2:3" x14ac:dyDescent="0.3">
      <c r="B32" s="64">
        <v>31</v>
      </c>
      <c r="C32" s="50" t="s">
        <v>327</v>
      </c>
    </row>
    <row r="33" spans="2:4" x14ac:dyDescent="0.3">
      <c r="B33" s="64">
        <v>32</v>
      </c>
      <c r="C33" s="50" t="s">
        <v>328</v>
      </c>
    </row>
    <row r="34" spans="2:4" ht="36.75" customHeight="1" x14ac:dyDescent="0.3">
      <c r="B34" s="64">
        <v>33</v>
      </c>
      <c r="C34" s="55" t="s">
        <v>329</v>
      </c>
    </row>
    <row r="35" spans="2:4" x14ac:dyDescent="0.3">
      <c r="B35" s="62">
        <v>34</v>
      </c>
      <c r="C35" s="50" t="s">
        <v>337</v>
      </c>
    </row>
    <row r="36" spans="2:4" ht="57.6" x14ac:dyDescent="0.3">
      <c r="B36" s="62">
        <v>35</v>
      </c>
      <c r="C36" s="51" t="s">
        <v>340</v>
      </c>
    </row>
    <row r="37" spans="2:4" x14ac:dyDescent="0.3">
      <c r="B37" s="50">
        <v>36</v>
      </c>
      <c r="C37" s="51" t="s">
        <v>351</v>
      </c>
    </row>
    <row r="38" spans="2:4" x14ac:dyDescent="0.3">
      <c r="B38" s="50">
        <f t="shared" ref="B38:B44" si="0">B37+1</f>
        <v>37</v>
      </c>
      <c r="C38" s="50" t="s">
        <v>347</v>
      </c>
    </row>
    <row r="39" spans="2:4" x14ac:dyDescent="0.3">
      <c r="B39" s="50">
        <f t="shared" si="0"/>
        <v>38</v>
      </c>
      <c r="C39" s="50" t="s">
        <v>348</v>
      </c>
    </row>
    <row r="40" spans="2:4" x14ac:dyDescent="0.3">
      <c r="B40" s="50">
        <f t="shared" si="0"/>
        <v>39</v>
      </c>
      <c r="C40" s="50" t="s">
        <v>349</v>
      </c>
    </row>
    <row r="41" spans="2:4" x14ac:dyDescent="0.3">
      <c r="B41" s="50">
        <f t="shared" si="0"/>
        <v>40</v>
      </c>
      <c r="C41" s="50" t="s">
        <v>350</v>
      </c>
    </row>
    <row r="42" spans="2:4" ht="29.4" thickBot="1" x14ac:dyDescent="0.35">
      <c r="B42" s="71">
        <f t="shared" si="0"/>
        <v>41</v>
      </c>
      <c r="C42" s="72" t="s">
        <v>352</v>
      </c>
    </row>
    <row r="43" spans="2:4" ht="28.8" x14ac:dyDescent="0.3">
      <c r="B43" s="75">
        <f t="shared" si="0"/>
        <v>42</v>
      </c>
      <c r="C43" s="80" t="s">
        <v>357</v>
      </c>
      <c r="D43" t="s">
        <v>358</v>
      </c>
    </row>
    <row r="44" spans="2:4" ht="15" thickBot="1" x14ac:dyDescent="0.35">
      <c r="B44" s="77">
        <f t="shared" si="0"/>
        <v>43</v>
      </c>
      <c r="C44" s="79" t="s">
        <v>353</v>
      </c>
    </row>
    <row r="45" spans="2:4" ht="15" thickBot="1" x14ac:dyDescent="0.35">
      <c r="B45" s="73">
        <f t="shared" ref="B45:B49" si="1">B44+1</f>
        <v>44</v>
      </c>
      <c r="C45" s="74" t="s">
        <v>354</v>
      </c>
    </row>
    <row r="46" spans="2:4" ht="28.8" x14ac:dyDescent="0.3">
      <c r="B46" s="75">
        <f t="shared" si="1"/>
        <v>45</v>
      </c>
      <c r="C46" s="76" t="s">
        <v>355</v>
      </c>
    </row>
    <row r="47" spans="2:4" ht="15" thickBot="1" x14ac:dyDescent="0.35">
      <c r="B47" s="77">
        <f t="shared" si="1"/>
        <v>46</v>
      </c>
      <c r="C47" s="78" t="s">
        <v>356</v>
      </c>
    </row>
    <row r="48" spans="2:4" x14ac:dyDescent="0.3">
      <c r="B48" s="81">
        <f t="shared" si="1"/>
        <v>47</v>
      </c>
      <c r="C48" s="82" t="s">
        <v>359</v>
      </c>
    </row>
    <row r="49" spans="2:3" x14ac:dyDescent="0.3">
      <c r="B49" s="81">
        <f t="shared" si="1"/>
        <v>48</v>
      </c>
      <c r="C49" s="82" t="s">
        <v>360</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09375" defaultRowHeight="14.4" x14ac:dyDescent="0.3"/>
  <cols>
    <col min="1" max="1" width="9.109375" style="47"/>
    <col min="2" max="2" width="12.33203125" style="47" customWidth="1"/>
    <col min="3" max="16384" width="9.109375" style="47"/>
  </cols>
  <sheetData>
    <row r="2" spans="1:12" x14ac:dyDescent="0.3">
      <c r="B2" s="56" t="s">
        <v>291</v>
      </c>
      <c r="C2" s="229"/>
      <c r="D2" s="229"/>
    </row>
    <row r="3" spans="1:12" x14ac:dyDescent="0.3">
      <c r="D3" s="57"/>
      <c r="E3" s="57"/>
      <c r="F3" s="57"/>
      <c r="G3" s="57"/>
      <c r="H3" s="57"/>
      <c r="I3" s="57"/>
    </row>
    <row r="4" spans="1:12" x14ac:dyDescent="0.3">
      <c r="A4" s="56" t="s">
        <v>65</v>
      </c>
      <c r="B4" s="58" t="s">
        <v>292</v>
      </c>
      <c r="C4" s="230" t="s">
        <v>293</v>
      </c>
      <c r="D4" s="230"/>
      <c r="E4" s="230"/>
      <c r="F4" s="58"/>
      <c r="G4" s="231" t="s">
        <v>294</v>
      </c>
      <c r="H4" s="231"/>
      <c r="I4" s="231"/>
      <c r="J4" s="232" t="s">
        <v>295</v>
      </c>
      <c r="K4" s="232"/>
      <c r="L4" s="232"/>
    </row>
    <row r="5" spans="1:12" x14ac:dyDescent="0.3">
      <c r="A5" s="56"/>
      <c r="B5" s="58"/>
      <c r="C5" s="58" t="s">
        <v>296</v>
      </c>
      <c r="D5" s="58" t="s">
        <v>297</v>
      </c>
      <c r="E5" s="58" t="s">
        <v>298</v>
      </c>
      <c r="F5" s="58"/>
      <c r="G5" s="58" t="s">
        <v>296</v>
      </c>
      <c r="H5" s="58" t="s">
        <v>297</v>
      </c>
      <c r="I5" s="58" t="s">
        <v>298</v>
      </c>
      <c r="J5" s="58" t="s">
        <v>296</v>
      </c>
      <c r="K5" s="58" t="s">
        <v>297</v>
      </c>
      <c r="L5" s="58" t="s">
        <v>298</v>
      </c>
    </row>
    <row r="6" spans="1:12" x14ac:dyDescent="0.3">
      <c r="B6" s="48" t="s">
        <v>299</v>
      </c>
      <c r="C6" s="48"/>
      <c r="D6" s="48"/>
      <c r="E6" s="48">
        <f>C6*D6</f>
        <v>0</v>
      </c>
      <c r="F6" s="48" t="s">
        <v>316</v>
      </c>
      <c r="G6" s="48"/>
      <c r="H6" s="48"/>
      <c r="I6" s="48">
        <f>G6*H6</f>
        <v>0</v>
      </c>
      <c r="J6" s="48"/>
      <c r="K6" s="48"/>
      <c r="L6" s="48">
        <f>J6*K6</f>
        <v>0</v>
      </c>
    </row>
    <row r="7" spans="1:12" x14ac:dyDescent="0.3">
      <c r="B7" s="48"/>
      <c r="C7" s="48"/>
      <c r="D7" s="48"/>
      <c r="E7" s="48">
        <f t="shared" ref="E7:E41" si="0">C7*D7</f>
        <v>0</v>
      </c>
      <c r="F7" s="48" t="s">
        <v>316</v>
      </c>
      <c r="G7" s="48"/>
      <c r="H7" s="48"/>
      <c r="I7" s="48">
        <f t="shared" ref="I7:I35" si="1">G7*H7</f>
        <v>0</v>
      </c>
      <c r="J7" s="48"/>
      <c r="K7" s="48"/>
      <c r="L7" s="48">
        <f t="shared" ref="L7:L35" si="2">J7*K7</f>
        <v>0</v>
      </c>
    </row>
    <row r="8" spans="1:12" x14ac:dyDescent="0.3">
      <c r="B8" s="48"/>
      <c r="C8" s="48"/>
      <c r="D8" s="48"/>
      <c r="E8" s="48">
        <f t="shared" si="0"/>
        <v>0</v>
      </c>
      <c r="F8" s="48"/>
      <c r="G8" s="48"/>
      <c r="H8" s="48"/>
      <c r="I8" s="48">
        <f t="shared" si="1"/>
        <v>0</v>
      </c>
      <c r="J8" s="48"/>
      <c r="K8" s="48"/>
      <c r="L8" s="48">
        <f t="shared" si="2"/>
        <v>0</v>
      </c>
    </row>
    <row r="9" spans="1:12" x14ac:dyDescent="0.3">
      <c r="B9" s="48"/>
      <c r="C9" s="48"/>
      <c r="D9" s="48"/>
      <c r="E9" s="48">
        <f t="shared" si="0"/>
        <v>0</v>
      </c>
      <c r="F9" s="48" t="s">
        <v>300</v>
      </c>
      <c r="G9" s="48"/>
      <c r="H9" s="48"/>
      <c r="I9" s="48">
        <f t="shared" si="1"/>
        <v>0</v>
      </c>
      <c r="J9" s="48"/>
      <c r="K9" s="48"/>
      <c r="L9" s="48">
        <f t="shared" si="2"/>
        <v>0</v>
      </c>
    </row>
    <row r="10" spans="1:12" x14ac:dyDescent="0.3">
      <c r="B10" s="48" t="s">
        <v>301</v>
      </c>
      <c r="C10" s="48"/>
      <c r="D10" s="48"/>
      <c r="E10" s="48">
        <f t="shared" si="0"/>
        <v>0</v>
      </c>
      <c r="F10" s="48" t="s">
        <v>300</v>
      </c>
      <c r="G10" s="48"/>
      <c r="H10" s="48"/>
      <c r="I10" s="48">
        <f t="shared" si="1"/>
        <v>0</v>
      </c>
      <c r="J10" s="48"/>
      <c r="K10" s="48"/>
      <c r="L10" s="48">
        <f t="shared" si="2"/>
        <v>0</v>
      </c>
    </row>
    <row r="11" spans="1:12" x14ac:dyDescent="0.3">
      <c r="B11" s="48"/>
      <c r="C11" s="48"/>
      <c r="D11" s="48"/>
      <c r="E11" s="48">
        <f t="shared" si="0"/>
        <v>0</v>
      </c>
      <c r="F11" s="48" t="s">
        <v>302</v>
      </c>
      <c r="G11" s="48"/>
      <c r="H11" s="48"/>
      <c r="I11" s="48">
        <f t="shared" si="1"/>
        <v>0</v>
      </c>
      <c r="J11" s="48"/>
      <c r="K11" s="48"/>
      <c r="L11" s="48">
        <f t="shared" si="2"/>
        <v>0</v>
      </c>
    </row>
    <row r="12" spans="1:12" x14ac:dyDescent="0.3">
      <c r="B12" s="48"/>
      <c r="C12" s="48"/>
      <c r="D12" s="48"/>
      <c r="E12" s="48">
        <f t="shared" si="0"/>
        <v>0</v>
      </c>
      <c r="F12" s="48"/>
      <c r="G12" s="48"/>
      <c r="H12" s="48"/>
      <c r="I12" s="48">
        <f t="shared" si="1"/>
        <v>0</v>
      </c>
      <c r="J12" s="48"/>
      <c r="K12" s="48"/>
      <c r="L12" s="48">
        <f t="shared" si="2"/>
        <v>0</v>
      </c>
    </row>
    <row r="13" spans="1:12" x14ac:dyDescent="0.3">
      <c r="B13" s="48"/>
      <c r="C13" s="48"/>
      <c r="D13" s="48"/>
      <c r="E13" s="48">
        <f t="shared" si="0"/>
        <v>0</v>
      </c>
      <c r="F13" s="48"/>
      <c r="G13" s="48"/>
      <c r="H13" s="48"/>
      <c r="I13" s="48">
        <f t="shared" si="1"/>
        <v>0</v>
      </c>
      <c r="J13" s="48"/>
      <c r="K13" s="48"/>
      <c r="L13" s="48">
        <f t="shared" si="2"/>
        <v>0</v>
      </c>
    </row>
    <row r="14" spans="1:12" x14ac:dyDescent="0.3">
      <c r="B14" s="48" t="s">
        <v>303</v>
      </c>
      <c r="C14" s="48"/>
      <c r="D14" s="48"/>
      <c r="E14" s="48">
        <f t="shared" si="0"/>
        <v>0</v>
      </c>
      <c r="F14" s="48" t="s">
        <v>300</v>
      </c>
      <c r="G14" s="48"/>
      <c r="H14" s="48"/>
      <c r="I14" s="48">
        <f t="shared" si="1"/>
        <v>0</v>
      </c>
      <c r="J14" s="48"/>
      <c r="K14" s="48"/>
      <c r="L14" s="48">
        <f t="shared" si="2"/>
        <v>0</v>
      </c>
    </row>
    <row r="15" spans="1:12" x14ac:dyDescent="0.3">
      <c r="B15" s="48"/>
      <c r="C15" s="48"/>
      <c r="D15" s="48"/>
      <c r="E15" s="48">
        <f t="shared" si="0"/>
        <v>0</v>
      </c>
      <c r="F15" s="48" t="s">
        <v>302</v>
      </c>
      <c r="G15" s="48"/>
      <c r="H15" s="48"/>
      <c r="I15" s="48">
        <f t="shared" si="1"/>
        <v>0</v>
      </c>
      <c r="J15" s="48"/>
      <c r="K15" s="48"/>
      <c r="L15" s="48">
        <f t="shared" si="2"/>
        <v>0</v>
      </c>
    </row>
    <row r="16" spans="1:12" x14ac:dyDescent="0.3">
      <c r="B16" s="48"/>
      <c r="C16" s="48"/>
      <c r="D16" s="48"/>
      <c r="E16" s="48">
        <f t="shared" si="0"/>
        <v>0</v>
      </c>
      <c r="F16" s="48"/>
      <c r="G16" s="48"/>
      <c r="H16" s="48"/>
      <c r="I16" s="48">
        <f t="shared" si="1"/>
        <v>0</v>
      </c>
      <c r="J16" s="48"/>
      <c r="K16" s="48"/>
      <c r="L16" s="48">
        <f t="shared" si="2"/>
        <v>0</v>
      </c>
    </row>
    <row r="17" spans="2:12" x14ac:dyDescent="0.3">
      <c r="B17" s="48"/>
      <c r="C17" s="48"/>
      <c r="D17" s="48"/>
      <c r="E17" s="48">
        <f t="shared" si="0"/>
        <v>0</v>
      </c>
      <c r="F17" s="48"/>
      <c r="G17" s="48"/>
      <c r="H17" s="48"/>
      <c r="I17" s="48">
        <f t="shared" si="1"/>
        <v>0</v>
      </c>
      <c r="J17" s="48"/>
      <c r="K17" s="48"/>
      <c r="L17" s="48">
        <f t="shared" si="2"/>
        <v>0</v>
      </c>
    </row>
    <row r="18" spans="2:12" x14ac:dyDescent="0.3">
      <c r="B18" s="48" t="s">
        <v>304</v>
      </c>
      <c r="C18" s="48"/>
      <c r="D18" s="48"/>
      <c r="E18" s="48">
        <f t="shared" si="0"/>
        <v>0</v>
      </c>
      <c r="F18" s="48" t="s">
        <v>300</v>
      </c>
      <c r="G18" s="48"/>
      <c r="H18" s="48"/>
      <c r="I18" s="48">
        <f t="shared" si="1"/>
        <v>0</v>
      </c>
      <c r="J18" s="48"/>
      <c r="K18" s="48"/>
      <c r="L18" s="48">
        <f t="shared" si="2"/>
        <v>0</v>
      </c>
    </row>
    <row r="19" spans="2:12" x14ac:dyDescent="0.3">
      <c r="B19" s="48"/>
      <c r="C19" s="48"/>
      <c r="D19" s="48"/>
      <c r="E19" s="48">
        <f t="shared" si="0"/>
        <v>0</v>
      </c>
      <c r="F19" s="48" t="s">
        <v>302</v>
      </c>
      <c r="G19" s="48"/>
      <c r="H19" s="48"/>
      <c r="I19" s="48">
        <f t="shared" si="1"/>
        <v>0</v>
      </c>
      <c r="J19" s="48"/>
      <c r="K19" s="48"/>
      <c r="L19" s="48">
        <f t="shared" si="2"/>
        <v>0</v>
      </c>
    </row>
    <row r="20" spans="2:12" x14ac:dyDescent="0.3">
      <c r="B20" s="48"/>
      <c r="C20" s="48"/>
      <c r="D20" s="48"/>
      <c r="E20" s="48">
        <f t="shared" si="0"/>
        <v>0</v>
      </c>
      <c r="F20" s="48"/>
      <c r="G20" s="48"/>
      <c r="H20" s="48"/>
      <c r="I20" s="48">
        <f t="shared" si="1"/>
        <v>0</v>
      </c>
      <c r="J20" s="48"/>
      <c r="K20" s="48"/>
      <c r="L20" s="48">
        <f t="shared" si="2"/>
        <v>0</v>
      </c>
    </row>
    <row r="21" spans="2:12" x14ac:dyDescent="0.3">
      <c r="B21" s="48" t="s">
        <v>305</v>
      </c>
      <c r="C21" s="48"/>
      <c r="D21" s="48"/>
      <c r="E21" s="48">
        <f t="shared" si="0"/>
        <v>0</v>
      </c>
      <c r="F21" s="48" t="s">
        <v>300</v>
      </c>
      <c r="G21" s="48"/>
      <c r="H21" s="48"/>
      <c r="I21" s="48">
        <f t="shared" si="1"/>
        <v>0</v>
      </c>
      <c r="J21" s="48"/>
      <c r="K21" s="48"/>
      <c r="L21" s="48">
        <f t="shared" si="2"/>
        <v>0</v>
      </c>
    </row>
    <row r="22" spans="2:12" x14ac:dyDescent="0.3">
      <c r="B22" s="48"/>
      <c r="C22" s="48"/>
      <c r="D22" s="48"/>
      <c r="E22" s="48">
        <f t="shared" si="0"/>
        <v>0</v>
      </c>
      <c r="F22" s="48" t="s">
        <v>302</v>
      </c>
      <c r="G22" s="48"/>
      <c r="H22" s="48"/>
      <c r="I22" s="48">
        <f t="shared" si="1"/>
        <v>0</v>
      </c>
      <c r="J22" s="48"/>
      <c r="K22" s="48"/>
      <c r="L22" s="48">
        <f t="shared" si="2"/>
        <v>0</v>
      </c>
    </row>
    <row r="23" spans="2:12" x14ac:dyDescent="0.3">
      <c r="B23" s="48"/>
      <c r="C23" s="48"/>
      <c r="D23" s="48"/>
      <c r="E23" s="48">
        <f t="shared" si="0"/>
        <v>0</v>
      </c>
      <c r="F23" s="48"/>
      <c r="G23" s="48"/>
      <c r="H23" s="48"/>
      <c r="I23" s="48">
        <f t="shared" si="1"/>
        <v>0</v>
      </c>
      <c r="J23" s="48"/>
      <c r="K23" s="48"/>
      <c r="L23" s="48">
        <f t="shared" si="2"/>
        <v>0</v>
      </c>
    </row>
    <row r="24" spans="2:12" x14ac:dyDescent="0.3">
      <c r="B24" s="48" t="s">
        <v>306</v>
      </c>
      <c r="C24" s="48"/>
      <c r="D24" s="48"/>
      <c r="E24" s="48">
        <f t="shared" si="0"/>
        <v>0</v>
      </c>
      <c r="F24" s="48" t="s">
        <v>307</v>
      </c>
      <c r="G24" s="48"/>
      <c r="H24" s="48"/>
      <c r="I24" s="48">
        <f t="shared" si="1"/>
        <v>0</v>
      </c>
      <c r="J24" s="48"/>
      <c r="K24" s="48"/>
      <c r="L24" s="48">
        <f t="shared" si="2"/>
        <v>0</v>
      </c>
    </row>
    <row r="25" spans="2:12" x14ac:dyDescent="0.3">
      <c r="B25" s="48"/>
      <c r="C25" s="48"/>
      <c r="D25" s="48"/>
      <c r="E25" s="48">
        <f>C25*D25</f>
        <v>0</v>
      </c>
      <c r="F25" s="48" t="s">
        <v>307</v>
      </c>
      <c r="G25" s="48"/>
      <c r="H25" s="48"/>
      <c r="I25" s="48">
        <f>G25*H25</f>
        <v>0</v>
      </c>
      <c r="J25" s="48"/>
      <c r="K25" s="48"/>
      <c r="L25" s="48">
        <f>J25*K25</f>
        <v>0</v>
      </c>
    </row>
    <row r="26" spans="2:12" x14ac:dyDescent="0.3">
      <c r="B26" s="48"/>
      <c r="C26" s="48"/>
      <c r="D26" s="48"/>
      <c r="E26" s="48">
        <f>C26*D26</f>
        <v>0</v>
      </c>
      <c r="F26" s="48" t="s">
        <v>307</v>
      </c>
      <c r="G26" s="48"/>
      <c r="H26" s="48"/>
      <c r="I26" s="48">
        <f>G26*H26</f>
        <v>0</v>
      </c>
      <c r="J26" s="48"/>
      <c r="K26" s="48"/>
      <c r="L26" s="48">
        <f>J26*K26</f>
        <v>0</v>
      </c>
    </row>
    <row r="27" spans="2:12" x14ac:dyDescent="0.3">
      <c r="B27" s="48"/>
      <c r="C27" s="48"/>
      <c r="D27" s="48"/>
      <c r="E27" s="48">
        <f>C27*D27</f>
        <v>0</v>
      </c>
      <c r="F27" s="48" t="s">
        <v>307</v>
      </c>
      <c r="G27" s="48"/>
      <c r="H27" s="48"/>
      <c r="I27" s="48">
        <f>G27*H27</f>
        <v>0</v>
      </c>
      <c r="J27" s="48"/>
      <c r="K27" s="48"/>
      <c r="L27" s="48">
        <f>J27*K27</f>
        <v>0</v>
      </c>
    </row>
    <row r="28" spans="2:12" x14ac:dyDescent="0.3">
      <c r="B28" s="48" t="s">
        <v>308</v>
      </c>
      <c r="C28" s="48"/>
      <c r="D28" s="48"/>
      <c r="E28" s="48">
        <f t="shared" si="0"/>
        <v>0</v>
      </c>
      <c r="F28" s="48" t="s">
        <v>307</v>
      </c>
      <c r="G28" s="48"/>
      <c r="H28" s="48"/>
      <c r="I28" s="48">
        <f t="shared" si="1"/>
        <v>0</v>
      </c>
      <c r="J28" s="48"/>
      <c r="K28" s="48"/>
      <c r="L28" s="48">
        <f t="shared" si="2"/>
        <v>0</v>
      </c>
    </row>
    <row r="29" spans="2:12" x14ac:dyDescent="0.3">
      <c r="B29" s="48" t="s">
        <v>309</v>
      </c>
      <c r="C29" s="48"/>
      <c r="D29" s="48"/>
      <c r="E29" s="48">
        <f t="shared" si="0"/>
        <v>0</v>
      </c>
      <c r="F29" s="48" t="s">
        <v>307</v>
      </c>
      <c r="G29" s="48"/>
      <c r="H29" s="48"/>
      <c r="I29" s="48">
        <f t="shared" si="1"/>
        <v>0</v>
      </c>
      <c r="J29" s="48"/>
      <c r="K29" s="48"/>
      <c r="L29" s="48">
        <f t="shared" si="2"/>
        <v>0</v>
      </c>
    </row>
    <row r="30" spans="2:12" x14ac:dyDescent="0.3">
      <c r="B30" s="48" t="s">
        <v>313</v>
      </c>
      <c r="C30" s="48"/>
      <c r="D30" s="48"/>
      <c r="E30" s="48">
        <f t="shared" si="0"/>
        <v>0</v>
      </c>
      <c r="F30" s="48"/>
      <c r="G30" s="48"/>
      <c r="H30" s="48"/>
      <c r="I30" s="48">
        <f t="shared" si="1"/>
        <v>0</v>
      </c>
      <c r="J30" s="48"/>
      <c r="K30" s="48"/>
      <c r="L30" s="48">
        <f t="shared" si="2"/>
        <v>0</v>
      </c>
    </row>
    <row r="31" spans="2:12" x14ac:dyDescent="0.3">
      <c r="B31" s="48"/>
      <c r="C31" s="48"/>
      <c r="D31" s="48"/>
      <c r="E31" s="48">
        <f>C31*D31</f>
        <v>0</v>
      </c>
      <c r="F31" s="48"/>
      <c r="G31" s="48"/>
      <c r="H31" s="48"/>
      <c r="I31" s="48">
        <f>G31*H31</f>
        <v>0</v>
      </c>
      <c r="J31" s="48"/>
      <c r="K31" s="48"/>
      <c r="L31" s="48">
        <f>J31*K31</f>
        <v>0</v>
      </c>
    </row>
    <row r="32" spans="2:12" x14ac:dyDescent="0.3">
      <c r="B32" s="48"/>
      <c r="C32" s="48"/>
      <c r="D32" s="48"/>
      <c r="E32" s="48">
        <f>C32*D32</f>
        <v>0</v>
      </c>
      <c r="F32" s="48"/>
      <c r="G32" s="48"/>
      <c r="H32" s="48"/>
      <c r="I32" s="48">
        <f>G32*H32</f>
        <v>0</v>
      </c>
      <c r="J32" s="48"/>
      <c r="K32" s="48"/>
      <c r="L32" s="48">
        <f>J32*K32</f>
        <v>0</v>
      </c>
    </row>
    <row r="33" spans="2:12" x14ac:dyDescent="0.3">
      <c r="B33" s="48" t="s">
        <v>310</v>
      </c>
      <c r="C33" s="48"/>
      <c r="D33" s="48"/>
      <c r="E33" s="48">
        <f t="shared" si="0"/>
        <v>0</v>
      </c>
      <c r="F33" s="48"/>
      <c r="G33" s="48"/>
      <c r="H33" s="48"/>
      <c r="I33" s="48">
        <f t="shared" si="1"/>
        <v>0</v>
      </c>
      <c r="J33" s="48"/>
      <c r="K33" s="48"/>
      <c r="L33" s="48">
        <f t="shared" si="2"/>
        <v>0</v>
      </c>
    </row>
    <row r="34" spans="2:12" x14ac:dyDescent="0.3">
      <c r="B34" s="48" t="s">
        <v>314</v>
      </c>
      <c r="C34" s="48"/>
      <c r="D34" s="48"/>
      <c r="E34" s="48">
        <f t="shared" si="0"/>
        <v>0</v>
      </c>
      <c r="F34" s="48"/>
      <c r="G34" s="48"/>
      <c r="H34" s="48"/>
      <c r="I34" s="48">
        <f t="shared" si="1"/>
        <v>0</v>
      </c>
      <c r="J34" s="48"/>
      <c r="K34" s="48"/>
      <c r="L34" s="48">
        <f t="shared" si="2"/>
        <v>0</v>
      </c>
    </row>
    <row r="35" spans="2:12" x14ac:dyDescent="0.3">
      <c r="B35" s="48" t="s">
        <v>311</v>
      </c>
      <c r="C35" s="48"/>
      <c r="D35" s="48"/>
      <c r="E35" s="48">
        <f t="shared" si="0"/>
        <v>0</v>
      </c>
      <c r="F35" s="48"/>
      <c r="G35" s="48"/>
      <c r="H35" s="48"/>
      <c r="I35" s="48">
        <f t="shared" si="1"/>
        <v>0</v>
      </c>
      <c r="J35" s="48"/>
      <c r="K35" s="48"/>
      <c r="L35" s="48">
        <f t="shared" si="2"/>
        <v>0</v>
      </c>
    </row>
    <row r="36" spans="2:12" x14ac:dyDescent="0.3">
      <c r="B36" s="48" t="s">
        <v>312</v>
      </c>
      <c r="C36" s="48"/>
      <c r="D36" s="48"/>
      <c r="E36" s="48">
        <f t="shared" si="0"/>
        <v>0</v>
      </c>
      <c r="F36" s="48"/>
      <c r="G36" s="48"/>
      <c r="H36" s="48"/>
      <c r="I36" s="48">
        <f t="shared" ref="I36:I41" si="3">G36*H36</f>
        <v>0</v>
      </c>
      <c r="J36" s="48"/>
      <c r="K36" s="48"/>
      <c r="L36" s="48">
        <f t="shared" ref="L36:L41" si="4">J36*K36</f>
        <v>0</v>
      </c>
    </row>
    <row r="37" spans="2:12" x14ac:dyDescent="0.3">
      <c r="B37" s="48"/>
      <c r="C37" s="48"/>
      <c r="D37" s="48"/>
      <c r="E37" s="48">
        <f>C37*D37</f>
        <v>0</v>
      </c>
      <c r="F37" s="48"/>
      <c r="G37" s="48"/>
      <c r="H37" s="48"/>
      <c r="I37" s="48">
        <f t="shared" si="3"/>
        <v>0</v>
      </c>
      <c r="J37" s="48"/>
      <c r="K37" s="48"/>
      <c r="L37" s="48">
        <f t="shared" si="4"/>
        <v>0</v>
      </c>
    </row>
    <row r="38" spans="2:12" x14ac:dyDescent="0.3">
      <c r="B38" s="48" t="s">
        <v>315</v>
      </c>
      <c r="C38" s="48"/>
      <c r="D38" s="48"/>
      <c r="E38" s="48">
        <f>C38*D38</f>
        <v>0</v>
      </c>
      <c r="F38" s="48"/>
      <c r="G38" s="48"/>
      <c r="H38" s="48"/>
      <c r="I38" s="48">
        <f t="shared" si="3"/>
        <v>0</v>
      </c>
      <c r="J38" s="48"/>
      <c r="K38" s="48"/>
      <c r="L38" s="48">
        <f t="shared" si="4"/>
        <v>0</v>
      </c>
    </row>
    <row r="39" spans="2:12" x14ac:dyDescent="0.3">
      <c r="B39" s="48"/>
      <c r="C39" s="48"/>
      <c r="D39" s="48"/>
      <c r="E39" s="48">
        <f t="shared" si="0"/>
        <v>0</v>
      </c>
      <c r="F39" s="48"/>
      <c r="G39" s="48"/>
      <c r="H39" s="48"/>
      <c r="I39" s="48">
        <f t="shared" si="3"/>
        <v>0</v>
      </c>
      <c r="J39" s="48"/>
      <c r="K39" s="48"/>
      <c r="L39" s="48">
        <f t="shared" si="4"/>
        <v>0</v>
      </c>
    </row>
    <row r="40" spans="2:12" x14ac:dyDescent="0.3">
      <c r="B40" s="48"/>
      <c r="C40" s="48"/>
      <c r="D40" s="48"/>
      <c r="E40" s="48">
        <f t="shared" si="0"/>
        <v>0</v>
      </c>
      <c r="F40" s="48"/>
      <c r="G40" s="48"/>
      <c r="H40" s="48"/>
      <c r="I40" s="48">
        <f t="shared" si="3"/>
        <v>0</v>
      </c>
      <c r="J40" s="48"/>
      <c r="K40" s="48"/>
      <c r="L40" s="48">
        <f t="shared" si="4"/>
        <v>0</v>
      </c>
    </row>
    <row r="41" spans="2:12" x14ac:dyDescent="0.3">
      <c r="B41" s="48"/>
      <c r="C41" s="48"/>
      <c r="D41" s="48"/>
      <c r="E41" s="48">
        <f t="shared" si="0"/>
        <v>0</v>
      </c>
      <c r="F41" s="48"/>
      <c r="G41" s="48"/>
      <c r="H41" s="48"/>
      <c r="I41" s="48">
        <f t="shared" si="3"/>
        <v>0</v>
      </c>
      <c r="J41" s="48"/>
      <c r="K41" s="48"/>
      <c r="L41" s="48">
        <f t="shared" si="4"/>
        <v>0</v>
      </c>
    </row>
    <row r="42" spans="2:12" x14ac:dyDescent="0.3">
      <c r="B42" s="48" t="s">
        <v>142</v>
      </c>
      <c r="C42" s="48"/>
      <c r="D42" s="48">
        <f>E42*10.764</f>
        <v>0</v>
      </c>
      <c r="E42" s="61">
        <f>SUM(E6:E41)</f>
        <v>0</v>
      </c>
      <c r="F42" s="48"/>
      <c r="G42" s="48"/>
      <c r="H42" s="48">
        <f>I42*10.764</f>
        <v>0</v>
      </c>
      <c r="I42" s="60">
        <f>SUM(I6:I41)</f>
        <v>0</v>
      </c>
      <c r="J42" s="48"/>
      <c r="K42" s="48">
        <f>L42*10.764</f>
        <v>0</v>
      </c>
      <c r="L42" s="59">
        <f>SUM(L6:L41)</f>
        <v>0</v>
      </c>
    </row>
    <row r="44" spans="2:12" x14ac:dyDescent="0.3">
      <c r="D44" s="47">
        <f>D42+H42</f>
        <v>0</v>
      </c>
      <c r="E44" s="47">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pranitam503@gmail.com</cp:lastModifiedBy>
  <cp:lastPrinted>2025-08-19T10:02:14Z</cp:lastPrinted>
  <dcterms:created xsi:type="dcterms:W3CDTF">2019-07-16T09:29:46Z</dcterms:created>
  <dcterms:modified xsi:type="dcterms:W3CDTF">2025-08-19T10:04:56Z</dcterms:modified>
</cp:coreProperties>
</file>