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SJC-06\Downloads\REvised\"/>
    </mc:Choice>
  </mc:AlternateContent>
  <bookViews>
    <workbookView xWindow="0" yWindow="0" windowWidth="20490" windowHeight="7020"/>
  </bookViews>
  <sheets>
    <sheet name="Report" sheetId="1" r:id="rId1"/>
    <sheet name="Flat detail" sheetId="3" r:id="rId2"/>
    <sheet name="Note" sheetId="4" r:id="rId3"/>
    <sheet name="valuation" sheetId="5" r:id="rId4"/>
  </sheets>
  <definedNames>
    <definedName name="_xlnm.Print_Area" localSheetId="0">Report!$A$1:$H$513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92" i="1" l="1"/>
  <c r="N192" i="1" s="1"/>
  <c r="I113" i="1"/>
  <c r="J196" i="1"/>
  <c r="D308" i="1"/>
  <c r="F308" i="1" s="1"/>
  <c r="D307" i="1"/>
  <c r="F307" i="1" s="1"/>
  <c r="D306" i="1"/>
  <c r="F306" i="1" s="1"/>
  <c r="D305" i="1"/>
  <c r="F305" i="1" s="1"/>
  <c r="D304" i="1"/>
  <c r="F304" i="1" s="1"/>
  <c r="D303" i="1"/>
  <c r="F303" i="1" s="1"/>
  <c r="D302" i="1"/>
  <c r="F302" i="1" s="1"/>
  <c r="D301" i="1"/>
  <c r="F301" i="1" s="1"/>
  <c r="D300" i="1"/>
  <c r="F300" i="1" s="1"/>
  <c r="D299" i="1"/>
  <c r="F299" i="1" s="1"/>
  <c r="D298" i="1"/>
  <c r="F298" i="1" s="1"/>
  <c r="D297" i="1"/>
  <c r="F297" i="1" s="1"/>
  <c r="D296" i="1"/>
  <c r="F296" i="1" s="1"/>
  <c r="D295" i="1"/>
  <c r="F295" i="1" s="1"/>
  <c r="D294" i="1"/>
  <c r="F294" i="1" s="1"/>
  <c r="G293" i="1"/>
  <c r="D293" i="1"/>
  <c r="F293" i="1" s="1"/>
  <c r="M189" i="1"/>
  <c r="F238" i="1"/>
  <c r="D238" i="1"/>
  <c r="D237" i="1"/>
  <c r="F237" i="1" s="1"/>
  <c r="D236" i="1"/>
  <c r="F236" i="1" s="1"/>
  <c r="D235" i="1"/>
  <c r="F235" i="1" s="1"/>
  <c r="D234" i="1"/>
  <c r="F234" i="1" s="1"/>
  <c r="D233" i="1"/>
  <c r="F233" i="1" s="1"/>
  <c r="D232" i="1"/>
  <c r="F232" i="1" s="1"/>
  <c r="D231" i="1"/>
  <c r="F231" i="1" s="1"/>
  <c r="D230" i="1"/>
  <c r="F230" i="1" s="1"/>
  <c r="D229" i="1"/>
  <c r="F229" i="1" s="1"/>
  <c r="D228" i="1"/>
  <c r="F228" i="1" s="1"/>
  <c r="D227" i="1"/>
  <c r="F227" i="1" s="1"/>
  <c r="D226" i="1"/>
  <c r="F226" i="1" s="1"/>
  <c r="D225" i="1"/>
  <c r="F225" i="1" s="1"/>
  <c r="D224" i="1"/>
  <c r="F224" i="1" s="1"/>
  <c r="G223" i="1"/>
  <c r="D223" i="1"/>
  <c r="F223" i="1" s="1"/>
  <c r="D291" i="1"/>
  <c r="F291" i="1" s="1"/>
  <c r="D290" i="1"/>
  <c r="F290" i="1" s="1"/>
  <c r="D289" i="1"/>
  <c r="F289" i="1" s="1"/>
  <c r="D288" i="1"/>
  <c r="F288" i="1" s="1"/>
  <c r="D287" i="1"/>
  <c r="F287" i="1" s="1"/>
  <c r="D285" i="1"/>
  <c r="F285" i="1" s="1"/>
  <c r="D284" i="1"/>
  <c r="F284" i="1" s="1"/>
  <c r="D283" i="1"/>
  <c r="F283" i="1" s="1"/>
  <c r="D282" i="1"/>
  <c r="F282" i="1" s="1"/>
  <c r="D281" i="1"/>
  <c r="F281" i="1" s="1"/>
  <c r="D280" i="1"/>
  <c r="F280" i="1" s="1"/>
  <c r="D279" i="1"/>
  <c r="F279" i="1" s="1"/>
  <c r="D278" i="1"/>
  <c r="F278" i="1" s="1"/>
  <c r="D277" i="1"/>
  <c r="F277" i="1" s="1"/>
  <c r="G276" i="1"/>
  <c r="D276" i="1"/>
  <c r="F276" i="1" s="1"/>
  <c r="D274" i="1"/>
  <c r="F274" i="1" s="1"/>
  <c r="D273" i="1"/>
  <c r="F273" i="1" s="1"/>
  <c r="D272" i="1"/>
  <c r="F272" i="1" s="1"/>
  <c r="D271" i="1"/>
  <c r="F271" i="1" s="1"/>
  <c r="D270" i="1"/>
  <c r="F270" i="1" s="1"/>
  <c r="D269" i="1"/>
  <c r="F269" i="1" s="1"/>
  <c r="D268" i="1"/>
  <c r="F268" i="1" s="1"/>
  <c r="D267" i="1"/>
  <c r="F267" i="1" s="1"/>
  <c r="D266" i="1"/>
  <c r="F266" i="1" s="1"/>
  <c r="D265" i="1"/>
  <c r="F265" i="1" s="1"/>
  <c r="D264" i="1"/>
  <c r="F264" i="1" s="1"/>
  <c r="D263" i="1"/>
  <c r="F263" i="1" s="1"/>
  <c r="D262" i="1"/>
  <c r="F262" i="1" s="1"/>
  <c r="D261" i="1"/>
  <c r="F261" i="1" s="1"/>
  <c r="D260" i="1"/>
  <c r="F260" i="1" s="1"/>
  <c r="G259" i="1"/>
  <c r="D259" i="1"/>
  <c r="F259" i="1" s="1"/>
  <c r="D221" i="1"/>
  <c r="D220" i="1"/>
  <c r="D219" i="1"/>
  <c r="D218" i="1"/>
  <c r="D217" i="1"/>
  <c r="D215" i="1"/>
  <c r="D214" i="1"/>
  <c r="D213" i="1"/>
  <c r="D212" i="1"/>
  <c r="D211" i="1"/>
  <c r="D210" i="1"/>
  <c r="D209" i="1"/>
  <c r="D208" i="1"/>
  <c r="D207" i="1"/>
  <c r="D206" i="1"/>
  <c r="J190" i="1"/>
  <c r="D204" i="1"/>
  <c r="D203" i="1"/>
  <c r="D202" i="1"/>
  <c r="F202" i="1" s="1"/>
  <c r="D201" i="1"/>
  <c r="F201" i="1" s="1"/>
  <c r="D200" i="1"/>
  <c r="F200" i="1" s="1"/>
  <c r="D199" i="1"/>
  <c r="F199" i="1" s="1"/>
  <c r="D198" i="1"/>
  <c r="F198" i="1" s="1"/>
  <c r="D197" i="1"/>
  <c r="F197" i="1" s="1"/>
  <c r="D196" i="1"/>
  <c r="F196" i="1" s="1"/>
  <c r="D195" i="1"/>
  <c r="F195" i="1" s="1"/>
  <c r="D194" i="1"/>
  <c r="F194" i="1" s="1"/>
  <c r="D193" i="1"/>
  <c r="F193" i="1" s="1"/>
  <c r="D192" i="1"/>
  <c r="F192" i="1" s="1"/>
  <c r="J192" i="1" s="1"/>
  <c r="D191" i="1"/>
  <c r="F191" i="1" s="1"/>
  <c r="D190" i="1"/>
  <c r="F190" i="1" s="1"/>
  <c r="D189" i="1"/>
  <c r="F189" i="1" s="1"/>
  <c r="L192" i="1" s="1"/>
  <c r="F204" i="1"/>
  <c r="I190" i="1"/>
  <c r="J189" i="1"/>
  <c r="I189" i="1"/>
  <c r="F203" i="1"/>
  <c r="G189" i="1"/>
  <c r="I173" i="1"/>
  <c r="J194" i="1" l="1"/>
  <c r="N193" i="1"/>
  <c r="K190" i="1"/>
  <c r="K189" i="1"/>
  <c r="E3" i="1" l="1"/>
  <c r="C97" i="1"/>
  <c r="C83" i="1"/>
  <c r="J100" i="1" l="1"/>
  <c r="J99" i="1"/>
  <c r="J98" i="1"/>
  <c r="J97" i="1"/>
  <c r="J86" i="1"/>
  <c r="J85" i="1"/>
  <c r="J84" i="1"/>
  <c r="J83" i="1"/>
  <c r="J72" i="1"/>
  <c r="J71" i="1"/>
  <c r="J70" i="1"/>
  <c r="J69" i="1"/>
  <c r="H63" i="1"/>
  <c r="H91" i="1"/>
  <c r="H77" i="1"/>
  <c r="J95" i="1" l="1"/>
  <c r="D102" i="1"/>
  <c r="D96" i="1"/>
  <c r="J94" i="1"/>
  <c r="C94" i="1" s="1"/>
  <c r="D101" i="1"/>
  <c r="D103" i="1"/>
  <c r="D97" i="1"/>
  <c r="J93" i="1"/>
  <c r="D100" i="1"/>
  <c r="D99" i="1"/>
  <c r="J92" i="1"/>
  <c r="D98" i="1"/>
  <c r="J79" i="1"/>
  <c r="D86" i="1"/>
  <c r="D85" i="1"/>
  <c r="D84" i="1"/>
  <c r="D83" i="1"/>
  <c r="J80" i="1"/>
  <c r="C80" i="1" s="1"/>
  <c r="D80" i="1" s="1"/>
  <c r="D87" i="1"/>
  <c r="D88" i="1"/>
  <c r="D89" i="1"/>
  <c r="J81" i="1"/>
  <c r="D82" i="1"/>
  <c r="J78" i="1"/>
  <c r="D75" i="1"/>
  <c r="D69" i="1"/>
  <c r="J64" i="1"/>
  <c r="J67" i="1"/>
  <c r="J68" i="1" s="1"/>
  <c r="J73" i="1" s="1"/>
  <c r="J74" i="1" s="1"/>
  <c r="D74" i="1"/>
  <c r="J65" i="1"/>
  <c r="D71" i="1"/>
  <c r="D70" i="1"/>
  <c r="D68" i="1"/>
  <c r="D73" i="1"/>
  <c r="J66" i="1"/>
  <c r="D66" i="1" s="1"/>
  <c r="D72" i="1"/>
  <c r="J96" i="1" l="1"/>
  <c r="J101" i="1" s="1"/>
  <c r="J102" i="1" s="1"/>
  <c r="C95" i="1" s="1"/>
  <c r="G94" i="1" s="1"/>
  <c r="D94" i="1"/>
  <c r="J82" i="1"/>
  <c r="J87" i="1" s="1"/>
  <c r="J88" i="1" s="1"/>
  <c r="C81" i="1" s="1"/>
  <c r="E66" i="1"/>
  <c r="I61" i="1" s="1"/>
  <c r="C64" i="1" s="1"/>
  <c r="D67" i="1"/>
  <c r="G66" i="1"/>
  <c r="J212" i="1"/>
  <c r="J208" i="1"/>
  <c r="J222" i="1"/>
  <c r="E94" i="1" l="1"/>
  <c r="I89" i="1" s="1"/>
  <c r="C92" i="1" s="1"/>
  <c r="D95" i="1"/>
  <c r="D81" i="1"/>
  <c r="G80" i="1"/>
  <c r="E80" i="1"/>
  <c r="I75" i="1" s="1"/>
  <c r="C78" i="1" s="1"/>
  <c r="J171" i="1"/>
  <c r="G401" i="1" l="1"/>
  <c r="G384" i="1"/>
  <c r="G365" i="1"/>
  <c r="G348" i="1"/>
  <c r="G329" i="1"/>
  <c r="G312" i="1"/>
  <c r="G242" i="1"/>
  <c r="G206" i="1"/>
  <c r="G172" i="1"/>
  <c r="G153" i="1"/>
  <c r="G136" i="1"/>
  <c r="F6" i="5"/>
  <c r="F7" i="5"/>
  <c r="F8" i="5"/>
  <c r="F9" i="5"/>
  <c r="F10" i="5"/>
  <c r="F5" i="5"/>
  <c r="D416" i="1"/>
  <c r="F416" i="1" s="1"/>
  <c r="D415" i="1"/>
  <c r="F415" i="1" s="1"/>
  <c r="D414" i="1"/>
  <c r="F414" i="1" s="1"/>
  <c r="D413" i="1"/>
  <c r="F413" i="1" s="1"/>
  <c r="D412" i="1"/>
  <c r="F412" i="1" s="1"/>
  <c r="D411" i="1"/>
  <c r="F411" i="1" s="1"/>
  <c r="D409" i="1"/>
  <c r="F409" i="1" s="1"/>
  <c r="D408" i="1"/>
  <c r="F408" i="1" s="1"/>
  <c r="D407" i="1"/>
  <c r="F407" i="1" s="1"/>
  <c r="D406" i="1"/>
  <c r="F406" i="1" s="1"/>
  <c r="D405" i="1"/>
  <c r="F405" i="1" s="1"/>
  <c r="D404" i="1"/>
  <c r="F404" i="1" s="1"/>
  <c r="D403" i="1"/>
  <c r="F403" i="1" s="1"/>
  <c r="D402" i="1"/>
  <c r="F402" i="1" s="1"/>
  <c r="D401" i="1"/>
  <c r="F401" i="1" s="1"/>
  <c r="D380" i="1"/>
  <c r="F380" i="1" s="1"/>
  <c r="D379" i="1"/>
  <c r="F379" i="1" s="1"/>
  <c r="D378" i="1"/>
  <c r="F378" i="1" s="1"/>
  <c r="D377" i="1"/>
  <c r="F377" i="1" s="1"/>
  <c r="D376" i="1"/>
  <c r="F376" i="1" s="1"/>
  <c r="D375" i="1"/>
  <c r="F375" i="1" s="1"/>
  <c r="D373" i="1"/>
  <c r="F373" i="1" s="1"/>
  <c r="D372" i="1"/>
  <c r="F372" i="1" s="1"/>
  <c r="D371" i="1"/>
  <c r="F371" i="1" s="1"/>
  <c r="D370" i="1"/>
  <c r="F370" i="1" s="1"/>
  <c r="D369" i="1"/>
  <c r="F369" i="1" s="1"/>
  <c r="D368" i="1"/>
  <c r="F368" i="1" s="1"/>
  <c r="D367" i="1"/>
  <c r="F367" i="1" s="1"/>
  <c r="D366" i="1"/>
  <c r="F366" i="1" s="1"/>
  <c r="D365" i="1"/>
  <c r="F365" i="1" s="1"/>
  <c r="D344" i="1"/>
  <c r="F344" i="1" s="1"/>
  <c r="D343" i="1"/>
  <c r="F343" i="1" s="1"/>
  <c r="D342" i="1"/>
  <c r="F342" i="1" s="1"/>
  <c r="D341" i="1"/>
  <c r="F341" i="1" s="1"/>
  <c r="D340" i="1"/>
  <c r="F340" i="1" s="1"/>
  <c r="D339" i="1"/>
  <c r="F339" i="1" s="1"/>
  <c r="D337" i="1"/>
  <c r="F337" i="1" s="1"/>
  <c r="D336" i="1"/>
  <c r="F336" i="1" s="1"/>
  <c r="D335" i="1"/>
  <c r="F335" i="1" s="1"/>
  <c r="D334" i="1"/>
  <c r="F334" i="1" s="1"/>
  <c r="D333" i="1"/>
  <c r="F333" i="1" s="1"/>
  <c r="D332" i="1"/>
  <c r="F332" i="1" s="1"/>
  <c r="D331" i="1"/>
  <c r="F331" i="1" s="1"/>
  <c r="D330" i="1"/>
  <c r="F330" i="1" s="1"/>
  <c r="D329" i="1"/>
  <c r="F329" i="1" s="1"/>
  <c r="F221" i="1"/>
  <c r="F220" i="1"/>
  <c r="F219" i="1"/>
  <c r="F218" i="1"/>
  <c r="F217" i="1"/>
  <c r="F215" i="1"/>
  <c r="F214" i="1"/>
  <c r="F213" i="1"/>
  <c r="F212" i="1"/>
  <c r="F211" i="1"/>
  <c r="F210" i="1"/>
  <c r="F209" i="1"/>
  <c r="F208" i="1"/>
  <c r="F207" i="1"/>
  <c r="F206" i="1"/>
  <c r="D168" i="1"/>
  <c r="F168" i="1" s="1"/>
  <c r="D167" i="1"/>
  <c r="F167" i="1" s="1"/>
  <c r="D166" i="1"/>
  <c r="F166" i="1" s="1"/>
  <c r="D165" i="1"/>
  <c r="F165" i="1" s="1"/>
  <c r="D164" i="1"/>
  <c r="F164" i="1" s="1"/>
  <c r="D162" i="1"/>
  <c r="F162" i="1" s="1"/>
  <c r="D161" i="1"/>
  <c r="F161" i="1" s="1"/>
  <c r="D160" i="1"/>
  <c r="F160" i="1" s="1"/>
  <c r="D159" i="1"/>
  <c r="F159" i="1" s="1"/>
  <c r="D158" i="1"/>
  <c r="F158" i="1" s="1"/>
  <c r="D157" i="1"/>
  <c r="F157" i="1" s="1"/>
  <c r="D156" i="1"/>
  <c r="F156" i="1" s="1"/>
  <c r="D155" i="1"/>
  <c r="F155" i="1" s="1"/>
  <c r="D154" i="1"/>
  <c r="F154" i="1" s="1"/>
  <c r="D153" i="1"/>
  <c r="F153" i="1" s="1"/>
  <c r="D399" i="1"/>
  <c r="F399" i="1" s="1"/>
  <c r="D398" i="1"/>
  <c r="F398" i="1" s="1"/>
  <c r="D397" i="1"/>
  <c r="F397" i="1" s="1"/>
  <c r="D396" i="1"/>
  <c r="F396" i="1" s="1"/>
  <c r="D395" i="1"/>
  <c r="F395" i="1" s="1"/>
  <c r="D394" i="1"/>
  <c r="F394" i="1" s="1"/>
  <c r="D393" i="1"/>
  <c r="F393" i="1" s="1"/>
  <c r="D392" i="1"/>
  <c r="F392" i="1" s="1"/>
  <c r="D391" i="1"/>
  <c r="F391" i="1" s="1"/>
  <c r="D390" i="1"/>
  <c r="F390" i="1" s="1"/>
  <c r="D389" i="1"/>
  <c r="F389" i="1" s="1"/>
  <c r="D388" i="1"/>
  <c r="F388" i="1" s="1"/>
  <c r="D387" i="1"/>
  <c r="F387" i="1" s="1"/>
  <c r="D386" i="1"/>
  <c r="F386" i="1" s="1"/>
  <c r="D385" i="1"/>
  <c r="F385" i="1" s="1"/>
  <c r="D384" i="1"/>
  <c r="F384" i="1" s="1"/>
  <c r="D363" i="1"/>
  <c r="F363" i="1" s="1"/>
  <c r="D362" i="1"/>
  <c r="F362" i="1" s="1"/>
  <c r="D361" i="1"/>
  <c r="F361" i="1" s="1"/>
  <c r="D360" i="1"/>
  <c r="F360" i="1" s="1"/>
  <c r="D359" i="1"/>
  <c r="F359" i="1" s="1"/>
  <c r="D358" i="1"/>
  <c r="F358" i="1" s="1"/>
  <c r="D357" i="1"/>
  <c r="F357" i="1" s="1"/>
  <c r="D356" i="1"/>
  <c r="F356" i="1" s="1"/>
  <c r="D355" i="1"/>
  <c r="F355" i="1" s="1"/>
  <c r="D354" i="1"/>
  <c r="F354" i="1" s="1"/>
  <c r="D353" i="1"/>
  <c r="F353" i="1" s="1"/>
  <c r="D352" i="1"/>
  <c r="F352" i="1" s="1"/>
  <c r="D351" i="1"/>
  <c r="F351" i="1" s="1"/>
  <c r="D350" i="1"/>
  <c r="F350" i="1" s="1"/>
  <c r="D349" i="1"/>
  <c r="F349" i="1" s="1"/>
  <c r="D348" i="1"/>
  <c r="F348" i="1" s="1"/>
  <c r="D327" i="1"/>
  <c r="F327" i="1" s="1"/>
  <c r="D326" i="1"/>
  <c r="F326" i="1" s="1"/>
  <c r="D325" i="1"/>
  <c r="F325" i="1" s="1"/>
  <c r="D324" i="1"/>
  <c r="F324" i="1" s="1"/>
  <c r="D323" i="1"/>
  <c r="F323" i="1" s="1"/>
  <c r="D322" i="1"/>
  <c r="F322" i="1" s="1"/>
  <c r="D321" i="1"/>
  <c r="F321" i="1" s="1"/>
  <c r="D320" i="1"/>
  <c r="F320" i="1" s="1"/>
  <c r="D319" i="1"/>
  <c r="F319" i="1" s="1"/>
  <c r="D318" i="1"/>
  <c r="F318" i="1" s="1"/>
  <c r="D317" i="1"/>
  <c r="F317" i="1" s="1"/>
  <c r="D316" i="1"/>
  <c r="F316" i="1" s="1"/>
  <c r="D315" i="1"/>
  <c r="F315" i="1" s="1"/>
  <c r="D314" i="1"/>
  <c r="F314" i="1" s="1"/>
  <c r="D313" i="1"/>
  <c r="F313" i="1" s="1"/>
  <c r="D312" i="1"/>
  <c r="D257" i="1"/>
  <c r="F257" i="1" s="1"/>
  <c r="I222" i="1" s="1"/>
  <c r="K222" i="1" s="1"/>
  <c r="D256" i="1"/>
  <c r="F256" i="1" s="1"/>
  <c r="D255" i="1"/>
  <c r="F255" i="1" s="1"/>
  <c r="D254" i="1"/>
  <c r="F254" i="1" s="1"/>
  <c r="D253" i="1"/>
  <c r="F253" i="1" s="1"/>
  <c r="D252" i="1"/>
  <c r="F252" i="1" s="1"/>
  <c r="D251" i="1"/>
  <c r="F251" i="1" s="1"/>
  <c r="D250" i="1"/>
  <c r="F250" i="1" s="1"/>
  <c r="D249" i="1"/>
  <c r="F249" i="1" s="1"/>
  <c r="D248" i="1"/>
  <c r="F248" i="1" s="1"/>
  <c r="D247" i="1"/>
  <c r="F247" i="1" s="1"/>
  <c r="D246" i="1"/>
  <c r="F246" i="1" s="1"/>
  <c r="D245" i="1"/>
  <c r="F245" i="1" s="1"/>
  <c r="D244" i="1"/>
  <c r="F244" i="1" s="1"/>
  <c r="D243" i="1"/>
  <c r="F243" i="1" s="1"/>
  <c r="D242" i="1"/>
  <c r="D187" i="1"/>
  <c r="F187" i="1" s="1"/>
  <c r="D186" i="1"/>
  <c r="F186" i="1" s="1"/>
  <c r="D185" i="1"/>
  <c r="F185" i="1" s="1"/>
  <c r="D184" i="1"/>
  <c r="F184" i="1" s="1"/>
  <c r="D183" i="1"/>
  <c r="F183" i="1" s="1"/>
  <c r="D182" i="1"/>
  <c r="F182" i="1" s="1"/>
  <c r="D181" i="1"/>
  <c r="F181" i="1" s="1"/>
  <c r="D180" i="1"/>
  <c r="F180" i="1" s="1"/>
  <c r="D179" i="1"/>
  <c r="F179" i="1" s="1"/>
  <c r="D178" i="1"/>
  <c r="F178" i="1" s="1"/>
  <c r="D177" i="1"/>
  <c r="F177" i="1" s="1"/>
  <c r="D176" i="1"/>
  <c r="F176" i="1" s="1"/>
  <c r="D175" i="1"/>
  <c r="F175" i="1" s="1"/>
  <c r="D174" i="1"/>
  <c r="F174" i="1" s="1"/>
  <c r="D173" i="1"/>
  <c r="F173" i="1" s="1"/>
  <c r="D172" i="1"/>
  <c r="D151" i="1"/>
  <c r="F151" i="1" s="1"/>
  <c r="D150" i="1"/>
  <c r="F150" i="1" s="1"/>
  <c r="D149" i="1"/>
  <c r="F149" i="1" s="1"/>
  <c r="D148" i="1"/>
  <c r="F148" i="1" s="1"/>
  <c r="D147" i="1"/>
  <c r="F147" i="1" s="1"/>
  <c r="D146" i="1"/>
  <c r="F146" i="1" s="1"/>
  <c r="D145" i="1"/>
  <c r="F145" i="1" s="1"/>
  <c r="D144" i="1"/>
  <c r="F144" i="1" s="1"/>
  <c r="D143" i="1"/>
  <c r="F143" i="1" s="1"/>
  <c r="D142" i="1"/>
  <c r="F142" i="1" s="1"/>
  <c r="D141" i="1"/>
  <c r="F141" i="1" s="1"/>
  <c r="D140" i="1"/>
  <c r="F140" i="1" s="1"/>
  <c r="D139" i="1"/>
  <c r="F139" i="1" s="1"/>
  <c r="D138" i="1"/>
  <c r="F138" i="1" s="1"/>
  <c r="D137" i="1"/>
  <c r="F137" i="1" s="1"/>
  <c r="D136" i="1"/>
  <c r="C125" i="1" l="1"/>
  <c r="D125" i="1"/>
  <c r="C124" i="1"/>
  <c r="D124" i="1"/>
  <c r="F242" i="1"/>
  <c r="F125" i="1" s="1"/>
  <c r="F172" i="1"/>
  <c r="F124" i="1" s="1"/>
  <c r="I208" i="1"/>
  <c r="K208" i="1" s="1"/>
  <c r="L208" i="1"/>
  <c r="F136" i="1"/>
  <c r="F123" i="1" s="1"/>
  <c r="C123" i="1"/>
  <c r="D123" i="1"/>
  <c r="F312" i="1"/>
  <c r="F126" i="1" s="1"/>
  <c r="D126" i="1"/>
  <c r="C126" i="1"/>
  <c r="I212" i="1"/>
  <c r="K212" i="1" s="1"/>
  <c r="L212" i="1"/>
  <c r="F128" i="1"/>
  <c r="F127" i="1"/>
  <c r="D128" i="1"/>
  <c r="D127" i="1"/>
  <c r="C127" i="1"/>
  <c r="C128" i="1"/>
  <c r="G6" i="5"/>
  <c r="G7" i="5"/>
  <c r="G8" i="5"/>
  <c r="G9" i="5"/>
  <c r="G10" i="5"/>
  <c r="G5" i="5"/>
  <c r="G11" i="5" l="1"/>
  <c r="D129" i="1"/>
  <c r="C129" i="1"/>
  <c r="I171" i="1"/>
  <c r="K171" i="1" s="1"/>
  <c r="F129" i="1"/>
  <c r="C14" i="1"/>
  <c r="E7" i="1" l="1"/>
  <c r="E41" i="1" l="1"/>
  <c r="E42" i="1" s="1"/>
  <c r="D431" i="1" l="1"/>
  <c r="F117" i="1"/>
  <c r="D54"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<sst xmlns="http://schemas.openxmlformats.org/spreadsheetml/2006/main" count="668" uniqueCount="259">
  <si>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</si>
  <si>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</si>
  <si>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</si>
  <si>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</si>
  <si>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</si>
  <si>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</si>
  <si>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</si>
  <si>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</si>
  <si>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</si>
  <si>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</si>
  <si>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</si>
  <si>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</si>
  <si>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</si>
  <si>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</si>
  <si>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</si>
  <si>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</si>
  <si>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</si>
  <si>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</si>
  <si>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</si>
  <si>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</si>
  <si>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</si>
  <si>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</si>
  <si>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</si>
  <si>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</si>
  <si>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</si>
  <si>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</si>
  <si>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</si>
  <si>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</si>
  <si>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</si>
  <si>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</si>
  <si>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</si>
  <si>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</si>
  <si>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</si>
  <si>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</si>
  <si>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</si>
  <si>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</si>
  <si>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</si>
  <si>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</si>
  <si>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</si>
  <si>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</si>
  <si>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</si>
  <si>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</si>
  <si>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</si>
  <si>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</si>
  <si>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</si>
  <si>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</si>
  <si>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</si>
  <si>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</si>
  <si>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</si>
  <si>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</si>
  <si>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</si>
  <si>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</si>
  <si>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</si>
  <si>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</si>
  <si>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</si>
  <si>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</si>
  <si>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</si>
  <si>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</si>
  <si>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</si>
  <si>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</si>
  <si>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</si>
  <si>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</si>
  <si>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</si>
  <si>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</si>
  <si>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</si>
  <si>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</si>
  <si>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</si>
  <si>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</si>
  <si>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</si>
  <si>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</si>
  <si>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</si>
  <si>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</si>
  <si>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</si>
  <si>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</si>
  <si>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</si>
  <si>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</si>
  <si>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</si>
  <si>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</si>
  <si>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</si>
  <si>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</si>
  <si>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</si>
  <si>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</si>
  <si>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</si>
  <si>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</si>
  <si>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</si>
  <si>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</si>
  <si>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</si>
  <si>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</si>
  <si>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</si>
  <si>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</si>
  <si>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</si>
  <si>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</si>
  <si>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</si>
  <si>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</si>
  <si>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</si>
  <si>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</si>
  <si>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</si>
  <si>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</si>
  <si>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</si>
  <si>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</si>
  <si>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</si>
  <si>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</si>
  <si>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</si>
  <si>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</si>
  <si>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</si>
  <si>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</si>
  <si>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</si>
  <si>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</si>
  <si>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</si>
  <si>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</si>
  <si>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</si>
  <si>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</si>
  <si>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</si>
  <si>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</si>
  <si>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</si>
  <si>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</si>
  <si>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</si>
  <si>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</si>
  <si>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</si>
  <si>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</si>
  <si>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</si>
  <si>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</si>
  <si>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</si>
  <si>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</si>
  <si>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</si>
  <si>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</si>
  <si>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</si>
  <si>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</si>
  <si>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</si>
  <si>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</si>
  <si>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</si>
  <si>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</si>
  <si>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</si>
  <si>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</si>
  <si>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Excavation in process</t>
  </si>
  <si>
    <t>Excavation Completed</t>
  </si>
  <si>
    <t>Footing in Process</t>
  </si>
  <si>
    <t>Footing Completed</t>
  </si>
  <si>
    <t>Plinth in process</t>
  </si>
  <si>
    <t>Plinth completed</t>
  </si>
  <si>
    <t>All work Completed. OC Received.</t>
  </si>
  <si>
    <t>NA
Approved upto : NA</t>
  </si>
  <si>
    <t>Report By :</t>
  </si>
  <si>
    <t>Market Research Data</t>
  </si>
  <si>
    <t>Source</t>
  </si>
  <si>
    <t>Distance from proposed property</t>
  </si>
  <si>
    <t>Net Carpet</t>
  </si>
  <si>
    <t>Market Value</t>
  </si>
  <si>
    <t>99 Acres</t>
  </si>
  <si>
    <t>Average</t>
  </si>
  <si>
    <t xml:space="preserve">Valuation Adopted </t>
  </si>
  <si>
    <t>Saleable Area</t>
  </si>
  <si>
    <t>Rate on Saleable</t>
  </si>
  <si>
    <t>Axis Goregaon</t>
  </si>
  <si>
    <t>Godrej Upavan</t>
  </si>
  <si>
    <t>Building No.7 to 12</t>
  </si>
  <si>
    <t>P51700027436</t>
  </si>
  <si>
    <t>Village</t>
  </si>
  <si>
    <t>S. Nos. 40/1/2, 40/2, 40/3,40/4, 40/5, 40/6, 40/7, 40/8, 40/9, 40/5, 40/6, 40/7, 40/8, 40/10, 40/11, 40/12, 40/13/1A, 40/13/2, 42, 43/1, 43/2, 43/3, 44/1/1, 44/2/1, 44/2/2, 44/2/3, 44/3/1, 44/3/2, 44/4, 44/5, 44/6, 45/1, 45/2/1, 45/2/2, 45/3/2, 45/4, 45/5, 45/6, 45/7, 45/8, 45/9, 45/12, 58/6, 58/7/1, 58/7/2, 58/8, 58/9, 58/11, 58/12, 58/13, 58/14, 58/16, 58/17, 58/18, 58/19, 58/20/1, 58/20/2 58/21, 58/22, 83/3, 83/4, 83/6, 83/7, 83/9, 84 &amp; S. No.128/3/1/2, 128/3/2, 128/3/4,128/3/5, 129/1 &amp; 181</t>
  </si>
  <si>
    <t>Thane</t>
  </si>
  <si>
    <t xml:space="preserve">Road </t>
  </si>
  <si>
    <t>Open Land</t>
  </si>
  <si>
    <t>10/12/2020.</t>
  </si>
  <si>
    <t>Building No.7</t>
  </si>
  <si>
    <t>Ground Floor for Parking</t>
  </si>
  <si>
    <t>Building No.8</t>
  </si>
  <si>
    <t>Building No.9</t>
  </si>
  <si>
    <t>Building No.10</t>
  </si>
  <si>
    <t>Building No.11</t>
  </si>
  <si>
    <t>Building No.12</t>
  </si>
  <si>
    <t>1BHK</t>
  </si>
  <si>
    <t>2BHK</t>
  </si>
  <si>
    <t>Refuge Area</t>
  </si>
  <si>
    <t xml:space="preserve">8th, 13th, 18th, 23rd &amp; 28th (Part Refuge Area) </t>
  </si>
  <si>
    <t xml:space="preserve">8th (Part Refuge Area) </t>
  </si>
  <si>
    <t xml:space="preserve">1st to 7th &amp; 9th Floor </t>
  </si>
  <si>
    <t>Building no.7</t>
  </si>
  <si>
    <t>Building no.8</t>
  </si>
  <si>
    <t>Building no.10</t>
  </si>
  <si>
    <t>Building no.11</t>
  </si>
  <si>
    <t>Building no.12</t>
  </si>
  <si>
    <t>B.P.K/15/2020-21/J.K.N.R.V.9178</t>
  </si>
  <si>
    <t>06 Building</t>
  </si>
  <si>
    <t>Middle Class</t>
  </si>
  <si>
    <t>Developing</t>
  </si>
  <si>
    <t xml:space="preserve">Residential </t>
  </si>
  <si>
    <t>Survey No</t>
  </si>
  <si>
    <t>Approved Plans</t>
  </si>
  <si>
    <t>Padmadisha Paradise</t>
  </si>
  <si>
    <t>Kalyan - Bhiwandi Road (NH848)</t>
  </si>
  <si>
    <t>6.4Km from Bhiwandi Railway Station</t>
  </si>
  <si>
    <t>housing</t>
  </si>
  <si>
    <t>Bhiwandi</t>
  </si>
  <si>
    <t>Bhadvad &amp; Temghar</t>
  </si>
  <si>
    <t>400000/-</t>
  </si>
  <si>
    <t xml:space="preserve">1st to 7th, 9th to 12th, 14th to 17th, 19th to 22nd, 24th to 27th, 29th to 31st Floor </t>
  </si>
  <si>
    <t>Water Connection Charges</t>
  </si>
  <si>
    <t>Electricity Connection Charges</t>
  </si>
  <si>
    <t>25,000/-</t>
  </si>
  <si>
    <t>Asmi</t>
  </si>
  <si>
    <t>Ajinkya &amp; Vishal</t>
  </si>
  <si>
    <t>50/- per Sq.ft from 2nd Floor</t>
  </si>
  <si>
    <t>Ajinkya</t>
  </si>
  <si>
    <t>Wheather the construction is as per approved Building plan :Under Construction</t>
  </si>
  <si>
    <t>Cement, sand, brick, etc.</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</si>
  <si>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</si>
  <si>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</si>
  <si>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</si>
  <si>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</si>
  <si>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</si>
  <si>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</si>
  <si>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</si>
  <si>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</si>
  <si>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</si>
  <si>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</si>
  <si>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</si>
  <si>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</si>
  <si>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</si>
  <si>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</si>
  <si>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</si>
  <si>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</si>
  <si>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</si>
  <si>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</si>
  <si>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45000/-</t>
  </si>
  <si>
    <t>Maintenance Charges</t>
  </si>
  <si>
    <t>Norbert Mendes - 9821422860</t>
  </si>
  <si>
    <t xml:space="preserve"> Building No.7, 10, 11 &amp; 12 = St + 1st to 31st Floor</t>
  </si>
  <si>
    <t>Location link</t>
  </si>
  <si>
    <t>https://goo.gl/maps/caSVRYFGwE6KfyXLA</t>
  </si>
  <si>
    <t>Office No. 1031, Wing J, Akshar Business Park, Plot No. 03 Sector 25, Near APMC Market, 
Vashi, Navi Mumbai, Maharashtra 400703 TEL: 022-46090378/79/8
E mail : vsjcapf@gmail.com. Web site : www.vsjadon.com</t>
  </si>
  <si>
    <t>Contact Details ( Name &amp; Contact No.)</t>
  </si>
  <si>
    <t>Site Meet Person Contact Details ( Name &amp; Contact No.)</t>
  </si>
  <si>
    <t>As per RERA - 30/06/2028</t>
  </si>
  <si>
    <t>Valid Up to: Building No.7 to 10 = St + 1st to 31st Floor
Building No.11 &amp; 12 = St + 1st to 9th Floor</t>
  </si>
  <si>
    <t>Miss. Shweta 8657994167</t>
  </si>
  <si>
    <t>Latitude,Longitude</t>
  </si>
  <si>
    <t>19.271668,73.0804743</t>
  </si>
  <si>
    <t>As per Layout</t>
  </si>
  <si>
    <t>Name of Municipal Corporation/Authority</t>
  </si>
  <si>
    <t>Bhiwandi Nizampur City Municipal Corporation</t>
  </si>
  <si>
    <t>BNMC/RB/2024/APL/00008</t>
  </si>
  <si>
    <t xml:space="preserve">Approved Floor plan No.
</t>
  </si>
  <si>
    <t>Building No.8 &amp; 9 = Gr + 1st to 32nd Floor
Building No.7 &amp; 10 = St + 1st to 31st Floor
Building No.11 &amp; 12 = St + 1st to 9th Floor</t>
  </si>
  <si>
    <t>Building No.8 &amp; 9 = Gr + 1st to 32nd Floor
Building No.7, 10, 11 &amp; 12 = St + 1st to 31st Floor</t>
  </si>
  <si>
    <t>Ground Floor For Parking</t>
  </si>
  <si>
    <t>1st Floor For Residential</t>
  </si>
  <si>
    <t xml:space="preserve">2nd to 7th, 9th to 12th, 14th to 17th, 19th to 22nd, 24th to 27th, 29th to 31st Floor </t>
  </si>
  <si>
    <t>32nd Floor</t>
  </si>
  <si>
    <t>BuilFing no.9</t>
  </si>
  <si>
    <t>Pranita Mhatre</t>
  </si>
  <si>
    <t>Building No. 8 = Gr + 1st to 32nd Floor</t>
  </si>
  <si>
    <t>Building No. 9 = Gr + 1st to 32nd Floor</t>
  </si>
  <si>
    <t>Approved Floor plan No.
(Building Type 8 &amp; 9 for 2nd to 32nd Floor)</t>
  </si>
  <si>
    <t>Flats - 2282</t>
  </si>
  <si>
    <t>Corpus Fund</t>
  </si>
  <si>
    <t>Mangesh Laxman Bapardekar</t>
  </si>
  <si>
    <t xml:space="preserve">1. Building No.8 &amp; 9 - Construction work is in process at the time of Visit. (Internal photographs not allowed.)
   Building No.7, 10, 11 &amp; 12 - Construction work not yet started.
2. We considered  Saleable area  as per our calculation.
3. We considered Carpet area as per Approved Plan.
4. We considered Gross carpet area = Net carpet + C.B Area.
5. We have considered rate by verifying it from market inquire.
6. Floor Rise is given on the basis of information provided on site.
7. Car parking is subjected to authentic documentation.
8. Construction stage is reduced due to revised proposed floor of Bldg no. 8 &amp; 9 on 11/06/2025
9. We have updated revised approved 2nd to 32nd floor plan for Building No.8 &amp; 9 on 11/06/2025
10. Construction work goes beyond approved CC of Building No.8 &amp; 9, Provide revised approved CC &amp; plans
11. Recommended Rates of the Property have been revised on 29/08/2025
9. On Site, we meet Mr.Sanket (Sales) - 9136089870.
</t>
  </si>
  <si>
    <t>rate 7850 akash mote cost sheet Tower 9 flat 1003 on 29/08/2025</t>
  </si>
  <si>
    <t>M/s. Prakhhyat Dwellings LLP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</si>
</sst>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_);_(* \(#,##0.00\);_(* &quot;-&quot;??_);_(@_)"/>
    <numFmt numFmtId="166" formatCode="_(* #,##0_);_(* \(#,##0\);_(* &quot;-&quot;??_);_(@_)"/>
  </numFmts>
  <fonts count="23"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u/>
      <sz val="11"/>
      <color theme="10"/>
      <name val="Calibri"/>
      <family val="2"/>
    </font>
  </fonts>
  <fills count="3">
    <fill>
      <patternFill patternType="none"/>
    </fill>
    <fill>
      <patternFill patternType="gray125"/>
    </fill>
    <fill>
      <patternFill patternType="solid">
        <fgColor rgb="FFFFFF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9">
    <xf numFmtId="0" fontId="0" fillId="0" borderId="0"/>
    <xf numFmtId="0" fontId="4" fillId="0" borderId="0"/>
    <xf numFmtId="0" fontId="6" fillId="0" borderId="0"/>
    <xf numFmtId="0" fontId="3" fillId="0" borderId="0"/>
    <xf numFmtId="0" fontId="6" fillId="0" borderId="0"/>
    <xf numFmtId="0" fontId="2" fillId="0" borderId="0"/>
    <xf numFmtId="165" fontId="6" fillId="0" borderId="0" applyFont="0" applyFill="0" applyBorder="0" applyAlignment="0" applyProtection="0"/>
    <xf numFmtId="0" fontId="21" fillId="0" borderId="0"/>
    <xf numFmtId="0" fontId="22" fillId="0" borderId="0" applyNumberFormat="0" applyFill="0" applyBorder="0" applyAlignment="0" applyProtection="0"/>
  </cellStyleXfs>
  <cellXfs count="164">
    <xf numFmtId="0" fontId="0" fillId="0" borderId="0" xfId="0"/>
    <xf numFmtId="0" fontId="0" fillId="2" borderId="1" xfId="0" applyFill="1" applyBorder="1"/>
    <xf numFmtId="0" fontId="0" fillId="0" borderId="2" xfId="0" applyBorder="1"/>
    <xf numFmtId="0" fontId="10" fillId="0" borderId="1" xfId="0" applyFont="1" applyBorder="1"/>
    <xf numFmtId="0" fontId="10" fillId="0" borderId="1" xfId="0" applyFont="1" applyBorder="1" applyAlignment="1">
      <alignment horizontal="center"/>
    </xf>
    <xf numFmtId="0" fontId="0" fillId="0" borderId="1" xfId="0" applyBorder="1"/>
    <xf numFmtId="1" fontId="5" fillId="0" borderId="1" xfId="1" applyNumberFormat="1" applyFont="1" applyBorder="1" applyAlignment="1" applyProtection="1">
      <alignment horizontal="center" vertical="top" wrapText="1"/>
      <protection locked="0"/>
    </xf>
    <xf numFmtId="0" fontId="6" fillId="0" borderId="0" xfId="4"/>
    <xf numFmtId="0" fontId="2" fillId="0" borderId="0" xfId="5"/>
    <xf numFmtId="0" fontId="10" fillId="0" borderId="1" xfId="5" applyFont="1" applyBorder="1" applyAlignment="1">
      <alignment horizontal="center" vertical="top" wrapText="1"/>
    </xf>
    <xf numFmtId="0" fontId="20" fillId="0" borderId="0" xfId="4" applyFont="1"/>
    <xf numFmtId="0" fontId="2" fillId="0" borderId="1" xfId="5" applyBorder="1" applyAlignment="1">
      <alignment horizontal="center"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10" fillId="0" borderId="1" xfId="5" applyFont="1" applyBorder="1" applyAlignment="1">
      <alignment horizontal="center" vertical="center"/>
    </xf>
    <xf numFmtId="1" fontId="19" fillId="0" borderId="1" xfId="5" applyNumberFormat="1" applyFont="1" applyBorder="1" applyAlignment="1">
      <alignment horizontal="center" vertical="center"/>
    </xf>
    <xf numFmtId="0" fontId="6" fillId="0" borderId="1" xfId="4" applyBorder="1" applyAlignment="1">
      <alignment horizontal="center" vertical="center"/>
    </xf>
    <xf numFmtId="0" fontId="13" fillId="0" borderId="5" xfId="1" applyFont="1" applyBorder="1" applyAlignment="1" applyProtection="1">
      <alignment horizontal="center" vertical="top"/>
      <protection locked="0"/>
    </xf>
    <xf numFmtId="0" fontId="1" fillId="0" borderId="1" xfId="5" applyFont="1" applyBorder="1" applyAlignment="1">
      <alignment horizontal="left" vertical="center"/>
    </xf>
    <xf numFmtId="0" fontId="1" fillId="0" borderId="1" xfId="5" applyFont="1" applyBorder="1" applyAlignment="1">
      <alignment horizontal="center" vertical="center"/>
    </xf>
    <xf numFmtId="14" fontId="0" fillId="0" borderId="0" xfId="0" applyNumberFormat="1"/>
    <xf numFmtId="0" fontId="8" fillId="0" borderId="10" xfId="1" applyFont="1" applyBorder="1" applyProtection="1">
      <protection hidden="1"/>
    </xf>
    <xf numFmtId="0" fontId="8" fillId="0" borderId="0" xfId="1" applyFont="1" applyProtection="1">
      <protection hidden="1"/>
    </xf>
    <xf numFmtId="0" fontId="18" fillId="0" borderId="0" xfId="0" applyFont="1" applyProtection="1">
      <protection hidden="1"/>
    </xf>
    <xf numFmtId="0" fontId="18" fillId="0" borderId="13" xfId="0" applyFont="1" applyBorder="1" applyProtection="1">
      <protection hidden="1"/>
    </xf>
    <xf numFmtId="1" fontId="7" fillId="0" borderId="1" xfId="1" applyNumberFormat="1" applyFont="1" applyBorder="1" applyAlignment="1" applyProtection="1">
      <alignment horizontal="center" vertical="center" wrapText="1"/>
      <protection locked="0"/>
    </xf>
    <xf numFmtId="0" fontId="14" fillId="0" borderId="1"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8" fillId="0" borderId="0" xfId="1" applyFont="1"/>
    <xf numFmtId="0" fontId="8" fillId="0" borderId="0" xfId="1" applyFont="1" applyAlignment="1">
      <alignment wrapText="1"/>
    </xf>
    <xf numFmtId="0" fontId="16" fillId="0" borderId="0" xfId="1" applyFont="1"/>
    <xf numFmtId="0" fontId="13" fillId="0" borderId="1" xfId="1" applyFont="1" applyBorder="1" applyAlignment="1" applyProtection="1">
      <alignment vertical="top"/>
      <protection locked="0"/>
    </xf>
    <xf numFmtId="0" fontId="13" fillId="0" borderId="0" xfId="1" applyFont="1"/>
    <xf numFmtId="0" fontId="8" fillId="0" borderId="11" xfId="1" applyFont="1" applyBorder="1" applyProtection="1">
      <protection hidden="1"/>
    </xf>
    <xf numFmtId="0" fontId="8" fillId="0" borderId="12" xfId="1" applyFont="1" applyBorder="1" applyProtection="1">
      <protection hidden="1"/>
    </xf>
    <xf numFmtId="0" fontId="8" fillId="0" borderId="12" xfId="1" applyFont="1" applyBorder="1"/>
    <xf numFmtId="0" fontId="13" fillId="0" borderId="1" xfId="1" applyFont="1" applyBorder="1" applyAlignment="1" applyProtection="1">
      <alignment horizontal="center" wrapText="1"/>
      <protection locked="0"/>
    </xf>
    <xf numFmtId="9" fontId="13" fillId="0" borderId="1" xfId="1" applyNumberFormat="1" applyFont="1" applyBorder="1" applyAlignment="1" applyProtection="1">
      <alignment horizontal="center" vertical="center" wrapText="1"/>
      <protection hidden="1"/>
    </xf>
    <xf numFmtId="0" fontId="18" fillId="0" borderId="12" xfId="0" applyFont="1" applyBorder="1" applyProtection="1">
      <protection hidden="1"/>
    </xf>
    <xf numFmtId="1" fontId="13" fillId="0" borderId="1" xfId="1" applyNumberFormat="1" applyFont="1" applyBorder="1" applyAlignment="1" applyProtection="1">
      <alignment horizontal="center" wrapText="1"/>
      <protection locked="0"/>
    </xf>
    <xf numFmtId="1" fontId="0" fillId="0" borderId="12" xfId="0" applyNumberFormat="1" applyBorder="1"/>
    <xf numFmtId="1" fontId="0" fillId="0" borderId="12" xfId="0" applyNumberFormat="1" applyBorder="1" applyAlignment="1">
      <alignment horizontal="right"/>
    </xf>
    <xf numFmtId="0" fontId="13" fillId="0" borderId="7" xfId="1" applyFont="1" applyBorder="1" applyAlignment="1" applyProtection="1">
      <alignment horizontal="center" wrapText="1"/>
      <protection locked="0"/>
    </xf>
    <xf numFmtId="9" fontId="13" fillId="0" borderId="7" xfId="1" applyNumberFormat="1" applyFont="1" applyBorder="1" applyAlignment="1" applyProtection="1">
      <alignment horizontal="center" vertical="center" wrapText="1"/>
      <protection hidden="1"/>
    </xf>
    <xf numFmtId="1" fontId="0" fillId="0" borderId="14" xfId="0" applyNumberFormat="1" applyBorder="1"/>
    <xf numFmtId="0" fontId="17" fillId="0" borderId="0" xfId="1" applyFont="1"/>
    <xf numFmtId="0" fontId="7" fillId="0" borderId="0" xfId="2" applyFont="1"/>
    <xf numFmtId="0" fontId="8" fillId="0" borderId="0" xfId="0" applyFont="1" applyAlignment="1">
      <alignment horizontal="center" vertical="center"/>
    </xf>
    <xf numFmtId="0" fontId="11"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protection locked="0"/>
    </xf>
    <xf numFmtId="1" fontId="11" fillId="0" borderId="1" xfId="0" applyNumberFormat="1" applyFont="1" applyBorder="1" applyAlignment="1" applyProtection="1">
      <alignment horizontal="center" vertical="center"/>
      <protection locked="0"/>
    </xf>
    <xf numFmtId="0" fontId="8" fillId="0" borderId="0" xfId="1" applyFont="1" applyAlignment="1">
      <alignment horizontal="center" vertical="center"/>
    </xf>
    <xf numFmtId="1" fontId="8" fillId="0" borderId="0" xfId="1" applyNumberFormat="1" applyFont="1" applyAlignment="1">
      <alignment horizontal="center" vertical="center"/>
    </xf>
    <xf numFmtId="0" fontId="8" fillId="0" borderId="0" xfId="0" applyFont="1"/>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0" fontId="13" fillId="0" borderId="1" xfId="1" applyFont="1" applyBorder="1" applyAlignment="1" applyProtection="1">
      <alignment horizontal="center" vertical="top"/>
      <protection locked="0"/>
    </xf>
    <xf numFmtId="1" fontId="9" fillId="0" borderId="1" xfId="1" applyNumberFormat="1" applyFont="1" applyBorder="1" applyAlignment="1" applyProtection="1">
      <alignment horizontal="center" vertical="top" wrapText="1"/>
      <protection locked="0"/>
    </xf>
    <xf numFmtId="0" fontId="13" fillId="0" borderId="4"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 fontId="8" fillId="0" borderId="1" xfId="1" applyNumberFormat="1" applyFont="1" applyBorder="1" applyAlignment="1">
      <alignment horizontal="center" vertical="center"/>
    </xf>
    <xf numFmtId="0" fontId="11" fillId="0" borderId="0" xfId="1" applyFont="1" applyAlignment="1">
      <alignment horizontal="center" vertical="center"/>
    </xf>
    <xf numFmtId="0" fontId="14" fillId="0" borderId="1" xfId="0" applyFont="1" applyBorder="1" applyAlignment="1" applyProtection="1">
      <alignment horizontal="center" vertical="center"/>
      <protection locked="0"/>
    </xf>
    <xf numFmtId="1" fontId="13" fillId="0" borderId="1" xfId="0" applyNumberFormat="1" applyFont="1" applyBorder="1" applyAlignment="1" applyProtection="1">
      <alignment horizontal="center" vertical="center"/>
      <protection locked="0"/>
    </xf>
    <xf numFmtId="1" fontId="7" fillId="0" borderId="1" xfId="1"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1" fontId="7" fillId="0" borderId="18"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17" xfId="1" applyNumberFormat="1" applyFont="1" applyBorder="1" applyAlignment="1" applyProtection="1">
      <alignment horizontal="center" vertical="center" wrapText="1"/>
      <protection locked="0"/>
    </xf>
    <xf numFmtId="1" fontId="7" fillId="0" borderId="16"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0" fontId="13" fillId="0" borderId="8" xfId="1" applyFont="1" applyBorder="1" applyAlignment="1" applyProtection="1">
      <alignment horizontal="left" vertical="top" wrapText="1"/>
      <protection locked="0"/>
    </xf>
    <xf numFmtId="0" fontId="13" fillId="0" borderId="15" xfId="1" applyFont="1" applyBorder="1" applyAlignment="1" applyProtection="1">
      <alignment horizontal="left" vertical="top" wrapText="1"/>
      <protection locked="0"/>
    </xf>
    <xf numFmtId="0" fontId="13" fillId="0" borderId="9" xfId="1" applyFont="1" applyBorder="1" applyAlignment="1" applyProtection="1">
      <alignment horizontal="left" vertical="top" wrapText="1"/>
      <protection locked="0"/>
    </xf>
    <xf numFmtId="0" fontId="9" fillId="0" borderId="1" xfId="1" applyFont="1" applyBorder="1" applyAlignment="1" applyProtection="1">
      <alignment vertical="top"/>
      <protection locked="0"/>
    </xf>
    <xf numFmtId="0" fontId="7" fillId="0" borderId="1" xfId="1" applyFont="1" applyBorder="1" applyAlignment="1" applyProtection="1">
      <alignment horizontal="left" vertical="top" wrapText="1"/>
      <protection locked="0"/>
    </xf>
    <xf numFmtId="1" fontId="9" fillId="0" borderId="1" xfId="1" applyNumberFormat="1" applyFont="1" applyBorder="1" applyAlignment="1" applyProtection="1">
      <alignment horizontal="center" vertical="center" wrapText="1"/>
      <protection locked="0"/>
    </xf>
    <xf numFmtId="1" fontId="7" fillId="0" borderId="8" xfId="1" applyNumberFormat="1" applyFont="1" applyBorder="1" applyAlignment="1" applyProtection="1">
      <alignment horizontal="center" vertical="center" wrapText="1"/>
      <protection locked="0"/>
    </xf>
    <xf numFmtId="1" fontId="7" fillId="0" borderId="15"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13" fillId="0" borderId="1" xfId="0" applyNumberFormat="1" applyFont="1" applyBorder="1" applyAlignment="1" applyProtection="1">
      <alignment horizontal="center" vertical="top" wrapText="1"/>
      <protection locked="0"/>
    </xf>
    <xf numFmtId="1" fontId="13"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protection locked="0"/>
    </xf>
    <xf numFmtId="1" fontId="14"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0" fontId="14" fillId="0" borderId="1" xfId="1" applyFont="1" applyBorder="1" applyAlignment="1" applyProtection="1">
      <alignment horizontal="left" vertical="top"/>
      <protection locked="0"/>
    </xf>
    <xf numFmtId="1" fontId="9" fillId="0" borderId="8" xfId="1" applyNumberFormat="1" applyFont="1" applyBorder="1" applyAlignment="1" applyProtection="1">
      <alignment horizontal="center" vertical="center" wrapText="1"/>
      <protection locked="0"/>
    </xf>
    <xf numFmtId="1" fontId="9" fillId="0" borderId="15" xfId="1" applyNumberFormat="1" applyFont="1" applyBorder="1" applyAlignment="1" applyProtection="1">
      <alignment horizontal="center" vertical="center" wrapText="1"/>
      <protection locked="0"/>
    </xf>
    <xf numFmtId="1" fontId="9" fillId="0" borderId="9" xfId="1"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0" fontId="13" fillId="0" borderId="4"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3" fillId="0" borderId="8" xfId="1" applyFont="1" applyBorder="1" applyAlignment="1" applyProtection="1">
      <alignment horizontal="center" vertical="top" wrapText="1"/>
      <protection locked="0"/>
    </xf>
    <xf numFmtId="0" fontId="13" fillId="0" borderId="9" xfId="1" applyFont="1" applyBorder="1" applyAlignment="1" applyProtection="1">
      <alignment horizontal="center" vertical="top" wrapText="1"/>
      <protection locked="0"/>
    </xf>
    <xf numFmtId="0" fontId="13" fillId="0" borderId="27" xfId="1" applyFont="1" applyBorder="1" applyAlignment="1" applyProtection="1">
      <alignment horizontal="center" vertical="top" wrapText="1"/>
      <protection locked="0"/>
    </xf>
    <xf numFmtId="9" fontId="13" fillId="0" borderId="18" xfId="1" applyNumberFormat="1" applyFont="1" applyBorder="1" applyAlignment="1" applyProtection="1">
      <alignment horizontal="center" vertical="center" wrapText="1"/>
      <protection hidden="1"/>
    </xf>
    <xf numFmtId="9" fontId="13" fillId="0" borderId="19" xfId="1" applyNumberFormat="1" applyFont="1" applyBorder="1" applyAlignment="1" applyProtection="1">
      <alignment horizontal="center" vertical="center" wrapText="1"/>
      <protection hidden="1"/>
    </xf>
    <xf numFmtId="9" fontId="13" fillId="0" borderId="17" xfId="1" applyNumberFormat="1" applyFont="1" applyBorder="1" applyAlignment="1" applyProtection="1">
      <alignment horizontal="center" vertical="center" wrapText="1"/>
      <protection hidden="1"/>
    </xf>
    <xf numFmtId="9" fontId="13" fillId="0" borderId="16" xfId="1" applyNumberFormat="1" applyFont="1" applyBorder="1" applyAlignment="1" applyProtection="1">
      <alignment horizontal="center" vertical="center" wrapText="1"/>
      <protection hidden="1"/>
    </xf>
    <xf numFmtId="9" fontId="13" fillId="0" borderId="29" xfId="1" applyNumberFormat="1" applyFont="1" applyBorder="1" applyAlignment="1" applyProtection="1">
      <alignment horizontal="center" vertical="center" wrapText="1"/>
      <protection hidden="1"/>
    </xf>
    <xf numFmtId="9" fontId="13" fillId="0" borderId="30" xfId="1" applyNumberFormat="1" applyFont="1" applyBorder="1" applyAlignment="1" applyProtection="1">
      <alignment horizontal="center" vertical="center" wrapText="1"/>
      <protection hidden="1"/>
    </xf>
    <xf numFmtId="9" fontId="13" fillId="0" borderId="28" xfId="1" applyNumberFormat="1" applyFont="1" applyBorder="1" applyAlignment="1" applyProtection="1">
      <alignment horizontal="center" vertical="center" wrapText="1"/>
      <protection hidden="1"/>
    </xf>
    <xf numFmtId="9" fontId="13" fillId="0" borderId="12" xfId="1" applyNumberFormat="1" applyFont="1" applyBorder="1" applyAlignment="1" applyProtection="1">
      <alignment horizontal="center" vertical="center" wrapText="1"/>
      <protection hidden="1"/>
    </xf>
    <xf numFmtId="9" fontId="13" fillId="0" borderId="14" xfId="1" applyNumberFormat="1" applyFont="1" applyBorder="1" applyAlignment="1" applyProtection="1">
      <alignment horizontal="center" vertical="center" wrapText="1"/>
      <protection hidden="1"/>
    </xf>
    <xf numFmtId="1" fontId="9" fillId="0" borderId="1" xfId="0" applyNumberFormat="1" applyFont="1" applyBorder="1" applyAlignment="1" applyProtection="1">
      <alignment horizontal="left" vertical="top" wrapText="1"/>
      <protection locked="0"/>
    </xf>
    <xf numFmtId="0" fontId="14" fillId="0" borderId="1" xfId="2" applyFont="1" applyBorder="1" applyAlignment="1" applyProtection="1">
      <alignment horizontal="left" vertical="top" wrapText="1"/>
      <protection locked="0"/>
    </xf>
    <xf numFmtId="0" fontId="7" fillId="0" borderId="1" xfId="1" applyFont="1" applyBorder="1" applyAlignment="1" applyProtection="1">
      <alignment vertical="top"/>
      <protection locked="0"/>
    </xf>
    <xf numFmtId="0" fontId="9" fillId="0" borderId="1" xfId="1" applyFont="1" applyBorder="1" applyAlignment="1" applyProtection="1">
      <alignment horizontal="center" vertical="top"/>
      <protection locked="0"/>
    </xf>
    <xf numFmtId="0" fontId="11" fillId="0" borderId="1" xfId="0"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1" fontId="14" fillId="0" borderId="1" xfId="0" applyNumberFormat="1" applyFont="1" applyBorder="1" applyAlignment="1" applyProtection="1">
      <alignment horizontal="center" vertical="center" wrapText="1"/>
      <protection locked="0"/>
    </xf>
    <xf numFmtId="0" fontId="13" fillId="0" borderId="3" xfId="1" applyFont="1" applyBorder="1" applyAlignment="1" applyProtection="1">
      <alignment horizontal="left" vertical="top"/>
      <protection locked="0"/>
    </xf>
    <xf numFmtId="1" fontId="14" fillId="0" borderId="1" xfId="0" applyNumberFormat="1" applyFont="1" applyBorder="1" applyAlignment="1" applyProtection="1">
      <alignment horizontal="center" vertical="top" wrapText="1"/>
      <protection locked="0"/>
    </xf>
    <xf numFmtId="0" fontId="14" fillId="0" borderId="1" xfId="0" applyFont="1" applyBorder="1" applyAlignment="1" applyProtection="1">
      <alignment horizontal="center" vertical="top" wrapText="1"/>
      <protection locked="0"/>
    </xf>
    <xf numFmtId="1" fontId="9" fillId="0" borderId="1" xfId="1" applyNumberFormat="1" applyFont="1" applyBorder="1" applyAlignment="1" applyProtection="1">
      <alignment horizontal="center" vertical="top" wrapText="1"/>
      <protection locked="0"/>
    </xf>
    <xf numFmtId="0" fontId="14" fillId="0" borderId="8" xfId="1" applyFont="1" applyBorder="1" applyAlignment="1" applyProtection="1">
      <alignment horizontal="left" vertical="top" wrapText="1"/>
      <protection locked="0"/>
    </xf>
    <xf numFmtId="0" fontId="14" fillId="0" borderId="9" xfId="1" applyFont="1" applyBorder="1" applyAlignment="1" applyProtection="1">
      <alignment horizontal="left" vertical="top" wrapText="1"/>
      <protection locked="0"/>
    </xf>
    <xf numFmtId="0" fontId="8" fillId="0" borderId="1" xfId="1" applyFont="1" applyBorder="1" applyAlignment="1" applyProtection="1">
      <alignment horizontal="left" vertical="top"/>
      <protection locked="0"/>
    </xf>
    <xf numFmtId="0" fontId="13" fillId="0" borderId="1" xfId="1" applyFont="1" applyBorder="1" applyAlignment="1" applyProtection="1">
      <alignment horizontal="left"/>
      <protection locked="0"/>
    </xf>
    <xf numFmtId="14" fontId="13"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14" fontId="7" fillId="0" borderId="1" xfId="1" applyNumberFormat="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13" fillId="0" borderId="1" xfId="1" applyFont="1" applyBorder="1" applyAlignment="1" applyProtection="1">
      <alignment horizontal="left" vertical="center" wrapText="1"/>
      <protection locked="0"/>
    </xf>
    <xf numFmtId="164" fontId="7"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protection locked="0"/>
    </xf>
    <xf numFmtId="2" fontId="7" fillId="0" borderId="1" xfId="1" applyNumberFormat="1" applyFont="1" applyBorder="1" applyAlignment="1" applyProtection="1">
      <alignment horizontal="left" vertical="top" wrapText="1"/>
      <protection locked="0"/>
    </xf>
    <xf numFmtId="0" fontId="22" fillId="0" borderId="8" xfId="8" applyBorder="1" applyAlignment="1" applyProtection="1">
      <alignment horizontal="left"/>
      <protection locked="0"/>
    </xf>
    <xf numFmtId="0" fontId="8" fillId="0" borderId="15" xfId="1" applyFont="1" applyBorder="1" applyAlignment="1" applyProtection="1">
      <alignment horizontal="left"/>
      <protection locked="0"/>
    </xf>
    <xf numFmtId="0" fontId="8" fillId="0" borderId="9" xfId="1" applyFont="1" applyBorder="1" applyAlignment="1" applyProtection="1">
      <alignment horizontal="left"/>
      <protection locked="0"/>
    </xf>
    <xf numFmtId="0" fontId="13" fillId="0" borderId="1" xfId="1" applyFont="1" applyBorder="1" applyAlignment="1" applyProtection="1">
      <alignment horizontal="center" vertical="top"/>
      <protection locked="0"/>
    </xf>
    <xf numFmtId="0" fontId="14" fillId="0" borderId="1" xfId="1" applyFont="1" applyBorder="1" applyAlignment="1" applyProtection="1">
      <alignment horizontal="center" vertical="top"/>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protection locked="0"/>
    </xf>
    <xf numFmtId="14" fontId="13" fillId="0" borderId="8" xfId="1" applyNumberFormat="1" applyFont="1" applyBorder="1" applyAlignment="1" applyProtection="1">
      <alignment horizontal="left" vertical="top" wrapText="1"/>
      <protection locked="0"/>
    </xf>
    <xf numFmtId="14" fontId="13" fillId="0" borderId="9" xfId="1" applyNumberFormat="1" applyFont="1" applyBorder="1" applyAlignment="1" applyProtection="1">
      <alignment horizontal="left" vertical="top" wrapText="1"/>
      <protection locked="0"/>
    </xf>
    <xf numFmtId="2" fontId="7" fillId="0" borderId="1" xfId="1" applyNumberFormat="1" applyFont="1" applyBorder="1" applyAlignment="1" applyProtection="1">
      <alignment horizontal="left" vertical="top"/>
      <protection locked="0"/>
    </xf>
    <xf numFmtId="0" fontId="8" fillId="0" borderId="8" xfId="1" applyFont="1" applyBorder="1" applyAlignment="1" applyProtection="1">
      <alignment horizontal="left"/>
      <protection locked="0"/>
    </xf>
    <xf numFmtId="0" fontId="14" fillId="0" borderId="8" xfId="1" applyFont="1" applyBorder="1" applyAlignment="1" applyProtection="1">
      <alignment horizontal="left" vertical="top"/>
      <protection locked="0"/>
    </xf>
    <xf numFmtId="0" fontId="14" fillId="0" borderId="15" xfId="1" applyFont="1" applyBorder="1" applyAlignment="1" applyProtection="1">
      <alignment horizontal="left" vertical="top"/>
      <protection locked="0"/>
    </xf>
    <xf numFmtId="0" fontId="14" fillId="0" borderId="9" xfId="1" applyFont="1" applyBorder="1" applyAlignment="1" applyProtection="1">
      <alignment horizontal="left" vertical="top"/>
      <protection locked="0"/>
    </xf>
    <xf numFmtId="0" fontId="13" fillId="0" borderId="6" xfId="1" applyFont="1" applyBorder="1" applyAlignment="1" applyProtection="1">
      <alignment horizontal="center" vertical="top" wrapText="1"/>
      <protection locked="0"/>
    </xf>
    <xf numFmtId="0" fontId="13" fillId="0" borderId="7" xfId="1" applyFont="1" applyBorder="1" applyAlignment="1" applyProtection="1">
      <alignment horizontal="center" vertical="top" wrapText="1"/>
      <protection locked="0"/>
    </xf>
    <xf numFmtId="0" fontId="14" fillId="0" borderId="22" xfId="1" applyFont="1" applyBorder="1" applyAlignment="1" applyProtection="1">
      <alignment horizontal="left" vertical="top" wrapText="1"/>
      <protection locked="0"/>
    </xf>
    <xf numFmtId="0" fontId="14" fillId="0" borderId="23" xfId="1" applyFont="1" applyBorder="1" applyAlignment="1" applyProtection="1">
      <alignment horizontal="left" vertical="top" wrapText="1"/>
      <protection locked="0"/>
    </xf>
    <xf numFmtId="0" fontId="14" fillId="0" borderId="24" xfId="1" applyFont="1" applyBorder="1" applyAlignment="1" applyProtection="1">
      <alignment horizontal="left" vertical="top" wrapText="1"/>
      <protection locked="0"/>
    </xf>
    <xf numFmtId="0" fontId="14" fillId="0" borderId="25" xfId="1" applyFont="1" applyBorder="1" applyAlignment="1" applyProtection="1">
      <alignment horizontal="left" vertical="top" wrapText="1"/>
      <protection locked="0"/>
    </xf>
    <xf numFmtId="0" fontId="14" fillId="0" borderId="26" xfId="1" applyFont="1" applyBorder="1" applyAlignment="1" applyProtection="1">
      <alignment horizontal="left" vertical="top" wrapText="1"/>
      <protection locked="0"/>
    </xf>
    <xf numFmtId="0" fontId="14" fillId="0" borderId="4" xfId="1" applyFont="1" applyBorder="1" applyAlignment="1" applyProtection="1">
      <alignment horizontal="left" vertical="top"/>
      <protection locked="0"/>
    </xf>
    <xf numFmtId="0" fontId="14" fillId="0" borderId="15" xfId="1" applyFont="1" applyBorder="1" applyAlignment="1" applyProtection="1">
      <alignment horizontal="left" vertical="top" wrapText="1"/>
      <protection locked="0"/>
    </xf>
    <xf numFmtId="0" fontId="14" fillId="0" borderId="27" xfId="1" applyFont="1" applyBorder="1" applyAlignment="1" applyProtection="1">
      <alignment horizontal="left" vertical="top" wrapText="1"/>
      <protection locked="0"/>
    </xf>
    <xf numFmtId="0" fontId="13" fillId="0" borderId="4" xfId="1" applyFont="1" applyBorder="1" applyAlignment="1" applyProtection="1">
      <alignment horizontal="center" vertical="top"/>
      <protection locked="0"/>
    </xf>
    <xf numFmtId="0" fontId="0" fillId="2" borderId="1" xfId="0" applyFill="1" applyBorder="1" applyAlignment="1">
      <alignment horizontal="center" wrapText="1"/>
    </xf>
    <xf numFmtId="0" fontId="10" fillId="0" borderId="1" xfId="0" applyFont="1" applyBorder="1" applyAlignment="1">
      <alignment horizontal="center"/>
    </xf>
    <xf numFmtId="0" fontId="10" fillId="0" borderId="1" xfId="5" applyFont="1" applyBorder="1" applyAlignment="1">
      <alignment horizontal="left"/>
    </xf>
  </cellXfs>
  <cellStyles count="9">
    <cellStyle name="Comma 2" xfId="6"/>
    <cellStyle name="Excel Built-in Normal" xfId="2"/>
    <cellStyle name="Excel Built-in Normal 2" xfId="4"/>
    <cellStyle name="Hyperlink" xfId="8" builtinId="8"/>
    <cellStyle name="Normal" xfId="0" builtinId="0"/>
    <cellStyle name="Normal 2" xfId="3"/>
    <cellStyle name="Normal 3" xfId="1"/>
    <cellStyle name="Normal 3 3" xfId="7"/>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5.png"/><Relationship Id="rId7" Type="http://schemas.openxmlformats.org/officeDocument/2006/relationships/image" Target="../media/image29.png"/><Relationship Id="rId2" Type="http://schemas.openxmlformats.org/officeDocument/2006/relationships/image" Target="../media/image24.png"/><Relationship Id="rId1" Type="http://schemas.openxmlformats.org/officeDocument/2006/relationships/image" Target="../media/image23.png"/><Relationship Id="rId6" Type="http://schemas.openxmlformats.org/officeDocument/2006/relationships/image" Target="../media/image28.png"/><Relationship Id="rId5" Type="http://schemas.openxmlformats.org/officeDocument/2006/relationships/image" Target="../media/image27.png"/><Relationship Id="rId4" Type="http://schemas.openxmlformats.org/officeDocument/2006/relationships/image" Target="../media/image26.png"/></Relationships>
</file>

<file path=xl/drawings/_rels/drawing3.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png"/><Relationship Id="rId5" Type="http://schemas.openxmlformats.org/officeDocument/2006/relationships/image" Target="../media/image34.png"/><Relationship Id="rId4" Type="http://schemas.openxmlformats.org/officeDocument/2006/relationships/image" Target="../media/image3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280146</xdr:colOff>
      <xdr:row>474</xdr:row>
      <xdr:rowOff>168088</xdr:rowOff>
    </xdr:from>
    <xdr:to>
      <xdr:col>7</xdr:col>
      <xdr:colOff>515404</xdr:colOff>
      <xdr:row>492</xdr:row>
      <xdr:rowOff>137380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280146" y="85030235"/>
          <a:ext cx="6275229" cy="3600000"/>
        </a:xfrm>
        <a:prstGeom prst="rect">
          <a:avLst/>
        </a:prstGeom>
        <a:ln>
          <a:solidFill>
            <a:schemeClr val="tx1"/>
          </a:solidFill>
        </a:ln>
      </xdr:spPr>
    </xdr:pic>
    <xdr:clientData/>
  </xdr:twoCellAnchor>
  <xdr:twoCellAnchor editAs="oneCell">
    <xdr:from>
      <xdr:col>0</xdr:col>
      <xdr:colOff>280146</xdr:colOff>
      <xdr:row>493</xdr:row>
      <xdr:rowOff>82222</xdr:rowOff>
    </xdr:from>
    <xdr:to>
      <xdr:col>7</xdr:col>
      <xdr:colOff>515404</xdr:colOff>
      <xdr:row>511</xdr:row>
      <xdr:rowOff>51520</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280146" y="88776781"/>
          <a:ext cx="6275229" cy="3600000"/>
        </a:xfrm>
        <a:prstGeom prst="rect">
          <a:avLst/>
        </a:prstGeom>
        <a:ln>
          <a:solidFill>
            <a:schemeClr val="tx1"/>
          </a:solidFill>
        </a:ln>
      </xdr:spPr>
    </xdr:pic>
    <xdr:clientData/>
  </xdr:twoCellAnchor>
  <xdr:twoCellAnchor>
    <xdr:from>
      <xdr:col>8</xdr:col>
      <xdr:colOff>576580</xdr:colOff>
      <xdr:row>430</xdr:row>
      <xdr:rowOff>39370</xdr:rowOff>
    </xdr:from>
    <xdr:to>
      <xdr:col>16</xdr:col>
      <xdr:colOff>143732</xdr:colOff>
      <xdr:row>462</xdr:row>
      <xdr:rowOff>4617</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7025005" y="93736795"/>
          <a:ext cx="6072727" cy="6366047"/>
          <a:chOff x="203200" y="76568300"/>
          <a:chExt cx="6374352" cy="6258097"/>
        </a:xfrm>
      </xdr:grpSpPr>
      <xdr:pic>
        <xdr:nvPicPr>
          <xdr:cNvPr id="13" name="Picture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3478058" y="76568300"/>
            <a:ext cx="2970000" cy="3960000"/>
          </a:xfrm>
          <a:prstGeom prst="rect">
            <a:avLst/>
          </a:prstGeom>
          <a:ln>
            <a:solidFill>
              <a:schemeClr val="tx1"/>
            </a:solidFill>
          </a:ln>
        </xdr:spPr>
      </xdr:pic>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4957552" y="80666397"/>
            <a:ext cx="1620000" cy="2160000"/>
          </a:xfrm>
          <a:prstGeom prst="rect">
            <a:avLst/>
          </a:prstGeom>
          <a:ln>
            <a:solidFill>
              <a:schemeClr val="tx1"/>
            </a:solidFill>
          </a:ln>
        </xdr:spPr>
      </xdr:pic>
      <xdr:pic>
        <xdr:nvPicPr>
          <xdr:cNvPr id="15" name="Picture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950376" y="80666397"/>
            <a:ext cx="2880000" cy="2160000"/>
          </a:xfrm>
          <a:prstGeom prst="rect">
            <a:avLst/>
          </a:prstGeom>
          <a:ln>
            <a:solidFill>
              <a:schemeClr val="tx1"/>
            </a:solidFill>
          </a:ln>
        </xdr:spPr>
      </xdr:pic>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203200" y="80666397"/>
            <a:ext cx="1620000" cy="2160000"/>
          </a:xfrm>
          <a:prstGeom prst="rect">
            <a:avLst/>
          </a:prstGeom>
          <a:ln>
            <a:solidFill>
              <a:schemeClr val="tx1"/>
            </a:solidFill>
          </a:ln>
        </xdr:spPr>
      </xdr:pic>
      <xdr:pic>
        <xdr:nvPicPr>
          <xdr:cNvPr id="17" name="Picture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59077" y="76568300"/>
            <a:ext cx="2970000" cy="3960000"/>
          </a:xfrm>
          <a:prstGeom prst="rect">
            <a:avLst/>
          </a:prstGeom>
          <a:ln>
            <a:solidFill>
              <a:schemeClr val="tx1"/>
            </a:solidFill>
          </a:ln>
        </xdr:spPr>
      </xdr:pic>
    </xdr:grpSp>
    <xdr:clientData/>
  </xdr:twoCellAnchor>
  <xdr:twoCellAnchor editAs="oneCell">
    <xdr:from>
      <xdr:col>8</xdr:col>
      <xdr:colOff>324264</xdr:colOff>
      <xdr:row>42</xdr:row>
      <xdr:rowOff>161925</xdr:rowOff>
    </xdr:from>
    <xdr:to>
      <xdr:col>12</xdr:col>
      <xdr:colOff>419979</xdr:colOff>
      <xdr:row>50</xdr:row>
      <xdr:rowOff>153137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8"/>
        <a:stretch>
          <a:fillRect/>
        </a:stretch>
      </xdr:blipFill>
      <xdr:spPr>
        <a:xfrm>
          <a:off x="6772689" y="12106275"/>
          <a:ext cx="3334215" cy="2315312"/>
        </a:xfrm>
        <a:prstGeom prst="rect">
          <a:avLst/>
        </a:prstGeom>
      </xdr:spPr>
    </xdr:pic>
    <xdr:clientData/>
  </xdr:twoCellAnchor>
  <xdr:twoCellAnchor editAs="oneCell">
    <xdr:from>
      <xdr:col>8</xdr:col>
      <xdr:colOff>685800</xdr:colOff>
      <xdr:row>13</xdr:row>
      <xdr:rowOff>85725</xdr:rowOff>
    </xdr:from>
    <xdr:to>
      <xdr:col>18</xdr:col>
      <xdr:colOff>591961</xdr:colOff>
      <xdr:row>14</xdr:row>
      <xdr:rowOff>545292</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9"/>
        <a:stretch>
          <a:fillRect/>
        </a:stretch>
      </xdr:blipFill>
      <xdr:spPr>
        <a:xfrm>
          <a:off x="7134225" y="3076575"/>
          <a:ext cx="7630936" cy="2126442"/>
        </a:xfrm>
        <a:prstGeom prst="rect">
          <a:avLst/>
        </a:prstGeom>
      </xdr:spPr>
    </xdr:pic>
    <xdr:clientData/>
  </xdr:twoCellAnchor>
  <xdr:twoCellAnchor editAs="oneCell">
    <xdr:from>
      <xdr:col>10</xdr:col>
      <xdr:colOff>446634</xdr:colOff>
      <xdr:row>174</xdr:row>
      <xdr:rowOff>127267</xdr:rowOff>
    </xdr:from>
    <xdr:to>
      <xdr:col>18</xdr:col>
      <xdr:colOff>491784</xdr:colOff>
      <xdr:row>189</xdr:row>
      <xdr:rowOff>87907</xdr:rowOff>
    </xdr:to>
    <xdr:pic>
      <xdr:nvPicPr>
        <xdr:cNvPr id="18" name="Picture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0"/>
        <a:stretch>
          <a:fillRect/>
        </a:stretch>
      </xdr:blipFill>
      <xdr:spPr>
        <a:xfrm>
          <a:off x="8940693" y="40658943"/>
          <a:ext cx="5715326" cy="2986229"/>
        </a:xfrm>
        <a:prstGeom prst="rect">
          <a:avLst/>
        </a:prstGeom>
      </xdr:spPr>
    </xdr:pic>
    <xdr:clientData/>
  </xdr:twoCellAnchor>
  <xdr:twoCellAnchor editAs="oneCell">
    <xdr:from>
      <xdr:col>8</xdr:col>
      <xdr:colOff>389003</xdr:colOff>
      <xdr:row>177</xdr:row>
      <xdr:rowOff>13606</xdr:rowOff>
    </xdr:from>
    <xdr:to>
      <xdr:col>13</xdr:col>
      <xdr:colOff>908444</xdr:colOff>
      <xdr:row>188</xdr:row>
      <xdr:rowOff>185950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1"/>
        <a:stretch>
          <a:fillRect/>
        </a:stretch>
      </xdr:blipFill>
      <xdr:spPr>
        <a:xfrm>
          <a:off x="6854797" y="41150400"/>
          <a:ext cx="4363059" cy="2391109"/>
        </a:xfrm>
        <a:prstGeom prst="rect">
          <a:avLst/>
        </a:prstGeom>
      </xdr:spPr>
    </xdr:pic>
    <xdr:clientData/>
  </xdr:twoCellAnchor>
  <xdr:twoCellAnchor editAs="oneCell">
    <xdr:from>
      <xdr:col>9</xdr:col>
      <xdr:colOff>651544</xdr:colOff>
      <xdr:row>198</xdr:row>
      <xdr:rowOff>172822</xdr:rowOff>
    </xdr:from>
    <xdr:to>
      <xdr:col>16</xdr:col>
      <xdr:colOff>544287</xdr:colOff>
      <xdr:row>210</xdr:row>
      <xdr:rowOff>136071</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2"/>
        <a:stretch>
          <a:fillRect/>
        </a:stretch>
      </xdr:blipFill>
      <xdr:spPr>
        <a:xfrm>
          <a:off x="8448437" y="45920036"/>
          <a:ext cx="5049850" cy="2412535"/>
        </a:xfrm>
        <a:prstGeom prst="rect">
          <a:avLst/>
        </a:prstGeom>
      </xdr:spPr>
    </xdr:pic>
    <xdr:clientData/>
  </xdr:twoCellAnchor>
  <xdr:twoCellAnchor editAs="oneCell">
    <xdr:from>
      <xdr:col>16</xdr:col>
      <xdr:colOff>423419</xdr:colOff>
      <xdr:row>191</xdr:row>
      <xdr:rowOff>25615</xdr:rowOff>
    </xdr:from>
    <xdr:to>
      <xdr:col>27</xdr:col>
      <xdr:colOff>187653</xdr:colOff>
      <xdr:row>213</xdr:row>
      <xdr:rowOff>2858</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3"/>
        <a:stretch>
          <a:fillRect/>
        </a:stretch>
      </xdr:blipFill>
      <xdr:spPr>
        <a:xfrm>
          <a:off x="13377419" y="44344079"/>
          <a:ext cx="6499770" cy="4463518"/>
        </a:xfrm>
        <a:prstGeom prst="rect">
          <a:avLst/>
        </a:prstGeom>
      </xdr:spPr>
    </xdr:pic>
    <xdr:clientData/>
  </xdr:twoCellAnchor>
  <xdr:twoCellAnchor editAs="oneCell">
    <xdr:from>
      <xdr:col>16</xdr:col>
      <xdr:colOff>392205</xdr:colOff>
      <xdr:row>179</xdr:row>
      <xdr:rowOff>0</xdr:rowOff>
    </xdr:from>
    <xdr:to>
      <xdr:col>26</xdr:col>
      <xdr:colOff>18721</xdr:colOff>
      <xdr:row>198</xdr:row>
      <xdr:rowOff>25751</xdr:rowOff>
    </xdr:to>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4"/>
        <a:stretch>
          <a:fillRect/>
        </a:stretch>
      </xdr:blipFill>
      <xdr:spPr>
        <a:xfrm>
          <a:off x="13346205" y="41540206"/>
          <a:ext cx="5677692" cy="3858163"/>
        </a:xfrm>
        <a:prstGeom prst="rect">
          <a:avLst/>
        </a:prstGeom>
      </xdr:spPr>
    </xdr:pic>
    <xdr:clientData/>
  </xdr:twoCellAnchor>
  <xdr:twoCellAnchor editAs="oneCell">
    <xdr:from>
      <xdr:col>14</xdr:col>
      <xdr:colOff>272142</xdr:colOff>
      <xdr:row>172</xdr:row>
      <xdr:rowOff>179880</xdr:rowOff>
    </xdr:from>
    <xdr:to>
      <xdr:col>27</xdr:col>
      <xdr:colOff>308886</xdr:colOff>
      <xdr:row>195</xdr:row>
      <xdr:rowOff>69709</xdr:rowOff>
    </xdr:to>
    <xdr:pic>
      <xdr:nvPicPr>
        <xdr:cNvPr id="20" name="Picture 19">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15"/>
        <a:stretch>
          <a:fillRect/>
        </a:stretch>
      </xdr:blipFill>
      <xdr:spPr>
        <a:xfrm>
          <a:off x="12013869" y="41172016"/>
          <a:ext cx="7916517" cy="4669648"/>
        </a:xfrm>
        <a:prstGeom prst="rect">
          <a:avLst/>
        </a:prstGeom>
      </xdr:spPr>
    </xdr:pic>
    <xdr:clientData/>
  </xdr:twoCellAnchor>
  <xdr:twoCellAnchor>
    <xdr:from>
      <xdr:col>0</xdr:col>
      <xdr:colOff>182880</xdr:colOff>
      <xdr:row>431</xdr:row>
      <xdr:rowOff>76200</xdr:rowOff>
    </xdr:from>
    <xdr:to>
      <xdr:col>7</xdr:col>
      <xdr:colOff>480059</xdr:colOff>
      <xdr:row>465</xdr:row>
      <xdr:rowOff>38100</xdr:rowOff>
    </xdr:to>
    <xdr:grpSp>
      <xdr:nvGrpSpPr>
        <xdr:cNvPr id="7" name="Group 6">
          <a:extLst>
            <a:ext uri="{FF2B5EF4-FFF2-40B4-BE49-F238E27FC236}">
              <a16:creationId xmlns:a16="http://schemas.microsoft.com/office/drawing/2014/main" id="{06DD506F-122A-8272-E689-7D3F85862974}"/>
            </a:ext>
          </a:extLst>
        </xdr:cNvPr>
        <xdr:cNvGrpSpPr/>
      </xdr:nvGrpSpPr>
      <xdr:grpSpPr>
        <a:xfrm>
          <a:off x="182880" y="93973650"/>
          <a:ext cx="5916929" cy="6762750"/>
          <a:chOff x="52646" y="2416167"/>
          <a:chExt cx="6607109" cy="6239310"/>
        </a:xfrm>
      </xdr:grpSpPr>
      <xdr:pic>
        <xdr:nvPicPr>
          <xdr:cNvPr id="10" name="Picture 9">
            <a:extLst>
              <a:ext uri="{FF2B5EF4-FFF2-40B4-BE49-F238E27FC236}">
                <a16:creationId xmlns:a16="http://schemas.microsoft.com/office/drawing/2014/main" id="{C4E63F14-2A94-04F8-C3F1-CCEC3CEBC5D9}"/>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4453412" y="6874496"/>
            <a:ext cx="1325825" cy="176940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1" name="Picture 20">
            <a:extLst>
              <a:ext uri="{FF2B5EF4-FFF2-40B4-BE49-F238E27FC236}">
                <a16:creationId xmlns:a16="http://schemas.microsoft.com/office/drawing/2014/main" id="{E63E5582-112F-CF8D-4CA4-F4B0F921625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429000" y="2416167"/>
            <a:ext cx="3230755" cy="431166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2" name="Picture 21">
            <a:extLst>
              <a:ext uri="{FF2B5EF4-FFF2-40B4-BE49-F238E27FC236}">
                <a16:creationId xmlns:a16="http://schemas.microsoft.com/office/drawing/2014/main" id="{76CC5064-6A8C-A1FC-4ED6-501A676B354F}"/>
              </a:ext>
            </a:extLst>
          </xdr:cNvPr>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571663" y="6886072"/>
            <a:ext cx="2357024" cy="176940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3" name="Picture 22">
            <a:extLst>
              <a:ext uri="{FF2B5EF4-FFF2-40B4-BE49-F238E27FC236}">
                <a16:creationId xmlns:a16="http://schemas.microsoft.com/office/drawing/2014/main" id="{334D4B1E-5804-195B-F53B-86B107DB6543}"/>
              </a:ext>
            </a:extLst>
          </xdr:cNvPr>
          <xdr:cNvPicPr>
            <a:picLocks noChangeAspect="1" noChangeArrowheads="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3022775" y="6874497"/>
            <a:ext cx="1325825" cy="176940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4" name="Picture 23">
            <a:extLst>
              <a:ext uri="{FF2B5EF4-FFF2-40B4-BE49-F238E27FC236}">
                <a16:creationId xmlns:a16="http://schemas.microsoft.com/office/drawing/2014/main" id="{3751ADC7-A6F8-7BCD-C8A7-8AF326D9D0D3}"/>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52646" y="2416167"/>
            <a:ext cx="3230755" cy="431166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485775</xdr:colOff>
      <xdr:row>0</xdr:row>
      <xdr:rowOff>0</xdr:rowOff>
    </xdr:from>
    <xdr:to>
      <xdr:col>14</xdr:col>
      <xdr:colOff>183300</xdr:colOff>
      <xdr:row>18</xdr:row>
      <xdr:rowOff>171000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400300" y="0"/>
          <a:ext cx="6403125" cy="3600000"/>
        </a:xfrm>
        <a:prstGeom prst="rect">
          <a:avLst/>
        </a:prstGeom>
      </xdr:spPr>
    </xdr:pic>
    <xdr:clientData/>
  </xdr:twoCellAnchor>
  <xdr:twoCellAnchor editAs="oneCell">
    <xdr:from>
      <xdr:col>3</xdr:col>
      <xdr:colOff>419100</xdr:colOff>
      <xdr:row>19</xdr:row>
      <xdr:rowOff>37650</xdr:rowOff>
    </xdr:from>
    <xdr:to>
      <xdr:col>14</xdr:col>
      <xdr:colOff>116625</xdr:colOff>
      <xdr:row>38</xdr:row>
      <xdr:rowOff>18150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333625" y="3657150"/>
          <a:ext cx="6403125" cy="3600000"/>
        </a:xfrm>
        <a:prstGeom prst="rect">
          <a:avLst/>
        </a:prstGeom>
      </xdr:spPr>
    </xdr:pic>
    <xdr:clientData/>
  </xdr:twoCellAnchor>
  <xdr:twoCellAnchor editAs="oneCell">
    <xdr:from>
      <xdr:col>11</xdr:col>
      <xdr:colOff>458810</xdr:colOff>
      <xdr:row>0</xdr:row>
      <xdr:rowOff>19050</xdr:rowOff>
    </xdr:from>
    <xdr:to>
      <xdr:col>22</xdr:col>
      <xdr:colOff>156335</xdr:colOff>
      <xdr:row>18</xdr:row>
      <xdr:rowOff>190050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250135" y="19050"/>
          <a:ext cx="6403125" cy="3600000"/>
        </a:xfrm>
        <a:prstGeom prst="rect">
          <a:avLst/>
        </a:prstGeom>
      </xdr:spPr>
    </xdr:pic>
    <xdr:clientData/>
  </xdr:twoCellAnchor>
  <xdr:twoCellAnchor editAs="oneCell">
    <xdr:from>
      <xdr:col>3</xdr:col>
      <xdr:colOff>1</xdr:colOff>
      <xdr:row>39</xdr:row>
      <xdr:rowOff>0</xdr:rowOff>
    </xdr:from>
    <xdr:to>
      <xdr:col>13</xdr:col>
      <xdr:colOff>307126</xdr:colOff>
      <xdr:row>57</xdr:row>
      <xdr:rowOff>171000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1914526" y="7429500"/>
          <a:ext cx="6403125" cy="3600000"/>
        </a:xfrm>
        <a:prstGeom prst="rect">
          <a:avLst/>
        </a:prstGeom>
      </xdr:spPr>
    </xdr:pic>
    <xdr:clientData/>
  </xdr:twoCellAnchor>
  <xdr:twoCellAnchor editAs="oneCell">
    <xdr:from>
      <xdr:col>3</xdr:col>
      <xdr:colOff>1</xdr:colOff>
      <xdr:row>58</xdr:row>
      <xdr:rowOff>0</xdr:rowOff>
    </xdr:from>
    <xdr:to>
      <xdr:col>13</xdr:col>
      <xdr:colOff>307126</xdr:colOff>
      <xdr:row>76</xdr:row>
      <xdr:rowOff>171000</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1914526" y="11049000"/>
          <a:ext cx="6403125" cy="3600000"/>
        </a:xfrm>
        <a:prstGeom prst="rect">
          <a:avLst/>
        </a:prstGeom>
      </xdr:spPr>
    </xdr:pic>
    <xdr:clientData/>
  </xdr:twoCellAnchor>
  <xdr:twoCellAnchor editAs="oneCell">
    <xdr:from>
      <xdr:col>14</xdr:col>
      <xdr:colOff>1</xdr:colOff>
      <xdr:row>39</xdr:row>
      <xdr:rowOff>0</xdr:rowOff>
    </xdr:from>
    <xdr:to>
      <xdr:col>24</xdr:col>
      <xdr:colOff>307126</xdr:colOff>
      <xdr:row>57</xdr:row>
      <xdr:rowOff>171000</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8620126" y="7429500"/>
          <a:ext cx="6403125" cy="3600000"/>
        </a:xfrm>
        <a:prstGeom prst="rect">
          <a:avLst/>
        </a:prstGeom>
      </xdr:spPr>
    </xdr:pic>
    <xdr:clientData/>
  </xdr:twoCellAnchor>
  <xdr:twoCellAnchor editAs="oneCell">
    <xdr:from>
      <xdr:col>14</xdr:col>
      <xdr:colOff>1</xdr:colOff>
      <xdr:row>58</xdr:row>
      <xdr:rowOff>0</xdr:rowOff>
    </xdr:from>
    <xdr:to>
      <xdr:col>24</xdr:col>
      <xdr:colOff>307126</xdr:colOff>
      <xdr:row>76</xdr:row>
      <xdr:rowOff>171000</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8620126" y="11049000"/>
          <a:ext cx="6403125" cy="36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14019</xdr:colOff>
      <xdr:row>13</xdr:row>
      <xdr:rowOff>0</xdr:rowOff>
    </xdr:from>
    <xdr:to>
      <xdr:col>6</xdr:col>
      <xdr:colOff>14688</xdr:colOff>
      <xdr:row>31</xdr:row>
      <xdr:rowOff>171000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93802" y="2484783"/>
          <a:ext cx="6403125" cy="3600000"/>
        </a:xfrm>
        <a:prstGeom prst="rect">
          <a:avLst/>
        </a:prstGeom>
        <a:ln>
          <a:solidFill>
            <a:schemeClr val="tx1"/>
          </a:solidFill>
        </a:ln>
      </xdr:spPr>
    </xdr:pic>
    <xdr:clientData/>
  </xdr:twoCellAnchor>
  <xdr:twoCellAnchor editAs="oneCell">
    <xdr:from>
      <xdr:col>1</xdr:col>
      <xdr:colOff>14018</xdr:colOff>
      <xdr:row>32</xdr:row>
      <xdr:rowOff>75460</xdr:rowOff>
    </xdr:from>
    <xdr:to>
      <xdr:col>6</xdr:col>
      <xdr:colOff>14687</xdr:colOff>
      <xdr:row>51</xdr:row>
      <xdr:rowOff>55960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93801" y="6179743"/>
          <a:ext cx="6403125" cy="3600000"/>
        </a:xfrm>
        <a:prstGeom prst="rect">
          <a:avLst/>
        </a:prstGeom>
        <a:ln>
          <a:solidFill>
            <a:schemeClr val="tx1"/>
          </a:solidFill>
        </a:ln>
      </xdr:spPr>
    </xdr:pic>
    <xdr:clientData/>
  </xdr:twoCellAnchor>
  <xdr:twoCellAnchor editAs="oneCell">
    <xdr:from>
      <xdr:col>6</xdr:col>
      <xdr:colOff>359758</xdr:colOff>
      <xdr:row>13</xdr:row>
      <xdr:rowOff>0</xdr:rowOff>
    </xdr:from>
    <xdr:to>
      <xdr:col>15</xdr:col>
      <xdr:colOff>277600</xdr:colOff>
      <xdr:row>31</xdr:row>
      <xdr:rowOff>171000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7341997" y="2484783"/>
          <a:ext cx="6403125" cy="3600000"/>
        </a:xfrm>
        <a:prstGeom prst="rect">
          <a:avLst/>
        </a:prstGeom>
        <a:ln>
          <a:solidFill>
            <a:schemeClr val="tx1"/>
          </a:solidFill>
        </a:ln>
      </xdr:spPr>
    </xdr:pic>
    <xdr:clientData/>
  </xdr:twoCellAnchor>
  <xdr:twoCellAnchor editAs="oneCell">
    <xdr:from>
      <xdr:col>6</xdr:col>
      <xdr:colOff>225674</xdr:colOff>
      <xdr:row>32</xdr:row>
      <xdr:rowOff>120549</xdr:rowOff>
    </xdr:from>
    <xdr:to>
      <xdr:col>15</xdr:col>
      <xdr:colOff>143516</xdr:colOff>
      <xdr:row>51</xdr:row>
      <xdr:rowOff>101049</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7207913" y="6224832"/>
          <a:ext cx="6403125" cy="3600000"/>
        </a:xfrm>
        <a:prstGeom prst="rect">
          <a:avLst/>
        </a:prstGeom>
        <a:ln>
          <a:solidFill>
            <a:schemeClr val="tx1"/>
          </a:solidFill>
        </a:ln>
      </xdr:spPr>
    </xdr:pic>
    <xdr:clientData/>
  </xdr:twoCellAnchor>
  <xdr:twoCellAnchor editAs="oneCell">
    <xdr:from>
      <xdr:col>1</xdr:col>
      <xdr:colOff>0</xdr:colOff>
      <xdr:row>51</xdr:row>
      <xdr:rowOff>55960</xdr:rowOff>
    </xdr:from>
    <xdr:to>
      <xdr:col>6</xdr:col>
      <xdr:colOff>669</xdr:colOff>
      <xdr:row>70</xdr:row>
      <xdr:rowOff>36460</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579783" y="9779743"/>
          <a:ext cx="640312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caSVRYFGwE6KfyXLA"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74"/>
  <sheetViews>
    <sheetView tabSelected="1" view="pageBreakPreview" topLeftCell="A28" zoomScaleNormal="100" zoomScaleSheetLayoutView="100" zoomScalePageLayoutView="85" workbookViewId="0">
      <selection activeCell="I38" sqref="I38"/>
    </sheetView>
  </sheetViews>
  <sheetFormatPr defaultColWidth="9.140625" defaultRowHeight="15.75" x14ac:dyDescent="0.25"/>
  <cols>
    <col min="1" max="1" width="11.42578125" style="56" customWidth="1"/>
    <col min="2" max="2" width="12.140625" style="56" customWidth="1"/>
    <col min="3" max="3" width="12.7109375" style="56" customWidth="1"/>
    <col min="4" max="4" width="12.85546875" style="56" customWidth="1"/>
    <col min="5" max="7" width="11.7109375" style="56" customWidth="1"/>
    <col min="8" max="8" width="12.42578125" style="56" customWidth="1"/>
    <col min="9" max="9" width="20.42578125" style="28" customWidth="1"/>
    <col min="10" max="10" width="9.85546875" style="28" bestFit="1" customWidth="1"/>
    <col min="11" max="13" width="9.140625" style="28"/>
    <col min="14" max="14" width="21.5703125" style="28" customWidth="1"/>
    <col min="15" max="252" width="9.140625" style="28"/>
    <col min="253" max="253" width="8.7109375" style="28" customWidth="1"/>
    <col min="254" max="254" width="9.85546875" style="28" customWidth="1"/>
    <col min="255" max="255" width="14.42578125" style="28" customWidth="1"/>
    <col min="256" max="256" width="7.28515625" style="28" customWidth="1"/>
    <col min="257" max="257" width="5.5703125" style="28" customWidth="1"/>
    <col min="258" max="258" width="9" style="28" customWidth="1"/>
    <col min="259" max="260" width="9.85546875" style="28" customWidth="1"/>
    <col min="261" max="261" width="11.140625" style="28" customWidth="1"/>
    <col min="262" max="262" width="2.85546875" style="28" customWidth="1"/>
    <col min="263" max="263" width="3.5703125" style="28" customWidth="1"/>
    <col min="264" max="508" width="9.140625" style="28"/>
    <col min="509" max="509" width="8.7109375" style="28" customWidth="1"/>
    <col min="510" max="510" width="9.85546875" style="28" customWidth="1"/>
    <col min="511" max="511" width="14.42578125" style="28" customWidth="1"/>
    <col min="512" max="512" width="7.28515625" style="28" customWidth="1"/>
    <col min="513" max="513" width="5.5703125" style="28" customWidth="1"/>
    <col min="514" max="514" width="9" style="28" customWidth="1"/>
    <col min="515" max="516" width="9.85546875" style="28" customWidth="1"/>
    <col min="517" max="517" width="11.140625" style="28" customWidth="1"/>
    <col min="518" max="518" width="2.85546875" style="28" customWidth="1"/>
    <col min="519" max="519" width="3.5703125" style="28" customWidth="1"/>
    <col min="520" max="764" width="9.140625" style="28"/>
    <col min="765" max="765" width="8.7109375" style="28" customWidth="1"/>
    <col min="766" max="766" width="9.85546875" style="28" customWidth="1"/>
    <col min="767" max="767" width="14.42578125" style="28" customWidth="1"/>
    <col min="768" max="768" width="7.28515625" style="28" customWidth="1"/>
    <col min="769" max="769" width="5.5703125" style="28" customWidth="1"/>
    <col min="770" max="770" width="9" style="28" customWidth="1"/>
    <col min="771" max="772" width="9.85546875" style="28" customWidth="1"/>
    <col min="773" max="773" width="11.140625" style="28" customWidth="1"/>
    <col min="774" max="774" width="2.85546875" style="28" customWidth="1"/>
    <col min="775" max="775" width="3.5703125" style="28" customWidth="1"/>
    <col min="776" max="1020" width="9.140625" style="28"/>
    <col min="1021" max="1021" width="8.7109375" style="28" customWidth="1"/>
    <col min="1022" max="1022" width="9.85546875" style="28" customWidth="1"/>
    <col min="1023" max="1023" width="14.42578125" style="28" customWidth="1"/>
    <col min="1024" max="1024" width="7.28515625" style="28" customWidth="1"/>
    <col min="1025" max="1025" width="5.5703125" style="28" customWidth="1"/>
    <col min="1026" max="1026" width="9" style="28" customWidth="1"/>
    <col min="1027" max="1028" width="9.85546875" style="28" customWidth="1"/>
    <col min="1029" max="1029" width="11.140625" style="28" customWidth="1"/>
    <col min="1030" max="1030" width="2.85546875" style="28" customWidth="1"/>
    <col min="1031" max="1031" width="3.5703125" style="28" customWidth="1"/>
    <col min="1032" max="1276" width="9.140625" style="28"/>
    <col min="1277" max="1277" width="8.7109375" style="28" customWidth="1"/>
    <col min="1278" max="1278" width="9.85546875" style="28" customWidth="1"/>
    <col min="1279" max="1279" width="14.42578125" style="28" customWidth="1"/>
    <col min="1280" max="1280" width="7.28515625" style="28" customWidth="1"/>
    <col min="1281" max="1281" width="5.5703125" style="28" customWidth="1"/>
    <col min="1282" max="1282" width="9" style="28" customWidth="1"/>
    <col min="1283" max="1284" width="9.85546875" style="28" customWidth="1"/>
    <col min="1285" max="1285" width="11.140625" style="28" customWidth="1"/>
    <col min="1286" max="1286" width="2.85546875" style="28" customWidth="1"/>
    <col min="1287" max="1287" width="3.5703125" style="28" customWidth="1"/>
    <col min="1288" max="1532" width="9.140625" style="28"/>
    <col min="1533" max="1533" width="8.7109375" style="28" customWidth="1"/>
    <col min="1534" max="1534" width="9.85546875" style="28" customWidth="1"/>
    <col min="1535" max="1535" width="14.42578125" style="28" customWidth="1"/>
    <col min="1536" max="1536" width="7.28515625" style="28" customWidth="1"/>
    <col min="1537" max="1537" width="5.5703125" style="28" customWidth="1"/>
    <col min="1538" max="1538" width="9" style="28" customWidth="1"/>
    <col min="1539" max="1540" width="9.85546875" style="28" customWidth="1"/>
    <col min="1541" max="1541" width="11.140625" style="28" customWidth="1"/>
    <col min="1542" max="1542" width="2.85546875" style="28" customWidth="1"/>
    <col min="1543" max="1543" width="3.5703125" style="28" customWidth="1"/>
    <col min="1544" max="1788" width="9.140625" style="28"/>
    <col min="1789" max="1789" width="8.7109375" style="28" customWidth="1"/>
    <col min="1790" max="1790" width="9.85546875" style="28" customWidth="1"/>
    <col min="1791" max="1791" width="14.42578125" style="28" customWidth="1"/>
    <col min="1792" max="1792" width="7.28515625" style="28" customWidth="1"/>
    <col min="1793" max="1793" width="5.5703125" style="28" customWidth="1"/>
    <col min="1794" max="1794" width="9" style="28" customWidth="1"/>
    <col min="1795" max="1796" width="9.85546875" style="28" customWidth="1"/>
    <col min="1797" max="1797" width="11.140625" style="28" customWidth="1"/>
    <col min="1798" max="1798" width="2.85546875" style="28" customWidth="1"/>
    <col min="1799" max="1799" width="3.5703125" style="28" customWidth="1"/>
    <col min="1800" max="2044" width="9.140625" style="28"/>
    <col min="2045" max="2045" width="8.7109375" style="28" customWidth="1"/>
    <col min="2046" max="2046" width="9.85546875" style="28" customWidth="1"/>
    <col min="2047" max="2047" width="14.42578125" style="28" customWidth="1"/>
    <col min="2048" max="2048" width="7.28515625" style="28" customWidth="1"/>
    <col min="2049" max="2049" width="5.5703125" style="28" customWidth="1"/>
    <col min="2050" max="2050" width="9" style="28" customWidth="1"/>
    <col min="2051" max="2052" width="9.85546875" style="28" customWidth="1"/>
    <col min="2053" max="2053" width="11.140625" style="28" customWidth="1"/>
    <col min="2054" max="2054" width="2.85546875" style="28" customWidth="1"/>
    <col min="2055" max="2055" width="3.5703125" style="28" customWidth="1"/>
    <col min="2056" max="2300" width="9.140625" style="28"/>
    <col min="2301" max="2301" width="8.7109375" style="28" customWidth="1"/>
    <col min="2302" max="2302" width="9.85546875" style="28" customWidth="1"/>
    <col min="2303" max="2303" width="14.42578125" style="28" customWidth="1"/>
    <col min="2304" max="2304" width="7.28515625" style="28" customWidth="1"/>
    <col min="2305" max="2305" width="5.5703125" style="28" customWidth="1"/>
    <col min="2306" max="2306" width="9" style="28" customWidth="1"/>
    <col min="2307" max="2308" width="9.85546875" style="28" customWidth="1"/>
    <col min="2309" max="2309" width="11.140625" style="28" customWidth="1"/>
    <col min="2310" max="2310" width="2.85546875" style="28" customWidth="1"/>
    <col min="2311" max="2311" width="3.5703125" style="28" customWidth="1"/>
    <col min="2312" max="2556" width="9.140625" style="28"/>
    <col min="2557" max="2557" width="8.7109375" style="28" customWidth="1"/>
    <col min="2558" max="2558" width="9.85546875" style="28" customWidth="1"/>
    <col min="2559" max="2559" width="14.42578125" style="28" customWidth="1"/>
    <col min="2560" max="2560" width="7.28515625" style="28" customWidth="1"/>
    <col min="2561" max="2561" width="5.5703125" style="28" customWidth="1"/>
    <col min="2562" max="2562" width="9" style="28" customWidth="1"/>
    <col min="2563" max="2564" width="9.85546875" style="28" customWidth="1"/>
    <col min="2565" max="2565" width="11.140625" style="28" customWidth="1"/>
    <col min="2566" max="2566" width="2.85546875" style="28" customWidth="1"/>
    <col min="2567" max="2567" width="3.5703125" style="28" customWidth="1"/>
    <col min="2568" max="2812" width="9.140625" style="28"/>
    <col min="2813" max="2813" width="8.7109375" style="28" customWidth="1"/>
    <col min="2814" max="2814" width="9.85546875" style="28" customWidth="1"/>
    <col min="2815" max="2815" width="14.42578125" style="28" customWidth="1"/>
    <col min="2816" max="2816" width="7.28515625" style="28" customWidth="1"/>
    <col min="2817" max="2817" width="5.5703125" style="28" customWidth="1"/>
    <col min="2818" max="2818" width="9" style="28" customWidth="1"/>
    <col min="2819" max="2820" width="9.85546875" style="28" customWidth="1"/>
    <col min="2821" max="2821" width="11.140625" style="28" customWidth="1"/>
    <col min="2822" max="2822" width="2.85546875" style="28" customWidth="1"/>
    <col min="2823" max="2823" width="3.5703125" style="28" customWidth="1"/>
    <col min="2824" max="3068" width="9.140625" style="28"/>
    <col min="3069" max="3069" width="8.7109375" style="28" customWidth="1"/>
    <col min="3070" max="3070" width="9.85546875" style="28" customWidth="1"/>
    <col min="3071" max="3071" width="14.42578125" style="28" customWidth="1"/>
    <col min="3072" max="3072" width="7.28515625" style="28" customWidth="1"/>
    <col min="3073" max="3073" width="5.5703125" style="28" customWidth="1"/>
    <col min="3074" max="3074" width="9" style="28" customWidth="1"/>
    <col min="3075" max="3076" width="9.85546875" style="28" customWidth="1"/>
    <col min="3077" max="3077" width="11.140625" style="28" customWidth="1"/>
    <col min="3078" max="3078" width="2.85546875" style="28" customWidth="1"/>
    <col min="3079" max="3079" width="3.5703125" style="28" customWidth="1"/>
    <col min="3080" max="3324" width="9.140625" style="28"/>
    <col min="3325" max="3325" width="8.7109375" style="28" customWidth="1"/>
    <col min="3326" max="3326" width="9.85546875" style="28" customWidth="1"/>
    <col min="3327" max="3327" width="14.42578125" style="28" customWidth="1"/>
    <col min="3328" max="3328" width="7.28515625" style="28" customWidth="1"/>
    <col min="3329" max="3329" width="5.5703125" style="28" customWidth="1"/>
    <col min="3330" max="3330" width="9" style="28" customWidth="1"/>
    <col min="3331" max="3332" width="9.85546875" style="28" customWidth="1"/>
    <col min="3333" max="3333" width="11.140625" style="28" customWidth="1"/>
    <col min="3334" max="3334" width="2.85546875" style="28" customWidth="1"/>
    <col min="3335" max="3335" width="3.5703125" style="28" customWidth="1"/>
    <col min="3336" max="3580" width="9.140625" style="28"/>
    <col min="3581" max="3581" width="8.7109375" style="28" customWidth="1"/>
    <col min="3582" max="3582" width="9.85546875" style="28" customWidth="1"/>
    <col min="3583" max="3583" width="14.42578125" style="28" customWidth="1"/>
    <col min="3584" max="3584" width="7.28515625" style="28" customWidth="1"/>
    <col min="3585" max="3585" width="5.5703125" style="28" customWidth="1"/>
    <col min="3586" max="3586" width="9" style="28" customWidth="1"/>
    <col min="3587" max="3588" width="9.85546875" style="28" customWidth="1"/>
    <col min="3589" max="3589" width="11.140625" style="28" customWidth="1"/>
    <col min="3590" max="3590" width="2.85546875" style="28" customWidth="1"/>
    <col min="3591" max="3591" width="3.5703125" style="28" customWidth="1"/>
    <col min="3592" max="3836" width="9.140625" style="28"/>
    <col min="3837" max="3837" width="8.7109375" style="28" customWidth="1"/>
    <col min="3838" max="3838" width="9.85546875" style="28" customWidth="1"/>
    <col min="3839" max="3839" width="14.42578125" style="28" customWidth="1"/>
    <col min="3840" max="3840" width="7.28515625" style="28" customWidth="1"/>
    <col min="3841" max="3841" width="5.5703125" style="28" customWidth="1"/>
    <col min="3842" max="3842" width="9" style="28" customWidth="1"/>
    <col min="3843" max="3844" width="9.85546875" style="28" customWidth="1"/>
    <col min="3845" max="3845" width="11.140625" style="28" customWidth="1"/>
    <col min="3846" max="3846" width="2.85546875" style="28" customWidth="1"/>
    <col min="3847" max="3847" width="3.5703125" style="28" customWidth="1"/>
    <col min="3848" max="4092" width="9.140625" style="28"/>
    <col min="4093" max="4093" width="8.7109375" style="28" customWidth="1"/>
    <col min="4094" max="4094" width="9.85546875" style="28" customWidth="1"/>
    <col min="4095" max="4095" width="14.42578125" style="28" customWidth="1"/>
    <col min="4096" max="4096" width="7.28515625" style="28" customWidth="1"/>
    <col min="4097" max="4097" width="5.5703125" style="28" customWidth="1"/>
    <col min="4098" max="4098" width="9" style="28" customWidth="1"/>
    <col min="4099" max="4100" width="9.85546875" style="28" customWidth="1"/>
    <col min="4101" max="4101" width="11.140625" style="28" customWidth="1"/>
    <col min="4102" max="4102" width="2.85546875" style="28" customWidth="1"/>
    <col min="4103" max="4103" width="3.5703125" style="28" customWidth="1"/>
    <col min="4104" max="4348" width="9.140625" style="28"/>
    <col min="4349" max="4349" width="8.7109375" style="28" customWidth="1"/>
    <col min="4350" max="4350" width="9.85546875" style="28" customWidth="1"/>
    <col min="4351" max="4351" width="14.42578125" style="28" customWidth="1"/>
    <col min="4352" max="4352" width="7.28515625" style="28" customWidth="1"/>
    <col min="4353" max="4353" width="5.5703125" style="28" customWidth="1"/>
    <col min="4354" max="4354" width="9" style="28" customWidth="1"/>
    <col min="4355" max="4356" width="9.85546875" style="28" customWidth="1"/>
    <col min="4357" max="4357" width="11.140625" style="28" customWidth="1"/>
    <col min="4358" max="4358" width="2.85546875" style="28" customWidth="1"/>
    <col min="4359" max="4359" width="3.5703125" style="28" customWidth="1"/>
    <col min="4360" max="4604" width="9.140625" style="28"/>
    <col min="4605" max="4605" width="8.7109375" style="28" customWidth="1"/>
    <col min="4606" max="4606" width="9.85546875" style="28" customWidth="1"/>
    <col min="4607" max="4607" width="14.42578125" style="28" customWidth="1"/>
    <col min="4608" max="4608" width="7.28515625" style="28" customWidth="1"/>
    <col min="4609" max="4609" width="5.5703125" style="28" customWidth="1"/>
    <col min="4610" max="4610" width="9" style="28" customWidth="1"/>
    <col min="4611" max="4612" width="9.85546875" style="28" customWidth="1"/>
    <col min="4613" max="4613" width="11.140625" style="28" customWidth="1"/>
    <col min="4614" max="4614" width="2.85546875" style="28" customWidth="1"/>
    <col min="4615" max="4615" width="3.5703125" style="28" customWidth="1"/>
    <col min="4616" max="4860" width="9.140625" style="28"/>
    <col min="4861" max="4861" width="8.7109375" style="28" customWidth="1"/>
    <col min="4862" max="4862" width="9.85546875" style="28" customWidth="1"/>
    <col min="4863" max="4863" width="14.42578125" style="28" customWidth="1"/>
    <col min="4864" max="4864" width="7.28515625" style="28" customWidth="1"/>
    <col min="4865" max="4865" width="5.5703125" style="28" customWidth="1"/>
    <col min="4866" max="4866" width="9" style="28" customWidth="1"/>
    <col min="4867" max="4868" width="9.85546875" style="28" customWidth="1"/>
    <col min="4869" max="4869" width="11.140625" style="28" customWidth="1"/>
    <col min="4870" max="4870" width="2.85546875" style="28" customWidth="1"/>
    <col min="4871" max="4871" width="3.5703125" style="28" customWidth="1"/>
    <col min="4872" max="5116" width="9.140625" style="28"/>
    <col min="5117" max="5117" width="8.7109375" style="28" customWidth="1"/>
    <col min="5118" max="5118" width="9.85546875" style="28" customWidth="1"/>
    <col min="5119" max="5119" width="14.42578125" style="28" customWidth="1"/>
    <col min="5120" max="5120" width="7.28515625" style="28" customWidth="1"/>
    <col min="5121" max="5121" width="5.5703125" style="28" customWidth="1"/>
    <col min="5122" max="5122" width="9" style="28" customWidth="1"/>
    <col min="5123" max="5124" width="9.85546875" style="28" customWidth="1"/>
    <col min="5125" max="5125" width="11.140625" style="28" customWidth="1"/>
    <col min="5126" max="5126" width="2.85546875" style="28" customWidth="1"/>
    <col min="5127" max="5127" width="3.5703125" style="28" customWidth="1"/>
    <col min="5128" max="5372" width="9.140625" style="28"/>
    <col min="5373" max="5373" width="8.7109375" style="28" customWidth="1"/>
    <col min="5374" max="5374" width="9.85546875" style="28" customWidth="1"/>
    <col min="5375" max="5375" width="14.42578125" style="28" customWidth="1"/>
    <col min="5376" max="5376" width="7.28515625" style="28" customWidth="1"/>
    <col min="5377" max="5377" width="5.5703125" style="28" customWidth="1"/>
    <col min="5378" max="5378" width="9" style="28" customWidth="1"/>
    <col min="5379" max="5380" width="9.85546875" style="28" customWidth="1"/>
    <col min="5381" max="5381" width="11.140625" style="28" customWidth="1"/>
    <col min="5382" max="5382" width="2.85546875" style="28" customWidth="1"/>
    <col min="5383" max="5383" width="3.5703125" style="28" customWidth="1"/>
    <col min="5384" max="5628" width="9.140625" style="28"/>
    <col min="5629" max="5629" width="8.7109375" style="28" customWidth="1"/>
    <col min="5630" max="5630" width="9.85546875" style="28" customWidth="1"/>
    <col min="5631" max="5631" width="14.42578125" style="28" customWidth="1"/>
    <col min="5632" max="5632" width="7.28515625" style="28" customWidth="1"/>
    <col min="5633" max="5633" width="5.5703125" style="28" customWidth="1"/>
    <col min="5634" max="5634" width="9" style="28" customWidth="1"/>
    <col min="5635" max="5636" width="9.85546875" style="28" customWidth="1"/>
    <col min="5637" max="5637" width="11.140625" style="28" customWidth="1"/>
    <col min="5638" max="5638" width="2.85546875" style="28" customWidth="1"/>
    <col min="5639" max="5639" width="3.5703125" style="28" customWidth="1"/>
    <col min="5640" max="5884" width="9.140625" style="28"/>
    <col min="5885" max="5885" width="8.7109375" style="28" customWidth="1"/>
    <col min="5886" max="5886" width="9.85546875" style="28" customWidth="1"/>
    <col min="5887" max="5887" width="14.42578125" style="28" customWidth="1"/>
    <col min="5888" max="5888" width="7.28515625" style="28" customWidth="1"/>
    <col min="5889" max="5889" width="5.5703125" style="28" customWidth="1"/>
    <col min="5890" max="5890" width="9" style="28" customWidth="1"/>
    <col min="5891" max="5892" width="9.85546875" style="28" customWidth="1"/>
    <col min="5893" max="5893" width="11.140625" style="28" customWidth="1"/>
    <col min="5894" max="5894" width="2.85546875" style="28" customWidth="1"/>
    <col min="5895" max="5895" width="3.5703125" style="28" customWidth="1"/>
    <col min="5896" max="6140" width="9.140625" style="28"/>
    <col min="6141" max="6141" width="8.7109375" style="28" customWidth="1"/>
    <col min="6142" max="6142" width="9.85546875" style="28" customWidth="1"/>
    <col min="6143" max="6143" width="14.42578125" style="28" customWidth="1"/>
    <col min="6144" max="6144" width="7.28515625" style="28" customWidth="1"/>
    <col min="6145" max="6145" width="5.5703125" style="28" customWidth="1"/>
    <col min="6146" max="6146" width="9" style="28" customWidth="1"/>
    <col min="6147" max="6148" width="9.85546875" style="28" customWidth="1"/>
    <col min="6149" max="6149" width="11.140625" style="28" customWidth="1"/>
    <col min="6150" max="6150" width="2.85546875" style="28" customWidth="1"/>
    <col min="6151" max="6151" width="3.5703125" style="28" customWidth="1"/>
    <col min="6152" max="6396" width="9.140625" style="28"/>
    <col min="6397" max="6397" width="8.7109375" style="28" customWidth="1"/>
    <col min="6398" max="6398" width="9.85546875" style="28" customWidth="1"/>
    <col min="6399" max="6399" width="14.42578125" style="28" customWidth="1"/>
    <col min="6400" max="6400" width="7.28515625" style="28" customWidth="1"/>
    <col min="6401" max="6401" width="5.5703125" style="28" customWidth="1"/>
    <col min="6402" max="6402" width="9" style="28" customWidth="1"/>
    <col min="6403" max="6404" width="9.85546875" style="28" customWidth="1"/>
    <col min="6405" max="6405" width="11.140625" style="28" customWidth="1"/>
    <col min="6406" max="6406" width="2.85546875" style="28" customWidth="1"/>
    <col min="6407" max="6407" width="3.5703125" style="28" customWidth="1"/>
    <col min="6408" max="6652" width="9.140625" style="28"/>
    <col min="6653" max="6653" width="8.7109375" style="28" customWidth="1"/>
    <col min="6654" max="6654" width="9.85546875" style="28" customWidth="1"/>
    <col min="6655" max="6655" width="14.42578125" style="28" customWidth="1"/>
    <col min="6656" max="6656" width="7.28515625" style="28" customWidth="1"/>
    <col min="6657" max="6657" width="5.5703125" style="28" customWidth="1"/>
    <col min="6658" max="6658" width="9" style="28" customWidth="1"/>
    <col min="6659" max="6660" width="9.85546875" style="28" customWidth="1"/>
    <col min="6661" max="6661" width="11.140625" style="28" customWidth="1"/>
    <col min="6662" max="6662" width="2.85546875" style="28" customWidth="1"/>
    <col min="6663" max="6663" width="3.5703125" style="28" customWidth="1"/>
    <col min="6664" max="6908" width="9.140625" style="28"/>
    <col min="6909" max="6909" width="8.7109375" style="28" customWidth="1"/>
    <col min="6910" max="6910" width="9.85546875" style="28" customWidth="1"/>
    <col min="6911" max="6911" width="14.42578125" style="28" customWidth="1"/>
    <col min="6912" max="6912" width="7.28515625" style="28" customWidth="1"/>
    <col min="6913" max="6913" width="5.5703125" style="28" customWidth="1"/>
    <col min="6914" max="6914" width="9" style="28" customWidth="1"/>
    <col min="6915" max="6916" width="9.85546875" style="28" customWidth="1"/>
    <col min="6917" max="6917" width="11.140625" style="28" customWidth="1"/>
    <col min="6918" max="6918" width="2.85546875" style="28" customWidth="1"/>
    <col min="6919" max="6919" width="3.5703125" style="28" customWidth="1"/>
    <col min="6920" max="7164" width="9.140625" style="28"/>
    <col min="7165" max="7165" width="8.7109375" style="28" customWidth="1"/>
    <col min="7166" max="7166" width="9.85546875" style="28" customWidth="1"/>
    <col min="7167" max="7167" width="14.42578125" style="28" customWidth="1"/>
    <col min="7168" max="7168" width="7.28515625" style="28" customWidth="1"/>
    <col min="7169" max="7169" width="5.5703125" style="28" customWidth="1"/>
    <col min="7170" max="7170" width="9" style="28" customWidth="1"/>
    <col min="7171" max="7172" width="9.85546875" style="28" customWidth="1"/>
    <col min="7173" max="7173" width="11.140625" style="28" customWidth="1"/>
    <col min="7174" max="7174" width="2.85546875" style="28" customWidth="1"/>
    <col min="7175" max="7175" width="3.5703125" style="28" customWidth="1"/>
    <col min="7176" max="7420" width="9.140625" style="28"/>
    <col min="7421" max="7421" width="8.7109375" style="28" customWidth="1"/>
    <col min="7422" max="7422" width="9.85546875" style="28" customWidth="1"/>
    <col min="7423" max="7423" width="14.42578125" style="28" customWidth="1"/>
    <col min="7424" max="7424" width="7.28515625" style="28" customWidth="1"/>
    <col min="7425" max="7425" width="5.5703125" style="28" customWidth="1"/>
    <col min="7426" max="7426" width="9" style="28" customWidth="1"/>
    <col min="7427" max="7428" width="9.85546875" style="28" customWidth="1"/>
    <col min="7429" max="7429" width="11.140625" style="28" customWidth="1"/>
    <col min="7430" max="7430" width="2.85546875" style="28" customWidth="1"/>
    <col min="7431" max="7431" width="3.5703125" style="28" customWidth="1"/>
    <col min="7432" max="7676" width="9.140625" style="28"/>
    <col min="7677" max="7677" width="8.7109375" style="28" customWidth="1"/>
    <col min="7678" max="7678" width="9.85546875" style="28" customWidth="1"/>
    <col min="7679" max="7679" width="14.42578125" style="28" customWidth="1"/>
    <col min="7680" max="7680" width="7.28515625" style="28" customWidth="1"/>
    <col min="7681" max="7681" width="5.5703125" style="28" customWidth="1"/>
    <col min="7682" max="7682" width="9" style="28" customWidth="1"/>
    <col min="7683" max="7684" width="9.85546875" style="28" customWidth="1"/>
    <col min="7685" max="7685" width="11.140625" style="28" customWidth="1"/>
    <col min="7686" max="7686" width="2.85546875" style="28" customWidth="1"/>
    <col min="7687" max="7687" width="3.5703125" style="28" customWidth="1"/>
    <col min="7688" max="7932" width="9.140625" style="28"/>
    <col min="7933" max="7933" width="8.7109375" style="28" customWidth="1"/>
    <col min="7934" max="7934" width="9.85546875" style="28" customWidth="1"/>
    <col min="7935" max="7935" width="14.42578125" style="28" customWidth="1"/>
    <col min="7936" max="7936" width="7.28515625" style="28" customWidth="1"/>
    <col min="7937" max="7937" width="5.5703125" style="28" customWidth="1"/>
    <col min="7938" max="7938" width="9" style="28" customWidth="1"/>
    <col min="7939" max="7940" width="9.85546875" style="28" customWidth="1"/>
    <col min="7941" max="7941" width="11.140625" style="28" customWidth="1"/>
    <col min="7942" max="7942" width="2.85546875" style="28" customWidth="1"/>
    <col min="7943" max="7943" width="3.5703125" style="28" customWidth="1"/>
    <col min="7944" max="8188" width="9.140625" style="28"/>
    <col min="8189" max="8189" width="8.7109375" style="28" customWidth="1"/>
    <col min="8190" max="8190" width="9.85546875" style="28" customWidth="1"/>
    <col min="8191" max="8191" width="14.42578125" style="28" customWidth="1"/>
    <col min="8192" max="8192" width="7.28515625" style="28" customWidth="1"/>
    <col min="8193" max="8193" width="5.5703125" style="28" customWidth="1"/>
    <col min="8194" max="8194" width="9" style="28" customWidth="1"/>
    <col min="8195" max="8196" width="9.85546875" style="28" customWidth="1"/>
    <col min="8197" max="8197" width="11.140625" style="28" customWidth="1"/>
    <col min="8198" max="8198" width="2.85546875" style="28" customWidth="1"/>
    <col min="8199" max="8199" width="3.5703125" style="28" customWidth="1"/>
    <col min="8200" max="8444" width="9.140625" style="28"/>
    <col min="8445" max="8445" width="8.7109375" style="28" customWidth="1"/>
    <col min="8446" max="8446" width="9.85546875" style="28" customWidth="1"/>
    <col min="8447" max="8447" width="14.42578125" style="28" customWidth="1"/>
    <col min="8448" max="8448" width="7.28515625" style="28" customWidth="1"/>
    <col min="8449" max="8449" width="5.5703125" style="28" customWidth="1"/>
    <col min="8450" max="8450" width="9" style="28" customWidth="1"/>
    <col min="8451" max="8452" width="9.85546875" style="28" customWidth="1"/>
    <col min="8453" max="8453" width="11.140625" style="28" customWidth="1"/>
    <col min="8454" max="8454" width="2.85546875" style="28" customWidth="1"/>
    <col min="8455" max="8455" width="3.5703125" style="28" customWidth="1"/>
    <col min="8456" max="8700" width="9.140625" style="28"/>
    <col min="8701" max="8701" width="8.7109375" style="28" customWidth="1"/>
    <col min="8702" max="8702" width="9.85546875" style="28" customWidth="1"/>
    <col min="8703" max="8703" width="14.42578125" style="28" customWidth="1"/>
    <col min="8704" max="8704" width="7.28515625" style="28" customWidth="1"/>
    <col min="8705" max="8705" width="5.5703125" style="28" customWidth="1"/>
    <col min="8706" max="8706" width="9" style="28" customWidth="1"/>
    <col min="8707" max="8708" width="9.85546875" style="28" customWidth="1"/>
    <col min="8709" max="8709" width="11.140625" style="28" customWidth="1"/>
    <col min="8710" max="8710" width="2.85546875" style="28" customWidth="1"/>
    <col min="8711" max="8711" width="3.5703125" style="28" customWidth="1"/>
    <col min="8712" max="8956" width="9.140625" style="28"/>
    <col min="8957" max="8957" width="8.7109375" style="28" customWidth="1"/>
    <col min="8958" max="8958" width="9.85546875" style="28" customWidth="1"/>
    <col min="8959" max="8959" width="14.42578125" style="28" customWidth="1"/>
    <col min="8960" max="8960" width="7.28515625" style="28" customWidth="1"/>
    <col min="8961" max="8961" width="5.5703125" style="28" customWidth="1"/>
    <col min="8962" max="8962" width="9" style="28" customWidth="1"/>
    <col min="8963" max="8964" width="9.85546875" style="28" customWidth="1"/>
    <col min="8965" max="8965" width="11.140625" style="28" customWidth="1"/>
    <col min="8966" max="8966" width="2.85546875" style="28" customWidth="1"/>
    <col min="8967" max="8967" width="3.5703125" style="28" customWidth="1"/>
    <col min="8968" max="9212" width="9.140625" style="28"/>
    <col min="9213" max="9213" width="8.7109375" style="28" customWidth="1"/>
    <col min="9214" max="9214" width="9.85546875" style="28" customWidth="1"/>
    <col min="9215" max="9215" width="14.42578125" style="28" customWidth="1"/>
    <col min="9216" max="9216" width="7.28515625" style="28" customWidth="1"/>
    <col min="9217" max="9217" width="5.5703125" style="28" customWidth="1"/>
    <col min="9218" max="9218" width="9" style="28" customWidth="1"/>
    <col min="9219" max="9220" width="9.85546875" style="28" customWidth="1"/>
    <col min="9221" max="9221" width="11.140625" style="28" customWidth="1"/>
    <col min="9222" max="9222" width="2.85546875" style="28" customWidth="1"/>
    <col min="9223" max="9223" width="3.5703125" style="28" customWidth="1"/>
    <col min="9224" max="9468" width="9.140625" style="28"/>
    <col min="9469" max="9469" width="8.7109375" style="28" customWidth="1"/>
    <col min="9470" max="9470" width="9.85546875" style="28" customWidth="1"/>
    <col min="9471" max="9471" width="14.42578125" style="28" customWidth="1"/>
    <col min="9472" max="9472" width="7.28515625" style="28" customWidth="1"/>
    <col min="9473" max="9473" width="5.5703125" style="28" customWidth="1"/>
    <col min="9474" max="9474" width="9" style="28" customWidth="1"/>
    <col min="9475" max="9476" width="9.85546875" style="28" customWidth="1"/>
    <col min="9477" max="9477" width="11.140625" style="28" customWidth="1"/>
    <col min="9478" max="9478" width="2.85546875" style="28" customWidth="1"/>
    <col min="9479" max="9479" width="3.5703125" style="28" customWidth="1"/>
    <col min="9480" max="9724" width="9.140625" style="28"/>
    <col min="9725" max="9725" width="8.7109375" style="28" customWidth="1"/>
    <col min="9726" max="9726" width="9.85546875" style="28" customWidth="1"/>
    <col min="9727" max="9727" width="14.42578125" style="28" customWidth="1"/>
    <col min="9728" max="9728" width="7.28515625" style="28" customWidth="1"/>
    <col min="9729" max="9729" width="5.5703125" style="28" customWidth="1"/>
    <col min="9730" max="9730" width="9" style="28" customWidth="1"/>
    <col min="9731" max="9732" width="9.85546875" style="28" customWidth="1"/>
    <col min="9733" max="9733" width="11.140625" style="28" customWidth="1"/>
    <col min="9734" max="9734" width="2.85546875" style="28" customWidth="1"/>
    <col min="9735" max="9735" width="3.5703125" style="28" customWidth="1"/>
    <col min="9736" max="9980" width="9.140625" style="28"/>
    <col min="9981" max="9981" width="8.7109375" style="28" customWidth="1"/>
    <col min="9982" max="9982" width="9.85546875" style="28" customWidth="1"/>
    <col min="9983" max="9983" width="14.42578125" style="28" customWidth="1"/>
    <col min="9984" max="9984" width="7.28515625" style="28" customWidth="1"/>
    <col min="9985" max="9985" width="5.5703125" style="28" customWidth="1"/>
    <col min="9986" max="9986" width="9" style="28" customWidth="1"/>
    <col min="9987" max="9988" width="9.85546875" style="28" customWidth="1"/>
    <col min="9989" max="9989" width="11.140625" style="28" customWidth="1"/>
    <col min="9990" max="9990" width="2.85546875" style="28" customWidth="1"/>
    <col min="9991" max="9991" width="3.5703125" style="28" customWidth="1"/>
    <col min="9992" max="10236" width="9.140625" style="28"/>
    <col min="10237" max="10237" width="8.7109375" style="28" customWidth="1"/>
    <col min="10238" max="10238" width="9.85546875" style="28" customWidth="1"/>
    <col min="10239" max="10239" width="14.42578125" style="28" customWidth="1"/>
    <col min="10240" max="10240" width="7.28515625" style="28" customWidth="1"/>
    <col min="10241" max="10241" width="5.5703125" style="28" customWidth="1"/>
    <col min="10242" max="10242" width="9" style="28" customWidth="1"/>
    <col min="10243" max="10244" width="9.85546875" style="28" customWidth="1"/>
    <col min="10245" max="10245" width="11.140625" style="28" customWidth="1"/>
    <col min="10246" max="10246" width="2.85546875" style="28" customWidth="1"/>
    <col min="10247" max="10247" width="3.5703125" style="28" customWidth="1"/>
    <col min="10248" max="10492" width="9.140625" style="28"/>
    <col min="10493" max="10493" width="8.7109375" style="28" customWidth="1"/>
    <col min="10494" max="10494" width="9.85546875" style="28" customWidth="1"/>
    <col min="10495" max="10495" width="14.42578125" style="28" customWidth="1"/>
    <col min="10496" max="10496" width="7.28515625" style="28" customWidth="1"/>
    <col min="10497" max="10497" width="5.5703125" style="28" customWidth="1"/>
    <col min="10498" max="10498" width="9" style="28" customWidth="1"/>
    <col min="10499" max="10500" width="9.85546875" style="28" customWidth="1"/>
    <col min="10501" max="10501" width="11.140625" style="28" customWidth="1"/>
    <col min="10502" max="10502" width="2.85546875" style="28" customWidth="1"/>
    <col min="10503" max="10503" width="3.5703125" style="28" customWidth="1"/>
    <col min="10504" max="10748" width="9.140625" style="28"/>
    <col min="10749" max="10749" width="8.7109375" style="28" customWidth="1"/>
    <col min="10750" max="10750" width="9.85546875" style="28" customWidth="1"/>
    <col min="10751" max="10751" width="14.42578125" style="28" customWidth="1"/>
    <col min="10752" max="10752" width="7.28515625" style="28" customWidth="1"/>
    <col min="10753" max="10753" width="5.5703125" style="28" customWidth="1"/>
    <col min="10754" max="10754" width="9" style="28" customWidth="1"/>
    <col min="10755" max="10756" width="9.85546875" style="28" customWidth="1"/>
    <col min="10757" max="10757" width="11.140625" style="28" customWidth="1"/>
    <col min="10758" max="10758" width="2.85546875" style="28" customWidth="1"/>
    <col min="10759" max="10759" width="3.5703125" style="28" customWidth="1"/>
    <col min="10760" max="11004" width="9.140625" style="28"/>
    <col min="11005" max="11005" width="8.7109375" style="28" customWidth="1"/>
    <col min="11006" max="11006" width="9.85546875" style="28" customWidth="1"/>
    <col min="11007" max="11007" width="14.42578125" style="28" customWidth="1"/>
    <col min="11008" max="11008" width="7.28515625" style="28" customWidth="1"/>
    <col min="11009" max="11009" width="5.5703125" style="28" customWidth="1"/>
    <col min="11010" max="11010" width="9" style="28" customWidth="1"/>
    <col min="11011" max="11012" width="9.85546875" style="28" customWidth="1"/>
    <col min="11013" max="11013" width="11.140625" style="28" customWidth="1"/>
    <col min="11014" max="11014" width="2.85546875" style="28" customWidth="1"/>
    <col min="11015" max="11015" width="3.5703125" style="28" customWidth="1"/>
    <col min="11016" max="11260" width="9.140625" style="28"/>
    <col min="11261" max="11261" width="8.7109375" style="28" customWidth="1"/>
    <col min="11262" max="11262" width="9.85546875" style="28" customWidth="1"/>
    <col min="11263" max="11263" width="14.42578125" style="28" customWidth="1"/>
    <col min="11264" max="11264" width="7.28515625" style="28" customWidth="1"/>
    <col min="11265" max="11265" width="5.5703125" style="28" customWidth="1"/>
    <col min="11266" max="11266" width="9" style="28" customWidth="1"/>
    <col min="11267" max="11268" width="9.85546875" style="28" customWidth="1"/>
    <col min="11269" max="11269" width="11.140625" style="28" customWidth="1"/>
    <col min="11270" max="11270" width="2.85546875" style="28" customWidth="1"/>
    <col min="11271" max="11271" width="3.5703125" style="28" customWidth="1"/>
    <col min="11272" max="11516" width="9.140625" style="28"/>
    <col min="11517" max="11517" width="8.7109375" style="28" customWidth="1"/>
    <col min="11518" max="11518" width="9.85546875" style="28" customWidth="1"/>
    <col min="11519" max="11519" width="14.42578125" style="28" customWidth="1"/>
    <col min="11520" max="11520" width="7.28515625" style="28" customWidth="1"/>
    <col min="11521" max="11521" width="5.5703125" style="28" customWidth="1"/>
    <col min="11522" max="11522" width="9" style="28" customWidth="1"/>
    <col min="11523" max="11524" width="9.85546875" style="28" customWidth="1"/>
    <col min="11525" max="11525" width="11.140625" style="28" customWidth="1"/>
    <col min="11526" max="11526" width="2.85546875" style="28" customWidth="1"/>
    <col min="11527" max="11527" width="3.5703125" style="28" customWidth="1"/>
    <col min="11528" max="11772" width="9.140625" style="28"/>
    <col min="11773" max="11773" width="8.7109375" style="28" customWidth="1"/>
    <col min="11774" max="11774" width="9.85546875" style="28" customWidth="1"/>
    <col min="11775" max="11775" width="14.42578125" style="28" customWidth="1"/>
    <col min="11776" max="11776" width="7.28515625" style="28" customWidth="1"/>
    <col min="11777" max="11777" width="5.5703125" style="28" customWidth="1"/>
    <col min="11778" max="11778" width="9" style="28" customWidth="1"/>
    <col min="11779" max="11780" width="9.85546875" style="28" customWidth="1"/>
    <col min="11781" max="11781" width="11.140625" style="28" customWidth="1"/>
    <col min="11782" max="11782" width="2.85546875" style="28" customWidth="1"/>
    <col min="11783" max="11783" width="3.5703125" style="28" customWidth="1"/>
    <col min="11784" max="12028" width="9.140625" style="28"/>
    <col min="12029" max="12029" width="8.7109375" style="28" customWidth="1"/>
    <col min="12030" max="12030" width="9.85546875" style="28" customWidth="1"/>
    <col min="12031" max="12031" width="14.42578125" style="28" customWidth="1"/>
    <col min="12032" max="12032" width="7.28515625" style="28" customWidth="1"/>
    <col min="12033" max="12033" width="5.5703125" style="28" customWidth="1"/>
    <col min="12034" max="12034" width="9" style="28" customWidth="1"/>
    <col min="12035" max="12036" width="9.85546875" style="28" customWidth="1"/>
    <col min="12037" max="12037" width="11.140625" style="28" customWidth="1"/>
    <col min="12038" max="12038" width="2.85546875" style="28" customWidth="1"/>
    <col min="12039" max="12039" width="3.5703125" style="28" customWidth="1"/>
    <col min="12040" max="12284" width="9.140625" style="28"/>
    <col min="12285" max="12285" width="8.7109375" style="28" customWidth="1"/>
    <col min="12286" max="12286" width="9.85546875" style="28" customWidth="1"/>
    <col min="12287" max="12287" width="14.42578125" style="28" customWidth="1"/>
    <col min="12288" max="12288" width="7.28515625" style="28" customWidth="1"/>
    <col min="12289" max="12289" width="5.5703125" style="28" customWidth="1"/>
    <col min="12290" max="12290" width="9" style="28" customWidth="1"/>
    <col min="12291" max="12292" width="9.85546875" style="28" customWidth="1"/>
    <col min="12293" max="12293" width="11.140625" style="28" customWidth="1"/>
    <col min="12294" max="12294" width="2.85546875" style="28" customWidth="1"/>
    <col min="12295" max="12295" width="3.5703125" style="28" customWidth="1"/>
    <col min="12296" max="12540" width="9.140625" style="28"/>
    <col min="12541" max="12541" width="8.7109375" style="28" customWidth="1"/>
    <col min="12542" max="12542" width="9.85546875" style="28" customWidth="1"/>
    <col min="12543" max="12543" width="14.42578125" style="28" customWidth="1"/>
    <col min="12544" max="12544" width="7.28515625" style="28" customWidth="1"/>
    <col min="12545" max="12545" width="5.5703125" style="28" customWidth="1"/>
    <col min="12546" max="12546" width="9" style="28" customWidth="1"/>
    <col min="12547" max="12548" width="9.85546875" style="28" customWidth="1"/>
    <col min="12549" max="12549" width="11.140625" style="28" customWidth="1"/>
    <col min="12550" max="12550" width="2.85546875" style="28" customWidth="1"/>
    <col min="12551" max="12551" width="3.5703125" style="28" customWidth="1"/>
    <col min="12552" max="12796" width="9.140625" style="28"/>
    <col min="12797" max="12797" width="8.7109375" style="28" customWidth="1"/>
    <col min="12798" max="12798" width="9.85546875" style="28" customWidth="1"/>
    <col min="12799" max="12799" width="14.42578125" style="28" customWidth="1"/>
    <col min="12800" max="12800" width="7.28515625" style="28" customWidth="1"/>
    <col min="12801" max="12801" width="5.5703125" style="28" customWidth="1"/>
    <col min="12802" max="12802" width="9" style="28" customWidth="1"/>
    <col min="12803" max="12804" width="9.85546875" style="28" customWidth="1"/>
    <col min="12805" max="12805" width="11.140625" style="28" customWidth="1"/>
    <col min="12806" max="12806" width="2.85546875" style="28" customWidth="1"/>
    <col min="12807" max="12807" width="3.5703125" style="28" customWidth="1"/>
    <col min="12808" max="13052" width="9.140625" style="28"/>
    <col min="13053" max="13053" width="8.7109375" style="28" customWidth="1"/>
    <col min="13054" max="13054" width="9.85546875" style="28" customWidth="1"/>
    <col min="13055" max="13055" width="14.42578125" style="28" customWidth="1"/>
    <col min="13056" max="13056" width="7.28515625" style="28" customWidth="1"/>
    <col min="13057" max="13057" width="5.5703125" style="28" customWidth="1"/>
    <col min="13058" max="13058" width="9" style="28" customWidth="1"/>
    <col min="13059" max="13060" width="9.85546875" style="28" customWidth="1"/>
    <col min="13061" max="13061" width="11.140625" style="28" customWidth="1"/>
    <col min="13062" max="13062" width="2.85546875" style="28" customWidth="1"/>
    <col min="13063" max="13063" width="3.5703125" style="28" customWidth="1"/>
    <col min="13064" max="13308" width="9.140625" style="28"/>
    <col min="13309" max="13309" width="8.7109375" style="28" customWidth="1"/>
    <col min="13310" max="13310" width="9.85546875" style="28" customWidth="1"/>
    <col min="13311" max="13311" width="14.42578125" style="28" customWidth="1"/>
    <col min="13312" max="13312" width="7.28515625" style="28" customWidth="1"/>
    <col min="13313" max="13313" width="5.5703125" style="28" customWidth="1"/>
    <col min="13314" max="13314" width="9" style="28" customWidth="1"/>
    <col min="13315" max="13316" width="9.85546875" style="28" customWidth="1"/>
    <col min="13317" max="13317" width="11.140625" style="28" customWidth="1"/>
    <col min="13318" max="13318" width="2.85546875" style="28" customWidth="1"/>
    <col min="13319" max="13319" width="3.5703125" style="28" customWidth="1"/>
    <col min="13320" max="13564" width="9.140625" style="28"/>
    <col min="13565" max="13565" width="8.7109375" style="28" customWidth="1"/>
    <col min="13566" max="13566" width="9.85546875" style="28" customWidth="1"/>
    <col min="13567" max="13567" width="14.42578125" style="28" customWidth="1"/>
    <col min="13568" max="13568" width="7.28515625" style="28" customWidth="1"/>
    <col min="13569" max="13569" width="5.5703125" style="28" customWidth="1"/>
    <col min="13570" max="13570" width="9" style="28" customWidth="1"/>
    <col min="13571" max="13572" width="9.85546875" style="28" customWidth="1"/>
    <col min="13573" max="13573" width="11.140625" style="28" customWidth="1"/>
    <col min="13574" max="13574" width="2.85546875" style="28" customWidth="1"/>
    <col min="13575" max="13575" width="3.5703125" style="28" customWidth="1"/>
    <col min="13576" max="13820" width="9.140625" style="28"/>
    <col min="13821" max="13821" width="8.7109375" style="28" customWidth="1"/>
    <col min="13822" max="13822" width="9.85546875" style="28" customWidth="1"/>
    <col min="13823" max="13823" width="14.42578125" style="28" customWidth="1"/>
    <col min="13824" max="13824" width="7.28515625" style="28" customWidth="1"/>
    <col min="13825" max="13825" width="5.5703125" style="28" customWidth="1"/>
    <col min="13826" max="13826" width="9" style="28" customWidth="1"/>
    <col min="13827" max="13828" width="9.85546875" style="28" customWidth="1"/>
    <col min="13829" max="13829" width="11.140625" style="28" customWidth="1"/>
    <col min="13830" max="13830" width="2.85546875" style="28" customWidth="1"/>
    <col min="13831" max="13831" width="3.5703125" style="28" customWidth="1"/>
    <col min="13832" max="14076" width="9.140625" style="28"/>
    <col min="14077" max="14077" width="8.7109375" style="28" customWidth="1"/>
    <col min="14078" max="14078" width="9.85546875" style="28" customWidth="1"/>
    <col min="14079" max="14079" width="14.42578125" style="28" customWidth="1"/>
    <col min="14080" max="14080" width="7.28515625" style="28" customWidth="1"/>
    <col min="14081" max="14081" width="5.5703125" style="28" customWidth="1"/>
    <col min="14082" max="14082" width="9" style="28" customWidth="1"/>
    <col min="14083" max="14084" width="9.85546875" style="28" customWidth="1"/>
    <col min="14085" max="14085" width="11.140625" style="28" customWidth="1"/>
    <col min="14086" max="14086" width="2.85546875" style="28" customWidth="1"/>
    <col min="14087" max="14087" width="3.5703125" style="28" customWidth="1"/>
    <col min="14088" max="14332" width="9.140625" style="28"/>
    <col min="14333" max="14333" width="8.7109375" style="28" customWidth="1"/>
    <col min="14334" max="14334" width="9.85546875" style="28" customWidth="1"/>
    <col min="14335" max="14335" width="14.42578125" style="28" customWidth="1"/>
    <col min="14336" max="14336" width="7.28515625" style="28" customWidth="1"/>
    <col min="14337" max="14337" width="5.5703125" style="28" customWidth="1"/>
    <col min="14338" max="14338" width="9" style="28" customWidth="1"/>
    <col min="14339" max="14340" width="9.85546875" style="28" customWidth="1"/>
    <col min="14341" max="14341" width="11.140625" style="28" customWidth="1"/>
    <col min="14342" max="14342" width="2.85546875" style="28" customWidth="1"/>
    <col min="14343" max="14343" width="3.5703125" style="28" customWidth="1"/>
    <col min="14344" max="14588" width="9.140625" style="28"/>
    <col min="14589" max="14589" width="8.7109375" style="28" customWidth="1"/>
    <col min="14590" max="14590" width="9.85546875" style="28" customWidth="1"/>
    <col min="14591" max="14591" width="14.42578125" style="28" customWidth="1"/>
    <col min="14592" max="14592" width="7.28515625" style="28" customWidth="1"/>
    <col min="14593" max="14593" width="5.5703125" style="28" customWidth="1"/>
    <col min="14594" max="14594" width="9" style="28" customWidth="1"/>
    <col min="14595" max="14596" width="9.85546875" style="28" customWidth="1"/>
    <col min="14597" max="14597" width="11.140625" style="28" customWidth="1"/>
    <col min="14598" max="14598" width="2.85546875" style="28" customWidth="1"/>
    <col min="14599" max="14599" width="3.5703125" style="28" customWidth="1"/>
    <col min="14600" max="14844" width="9.140625" style="28"/>
    <col min="14845" max="14845" width="8.7109375" style="28" customWidth="1"/>
    <col min="14846" max="14846" width="9.85546875" style="28" customWidth="1"/>
    <col min="14847" max="14847" width="14.42578125" style="28" customWidth="1"/>
    <col min="14848" max="14848" width="7.28515625" style="28" customWidth="1"/>
    <col min="14849" max="14849" width="5.5703125" style="28" customWidth="1"/>
    <col min="14850" max="14850" width="9" style="28" customWidth="1"/>
    <col min="14851" max="14852" width="9.85546875" style="28" customWidth="1"/>
    <col min="14853" max="14853" width="11.140625" style="28" customWidth="1"/>
    <col min="14854" max="14854" width="2.85546875" style="28" customWidth="1"/>
    <col min="14855" max="14855" width="3.5703125" style="28" customWidth="1"/>
    <col min="14856" max="15100" width="9.140625" style="28"/>
    <col min="15101" max="15101" width="8.7109375" style="28" customWidth="1"/>
    <col min="15102" max="15102" width="9.85546875" style="28" customWidth="1"/>
    <col min="15103" max="15103" width="14.42578125" style="28" customWidth="1"/>
    <col min="15104" max="15104" width="7.28515625" style="28" customWidth="1"/>
    <col min="15105" max="15105" width="5.5703125" style="28" customWidth="1"/>
    <col min="15106" max="15106" width="9" style="28" customWidth="1"/>
    <col min="15107" max="15108" width="9.85546875" style="28" customWidth="1"/>
    <col min="15109" max="15109" width="11.140625" style="28" customWidth="1"/>
    <col min="15110" max="15110" width="2.85546875" style="28" customWidth="1"/>
    <col min="15111" max="15111" width="3.5703125" style="28" customWidth="1"/>
    <col min="15112" max="15356" width="9.140625" style="28"/>
    <col min="15357" max="15357" width="8.7109375" style="28" customWidth="1"/>
    <col min="15358" max="15358" width="9.85546875" style="28" customWidth="1"/>
    <col min="15359" max="15359" width="14.42578125" style="28" customWidth="1"/>
    <col min="15360" max="15360" width="7.28515625" style="28" customWidth="1"/>
    <col min="15361" max="15361" width="5.5703125" style="28" customWidth="1"/>
    <col min="15362" max="15362" width="9" style="28" customWidth="1"/>
    <col min="15363" max="15364" width="9.85546875" style="28" customWidth="1"/>
    <col min="15365" max="15365" width="11.140625" style="28" customWidth="1"/>
    <col min="15366" max="15366" width="2.85546875" style="28" customWidth="1"/>
    <col min="15367" max="15367" width="3.5703125" style="28" customWidth="1"/>
    <col min="15368" max="15612" width="9.140625" style="28"/>
    <col min="15613" max="15613" width="8.7109375" style="28" customWidth="1"/>
    <col min="15614" max="15614" width="9.85546875" style="28" customWidth="1"/>
    <col min="15615" max="15615" width="14.42578125" style="28" customWidth="1"/>
    <col min="15616" max="15616" width="7.28515625" style="28" customWidth="1"/>
    <col min="15617" max="15617" width="5.5703125" style="28" customWidth="1"/>
    <col min="15618" max="15618" width="9" style="28" customWidth="1"/>
    <col min="15619" max="15620" width="9.85546875" style="28" customWidth="1"/>
    <col min="15621" max="15621" width="11.140625" style="28" customWidth="1"/>
    <col min="15622" max="15622" width="2.85546875" style="28" customWidth="1"/>
    <col min="15623" max="15623" width="3.5703125" style="28" customWidth="1"/>
    <col min="15624" max="15868" width="9.140625" style="28"/>
    <col min="15869" max="15869" width="8.7109375" style="28" customWidth="1"/>
    <col min="15870" max="15870" width="9.85546875" style="28" customWidth="1"/>
    <col min="15871" max="15871" width="14.42578125" style="28" customWidth="1"/>
    <col min="15872" max="15872" width="7.28515625" style="28" customWidth="1"/>
    <col min="15873" max="15873" width="5.5703125" style="28" customWidth="1"/>
    <col min="15874" max="15874" width="9" style="28" customWidth="1"/>
    <col min="15875" max="15876" width="9.85546875" style="28" customWidth="1"/>
    <col min="15877" max="15877" width="11.140625" style="28" customWidth="1"/>
    <col min="15878" max="15878" width="2.85546875" style="28" customWidth="1"/>
    <col min="15879" max="15879" width="3.5703125" style="28" customWidth="1"/>
    <col min="15880" max="16124" width="9.140625" style="28"/>
    <col min="16125" max="16125" width="8.7109375" style="28" customWidth="1"/>
    <col min="16126" max="16126" width="9.85546875" style="28" customWidth="1"/>
    <col min="16127" max="16127" width="14.42578125" style="28" customWidth="1"/>
    <col min="16128" max="16128" width="7.28515625" style="28" customWidth="1"/>
    <col min="16129" max="16129" width="5.5703125" style="28" customWidth="1"/>
    <col min="16130" max="16130" width="9" style="28" customWidth="1"/>
    <col min="16131" max="16132" width="9.85546875" style="28" customWidth="1"/>
    <col min="16133" max="16133" width="11.140625" style="28" customWidth="1"/>
    <col min="16134" max="16134" width="2.85546875" style="28" customWidth="1"/>
    <col min="16135" max="16135" width="3.5703125" style="28" customWidth="1"/>
    <col min="16136" max="16384" width="9.140625" style="28"/>
  </cols>
  <sheetData>
    <row r="1" spans="1:8" ht="46.5" customHeight="1" x14ac:dyDescent="0.25">
      <c r="A1" s="128" t="s">
        <v>229</v>
      </c>
      <c r="B1" s="128"/>
      <c r="C1" s="128"/>
      <c r="D1" s="128"/>
      <c r="E1" s="128"/>
      <c r="F1" s="128"/>
      <c r="G1" s="128"/>
      <c r="H1" s="128"/>
    </row>
    <row r="2" spans="1:8" ht="16.5" customHeight="1" x14ac:dyDescent="0.25">
      <c r="A2" s="113" t="s">
        <v>0</v>
      </c>
      <c r="B2" s="113"/>
      <c r="C2" s="113"/>
      <c r="D2" s="113"/>
      <c r="E2" s="113"/>
      <c r="F2" s="113"/>
      <c r="G2" s="113"/>
      <c r="H2" s="113"/>
    </row>
    <row r="3" spans="1:8" x14ac:dyDescent="0.25">
      <c r="A3" s="94" t="s">
        <v>1</v>
      </c>
      <c r="B3" s="94"/>
      <c r="C3" s="94"/>
      <c r="D3" s="94"/>
      <c r="E3" s="129" t="str">
        <f ca="1">TEXT(TODAY(),"DD/MM/YYYY")</f>
        <v>29/08/2025</v>
      </c>
      <c r="F3" s="129"/>
      <c r="G3" s="129"/>
      <c r="H3" s="129"/>
    </row>
    <row r="4" spans="1:8" ht="15" customHeight="1" x14ac:dyDescent="0.25">
      <c r="A4" s="94" t="s">
        <v>2</v>
      </c>
      <c r="B4" s="94"/>
      <c r="C4" s="94"/>
      <c r="D4" s="94"/>
      <c r="E4" s="131" t="s">
        <v>153</v>
      </c>
      <c r="F4" s="131"/>
      <c r="G4" s="131"/>
      <c r="H4" s="131"/>
    </row>
    <row r="5" spans="1:8" x14ac:dyDescent="0.25">
      <c r="A5" s="94" t="s">
        <v>3</v>
      </c>
      <c r="B5" s="94"/>
      <c r="C5" s="94"/>
      <c r="D5" s="94"/>
      <c r="E5" s="127">
        <v>45881</v>
      </c>
      <c r="F5" s="127"/>
      <c r="G5" s="127"/>
      <c r="H5" s="127"/>
    </row>
    <row r="6" spans="1:8" ht="16.5" customHeight="1" x14ac:dyDescent="0.25">
      <c r="A6" s="94" t="s">
        <v>4</v>
      </c>
      <c r="B6" s="94"/>
      <c r="C6" s="94"/>
      <c r="D6" s="94"/>
      <c r="E6" s="79" t="s">
        <v>258</v>
      </c>
      <c r="F6" s="79"/>
      <c r="G6" s="79"/>
      <c r="H6" s="79"/>
    </row>
    <row r="7" spans="1:8" ht="15" customHeight="1" x14ac:dyDescent="0.25">
      <c r="A7" s="94" t="s">
        <v>5</v>
      </c>
      <c r="B7" s="94"/>
      <c r="C7" s="94"/>
      <c r="D7" s="94"/>
      <c r="E7" s="79" t="str">
        <f>E6</f>
        <v>M/s. Prakhhyat Dwellings LLP</v>
      </c>
      <c r="F7" s="79"/>
      <c r="G7" s="79"/>
      <c r="H7" s="79"/>
    </row>
    <row r="8" spans="1:8" x14ac:dyDescent="0.25">
      <c r="A8" s="94" t="s">
        <v>6</v>
      </c>
      <c r="B8" s="94"/>
      <c r="C8" s="94"/>
      <c r="D8" s="94"/>
      <c r="E8" s="130" t="s">
        <v>154</v>
      </c>
      <c r="F8" s="130"/>
      <c r="G8" s="130"/>
      <c r="H8" s="130"/>
    </row>
    <row r="9" spans="1:8" x14ac:dyDescent="0.25">
      <c r="A9" s="94" t="s">
        <v>230</v>
      </c>
      <c r="B9" s="94"/>
      <c r="C9" s="94"/>
      <c r="D9" s="94"/>
      <c r="E9" s="94" t="s">
        <v>225</v>
      </c>
      <c r="F9" s="94"/>
      <c r="G9" s="94"/>
      <c r="H9" s="94"/>
    </row>
    <row r="10" spans="1:8" x14ac:dyDescent="0.25">
      <c r="A10" s="94" t="s">
        <v>231</v>
      </c>
      <c r="B10" s="94"/>
      <c r="C10" s="94"/>
      <c r="D10" s="94"/>
      <c r="E10" s="94" t="s">
        <v>234</v>
      </c>
      <c r="F10" s="94"/>
      <c r="G10" s="94"/>
      <c r="H10" s="94"/>
    </row>
    <row r="11" spans="1:8" x14ac:dyDescent="0.25">
      <c r="A11" s="88" t="s">
        <v>7</v>
      </c>
      <c r="B11" s="88"/>
      <c r="C11" s="88"/>
      <c r="D11" s="88"/>
      <c r="E11" s="88" t="s">
        <v>155</v>
      </c>
      <c r="F11" s="88"/>
      <c r="G11" s="88"/>
      <c r="H11" s="88"/>
    </row>
    <row r="12" spans="1:8" x14ac:dyDescent="0.25">
      <c r="A12" s="94" t="s">
        <v>8</v>
      </c>
      <c r="B12" s="94"/>
      <c r="C12" s="94"/>
      <c r="D12" s="94"/>
      <c r="E12" s="95" t="s">
        <v>187</v>
      </c>
      <c r="F12" s="95"/>
      <c r="G12" s="95"/>
      <c r="H12" s="95"/>
    </row>
    <row r="13" spans="1:8" x14ac:dyDescent="0.25">
      <c r="A13" s="94" t="s">
        <v>9</v>
      </c>
      <c r="B13" s="94"/>
      <c r="C13" s="94"/>
      <c r="D13" s="94"/>
      <c r="E13" s="125" t="s">
        <v>156</v>
      </c>
      <c r="F13" s="125"/>
      <c r="G13" s="125"/>
      <c r="H13" s="125"/>
    </row>
    <row r="14" spans="1:8" ht="131.25" customHeight="1" x14ac:dyDescent="0.25">
      <c r="A14" s="79" t="s">
        <v>10</v>
      </c>
      <c r="B14" s="79"/>
      <c r="C14" s="79" t="str">
        <f>CONCATENATE((IF(OR(E8="",E8="NA"),"",E8)),", ",(IF(OR(A15="",A15="NA"),"",A15)),".",(IF(OR(C15="",C15="NA"),"",C15)),", ",(IF(OR(C16="",C16="NA"),"",C16)),", ",(IF(OR(G16="",G16="NA"),"",G16)),", ",(IF(OR(C17="",C17="NA"),"",C17)),", ",(IF(OR(C18="",C18="NA"),"",C18)),", ",(IF(OR(G17="",G17="NA"),"",G17)),".")</f>
        <v>Godrej Upavan, Survey No.S. Nos. 40/1/2, 40/2, 40/3,40/4, 40/5, 40/6, 40/7, 40/8, 40/9, 40/5, 40/6, 40/7, 40/8, 40/10, 40/11, 40/12, 40/13/1A, 40/13/2, 42, 43/1, 43/2, 43/3, 44/1/1, 44/2/1, 44/2/2, 44/2/3, 44/3/1, 44/3/2, 44/4, 44/5, 44/6, 45/1, 45/2/1, 45/2/2, 45/3/2, 45/4, 45/5, 45/6, 45/7, 45/8, 45/9, 45/12, 58/6, 58/7/1, 58/7/2, 58/8, 58/9, 58/11, 58/12, 58/13, 58/14, 58/16, 58/17, 58/18, 58/19, 58/20/1, 58/20/2 58/21, 58/22, 83/3, 83/4, 83/6, 83/7, 83/9, 84 &amp; S. No.128/3/1/2, 128/3/2, 128/3/4,128/3/5, 129/1 &amp; 181, Kalyan - Bhiwandi Road (NH848), Bhadvad &amp; Temghar, Bhiwandi, Bhiwandi, Thane.</v>
      </c>
      <c r="D14" s="79"/>
      <c r="E14" s="79"/>
      <c r="F14" s="79"/>
      <c r="G14" s="79"/>
      <c r="H14" s="79"/>
    </row>
    <row r="15" spans="1:8" ht="112.5" customHeight="1" x14ac:dyDescent="0.25">
      <c r="A15" s="95" t="s">
        <v>186</v>
      </c>
      <c r="B15" s="95"/>
      <c r="C15" s="75" t="s">
        <v>158</v>
      </c>
      <c r="D15" s="76"/>
      <c r="E15" s="76"/>
      <c r="F15" s="76"/>
      <c r="G15" s="76"/>
      <c r="H15" s="77"/>
    </row>
    <row r="16" spans="1:8" s="29" customFormat="1" ht="35.25" customHeight="1" x14ac:dyDescent="0.25">
      <c r="A16" s="79" t="s">
        <v>11</v>
      </c>
      <c r="B16" s="79"/>
      <c r="C16" s="95" t="s">
        <v>189</v>
      </c>
      <c r="D16" s="95"/>
      <c r="E16" s="79" t="s">
        <v>157</v>
      </c>
      <c r="F16" s="79"/>
      <c r="G16" s="95" t="s">
        <v>193</v>
      </c>
      <c r="H16" s="95"/>
    </row>
    <row r="17" spans="1:8" x14ac:dyDescent="0.25">
      <c r="A17" s="94" t="s">
        <v>13</v>
      </c>
      <c r="B17" s="94"/>
      <c r="C17" s="95" t="s">
        <v>192</v>
      </c>
      <c r="D17" s="95"/>
      <c r="E17" s="79" t="s">
        <v>12</v>
      </c>
      <c r="F17" s="79"/>
      <c r="G17" s="126" t="s">
        <v>159</v>
      </c>
      <c r="H17" s="126"/>
    </row>
    <row r="18" spans="1:8" x14ac:dyDescent="0.25">
      <c r="A18" s="94" t="s">
        <v>105</v>
      </c>
      <c r="B18" s="94"/>
      <c r="C18" s="95" t="s">
        <v>192</v>
      </c>
      <c r="D18" s="95"/>
      <c r="E18" s="79" t="s">
        <v>14</v>
      </c>
      <c r="F18" s="79"/>
      <c r="G18" s="95">
        <v>421302</v>
      </c>
      <c r="H18" s="95"/>
    </row>
    <row r="19" spans="1:8" ht="32.25" customHeight="1" x14ac:dyDescent="0.25">
      <c r="A19" s="94" t="s">
        <v>15</v>
      </c>
      <c r="B19" s="94"/>
      <c r="C19" s="79" t="s">
        <v>188</v>
      </c>
      <c r="D19" s="79"/>
      <c r="E19" s="79" t="s">
        <v>16</v>
      </c>
      <c r="F19" s="79"/>
      <c r="G19" s="95" t="s">
        <v>190</v>
      </c>
      <c r="H19" s="95"/>
    </row>
    <row r="20" spans="1:8" ht="15" customHeight="1" x14ac:dyDescent="0.25">
      <c r="A20" s="79" t="s">
        <v>111</v>
      </c>
      <c r="B20" s="79"/>
      <c r="C20" s="79"/>
      <c r="D20" s="79"/>
      <c r="E20" s="88" t="s">
        <v>17</v>
      </c>
      <c r="F20" s="88"/>
      <c r="G20" s="88"/>
      <c r="H20" s="88"/>
    </row>
    <row r="21" spans="1:8" ht="18.75" customHeight="1" x14ac:dyDescent="0.25">
      <c r="A21" s="79"/>
      <c r="B21" s="79"/>
      <c r="C21" s="79"/>
      <c r="D21" s="79"/>
      <c r="E21" s="88"/>
      <c r="F21" s="88"/>
      <c r="G21" s="88"/>
      <c r="H21" s="88"/>
    </row>
    <row r="22" spans="1:8" ht="15" customHeight="1" x14ac:dyDescent="0.25">
      <c r="A22" s="79" t="s">
        <v>18</v>
      </c>
      <c r="B22" s="79"/>
      <c r="C22" s="79"/>
      <c r="D22" s="79"/>
      <c r="E22" s="95" t="s">
        <v>19</v>
      </c>
      <c r="F22" s="95"/>
      <c r="G22" s="95"/>
      <c r="H22" s="95"/>
    </row>
    <row r="23" spans="1:8" ht="15" customHeight="1" x14ac:dyDescent="0.25">
      <c r="A23" s="94" t="s">
        <v>20</v>
      </c>
      <c r="B23" s="94"/>
      <c r="C23" s="94"/>
      <c r="D23" s="94"/>
      <c r="E23" s="95" t="s">
        <v>183</v>
      </c>
      <c r="F23" s="95"/>
      <c r="G23" s="95"/>
      <c r="H23" s="95"/>
    </row>
    <row r="24" spans="1:8" x14ac:dyDescent="0.25">
      <c r="A24" s="94" t="s">
        <v>21</v>
      </c>
      <c r="B24" s="94"/>
      <c r="C24" s="94"/>
      <c r="D24" s="94"/>
      <c r="E24" s="95" t="s">
        <v>22</v>
      </c>
      <c r="F24" s="95"/>
      <c r="G24" s="95"/>
      <c r="H24" s="95"/>
    </row>
    <row r="25" spans="1:8" x14ac:dyDescent="0.25">
      <c r="A25" s="94" t="s">
        <v>23</v>
      </c>
      <c r="B25" s="94"/>
      <c r="C25" s="94"/>
      <c r="D25" s="94"/>
      <c r="E25" s="95" t="s">
        <v>184</v>
      </c>
      <c r="F25" s="95"/>
      <c r="G25" s="95"/>
      <c r="H25" s="95"/>
    </row>
    <row r="26" spans="1:8" x14ac:dyDescent="0.25">
      <c r="A26" s="94" t="s">
        <v>24</v>
      </c>
      <c r="B26" s="94"/>
      <c r="C26" s="94"/>
      <c r="D26" s="94"/>
      <c r="E26" s="95" t="s">
        <v>25</v>
      </c>
      <c r="F26" s="95"/>
      <c r="G26" s="95"/>
      <c r="H26" s="95"/>
    </row>
    <row r="27" spans="1:8" x14ac:dyDescent="0.25">
      <c r="A27" s="94" t="s">
        <v>116</v>
      </c>
      <c r="B27" s="94"/>
      <c r="C27" s="94"/>
      <c r="D27" s="94"/>
      <c r="E27" s="95" t="s">
        <v>117</v>
      </c>
      <c r="F27" s="95"/>
      <c r="G27" s="95"/>
      <c r="H27" s="95"/>
    </row>
    <row r="28" spans="1:8" ht="15" customHeight="1" x14ac:dyDescent="0.25">
      <c r="A28" s="79" t="s">
        <v>33</v>
      </c>
      <c r="B28" s="79"/>
      <c r="C28" s="79"/>
      <c r="D28" s="79"/>
      <c r="E28" s="131" t="s">
        <v>185</v>
      </c>
      <c r="F28" s="131"/>
      <c r="G28" s="131"/>
      <c r="H28" s="131"/>
    </row>
    <row r="29" spans="1:8" x14ac:dyDescent="0.25">
      <c r="A29" s="79" t="s">
        <v>129</v>
      </c>
      <c r="B29" s="79"/>
      <c r="C29" s="79"/>
      <c r="D29" s="79"/>
      <c r="E29" s="79" t="s">
        <v>34</v>
      </c>
      <c r="F29" s="79"/>
      <c r="G29" s="79"/>
      <c r="H29" s="79"/>
    </row>
    <row r="30" spans="1:8" s="30" customFormat="1" x14ac:dyDescent="0.25">
      <c r="A30" s="142" t="s">
        <v>130</v>
      </c>
      <c r="B30" s="142"/>
      <c r="C30" s="139" t="s">
        <v>237</v>
      </c>
      <c r="D30" s="139"/>
      <c r="E30" s="139"/>
      <c r="F30" s="139" t="s">
        <v>31</v>
      </c>
      <c r="G30" s="139"/>
      <c r="H30" s="139"/>
    </row>
    <row r="31" spans="1:8" s="30" customFormat="1" x14ac:dyDescent="0.25">
      <c r="A31" s="133" t="s">
        <v>26</v>
      </c>
      <c r="B31" s="133" t="s">
        <v>30</v>
      </c>
      <c r="C31" s="138" t="s">
        <v>30</v>
      </c>
      <c r="D31" s="138"/>
      <c r="E31" s="138"/>
      <c r="F31" s="138" t="s">
        <v>160</v>
      </c>
      <c r="G31" s="138"/>
      <c r="H31" s="138"/>
    </row>
    <row r="32" spans="1:8" x14ac:dyDescent="0.25">
      <c r="A32" s="133" t="s">
        <v>27</v>
      </c>
      <c r="B32" s="133" t="s">
        <v>30</v>
      </c>
      <c r="C32" s="138" t="s">
        <v>30</v>
      </c>
      <c r="D32" s="138"/>
      <c r="E32" s="138"/>
      <c r="F32" s="138" t="s">
        <v>160</v>
      </c>
      <c r="G32" s="138"/>
      <c r="H32" s="138"/>
    </row>
    <row r="33" spans="1:8" s="30" customFormat="1" x14ac:dyDescent="0.25">
      <c r="A33" s="133" t="s">
        <v>29</v>
      </c>
      <c r="B33" s="133" t="s">
        <v>30</v>
      </c>
      <c r="C33" s="138" t="s">
        <v>30</v>
      </c>
      <c r="D33" s="138"/>
      <c r="E33" s="138"/>
      <c r="F33" s="138" t="s">
        <v>160</v>
      </c>
      <c r="G33" s="138"/>
      <c r="H33" s="138"/>
    </row>
    <row r="34" spans="1:8" x14ac:dyDescent="0.25">
      <c r="A34" s="133" t="s">
        <v>28</v>
      </c>
      <c r="B34" s="133" t="s">
        <v>30</v>
      </c>
      <c r="C34" s="138" t="s">
        <v>30</v>
      </c>
      <c r="D34" s="138"/>
      <c r="E34" s="138"/>
      <c r="F34" s="138" t="s">
        <v>161</v>
      </c>
      <c r="G34" s="138"/>
      <c r="H34" s="138"/>
    </row>
    <row r="35" spans="1:8" x14ac:dyDescent="0.25">
      <c r="A35" s="94" t="s">
        <v>32</v>
      </c>
      <c r="B35" s="94"/>
      <c r="C35" s="94"/>
      <c r="D35" s="94"/>
      <c r="E35" s="94"/>
      <c r="F35" s="94"/>
      <c r="G35" s="94"/>
      <c r="H35" s="94"/>
    </row>
    <row r="36" spans="1:8" ht="15.75" customHeight="1" x14ac:dyDescent="0.25">
      <c r="A36" s="113" t="s">
        <v>235</v>
      </c>
      <c r="B36" s="113"/>
      <c r="C36" s="146" t="s">
        <v>236</v>
      </c>
      <c r="D36" s="136"/>
      <c r="E36" s="136"/>
      <c r="F36" s="136"/>
      <c r="G36" s="136"/>
      <c r="H36" s="137"/>
    </row>
    <row r="37" spans="1:8" ht="15.75" customHeight="1" x14ac:dyDescent="0.25">
      <c r="A37" s="113" t="s">
        <v>227</v>
      </c>
      <c r="B37" s="113"/>
      <c r="C37" s="135" t="s">
        <v>228</v>
      </c>
      <c r="D37" s="136"/>
      <c r="E37" s="136"/>
      <c r="F37" s="136"/>
      <c r="G37" s="136"/>
      <c r="H37" s="137"/>
    </row>
    <row r="38" spans="1:8" x14ac:dyDescent="0.25">
      <c r="A38" s="130" t="s">
        <v>35</v>
      </c>
      <c r="B38" s="130"/>
      <c r="C38" s="130"/>
      <c r="D38" s="130"/>
      <c r="E38" s="130"/>
      <c r="F38" s="130"/>
      <c r="G38" s="130"/>
      <c r="H38" s="130"/>
    </row>
    <row r="39" spans="1:8" x14ac:dyDescent="0.25">
      <c r="A39" s="94" t="s">
        <v>36</v>
      </c>
      <c r="B39" s="94"/>
      <c r="C39" s="94"/>
      <c r="D39" s="94"/>
      <c r="E39" s="134">
        <v>89289</v>
      </c>
      <c r="F39" s="134"/>
      <c r="G39" s="134"/>
      <c r="H39" s="134"/>
    </row>
    <row r="40" spans="1:8" x14ac:dyDescent="0.25">
      <c r="A40" s="94" t="s">
        <v>37</v>
      </c>
      <c r="B40" s="94"/>
      <c r="C40" s="94"/>
      <c r="D40" s="94"/>
      <c r="E40" s="132">
        <v>1</v>
      </c>
      <c r="F40" s="132"/>
      <c r="G40" s="132"/>
      <c r="H40" s="132"/>
    </row>
    <row r="41" spans="1:8" x14ac:dyDescent="0.25">
      <c r="A41" s="94" t="s">
        <v>38</v>
      </c>
      <c r="B41" s="94"/>
      <c r="C41" s="94"/>
      <c r="D41" s="94"/>
      <c r="E41" s="132">
        <f>E43/E39-E40</f>
        <v>0.80292611631891941</v>
      </c>
      <c r="F41" s="132"/>
      <c r="G41" s="132"/>
      <c r="H41" s="132"/>
    </row>
    <row r="42" spans="1:8" x14ac:dyDescent="0.25">
      <c r="A42" s="94" t="s">
        <v>39</v>
      </c>
      <c r="B42" s="94"/>
      <c r="C42" s="94"/>
      <c r="D42" s="94"/>
      <c r="E42" s="132">
        <f>E40+E41</f>
        <v>1.8029261163189194</v>
      </c>
      <c r="F42" s="132"/>
      <c r="G42" s="132"/>
      <c r="H42" s="132"/>
    </row>
    <row r="43" spans="1:8" x14ac:dyDescent="0.25">
      <c r="A43" s="94" t="s">
        <v>128</v>
      </c>
      <c r="B43" s="94"/>
      <c r="C43" s="94"/>
      <c r="D43" s="94"/>
      <c r="E43" s="145">
        <v>160981.47</v>
      </c>
      <c r="F43" s="145"/>
      <c r="G43" s="145"/>
      <c r="H43" s="145"/>
    </row>
    <row r="44" spans="1:8" x14ac:dyDescent="0.25">
      <c r="A44" s="88" t="s">
        <v>40</v>
      </c>
      <c r="B44" s="88"/>
      <c r="C44" s="88"/>
      <c r="D44" s="88"/>
      <c r="E44" s="88" t="s">
        <v>182</v>
      </c>
      <c r="F44" s="88"/>
      <c r="G44" s="88"/>
      <c r="H44" s="88"/>
    </row>
    <row r="45" spans="1:8" x14ac:dyDescent="0.25">
      <c r="A45" s="90" t="s">
        <v>41</v>
      </c>
      <c r="B45" s="90"/>
      <c r="C45" s="90"/>
      <c r="D45" s="90"/>
      <c r="E45" s="90"/>
      <c r="F45" s="90"/>
      <c r="G45" s="90"/>
      <c r="H45" s="90"/>
    </row>
    <row r="46" spans="1:8" ht="37.5" customHeight="1" x14ac:dyDescent="0.25">
      <c r="A46" s="75" t="s">
        <v>238</v>
      </c>
      <c r="B46" s="77"/>
      <c r="C46" s="147" t="s">
        <v>239</v>
      </c>
      <c r="D46" s="148"/>
      <c r="E46" s="148"/>
      <c r="F46" s="148"/>
      <c r="G46" s="148"/>
      <c r="H46" s="149"/>
    </row>
    <row r="47" spans="1:8" x14ac:dyDescent="0.25">
      <c r="A47" s="95" t="s">
        <v>42</v>
      </c>
      <c r="B47" s="95"/>
      <c r="C47" s="95" t="s">
        <v>181</v>
      </c>
      <c r="D47" s="95"/>
      <c r="E47" s="95"/>
      <c r="F47" s="61" t="s">
        <v>43</v>
      </c>
      <c r="G47" s="95" t="s">
        <v>162</v>
      </c>
      <c r="H47" s="95"/>
    </row>
    <row r="48" spans="1:8" ht="51" customHeight="1" x14ac:dyDescent="0.25">
      <c r="A48" s="95" t="s">
        <v>252</v>
      </c>
      <c r="B48" s="95"/>
      <c r="C48" s="75" t="s">
        <v>240</v>
      </c>
      <c r="D48" s="76"/>
      <c r="E48" s="77"/>
      <c r="F48" s="61" t="s">
        <v>43</v>
      </c>
      <c r="G48" s="143">
        <v>45449</v>
      </c>
      <c r="H48" s="144"/>
    </row>
    <row r="49" spans="1:11" s="32" customFormat="1" x14ac:dyDescent="0.25">
      <c r="A49" s="95" t="s">
        <v>241</v>
      </c>
      <c r="B49" s="95"/>
      <c r="C49" s="95" t="s">
        <v>181</v>
      </c>
      <c r="D49" s="95"/>
      <c r="E49" s="95"/>
      <c r="F49" s="61" t="s">
        <v>43</v>
      </c>
      <c r="G49" s="95" t="s">
        <v>162</v>
      </c>
      <c r="H49" s="95"/>
    </row>
    <row r="50" spans="1:11" s="32" customFormat="1" x14ac:dyDescent="0.25">
      <c r="A50" s="95" t="s">
        <v>44</v>
      </c>
      <c r="B50" s="95"/>
      <c r="C50" s="95" t="s">
        <v>181</v>
      </c>
      <c r="D50" s="95"/>
      <c r="E50" s="95"/>
      <c r="F50" s="31" t="s">
        <v>43</v>
      </c>
      <c r="G50" s="95" t="s">
        <v>162</v>
      </c>
      <c r="H50" s="95"/>
    </row>
    <row r="51" spans="1:11" ht="40.5" customHeight="1" x14ac:dyDescent="0.25">
      <c r="A51" s="95"/>
      <c r="B51" s="95"/>
      <c r="C51" s="75" t="s">
        <v>233</v>
      </c>
      <c r="D51" s="76"/>
      <c r="E51" s="76"/>
      <c r="F51" s="76"/>
      <c r="G51" s="76"/>
      <c r="H51" s="77"/>
    </row>
    <row r="52" spans="1:11" x14ac:dyDescent="0.25">
      <c r="A52" s="89" t="s">
        <v>45</v>
      </c>
      <c r="B52" s="89"/>
      <c r="C52" s="89" t="s">
        <v>141</v>
      </c>
      <c r="D52" s="90"/>
      <c r="E52" s="90" t="s">
        <v>46</v>
      </c>
      <c r="F52" s="26" t="s">
        <v>43</v>
      </c>
      <c r="G52" s="123" t="s">
        <v>30</v>
      </c>
      <c r="H52" s="124"/>
    </row>
    <row r="53" spans="1:11" x14ac:dyDescent="0.25">
      <c r="A53" s="78" t="s">
        <v>48</v>
      </c>
      <c r="B53" s="78"/>
      <c r="C53" s="78"/>
      <c r="D53" s="78"/>
      <c r="E53" s="78"/>
      <c r="F53" s="78"/>
      <c r="G53" s="78"/>
      <c r="H53" s="78"/>
    </row>
    <row r="54" spans="1:11" x14ac:dyDescent="0.25">
      <c r="A54" s="79" t="s">
        <v>127</v>
      </c>
      <c r="B54" s="79"/>
      <c r="C54" s="79"/>
      <c r="D54" s="94">
        <f>E43</f>
        <v>160981.47</v>
      </c>
      <c r="E54" s="94"/>
      <c r="F54" s="94"/>
      <c r="G54" s="94"/>
      <c r="H54" s="94"/>
    </row>
    <row r="55" spans="1:11" x14ac:dyDescent="0.25">
      <c r="A55" s="95" t="s">
        <v>49</v>
      </c>
      <c r="B55" s="88"/>
      <c r="C55" s="88"/>
      <c r="D55" s="88" t="s">
        <v>253</v>
      </c>
      <c r="E55" s="88"/>
      <c r="F55" s="88"/>
      <c r="G55" s="88"/>
      <c r="H55" s="88"/>
    </row>
    <row r="56" spans="1:11" ht="54" customHeight="1" x14ac:dyDescent="0.25">
      <c r="A56" s="95" t="s">
        <v>50</v>
      </c>
      <c r="B56" s="88"/>
      <c r="C56" s="88"/>
      <c r="D56" s="95" t="s">
        <v>242</v>
      </c>
      <c r="E56" s="88"/>
      <c r="F56" s="88"/>
      <c r="G56" s="88"/>
      <c r="H56" s="88"/>
    </row>
    <row r="57" spans="1:11" ht="36.75" customHeight="1" x14ac:dyDescent="0.25">
      <c r="A57" s="95" t="s">
        <v>125</v>
      </c>
      <c r="B57" s="88"/>
      <c r="C57" s="88"/>
      <c r="D57" s="95" t="s">
        <v>243</v>
      </c>
      <c r="E57" s="88"/>
      <c r="F57" s="88"/>
      <c r="G57" s="88"/>
      <c r="H57" s="88"/>
    </row>
    <row r="58" spans="1:11" ht="15.75" customHeight="1" x14ac:dyDescent="0.25">
      <c r="A58" s="94" t="s">
        <v>47</v>
      </c>
      <c r="B58" s="94"/>
      <c r="C58" s="94"/>
      <c r="D58" s="79" t="s">
        <v>232</v>
      </c>
      <c r="E58" s="79"/>
      <c r="F58" s="79"/>
      <c r="G58" s="79"/>
      <c r="H58" s="79"/>
    </row>
    <row r="59" spans="1:11" ht="15.75" customHeight="1" x14ac:dyDescent="0.25">
      <c r="A59" s="94" t="s">
        <v>122</v>
      </c>
      <c r="B59" s="94"/>
      <c r="C59" s="94"/>
      <c r="D59" s="79" t="s">
        <v>123</v>
      </c>
      <c r="E59" s="79"/>
      <c r="F59" s="79"/>
      <c r="G59" s="79"/>
      <c r="H59" s="79"/>
      <c r="J59" s="22"/>
      <c r="K59" s="22"/>
    </row>
    <row r="60" spans="1:11" ht="15.75" customHeight="1" thickBot="1" x14ac:dyDescent="0.3">
      <c r="A60" s="94" t="s">
        <v>124</v>
      </c>
      <c r="B60" s="94"/>
      <c r="C60" s="94"/>
      <c r="D60" s="79" t="s">
        <v>30</v>
      </c>
      <c r="E60" s="79"/>
      <c r="F60" s="79"/>
      <c r="G60" s="79"/>
      <c r="H60" s="79"/>
      <c r="J60" s="22"/>
      <c r="K60" s="22"/>
    </row>
    <row r="61" spans="1:11" ht="15.75" customHeight="1" x14ac:dyDescent="0.25">
      <c r="A61" s="94" t="s">
        <v>121</v>
      </c>
      <c r="B61" s="94"/>
      <c r="C61" s="94"/>
      <c r="D61" s="95" t="s">
        <v>204</v>
      </c>
      <c r="E61" s="95"/>
      <c r="F61" s="95"/>
      <c r="G61" s="95"/>
      <c r="H61" s="95"/>
      <c r="I61" s="21" t="str">
        <f ca="1">(IF(E66&gt;99%,"All work completed. Please provide OC.",IF(E66&gt;89.8%,"Plinth, RCC, Brick, Plaster, Flooring, Painting work Completed. Finishing work is in process.",IF(E66&lt;94%,(IF(C66=0,"Work not yet Started.",IF(D66=25%,"Piling work in process",IF(D66=50%,"Excavation work in process",IF(D66=100%,"Excavation work Completed. ","0")))&amp;(IF(C67=0%,"",IF(C67=J67,"Footing work is process",IF(C67=J68,"Footing work Completed",IF(C67=J69,"1st Basement Completed",IF(C67=J70,"1st &amp; 2nd Basement Completed",IF(C67=J71,"1st to 3rd Basement Completed",IF(C67=J72,"1st to 4th Basement Completed",IF(C67=J73,"Plinth work is process",IF(C67=J74,"Plinth work completed","0")))))))))))&amp;(IF(C68=(D63+F63+H63),", RCC Slab",IF(C68&gt;0,", RCC upto "&amp;C68&amp;" Slab",""))&amp;(IF(C69=H63,", Brickwork",IF(C69&gt;0,", Brickwork upto "&amp;C69&amp;" Floor",""))&amp;(IF(C70=H63,", Internal Plaster",IF(C70&gt;0,", Internal Plaster upto "&amp;C70&amp;" Floor",""))&amp;(IF(C71=H63,", External Plaster",IF(C71&gt;0,", External Plaster upto "&amp;C71&amp;" Floor",""))&amp;(IF(C72=H63,", Flooring",IF(C72&gt;0,", Flooring upto "&amp;C72&amp;" Floor",""))&amp;(IF(C73=H63,", Painting",IF(C73&gt;0,", Painting upto "&amp;C73&amp;" Floor",""))&amp;(IF(C74&gt;0,", Finishing upto "&amp;C74&amp;" Floor","")&amp;(IF(C68&gt;0.5," Completed",""))))))))))))))</f>
        <v>Work not yet Started.</v>
      </c>
      <c r="J61" s="33"/>
      <c r="K61" s="22"/>
    </row>
    <row r="62" spans="1:11" ht="15.75" customHeight="1" x14ac:dyDescent="0.25">
      <c r="A62" s="89" t="s">
        <v>205</v>
      </c>
      <c r="B62" s="89"/>
      <c r="C62" s="89" t="s">
        <v>226</v>
      </c>
      <c r="D62" s="89"/>
      <c r="E62" s="89"/>
      <c r="F62" s="89"/>
      <c r="G62" s="89"/>
      <c r="H62" s="89"/>
      <c r="I62" s="22"/>
      <c r="J62" s="34"/>
      <c r="K62" s="22"/>
    </row>
    <row r="63" spans="1:11" ht="15.75" customHeight="1" x14ac:dyDescent="0.25">
      <c r="A63" s="58" t="s">
        <v>102</v>
      </c>
      <c r="B63" s="58">
        <v>0</v>
      </c>
      <c r="C63" s="58" t="s">
        <v>104</v>
      </c>
      <c r="D63" s="58">
        <v>1</v>
      </c>
      <c r="E63" s="58" t="s">
        <v>103</v>
      </c>
      <c r="F63" s="58">
        <v>0</v>
      </c>
      <c r="G63" s="58" t="s">
        <v>115</v>
      </c>
      <c r="H63" s="58">
        <f ca="1">--TRIM(RIGHT(SUBSTITUTE(LEFT(C62,_xlfn.AGGREGATE(16,6,FIND({0,1,2,3,4,5,6,7,8,9},C62,ROW(INDIRECT("1:"&amp;LEN(C62)))),1))," ",REPT(" ",LEN(C62))),LEN(C62)))</f>
        <v>31</v>
      </c>
      <c r="I63" s="22" t="s">
        <v>140</v>
      </c>
      <c r="J63" s="34"/>
      <c r="K63" s="22"/>
    </row>
    <row r="64" spans="1:11" ht="15.75" customHeight="1" x14ac:dyDescent="0.25">
      <c r="A64" s="90" t="s">
        <v>126</v>
      </c>
      <c r="B64" s="90"/>
      <c r="C64" s="89" t="str">
        <f ca="1">I61</f>
        <v>Work not yet Started.</v>
      </c>
      <c r="D64" s="89"/>
      <c r="E64" s="89"/>
      <c r="F64" s="89"/>
      <c r="G64" s="89"/>
      <c r="H64" s="89"/>
      <c r="I64" s="23" t="s">
        <v>207</v>
      </c>
      <c r="J64" s="35">
        <f ca="1">H63*25%</f>
        <v>7.75</v>
      </c>
      <c r="K64" s="22"/>
    </row>
    <row r="65" spans="1:11" ht="15.75" customHeight="1" x14ac:dyDescent="0.25">
      <c r="A65" s="96" t="s">
        <v>51</v>
      </c>
      <c r="B65" s="97"/>
      <c r="C65" s="27" t="s">
        <v>206</v>
      </c>
      <c r="D65" s="27" t="s">
        <v>118</v>
      </c>
      <c r="E65" s="98" t="s">
        <v>120</v>
      </c>
      <c r="F65" s="99"/>
      <c r="G65" s="98" t="s">
        <v>119</v>
      </c>
      <c r="H65" s="100"/>
      <c r="I65" s="23" t="s">
        <v>134</v>
      </c>
      <c r="J65" s="38">
        <f ca="1">H63*50%</f>
        <v>15.5</v>
      </c>
      <c r="K65" s="22"/>
    </row>
    <row r="66" spans="1:11" ht="15.75" customHeight="1" x14ac:dyDescent="0.25">
      <c r="A66" s="96" t="s">
        <v>208</v>
      </c>
      <c r="B66" s="97"/>
      <c r="C66" s="36">
        <v>0</v>
      </c>
      <c r="D66" s="37">
        <f ca="1">((100/H63)*C66)/100</f>
        <v>0</v>
      </c>
      <c r="E66" s="101">
        <f ca="1">(((C67/H63*10)+(40/(D63+F63+H63)*C68)+(7.5/(H63)*C69)+(7.5/(H63)*C70)+(10/H63*C71)+(10/H63*C72)+(5/H63*C73)+(5/H63*C74)+(5/H63*C75))/100)</f>
        <v>0</v>
      </c>
      <c r="F66" s="102"/>
      <c r="G66" s="101">
        <f ca="1">((((C66/H63)*20)+((C67/H63)*25)+(30/(H63+F63+D63)*C68)+(5/H63*C69)+(5/H63*C70)+(5/H63*C71)+(5/H63*C72)+(0/H63*C73)+(0/H63*C74)+(5/H63*C75))/100)</f>
        <v>0</v>
      </c>
      <c r="H66" s="107"/>
      <c r="I66" s="23" t="s">
        <v>135</v>
      </c>
      <c r="J66" s="38">
        <f ca="1">H63</f>
        <v>31</v>
      </c>
      <c r="K66" s="22"/>
    </row>
    <row r="67" spans="1:11" ht="15.75" customHeight="1" x14ac:dyDescent="0.25">
      <c r="A67" s="96" t="s">
        <v>52</v>
      </c>
      <c r="B67" s="97"/>
      <c r="C67" s="39">
        <v>0</v>
      </c>
      <c r="D67" s="37">
        <f ca="1">((100/H63)*C67)/100</f>
        <v>0</v>
      </c>
      <c r="E67" s="103"/>
      <c r="F67" s="104"/>
      <c r="G67" s="103"/>
      <c r="H67" s="108"/>
      <c r="I67" s="23" t="s">
        <v>136</v>
      </c>
      <c r="J67" s="40">
        <f ca="1">(IF(B63&gt;1,(H63/(B63+2)),H63/4))</f>
        <v>7.75</v>
      </c>
      <c r="K67" s="22"/>
    </row>
    <row r="68" spans="1:11" ht="15.75" customHeight="1" x14ac:dyDescent="0.25">
      <c r="A68" s="96" t="s">
        <v>209</v>
      </c>
      <c r="B68" s="97"/>
      <c r="C68" s="39">
        <v>0</v>
      </c>
      <c r="D68" s="37">
        <f ca="1">((100/(D63+F63+H63))*C68)/100</f>
        <v>0</v>
      </c>
      <c r="E68" s="103"/>
      <c r="F68" s="104"/>
      <c r="G68" s="103"/>
      <c r="H68" s="108"/>
      <c r="I68" s="23" t="s">
        <v>137</v>
      </c>
      <c r="J68" s="40">
        <f ca="1">(IF(B63&gt;1,(H63/(B63+2)+J67),H63/4+J67))</f>
        <v>15.5</v>
      </c>
      <c r="K68" s="22"/>
    </row>
    <row r="69" spans="1:11" ht="15.75" customHeight="1" x14ac:dyDescent="0.25">
      <c r="A69" s="96" t="s">
        <v>210</v>
      </c>
      <c r="B69" s="97" t="s">
        <v>211</v>
      </c>
      <c r="C69" s="36">
        <v>0</v>
      </c>
      <c r="D69" s="37">
        <f ca="1">((100/H63)*C69)/100</f>
        <v>0</v>
      </c>
      <c r="E69" s="103"/>
      <c r="F69" s="104"/>
      <c r="G69" s="103"/>
      <c r="H69" s="108"/>
      <c r="I69" s="23" t="s">
        <v>213</v>
      </c>
      <c r="J69" s="40">
        <f>(IF(B63&gt;1,(H63/(B63+2)+J68),0))</f>
        <v>0</v>
      </c>
      <c r="K69" s="22"/>
    </row>
    <row r="70" spans="1:11" ht="15.75" customHeight="1" x14ac:dyDescent="0.25">
      <c r="A70" s="96" t="s">
        <v>212</v>
      </c>
      <c r="B70" s="97" t="s">
        <v>211</v>
      </c>
      <c r="C70" s="36">
        <v>0</v>
      </c>
      <c r="D70" s="37">
        <f ca="1">((100/H63)*C70)/100</f>
        <v>0</v>
      </c>
      <c r="E70" s="103"/>
      <c r="F70" s="104"/>
      <c r="G70" s="103"/>
      <c r="H70" s="108"/>
      <c r="I70" s="23" t="s">
        <v>216</v>
      </c>
      <c r="J70" s="40">
        <f>(IF(B63&gt;2,(H63/(B63+2)+J69),0))</f>
        <v>0</v>
      </c>
      <c r="K70" s="22"/>
    </row>
    <row r="71" spans="1:11" ht="15.75" customHeight="1" x14ac:dyDescent="0.25">
      <c r="A71" s="96" t="s">
        <v>214</v>
      </c>
      <c r="B71" s="97" t="s">
        <v>215</v>
      </c>
      <c r="C71" s="36">
        <v>0</v>
      </c>
      <c r="D71" s="37">
        <f ca="1">((100/(H63))*C71)/100</f>
        <v>0</v>
      </c>
      <c r="E71" s="103"/>
      <c r="F71" s="104"/>
      <c r="G71" s="103"/>
      <c r="H71" s="108"/>
      <c r="I71" s="23" t="s">
        <v>218</v>
      </c>
      <c r="J71" s="41">
        <f>(IF(B63&gt;3,(H63/(B63+2)+J70),0))</f>
        <v>0</v>
      </c>
      <c r="K71" s="22"/>
    </row>
    <row r="72" spans="1:11" ht="15.75" customHeight="1" x14ac:dyDescent="0.25">
      <c r="A72" s="96" t="s">
        <v>217</v>
      </c>
      <c r="B72" s="97" t="s">
        <v>217</v>
      </c>
      <c r="C72" s="36">
        <v>0</v>
      </c>
      <c r="D72" s="37">
        <f ca="1">((100/H63)*C72)/100</f>
        <v>0</v>
      </c>
      <c r="E72" s="103"/>
      <c r="F72" s="104"/>
      <c r="G72" s="103"/>
      <c r="H72" s="108"/>
      <c r="I72" s="23" t="s">
        <v>220</v>
      </c>
      <c r="J72" s="40">
        <f>(IF(B63&gt;4,(H63/(B63+2)+J71),0))</f>
        <v>0</v>
      </c>
      <c r="K72" s="22"/>
    </row>
    <row r="73" spans="1:11" ht="15.75" customHeight="1" x14ac:dyDescent="0.25">
      <c r="A73" s="96" t="s">
        <v>219</v>
      </c>
      <c r="B73" s="97"/>
      <c r="C73" s="36">
        <v>0</v>
      </c>
      <c r="D73" s="37">
        <f ca="1">((100/H63)*C73)/100</f>
        <v>0</v>
      </c>
      <c r="E73" s="103"/>
      <c r="F73" s="104"/>
      <c r="G73" s="103"/>
      <c r="H73" s="108"/>
      <c r="I73" s="23" t="s">
        <v>138</v>
      </c>
      <c r="J73" s="40">
        <f ca="1">(IF(B63=1,(H63/(B63+3)+J68),IF(B63=0,(H63/4+J68),IF(B63&gt;1,0))))</f>
        <v>23.25</v>
      </c>
      <c r="K73" s="22"/>
    </row>
    <row r="74" spans="1:11" ht="15.75" customHeight="1" thickBot="1" x14ac:dyDescent="0.3">
      <c r="A74" s="96" t="s">
        <v>221</v>
      </c>
      <c r="B74" s="97" t="s">
        <v>221</v>
      </c>
      <c r="C74" s="36">
        <v>0</v>
      </c>
      <c r="D74" s="37">
        <f ca="1">((100/(H63))*C74)/100</f>
        <v>0</v>
      </c>
      <c r="E74" s="103"/>
      <c r="F74" s="104"/>
      <c r="G74" s="103"/>
      <c r="H74" s="108"/>
      <c r="I74" s="24" t="s">
        <v>139</v>
      </c>
      <c r="J74" s="44">
        <f ca="1">(IF(B63&gt;1.5,(H63/(B63+2)+J68+MAX(0,J69-J68)+MAX(0,J70-J69)+MAX(0,J71-J70)+MAX(0,J72-J71)+MAX(0,J73-J72)),IF(B63=1,(H63/(B63+3)+J73),IF(B63=0,H63/4+J73))))</f>
        <v>31</v>
      </c>
      <c r="K74" s="22"/>
    </row>
    <row r="75" spans="1:11" ht="15.75" customHeight="1" thickBot="1" x14ac:dyDescent="0.3">
      <c r="A75" s="150" t="s">
        <v>222</v>
      </c>
      <c r="B75" s="151"/>
      <c r="C75" s="42">
        <v>0</v>
      </c>
      <c r="D75" s="43">
        <f ca="1">((100/(H63))*C75)/100</f>
        <v>0</v>
      </c>
      <c r="E75" s="105"/>
      <c r="F75" s="106"/>
      <c r="G75" s="105"/>
      <c r="H75" s="109"/>
      <c r="I75" s="21" t="str">
        <f ca="1">(IF(E80&gt;99%,"All work completed. Please provide OC.",IF(E80&gt;89.8%,"Plinth, RCC, Brick, Plaster, Flooring, Painting work Completed. Finishing work is in process.",IF(E80&lt;94%,(IF(C80=0,"Work not yet Started.",IF(D80=25%,"Piling work in process",IF(D80=50%,"Excavation work in process",IF(D80=100%,"Excavation work Completed. ","0")))&amp;(IF(C81=0%,"",IF(C81=J81,"Footing work is process",IF(C81=J82,"Footing work Completed",IF(C81=J83,"1st Basement Completed",IF(C81=J84,"1st &amp; 2nd Basement Completed",IF(C81=J85,"1st to 3rd Basement Completed",IF(C81=J86,"1st to 4th Basement Completed",IF(C81=J87,"Plinth work is process",IF(C81=J88,"Plinth work completed","0")))))))))))&amp;(IF(C82=(D77+F77+H77),", RCC Slab",IF(C82&gt;0,", RCC upto "&amp;C82&amp;" Slab",""))&amp;(IF(C83=H77,", Brickwork",IF(C83&gt;0,", Brickwork upto "&amp;C83&amp;" Floor",""))&amp;(IF(C84=H77,", Internal Plaster",IF(C84&gt;0,", Internal Plaster upto "&amp;C84&amp;" Floor",""))&amp;(IF(C85=H77,", External Plaster",IF(C85&gt;0,", External Plaster upto "&amp;C85&amp;" Floor",""))&amp;(IF(C86=H77,", Flooring",IF(C86&gt;0,", Flooring upto "&amp;C86&amp;" Floor",""))&amp;(IF(C87=H77,", Painting",IF(C87&gt;0,", Painting upto "&amp;C87&amp;" Floor",""))&amp;(IF(C88&gt;0,", Finishing upto "&amp;C88&amp;" Floor","")&amp;(IF(C82&gt;0.5," Completed",""))))))))))))))</f>
        <v>Excavation work Completed. Plinth work completed, RCC Slab, Brickwork, Internal Plaster, External Plaster, Flooring upto 22 Floor, Painting upto 20 Floor Completed</v>
      </c>
      <c r="J75" s="33"/>
      <c r="K75" s="22"/>
    </row>
    <row r="76" spans="1:11" ht="15.75" customHeight="1" x14ac:dyDescent="0.25">
      <c r="A76" s="152" t="s">
        <v>205</v>
      </c>
      <c r="B76" s="153"/>
      <c r="C76" s="154" t="s">
        <v>250</v>
      </c>
      <c r="D76" s="155"/>
      <c r="E76" s="155"/>
      <c r="F76" s="155"/>
      <c r="G76" s="155"/>
      <c r="H76" s="156"/>
      <c r="I76" s="22"/>
      <c r="J76" s="34"/>
      <c r="K76" s="22"/>
    </row>
    <row r="77" spans="1:11" x14ac:dyDescent="0.25">
      <c r="A77" s="60" t="s">
        <v>102</v>
      </c>
      <c r="B77" s="58">
        <v>0</v>
      </c>
      <c r="C77" s="58" t="s">
        <v>104</v>
      </c>
      <c r="D77" s="58">
        <v>1</v>
      </c>
      <c r="E77" s="58" t="s">
        <v>103</v>
      </c>
      <c r="F77" s="58">
        <v>0</v>
      </c>
      <c r="G77" s="58" t="s">
        <v>115</v>
      </c>
      <c r="H77" s="17">
        <f ca="1">--TRIM(RIGHT(SUBSTITUTE(LEFT(C76,_xlfn.AGGREGATE(16,6,FIND({0,1,2,3,4,5,6,7,8,9},C76,ROW(INDIRECT("1:"&amp;LEN(C76)))),1))," ",REPT(" ",LEN(C76))),LEN(C76)))</f>
        <v>32</v>
      </c>
      <c r="I77" s="22" t="s">
        <v>140</v>
      </c>
      <c r="J77" s="34"/>
      <c r="K77" s="22"/>
    </row>
    <row r="78" spans="1:11" ht="50.25" customHeight="1" x14ac:dyDescent="0.25">
      <c r="A78" s="157" t="s">
        <v>126</v>
      </c>
      <c r="B78" s="90"/>
      <c r="C78" s="123" t="str">
        <f ca="1">I75</f>
        <v>Excavation work Completed. Plinth work completed, RCC Slab, Brickwork, Internal Plaster, External Plaster, Flooring upto 22 Floor, Painting upto 20 Floor Completed</v>
      </c>
      <c r="D78" s="158"/>
      <c r="E78" s="158"/>
      <c r="F78" s="158"/>
      <c r="G78" s="158"/>
      <c r="H78" s="159"/>
      <c r="I78" s="23" t="s">
        <v>207</v>
      </c>
      <c r="J78" s="35">
        <f ca="1">H77*25%</f>
        <v>8</v>
      </c>
      <c r="K78" s="22"/>
    </row>
    <row r="79" spans="1:11" ht="15.75" customHeight="1" x14ac:dyDescent="0.25">
      <c r="A79" s="96" t="s">
        <v>51</v>
      </c>
      <c r="B79" s="97"/>
      <c r="C79" s="27" t="s">
        <v>206</v>
      </c>
      <c r="D79" s="27" t="s">
        <v>118</v>
      </c>
      <c r="E79" s="98" t="s">
        <v>120</v>
      </c>
      <c r="F79" s="99"/>
      <c r="G79" s="98" t="s">
        <v>119</v>
      </c>
      <c r="H79" s="100"/>
      <c r="I79" s="23" t="s">
        <v>134</v>
      </c>
      <c r="J79" s="38">
        <f ca="1">H77*50%</f>
        <v>16</v>
      </c>
      <c r="K79" s="22"/>
    </row>
    <row r="80" spans="1:11" ht="15.75" customHeight="1" x14ac:dyDescent="0.25">
      <c r="A80" s="96" t="s">
        <v>208</v>
      </c>
      <c r="B80" s="97"/>
      <c r="C80" s="36">
        <f ca="1">J80</f>
        <v>32</v>
      </c>
      <c r="D80" s="37">
        <f ca="1">((100/H77)*C80)/100</f>
        <v>1</v>
      </c>
      <c r="E80" s="101">
        <f ca="1">(((C81/H77*10)+(40/(D77+F77+H77)*C82)+(7.5/(H77)*C83)+(7.5/(H77)*C84)+(10/H77*C85)+(10/H77*C86)+(5/H77*C87)+(5/H77*C88)+(5/H77*C89))/100)</f>
        <v>0.85</v>
      </c>
      <c r="F80" s="102"/>
      <c r="G80" s="101">
        <f ca="1">((((C80/H77)*20)+((C81/H77)*25)+(30/(H77+F77+D77)*C82)+(5/H77*C83)+(5/H77*C84)+(5/H77*C85)+(5/H77*C86)+(0/H77*C87)+(0/H77*C88)+(5/H77*C89))/100)</f>
        <v>0.93437499999999996</v>
      </c>
      <c r="H80" s="107"/>
      <c r="I80" s="23" t="s">
        <v>135</v>
      </c>
      <c r="J80" s="38">
        <f ca="1">H77</f>
        <v>32</v>
      </c>
      <c r="K80" s="22"/>
    </row>
    <row r="81" spans="1:11" ht="15.75" customHeight="1" x14ac:dyDescent="0.25">
      <c r="A81" s="96" t="s">
        <v>52</v>
      </c>
      <c r="B81" s="97"/>
      <c r="C81" s="39">
        <f ca="1">J88</f>
        <v>32</v>
      </c>
      <c r="D81" s="37">
        <f ca="1">((100/H77)*C81)/100</f>
        <v>1</v>
      </c>
      <c r="E81" s="103"/>
      <c r="F81" s="104"/>
      <c r="G81" s="103"/>
      <c r="H81" s="108"/>
      <c r="I81" s="23" t="s">
        <v>136</v>
      </c>
      <c r="J81" s="40">
        <f ca="1">(IF(B77&gt;1,(H77/(B77+2)),H77/4))</f>
        <v>8</v>
      </c>
      <c r="K81" s="22"/>
    </row>
    <row r="82" spans="1:11" ht="15.75" customHeight="1" x14ac:dyDescent="0.25">
      <c r="A82" s="160" t="s">
        <v>209</v>
      </c>
      <c r="B82" s="138"/>
      <c r="C82" s="39">
        <v>33</v>
      </c>
      <c r="D82" s="37">
        <f ca="1">((100/(D77+F77+H77))*C82)/100</f>
        <v>1</v>
      </c>
      <c r="E82" s="103"/>
      <c r="F82" s="104"/>
      <c r="G82" s="103"/>
      <c r="H82" s="108"/>
      <c r="I82" s="23" t="s">
        <v>137</v>
      </c>
      <c r="J82" s="40">
        <f ca="1">(IF(B77&gt;1,(H77/(B77+2)+J81),H77/4+J81))</f>
        <v>16</v>
      </c>
      <c r="K82" s="22"/>
    </row>
    <row r="83" spans="1:11" ht="15.75" customHeight="1" x14ac:dyDescent="0.25">
      <c r="A83" s="96" t="s">
        <v>210</v>
      </c>
      <c r="B83" s="97" t="s">
        <v>211</v>
      </c>
      <c r="C83" s="39">
        <f>C82-1</f>
        <v>32</v>
      </c>
      <c r="D83" s="37">
        <f ca="1">((100/H77)*C83)/100</f>
        <v>1</v>
      </c>
      <c r="E83" s="103"/>
      <c r="F83" s="104"/>
      <c r="G83" s="103"/>
      <c r="H83" s="108"/>
      <c r="I83" s="23" t="s">
        <v>213</v>
      </c>
      <c r="J83" s="40">
        <f>(IF(B77&gt;1,(H77/(B77+2)+J82),0))</f>
        <v>0</v>
      </c>
      <c r="K83" s="22"/>
    </row>
    <row r="84" spans="1:11" ht="15.75" customHeight="1" x14ac:dyDescent="0.25">
      <c r="A84" s="96" t="s">
        <v>212</v>
      </c>
      <c r="B84" s="97" t="s">
        <v>211</v>
      </c>
      <c r="C84" s="39">
        <v>32</v>
      </c>
      <c r="D84" s="37">
        <f ca="1">((100/H77)*C84)/100</f>
        <v>1</v>
      </c>
      <c r="E84" s="103"/>
      <c r="F84" s="104"/>
      <c r="G84" s="103"/>
      <c r="H84" s="108"/>
      <c r="I84" s="23" t="s">
        <v>216</v>
      </c>
      <c r="J84" s="40">
        <f>(IF(B77&gt;2,(H77/(B77+2)+J83),0))</f>
        <v>0</v>
      </c>
      <c r="K84" s="22"/>
    </row>
    <row r="85" spans="1:11" ht="15.75" customHeight="1" x14ac:dyDescent="0.25">
      <c r="A85" s="96" t="s">
        <v>214</v>
      </c>
      <c r="B85" s="97" t="s">
        <v>215</v>
      </c>
      <c r="C85" s="39">
        <v>32</v>
      </c>
      <c r="D85" s="37">
        <f ca="1">((100/(H77))*C85)/100</f>
        <v>1</v>
      </c>
      <c r="E85" s="103"/>
      <c r="F85" s="104"/>
      <c r="G85" s="103"/>
      <c r="H85" s="108"/>
      <c r="I85" s="23" t="s">
        <v>218</v>
      </c>
      <c r="J85" s="41">
        <f>(IF(B77&gt;3,(H77/(B77+2)+J84),0))</f>
        <v>0</v>
      </c>
      <c r="K85" s="22"/>
    </row>
    <row r="86" spans="1:11" ht="15.75" customHeight="1" x14ac:dyDescent="0.25">
      <c r="A86" s="96" t="s">
        <v>217</v>
      </c>
      <c r="B86" s="97" t="s">
        <v>217</v>
      </c>
      <c r="C86" s="36">
        <v>22</v>
      </c>
      <c r="D86" s="37">
        <f ca="1">((100/H77)*C86)/100</f>
        <v>0.6875</v>
      </c>
      <c r="E86" s="103"/>
      <c r="F86" s="104"/>
      <c r="G86" s="103"/>
      <c r="H86" s="108"/>
      <c r="I86" s="23" t="s">
        <v>220</v>
      </c>
      <c r="J86" s="40">
        <f>(IF(B77&gt;4,(H77/(B77+2)+J85),0))</f>
        <v>0</v>
      </c>
      <c r="K86" s="22"/>
    </row>
    <row r="87" spans="1:11" ht="15.75" customHeight="1" x14ac:dyDescent="0.25">
      <c r="A87" s="96" t="s">
        <v>219</v>
      </c>
      <c r="B87" s="97"/>
      <c r="C87" s="36">
        <v>20</v>
      </c>
      <c r="D87" s="37">
        <f ca="1">((100/H77)*C87)/100</f>
        <v>0.625</v>
      </c>
      <c r="E87" s="103"/>
      <c r="F87" s="104"/>
      <c r="G87" s="103"/>
      <c r="H87" s="108"/>
      <c r="I87" s="23" t="s">
        <v>138</v>
      </c>
      <c r="J87" s="40">
        <f ca="1">(IF(B77=1,(H77/(B77+3)+J82),IF(B77=0,(H77/4+J82),IF(B77&gt;1,0))))</f>
        <v>24</v>
      </c>
      <c r="K87" s="22"/>
    </row>
    <row r="88" spans="1:11" ht="15.75" customHeight="1" thickBot="1" x14ac:dyDescent="0.3">
      <c r="A88" s="96" t="s">
        <v>221</v>
      </c>
      <c r="B88" s="97" t="s">
        <v>221</v>
      </c>
      <c r="C88" s="36">
        <v>0</v>
      </c>
      <c r="D88" s="37">
        <f ca="1">((100/(H77))*C88)/100</f>
        <v>0</v>
      </c>
      <c r="E88" s="103"/>
      <c r="F88" s="104"/>
      <c r="G88" s="103"/>
      <c r="H88" s="108"/>
      <c r="I88" s="24" t="s">
        <v>139</v>
      </c>
      <c r="J88" s="44">
        <f ca="1">(IF(B77&gt;1.5,(H77/(B77+2)+J82+MAX(0,J83-J82)+MAX(0,J84-J83)+MAX(0,J85-J84)+MAX(0,J86-J85)+MAX(0,J87-J86)),IF(B77=1,(H77/(B77+3)+J87),IF(B77=0,H77/4+J87))))</f>
        <v>32</v>
      </c>
      <c r="K88" s="22"/>
    </row>
    <row r="89" spans="1:11" ht="15.75" customHeight="1" thickBot="1" x14ac:dyDescent="0.3">
      <c r="A89" s="150" t="s">
        <v>222</v>
      </c>
      <c r="B89" s="151"/>
      <c r="C89" s="42">
        <v>0</v>
      </c>
      <c r="D89" s="43">
        <f ca="1">((100/(H77))*C89)/100</f>
        <v>0</v>
      </c>
      <c r="E89" s="105"/>
      <c r="F89" s="106"/>
      <c r="G89" s="105"/>
      <c r="H89" s="109"/>
      <c r="I89" s="21" t="str">
        <f ca="1">(IF(E94&gt;99%,"All work completed. Please provide OC.",IF(E94&gt;89.8%,"Plinth, RCC, Brick, Plaster, Flooring, Painting work Completed. Finishing work is in process.",IF(E94&lt;94%,(IF(C94=0,"Work not yet Started.",IF(D94=25%,"Piling work in process",IF(D94=50%,"Excavation work in process",IF(D94=100%,"Excavation work Completed. ","0")))&amp;(IF(C95=0%,"",IF(C95=J95,"Footing work is process",IF(C95=J96,"Footing work Completed",IF(C95=J97,"1st Basement Completed",IF(C95=J98,"1st &amp; 2nd Basement Completed",IF(C95=J99,"1st to 3rd Basement Completed",IF(C95=J100,"1st to 4th Basement Completed",IF(C95=J101,"Plinth work is process",IF(C95=J102,"Plinth work completed","0")))))))))))&amp;(IF(C96=(D91+F91+H91),", RCC Slab",IF(C96&gt;0,", RCC upto "&amp;C96&amp;" Slab",""))&amp;(IF(C97=H91,", Brickwork",IF(C97&gt;0,", Brickwork upto "&amp;C97&amp;" Floor",""))&amp;(IF(C98=H91,", Internal Plaster",IF(C98&gt;0,", Internal Plaster upto "&amp;C98&amp;" Floor",""))&amp;(IF(C99=H91,", External Plaster",IF(C99&gt;0,", External Plaster upto "&amp;C99&amp;" Floor",""))&amp;(IF(C100=H91,", Flooring",IF(C100&gt;0,", Flooring upto "&amp;C100&amp;" Floor",""))&amp;(IF(C101=H91,", Painting",IF(C101&gt;0,", Painting upto "&amp;C101&amp;" Floor",""))&amp;(IF(C102&gt;0,", Finishing upto "&amp;C102&amp;" Floor","")&amp;(IF(C96&gt;0.5," Completed",""))))))))))))))</f>
        <v>Excavation work Completed. Plinth work completed, RCC Slab, Brickwork, Internal Plaster, External Plaster, Flooring upto 22 Floor, Painting upto 20 Floor Completed</v>
      </c>
      <c r="J89" s="33"/>
      <c r="K89" s="22"/>
    </row>
    <row r="90" spans="1:11" ht="15.75" customHeight="1" x14ac:dyDescent="0.25">
      <c r="A90" s="152" t="s">
        <v>205</v>
      </c>
      <c r="B90" s="153"/>
      <c r="C90" s="154" t="s">
        <v>251</v>
      </c>
      <c r="D90" s="155"/>
      <c r="E90" s="155"/>
      <c r="F90" s="155"/>
      <c r="G90" s="155"/>
      <c r="H90" s="156"/>
      <c r="I90" s="22"/>
      <c r="J90" s="34"/>
      <c r="K90" s="22"/>
    </row>
    <row r="91" spans="1:11" x14ac:dyDescent="0.25">
      <c r="A91" s="60" t="s">
        <v>102</v>
      </c>
      <c r="B91" s="58">
        <v>0</v>
      </c>
      <c r="C91" s="58" t="s">
        <v>104</v>
      </c>
      <c r="D91" s="58">
        <v>1</v>
      </c>
      <c r="E91" s="58" t="s">
        <v>103</v>
      </c>
      <c r="F91" s="58">
        <v>0</v>
      </c>
      <c r="G91" s="58" t="s">
        <v>115</v>
      </c>
      <c r="H91" s="17">
        <f ca="1">--TRIM(RIGHT(SUBSTITUTE(LEFT(C90,_xlfn.AGGREGATE(16,6,FIND({0,1,2,3,4,5,6,7,8,9},C90,ROW(INDIRECT("1:"&amp;LEN(C90)))),1))," ",REPT(" ",LEN(C90))),LEN(C90)))</f>
        <v>32</v>
      </c>
      <c r="I91" s="22" t="s">
        <v>140</v>
      </c>
      <c r="J91" s="34"/>
      <c r="K91" s="22"/>
    </row>
    <row r="92" spans="1:11" ht="48" customHeight="1" x14ac:dyDescent="0.25">
      <c r="A92" s="157" t="s">
        <v>126</v>
      </c>
      <c r="B92" s="90"/>
      <c r="C92" s="123" t="str">
        <f ca="1">I89</f>
        <v>Excavation work Completed. Plinth work completed, RCC Slab, Brickwork, Internal Plaster, External Plaster, Flooring upto 22 Floor, Painting upto 20 Floor Completed</v>
      </c>
      <c r="D92" s="158"/>
      <c r="E92" s="158"/>
      <c r="F92" s="158"/>
      <c r="G92" s="158"/>
      <c r="H92" s="159"/>
      <c r="I92" s="23" t="s">
        <v>207</v>
      </c>
      <c r="J92" s="35">
        <f ca="1">H91*25%</f>
        <v>8</v>
      </c>
      <c r="K92" s="22"/>
    </row>
    <row r="93" spans="1:11" ht="15.75" customHeight="1" x14ac:dyDescent="0.25">
      <c r="A93" s="96" t="s">
        <v>51</v>
      </c>
      <c r="B93" s="97"/>
      <c r="C93" s="27" t="s">
        <v>206</v>
      </c>
      <c r="D93" s="27" t="s">
        <v>118</v>
      </c>
      <c r="E93" s="98" t="s">
        <v>120</v>
      </c>
      <c r="F93" s="99"/>
      <c r="G93" s="98" t="s">
        <v>119</v>
      </c>
      <c r="H93" s="100"/>
      <c r="I93" s="23" t="s">
        <v>134</v>
      </c>
      <c r="J93" s="38">
        <f ca="1">H91*50%</f>
        <v>16</v>
      </c>
      <c r="K93" s="22"/>
    </row>
    <row r="94" spans="1:11" ht="15.75" customHeight="1" x14ac:dyDescent="0.25">
      <c r="A94" s="96" t="s">
        <v>208</v>
      </c>
      <c r="B94" s="97"/>
      <c r="C94" s="36">
        <f ca="1">J94</f>
        <v>32</v>
      </c>
      <c r="D94" s="37">
        <f ca="1">((100/H91)*C94)/100</f>
        <v>1</v>
      </c>
      <c r="E94" s="101">
        <f ca="1">(((C95/H91*10)+(40/(D91+F91+H91)*C96)+(7.5/(H91)*C97)+(7.5/(H91)*C98)+(10/H91*C99)+(10/H91*C100)+(5/H91*C101)+(5/H91*C102)+(5/H91*C103))/100)</f>
        <v>0.85</v>
      </c>
      <c r="F94" s="102"/>
      <c r="G94" s="101">
        <f ca="1">((((C94/H91)*20)+((C95/H91)*25)+(30/(H91+F91+D91)*C96)+(5/H91*C97)+(5/H91*C98)+(5/H91*C99)+(5/H91*C100)+(0/H91*C101)+(0/H91*C102)+(5/H91*C103))/100)</f>
        <v>0.93437499999999996</v>
      </c>
      <c r="H94" s="107"/>
      <c r="I94" s="23" t="s">
        <v>135</v>
      </c>
      <c r="J94" s="38">
        <f ca="1">H91</f>
        <v>32</v>
      </c>
      <c r="K94" s="22"/>
    </row>
    <row r="95" spans="1:11" ht="15.75" customHeight="1" x14ac:dyDescent="0.25">
      <c r="A95" s="96" t="s">
        <v>52</v>
      </c>
      <c r="B95" s="97"/>
      <c r="C95" s="39">
        <f ca="1">J102</f>
        <v>32</v>
      </c>
      <c r="D95" s="37">
        <f ca="1">((100/H91)*C95)/100</f>
        <v>1</v>
      </c>
      <c r="E95" s="103"/>
      <c r="F95" s="104"/>
      <c r="G95" s="103"/>
      <c r="H95" s="108"/>
      <c r="I95" s="23" t="s">
        <v>136</v>
      </c>
      <c r="J95" s="40">
        <f ca="1">(IF(B91&gt;1,(H91/(B91+2)),H91/4))</f>
        <v>8</v>
      </c>
      <c r="K95" s="22"/>
    </row>
    <row r="96" spans="1:11" ht="15.75" customHeight="1" x14ac:dyDescent="0.25">
      <c r="A96" s="160" t="s">
        <v>209</v>
      </c>
      <c r="B96" s="138"/>
      <c r="C96" s="39">
        <v>33</v>
      </c>
      <c r="D96" s="37">
        <f ca="1">((100/(D91+F91+H91))*C96)/100</f>
        <v>1</v>
      </c>
      <c r="E96" s="103"/>
      <c r="F96" s="104"/>
      <c r="G96" s="103"/>
      <c r="H96" s="108"/>
      <c r="I96" s="23" t="s">
        <v>137</v>
      </c>
      <c r="J96" s="40">
        <f ca="1">(IF(B91&gt;1,(H91/(B91+2)+J95),H91/4+J95))</f>
        <v>16</v>
      </c>
      <c r="K96" s="22"/>
    </row>
    <row r="97" spans="1:11" ht="15.75" customHeight="1" x14ac:dyDescent="0.25">
      <c r="A97" s="96" t="s">
        <v>210</v>
      </c>
      <c r="B97" s="97" t="s">
        <v>211</v>
      </c>
      <c r="C97" s="39">
        <f>C96-1</f>
        <v>32</v>
      </c>
      <c r="D97" s="37">
        <f ca="1">((100/H91)*C97)/100</f>
        <v>1</v>
      </c>
      <c r="E97" s="103"/>
      <c r="F97" s="104"/>
      <c r="G97" s="103"/>
      <c r="H97" s="108"/>
      <c r="I97" s="23" t="s">
        <v>213</v>
      </c>
      <c r="J97" s="40">
        <f>(IF(B91&gt;1,(H91/(B91+2)+J96),0))</f>
        <v>0</v>
      </c>
      <c r="K97" s="22"/>
    </row>
    <row r="98" spans="1:11" ht="15.75" customHeight="1" x14ac:dyDescent="0.25">
      <c r="A98" s="96" t="s">
        <v>212</v>
      </c>
      <c r="B98" s="97" t="s">
        <v>211</v>
      </c>
      <c r="C98" s="39">
        <v>32</v>
      </c>
      <c r="D98" s="37">
        <f ca="1">((100/H91)*C98)/100</f>
        <v>1</v>
      </c>
      <c r="E98" s="103"/>
      <c r="F98" s="104"/>
      <c r="G98" s="103"/>
      <c r="H98" s="108"/>
      <c r="I98" s="23" t="s">
        <v>216</v>
      </c>
      <c r="J98" s="40">
        <f>(IF(B91&gt;2,(H91/(B91+2)+J97),0))</f>
        <v>0</v>
      </c>
      <c r="K98" s="22"/>
    </row>
    <row r="99" spans="1:11" ht="15.75" customHeight="1" x14ac:dyDescent="0.25">
      <c r="A99" s="96" t="s">
        <v>214</v>
      </c>
      <c r="B99" s="97" t="s">
        <v>215</v>
      </c>
      <c r="C99" s="39">
        <v>32</v>
      </c>
      <c r="D99" s="37">
        <f ca="1">((100/(H91))*C99)/100</f>
        <v>1</v>
      </c>
      <c r="E99" s="103"/>
      <c r="F99" s="104"/>
      <c r="G99" s="103"/>
      <c r="H99" s="108"/>
      <c r="I99" s="23" t="s">
        <v>218</v>
      </c>
      <c r="J99" s="41">
        <f>(IF(B91&gt;3,(H91/(B91+2)+J98),0))</f>
        <v>0</v>
      </c>
      <c r="K99" s="22"/>
    </row>
    <row r="100" spans="1:11" ht="15.75" customHeight="1" x14ac:dyDescent="0.25">
      <c r="A100" s="96" t="s">
        <v>217</v>
      </c>
      <c r="B100" s="97" t="s">
        <v>217</v>
      </c>
      <c r="C100" s="36">
        <v>22</v>
      </c>
      <c r="D100" s="37">
        <f ca="1">((100/H91)*C100)/100</f>
        <v>0.6875</v>
      </c>
      <c r="E100" s="103"/>
      <c r="F100" s="104"/>
      <c r="G100" s="103"/>
      <c r="H100" s="108"/>
      <c r="I100" s="23" t="s">
        <v>220</v>
      </c>
      <c r="J100" s="40">
        <f>(IF(B91&gt;4,(H91/(B91+2)+J99),0))</f>
        <v>0</v>
      </c>
      <c r="K100" s="22"/>
    </row>
    <row r="101" spans="1:11" ht="15.75" customHeight="1" x14ac:dyDescent="0.25">
      <c r="A101" s="96" t="s">
        <v>219</v>
      </c>
      <c r="B101" s="97"/>
      <c r="C101" s="36">
        <v>20</v>
      </c>
      <c r="D101" s="37">
        <f ca="1">((100/H91)*C101)/100</f>
        <v>0.625</v>
      </c>
      <c r="E101" s="103"/>
      <c r="F101" s="104"/>
      <c r="G101" s="103"/>
      <c r="H101" s="108"/>
      <c r="I101" s="23" t="s">
        <v>138</v>
      </c>
      <c r="J101" s="40">
        <f ca="1">(IF(B91=1,(H91/(B91+3)+J96),IF(B91=0,(H91/4+J96),IF(B91&gt;1,0))))</f>
        <v>24</v>
      </c>
      <c r="K101" s="22"/>
    </row>
    <row r="102" spans="1:11" ht="15.75" customHeight="1" thickBot="1" x14ac:dyDescent="0.3">
      <c r="A102" s="96" t="s">
        <v>221</v>
      </c>
      <c r="B102" s="97" t="s">
        <v>221</v>
      </c>
      <c r="C102" s="36">
        <v>0</v>
      </c>
      <c r="D102" s="37">
        <f ca="1">((100/(H91))*C102)/100</f>
        <v>0</v>
      </c>
      <c r="E102" s="103"/>
      <c r="F102" s="104"/>
      <c r="G102" s="103"/>
      <c r="H102" s="108"/>
      <c r="I102" s="24" t="s">
        <v>139</v>
      </c>
      <c r="J102" s="44">
        <f ca="1">(IF(B91&gt;1.5,(H91/(B91+2)+J96+MAX(0,J97-J96)+MAX(0,J98-J97)+MAX(0,J99-J98)+MAX(0,J100-J99)+MAX(0,J101-J100)),IF(B91=1,(H91/(B91+3)+J101),IF(B91=0,H91/4+J101))))</f>
        <v>32</v>
      </c>
      <c r="K102" s="22"/>
    </row>
    <row r="103" spans="1:11" ht="16.5" thickBot="1" x14ac:dyDescent="0.3">
      <c r="A103" s="150" t="s">
        <v>222</v>
      </c>
      <c r="B103" s="151"/>
      <c r="C103" s="42">
        <v>0</v>
      </c>
      <c r="D103" s="43">
        <f ca="1">((100/(H91))*C103)/100</f>
        <v>0</v>
      </c>
      <c r="E103" s="105"/>
      <c r="F103" s="106"/>
      <c r="G103" s="105"/>
      <c r="H103" s="109"/>
    </row>
    <row r="104" spans="1:11" x14ac:dyDescent="0.25">
      <c r="A104" s="119" t="s">
        <v>203</v>
      </c>
      <c r="B104" s="119"/>
      <c r="C104" s="119"/>
      <c r="D104" s="119"/>
      <c r="E104" s="119"/>
      <c r="F104" s="119"/>
      <c r="G104" s="119"/>
      <c r="H104" s="119"/>
    </row>
    <row r="105" spans="1:11" ht="15" customHeight="1" x14ac:dyDescent="0.25">
      <c r="A105" s="94" t="s">
        <v>53</v>
      </c>
      <c r="B105" s="94"/>
      <c r="C105" s="94"/>
      <c r="D105" s="94"/>
      <c r="E105" s="94"/>
      <c r="F105" s="94"/>
      <c r="G105" s="94"/>
      <c r="H105" s="94"/>
    </row>
    <row r="106" spans="1:11" x14ac:dyDescent="0.25">
      <c r="A106" s="90" t="s">
        <v>106</v>
      </c>
      <c r="B106" s="90"/>
      <c r="C106" s="89" t="s">
        <v>107</v>
      </c>
      <c r="D106" s="89"/>
      <c r="E106" s="89"/>
      <c r="F106" s="89"/>
      <c r="G106" s="89"/>
      <c r="H106" s="89"/>
    </row>
    <row r="107" spans="1:11" x14ac:dyDescent="0.25">
      <c r="A107" s="90" t="s">
        <v>54</v>
      </c>
      <c r="B107" s="90"/>
      <c r="C107" s="90"/>
      <c r="D107" s="90"/>
      <c r="E107" s="90"/>
      <c r="F107" s="90"/>
      <c r="G107" s="90"/>
      <c r="H107" s="90"/>
    </row>
    <row r="108" spans="1:11" s="45" customFormat="1" x14ac:dyDescent="0.25">
      <c r="A108" s="88" t="s">
        <v>108</v>
      </c>
      <c r="B108" s="88"/>
      <c r="C108" s="88"/>
      <c r="D108" s="88"/>
      <c r="E108" s="88"/>
      <c r="F108" s="90">
        <v>7850</v>
      </c>
      <c r="G108" s="90"/>
      <c r="H108" s="90"/>
      <c r="I108" s="45" t="s">
        <v>257</v>
      </c>
    </row>
    <row r="109" spans="1:11" s="45" customFormat="1" x14ac:dyDescent="0.25">
      <c r="A109" s="88" t="s">
        <v>131</v>
      </c>
      <c r="B109" s="88"/>
      <c r="C109" s="88"/>
      <c r="D109" s="88"/>
      <c r="E109" s="88"/>
      <c r="F109" s="88" t="s">
        <v>201</v>
      </c>
      <c r="G109" s="88"/>
      <c r="H109" s="88"/>
    </row>
    <row r="110" spans="1:11" s="45" customFormat="1" hidden="1" x14ac:dyDescent="0.25">
      <c r="A110" s="88" t="s">
        <v>132</v>
      </c>
      <c r="B110" s="88"/>
      <c r="C110" s="88"/>
      <c r="D110" s="88"/>
      <c r="E110" s="88"/>
      <c r="F110" s="88" t="s">
        <v>30</v>
      </c>
      <c r="G110" s="88"/>
      <c r="H110" s="88"/>
    </row>
    <row r="111" spans="1:11" s="45" customFormat="1" hidden="1" x14ac:dyDescent="0.25">
      <c r="A111" s="88" t="s">
        <v>133</v>
      </c>
      <c r="B111" s="88"/>
      <c r="C111" s="88"/>
      <c r="D111" s="88"/>
      <c r="E111" s="88"/>
      <c r="F111" s="88" t="s">
        <v>30</v>
      </c>
      <c r="G111" s="88"/>
      <c r="H111" s="88"/>
    </row>
    <row r="112" spans="1:11" s="45" customFormat="1" x14ac:dyDescent="0.25">
      <c r="A112" s="88" t="s">
        <v>197</v>
      </c>
      <c r="B112" s="88"/>
      <c r="C112" s="88"/>
      <c r="D112" s="88"/>
      <c r="E112" s="88"/>
      <c r="F112" s="88" t="s">
        <v>198</v>
      </c>
      <c r="G112" s="88"/>
      <c r="H112" s="88"/>
    </row>
    <row r="113" spans="1:9" s="45" customFormat="1" x14ac:dyDescent="0.25">
      <c r="A113" s="88" t="s">
        <v>196</v>
      </c>
      <c r="B113" s="88"/>
      <c r="C113" s="88"/>
      <c r="D113" s="88"/>
      <c r="E113" s="88"/>
      <c r="F113" s="88" t="s">
        <v>198</v>
      </c>
      <c r="G113" s="88"/>
      <c r="H113" s="88"/>
      <c r="I113" s="45">
        <f>25000*3+45000</f>
        <v>120000</v>
      </c>
    </row>
    <row r="114" spans="1:9" s="45" customFormat="1" x14ac:dyDescent="0.25">
      <c r="A114" s="88" t="s">
        <v>254</v>
      </c>
      <c r="B114" s="88"/>
      <c r="C114" s="88"/>
      <c r="D114" s="88"/>
      <c r="E114" s="88"/>
      <c r="F114" s="88" t="s">
        <v>198</v>
      </c>
      <c r="G114" s="88"/>
      <c r="H114" s="88"/>
    </row>
    <row r="115" spans="1:9" x14ac:dyDescent="0.25">
      <c r="A115" s="88" t="s">
        <v>224</v>
      </c>
      <c r="B115" s="88"/>
      <c r="C115" s="88"/>
      <c r="D115" s="88"/>
      <c r="E115" s="88"/>
      <c r="F115" s="88" t="s">
        <v>223</v>
      </c>
      <c r="G115" s="88"/>
      <c r="H115" s="88"/>
    </row>
    <row r="116" spans="1:9" s="46" customFormat="1" x14ac:dyDescent="0.25">
      <c r="A116" s="88" t="s">
        <v>55</v>
      </c>
      <c r="B116" s="88"/>
      <c r="C116" s="88"/>
      <c r="D116" s="88"/>
      <c r="E116" s="88"/>
      <c r="F116" s="95" t="s">
        <v>194</v>
      </c>
      <c r="G116" s="95"/>
      <c r="H116" s="95"/>
    </row>
    <row r="117" spans="1:9" s="47" customFormat="1" ht="15.75" customHeight="1" x14ac:dyDescent="0.25">
      <c r="A117" s="90" t="s">
        <v>56</v>
      </c>
      <c r="B117" s="90"/>
      <c r="C117" s="90"/>
      <c r="D117" s="90"/>
      <c r="E117" s="90"/>
      <c r="F117" s="88">
        <f>F108*0.8</f>
        <v>6280</v>
      </c>
      <c r="G117" s="88"/>
      <c r="H117" s="88"/>
    </row>
    <row r="118" spans="1:9" s="47" customFormat="1" ht="15.75" hidden="1" customHeight="1" x14ac:dyDescent="0.25">
      <c r="A118" s="86" t="s">
        <v>109</v>
      </c>
      <c r="B118" s="86"/>
      <c r="C118" s="86"/>
      <c r="D118" s="86"/>
      <c r="E118" s="86"/>
      <c r="F118" s="86"/>
      <c r="G118" s="86"/>
      <c r="H118" s="86"/>
    </row>
    <row r="119" spans="1:9" s="47" customFormat="1" hidden="1" x14ac:dyDescent="0.25">
      <c r="A119" s="68" t="s">
        <v>57</v>
      </c>
      <c r="B119" s="68"/>
      <c r="C119" s="48" t="s">
        <v>113</v>
      </c>
      <c r="D119" s="114" t="s">
        <v>58</v>
      </c>
      <c r="E119" s="114"/>
      <c r="F119" s="68" t="s">
        <v>59</v>
      </c>
      <c r="G119" s="68"/>
      <c r="H119" s="68"/>
    </row>
    <row r="120" spans="1:9" s="47" customFormat="1" hidden="1" x14ac:dyDescent="0.25">
      <c r="A120" s="115"/>
      <c r="B120" s="115"/>
      <c r="C120" s="49"/>
      <c r="D120" s="116"/>
      <c r="E120" s="116"/>
      <c r="F120" s="117"/>
      <c r="G120" s="117"/>
      <c r="H120" s="117"/>
    </row>
    <row r="121" spans="1:9" s="47" customFormat="1" x14ac:dyDescent="0.25">
      <c r="A121" s="118" t="s">
        <v>101</v>
      </c>
      <c r="B121" s="118"/>
      <c r="C121" s="118"/>
      <c r="D121" s="118"/>
      <c r="E121" s="118"/>
      <c r="F121" s="118"/>
      <c r="G121" s="118"/>
      <c r="H121" s="118"/>
    </row>
    <row r="122" spans="1:9" s="47" customFormat="1" x14ac:dyDescent="0.25">
      <c r="A122" s="120" t="s">
        <v>57</v>
      </c>
      <c r="B122" s="120"/>
      <c r="C122" s="64" t="s">
        <v>113</v>
      </c>
      <c r="D122" s="121" t="s">
        <v>58</v>
      </c>
      <c r="E122" s="121"/>
      <c r="F122" s="120" t="s">
        <v>59</v>
      </c>
      <c r="G122" s="120"/>
      <c r="H122" s="120"/>
    </row>
    <row r="123" spans="1:9" s="47" customFormat="1" x14ac:dyDescent="0.25">
      <c r="A123" s="85" t="s">
        <v>176</v>
      </c>
      <c r="B123" s="85"/>
      <c r="C123" s="65">
        <f>COUNT(D136:D151)*26+COUNT(D153:D162)*5+COUNT(D164:D168)*5</f>
        <v>491</v>
      </c>
      <c r="D123" s="84">
        <f>SUM(D136:D151)*26+SUM(D153:D162)*5+SUM(D164:D168)*5</f>
        <v>187164.432</v>
      </c>
      <c r="E123" s="84"/>
      <c r="F123" s="84">
        <f>SUM(F136:F151)*26+SUM(F153:F162)*5+SUM(F164:F168)*5</f>
        <v>280746.64799999993</v>
      </c>
      <c r="G123" s="84"/>
      <c r="H123" s="84"/>
    </row>
    <row r="124" spans="1:9" s="47" customFormat="1" x14ac:dyDescent="0.25">
      <c r="A124" s="85" t="s">
        <v>177</v>
      </c>
      <c r="B124" s="85"/>
      <c r="C124" s="65">
        <f>COUNT(D172:D187)+COUNT(D189:D204)*25+COUNT(D206:D215,D217:D221)*5+COUNT(D223:D238)</f>
        <v>507</v>
      </c>
      <c r="D124" s="84">
        <f>SUM(D172:D187)+SUM(D189:D204)*25+SUM(D206:D215,D217:D221)*5+SUM(D223:D238)</f>
        <v>208717.7274</v>
      </c>
      <c r="E124" s="84"/>
      <c r="F124" s="84">
        <f>SUM(F172:F187)+SUM(F189:F204)*25+SUM(F206:F215,F217:F221)*5+SUM(F223:F238)</f>
        <v>313076.59109999996</v>
      </c>
      <c r="G124" s="84"/>
      <c r="H124" s="84"/>
    </row>
    <row r="125" spans="1:9" s="47" customFormat="1" x14ac:dyDescent="0.25">
      <c r="A125" s="85" t="s">
        <v>248</v>
      </c>
      <c r="B125" s="85"/>
      <c r="C125" s="65">
        <f>COUNT(D242:D257)+COUNT(D259:D274)*25+COUNT(D276:D285,D287:D291)*5+COUNT(D293:D308)</f>
        <v>507</v>
      </c>
      <c r="D125" s="84">
        <f>SUM(D242:D257)+SUM(D259:D274)*25+SUM(D276:D285,D287:D291)*5+SUM(D293:D308)</f>
        <v>208717.7274</v>
      </c>
      <c r="E125" s="84"/>
      <c r="F125" s="84">
        <f>SUM(F242:F257)+SUM(F259:F274)*25+SUM(F276:F285,F287:F291)*5+SUM(F293:F308)</f>
        <v>313076.59109999996</v>
      </c>
      <c r="G125" s="84"/>
      <c r="H125" s="84"/>
    </row>
    <row r="126" spans="1:9" s="47" customFormat="1" x14ac:dyDescent="0.25">
      <c r="A126" s="85" t="s">
        <v>178</v>
      </c>
      <c r="B126" s="85"/>
      <c r="C126" s="65">
        <f>COUNT(D312:D327)*26+COUNT(D329:D337)*5+COUNT(D339:D344)*5</f>
        <v>491</v>
      </c>
      <c r="D126" s="84">
        <f>SUM(D312:D327)*26+SUM(D329:D337)*5+SUM(D339:D344)*5</f>
        <v>187164.432</v>
      </c>
      <c r="E126" s="84"/>
      <c r="F126" s="84">
        <f>SUM(F312:F327)*26+SUM(F329:F337)*5+SUM(F339:F344)*5</f>
        <v>280746.64799999993</v>
      </c>
      <c r="G126" s="84"/>
      <c r="H126" s="84"/>
    </row>
    <row r="127" spans="1:9" s="47" customFormat="1" x14ac:dyDescent="0.25">
      <c r="A127" s="85" t="s">
        <v>179</v>
      </c>
      <c r="B127" s="85"/>
      <c r="C127" s="65">
        <f>COUNT(D348:D363)*8+COUNT(D365:D373)+COUNT(D375:D380)</f>
        <v>143</v>
      </c>
      <c r="D127" s="84">
        <f>SUM(D348:D363)*8+SUM(D365:D373)+SUM(D375:D380)</f>
        <v>54551.951999999997</v>
      </c>
      <c r="E127" s="84"/>
      <c r="F127" s="84">
        <f>SUM(F348:F363)*8+SUM(F365:F373)+SUM(F375:F380)</f>
        <v>81827.927999999985</v>
      </c>
      <c r="G127" s="84"/>
      <c r="H127" s="84"/>
    </row>
    <row r="128" spans="1:9" s="47" customFormat="1" x14ac:dyDescent="0.25">
      <c r="A128" s="85" t="s">
        <v>180</v>
      </c>
      <c r="B128" s="85"/>
      <c r="C128" s="65">
        <f>COUNT(D384:D399)*8+COUNT(D401:D409)+COUNT(D411:D416)</f>
        <v>143</v>
      </c>
      <c r="D128" s="84">
        <f>SUM(D384:D399)*8+SUM(D401:D409)+SUM(D411:D416)</f>
        <v>54551.951999999997</v>
      </c>
      <c r="E128" s="84"/>
      <c r="F128" s="84">
        <f>SUM(F384:F399)*8+SUM(F401:F409)+SUM(F411:F416)</f>
        <v>81827.927999999985</v>
      </c>
      <c r="G128" s="84"/>
      <c r="H128" s="84"/>
    </row>
    <row r="129" spans="1:8" s="46" customFormat="1" x14ac:dyDescent="0.25">
      <c r="A129" s="86" t="s">
        <v>61</v>
      </c>
      <c r="B129" s="86"/>
      <c r="C129" s="50">
        <f>SUM(C123:C128)</f>
        <v>2282</v>
      </c>
      <c r="D129" s="67">
        <f>SUM(D123:E128)</f>
        <v>900868.22280000011</v>
      </c>
      <c r="E129" s="67"/>
      <c r="F129" s="68">
        <f>SUM(F123:H128)</f>
        <v>1351302.3341999999</v>
      </c>
      <c r="G129" s="68"/>
      <c r="H129" s="68"/>
    </row>
    <row r="130" spans="1:8" x14ac:dyDescent="0.25">
      <c r="A130" s="113" t="s">
        <v>62</v>
      </c>
      <c r="B130" s="113"/>
      <c r="C130" s="113"/>
      <c r="D130" s="113"/>
      <c r="E130" s="113"/>
      <c r="F130" s="113"/>
      <c r="G130" s="113"/>
      <c r="H130" s="113"/>
    </row>
    <row r="131" spans="1:8" x14ac:dyDescent="0.25">
      <c r="A131" s="113" t="s">
        <v>63</v>
      </c>
      <c r="B131" s="113"/>
      <c r="C131" s="113"/>
      <c r="D131" s="113"/>
      <c r="E131" s="113"/>
      <c r="F131" s="113"/>
      <c r="G131" s="113"/>
      <c r="H131" s="113"/>
    </row>
    <row r="132" spans="1:8" s="51" customFormat="1" ht="53.25" customHeight="1" x14ac:dyDescent="0.25">
      <c r="A132" s="122" t="s">
        <v>110</v>
      </c>
      <c r="B132" s="122"/>
      <c r="C132" s="59" t="s">
        <v>64</v>
      </c>
      <c r="D132" s="59" t="s">
        <v>65</v>
      </c>
      <c r="E132" s="6" t="s">
        <v>66</v>
      </c>
      <c r="F132" s="59" t="s">
        <v>67</v>
      </c>
      <c r="G132" s="122" t="s">
        <v>68</v>
      </c>
      <c r="H132" s="122"/>
    </row>
    <row r="133" spans="1:8" s="51" customFormat="1" x14ac:dyDescent="0.25">
      <c r="A133" s="80" t="s">
        <v>163</v>
      </c>
      <c r="B133" s="80"/>
      <c r="C133" s="80"/>
      <c r="D133" s="80"/>
      <c r="E133" s="80"/>
      <c r="F133" s="80"/>
      <c r="G133" s="80"/>
      <c r="H133" s="80"/>
    </row>
    <row r="134" spans="1:8" s="51" customFormat="1" x14ac:dyDescent="0.25">
      <c r="A134" s="80" t="s">
        <v>244</v>
      </c>
      <c r="B134" s="80"/>
      <c r="C134" s="80"/>
      <c r="D134" s="80"/>
      <c r="E134" s="80"/>
      <c r="F134" s="80"/>
      <c r="G134" s="80"/>
      <c r="H134" s="80"/>
    </row>
    <row r="135" spans="1:8" s="51" customFormat="1" x14ac:dyDescent="0.25">
      <c r="A135" s="80" t="s">
        <v>195</v>
      </c>
      <c r="B135" s="80"/>
      <c r="C135" s="80"/>
      <c r="D135" s="80"/>
      <c r="E135" s="80"/>
      <c r="F135" s="80"/>
      <c r="G135" s="80"/>
      <c r="H135" s="80"/>
    </row>
    <row r="136" spans="1:8" s="51" customFormat="1" x14ac:dyDescent="0.25">
      <c r="A136" s="66">
        <v>1</v>
      </c>
      <c r="B136" s="66"/>
      <c r="C136" s="25" t="s">
        <v>170</v>
      </c>
      <c r="D136" s="25">
        <f>31*10.764</f>
        <v>333.68399999999997</v>
      </c>
      <c r="E136" s="25">
        <v>0</v>
      </c>
      <c r="F136" s="25">
        <f>D136*1.5+E136</f>
        <v>500.52599999999995</v>
      </c>
      <c r="G136" s="66" t="str">
        <f>A135</f>
        <v xml:space="preserve">1st to 7th, 9th to 12th, 14th to 17th, 19th to 22nd, 24th to 27th, 29th to 31st Floor </v>
      </c>
      <c r="H136" s="66"/>
    </row>
    <row r="137" spans="1:8" s="51" customFormat="1" x14ac:dyDescent="0.25">
      <c r="A137" s="66">
        <v>2</v>
      </c>
      <c r="B137" s="66"/>
      <c r="C137" s="25" t="s">
        <v>171</v>
      </c>
      <c r="D137" s="25">
        <f>44*10.764</f>
        <v>473.61599999999999</v>
      </c>
      <c r="E137" s="25">
        <v>0</v>
      </c>
      <c r="F137" s="25">
        <f t="shared" ref="F137:F151" si="0">D137*1.5+E137</f>
        <v>710.42399999999998</v>
      </c>
      <c r="G137" s="66"/>
      <c r="H137" s="66"/>
    </row>
    <row r="138" spans="1:8" s="51" customFormat="1" x14ac:dyDescent="0.25">
      <c r="A138" s="66">
        <v>3</v>
      </c>
      <c r="B138" s="66"/>
      <c r="C138" s="25" t="s">
        <v>171</v>
      </c>
      <c r="D138" s="25">
        <f>44*10.764</f>
        <v>473.61599999999999</v>
      </c>
      <c r="E138" s="25">
        <v>0</v>
      </c>
      <c r="F138" s="25">
        <f t="shared" si="0"/>
        <v>710.42399999999998</v>
      </c>
      <c r="G138" s="66"/>
      <c r="H138" s="66"/>
    </row>
    <row r="139" spans="1:8" s="51" customFormat="1" x14ac:dyDescent="0.25">
      <c r="A139" s="66">
        <v>4</v>
      </c>
      <c r="B139" s="66"/>
      <c r="C139" s="25" t="s">
        <v>170</v>
      </c>
      <c r="D139" s="25">
        <f>31*10.764</f>
        <v>333.68399999999997</v>
      </c>
      <c r="E139" s="25">
        <v>0</v>
      </c>
      <c r="F139" s="25">
        <f t="shared" si="0"/>
        <v>500.52599999999995</v>
      </c>
      <c r="G139" s="66"/>
      <c r="H139" s="66"/>
    </row>
    <row r="140" spans="1:8" s="51" customFormat="1" x14ac:dyDescent="0.25">
      <c r="A140" s="66">
        <v>5</v>
      </c>
      <c r="B140" s="66"/>
      <c r="C140" s="25" t="s">
        <v>170</v>
      </c>
      <c r="D140" s="25">
        <f>31*10.764</f>
        <v>333.68399999999997</v>
      </c>
      <c r="E140" s="25">
        <v>0</v>
      </c>
      <c r="F140" s="25">
        <f t="shared" si="0"/>
        <v>500.52599999999995</v>
      </c>
      <c r="G140" s="66"/>
      <c r="H140" s="66"/>
    </row>
    <row r="141" spans="1:8" s="51" customFormat="1" x14ac:dyDescent="0.25">
      <c r="A141" s="66">
        <v>6</v>
      </c>
      <c r="B141" s="66"/>
      <c r="C141" s="25" t="s">
        <v>170</v>
      </c>
      <c r="D141" s="25">
        <f>36*10.764</f>
        <v>387.50399999999996</v>
      </c>
      <c r="E141" s="25">
        <v>0</v>
      </c>
      <c r="F141" s="25">
        <f t="shared" si="0"/>
        <v>581.25599999999997</v>
      </c>
      <c r="G141" s="66"/>
      <c r="H141" s="66"/>
    </row>
    <row r="142" spans="1:8" s="51" customFormat="1" x14ac:dyDescent="0.25">
      <c r="A142" s="66">
        <v>7</v>
      </c>
      <c r="B142" s="66"/>
      <c r="C142" s="25" t="s">
        <v>170</v>
      </c>
      <c r="D142" s="25">
        <f>36*10.764</f>
        <v>387.50399999999996</v>
      </c>
      <c r="E142" s="25">
        <v>0</v>
      </c>
      <c r="F142" s="25">
        <f t="shared" si="0"/>
        <v>581.25599999999997</v>
      </c>
      <c r="G142" s="66"/>
      <c r="H142" s="66"/>
    </row>
    <row r="143" spans="1:8" s="51" customFormat="1" x14ac:dyDescent="0.25">
      <c r="A143" s="66">
        <v>8</v>
      </c>
      <c r="B143" s="66"/>
      <c r="C143" s="25" t="s">
        <v>170</v>
      </c>
      <c r="D143" s="25">
        <f>31*10.764</f>
        <v>333.68399999999997</v>
      </c>
      <c r="E143" s="25">
        <v>0</v>
      </c>
      <c r="F143" s="25">
        <f t="shared" si="0"/>
        <v>500.52599999999995</v>
      </c>
      <c r="G143" s="66"/>
      <c r="H143" s="66"/>
    </row>
    <row r="144" spans="1:8" s="51" customFormat="1" x14ac:dyDescent="0.25">
      <c r="A144" s="66">
        <v>9</v>
      </c>
      <c r="B144" s="66"/>
      <c r="C144" s="25" t="s">
        <v>170</v>
      </c>
      <c r="D144" s="25">
        <f t="shared" ref="D144" si="1">31*10.764</f>
        <v>333.68399999999997</v>
      </c>
      <c r="E144" s="25">
        <v>0</v>
      </c>
      <c r="F144" s="25">
        <f t="shared" si="0"/>
        <v>500.52599999999995</v>
      </c>
      <c r="G144" s="66"/>
      <c r="H144" s="66"/>
    </row>
    <row r="145" spans="1:8" s="51" customFormat="1" x14ac:dyDescent="0.25">
      <c r="A145" s="66">
        <v>10</v>
      </c>
      <c r="B145" s="66"/>
      <c r="C145" s="25" t="s">
        <v>171</v>
      </c>
      <c r="D145" s="25">
        <f>44*10.764</f>
        <v>473.61599999999999</v>
      </c>
      <c r="E145" s="25">
        <v>0</v>
      </c>
      <c r="F145" s="25">
        <f t="shared" si="0"/>
        <v>710.42399999999998</v>
      </c>
      <c r="G145" s="66"/>
      <c r="H145" s="66"/>
    </row>
    <row r="146" spans="1:8" s="51" customFormat="1" x14ac:dyDescent="0.25">
      <c r="A146" s="66">
        <v>11</v>
      </c>
      <c r="B146" s="66"/>
      <c r="C146" s="25" t="s">
        <v>171</v>
      </c>
      <c r="D146" s="25">
        <f>44*10.764</f>
        <v>473.61599999999999</v>
      </c>
      <c r="E146" s="25">
        <v>0</v>
      </c>
      <c r="F146" s="25">
        <f t="shared" si="0"/>
        <v>710.42399999999998</v>
      </c>
      <c r="G146" s="66"/>
      <c r="H146" s="66"/>
    </row>
    <row r="147" spans="1:8" s="51" customFormat="1" x14ac:dyDescent="0.25">
      <c r="A147" s="66">
        <v>12</v>
      </c>
      <c r="B147" s="66"/>
      <c r="C147" s="25" t="s">
        <v>170</v>
      </c>
      <c r="D147" s="25">
        <f>31*10.764</f>
        <v>333.68399999999997</v>
      </c>
      <c r="E147" s="25">
        <v>0</v>
      </c>
      <c r="F147" s="25">
        <f t="shared" si="0"/>
        <v>500.52599999999995</v>
      </c>
      <c r="G147" s="66"/>
      <c r="H147" s="66"/>
    </row>
    <row r="148" spans="1:8" s="51" customFormat="1" x14ac:dyDescent="0.25">
      <c r="A148" s="66">
        <v>13</v>
      </c>
      <c r="B148" s="66"/>
      <c r="C148" s="25" t="s">
        <v>170</v>
      </c>
      <c r="D148" s="25">
        <f>31*10.764</f>
        <v>333.68399999999997</v>
      </c>
      <c r="E148" s="25">
        <v>0</v>
      </c>
      <c r="F148" s="25">
        <f t="shared" si="0"/>
        <v>500.52599999999995</v>
      </c>
      <c r="G148" s="66"/>
      <c r="H148" s="66"/>
    </row>
    <row r="149" spans="1:8" s="51" customFormat="1" x14ac:dyDescent="0.25">
      <c r="A149" s="66">
        <v>14</v>
      </c>
      <c r="B149" s="66"/>
      <c r="C149" s="25" t="s">
        <v>170</v>
      </c>
      <c r="D149" s="25">
        <f>36*10.764</f>
        <v>387.50399999999996</v>
      </c>
      <c r="E149" s="25">
        <v>0</v>
      </c>
      <c r="F149" s="25">
        <f t="shared" si="0"/>
        <v>581.25599999999997</v>
      </c>
      <c r="G149" s="66"/>
      <c r="H149" s="66"/>
    </row>
    <row r="150" spans="1:8" s="51" customFormat="1" x14ac:dyDescent="0.25">
      <c r="A150" s="66">
        <v>15</v>
      </c>
      <c r="B150" s="66"/>
      <c r="C150" s="25" t="s">
        <v>170</v>
      </c>
      <c r="D150" s="25">
        <f>36*10.764</f>
        <v>387.50399999999996</v>
      </c>
      <c r="E150" s="25">
        <v>0</v>
      </c>
      <c r="F150" s="25">
        <f t="shared" si="0"/>
        <v>581.25599999999997</v>
      </c>
      <c r="G150" s="66"/>
      <c r="H150" s="66"/>
    </row>
    <row r="151" spans="1:8" s="51" customFormat="1" x14ac:dyDescent="0.25">
      <c r="A151" s="66">
        <v>16</v>
      </c>
      <c r="B151" s="66"/>
      <c r="C151" s="25" t="s">
        <v>170</v>
      </c>
      <c r="D151" s="25">
        <f>31*10.764</f>
        <v>333.68399999999997</v>
      </c>
      <c r="E151" s="25">
        <v>0</v>
      </c>
      <c r="F151" s="25">
        <f t="shared" si="0"/>
        <v>500.52599999999995</v>
      </c>
      <c r="G151" s="66"/>
      <c r="H151" s="66"/>
    </row>
    <row r="152" spans="1:8" s="51" customFormat="1" x14ac:dyDescent="0.25">
      <c r="A152" s="80" t="s">
        <v>173</v>
      </c>
      <c r="B152" s="80"/>
      <c r="C152" s="80"/>
      <c r="D152" s="80"/>
      <c r="E152" s="80"/>
      <c r="F152" s="80"/>
      <c r="G152" s="80"/>
      <c r="H152" s="80"/>
    </row>
    <row r="153" spans="1:8" s="51" customFormat="1" x14ac:dyDescent="0.25">
      <c r="A153" s="66">
        <v>1</v>
      </c>
      <c r="B153" s="66"/>
      <c r="C153" s="25" t="s">
        <v>170</v>
      </c>
      <c r="D153" s="25">
        <f>31*10.764</f>
        <v>333.68399999999997</v>
      </c>
      <c r="E153" s="25">
        <v>0</v>
      </c>
      <c r="F153" s="25">
        <f>D153*1.5+E153</f>
        <v>500.52599999999995</v>
      </c>
      <c r="G153" s="69" t="str">
        <f>A152</f>
        <v xml:space="preserve">8th, 13th, 18th, 23rd &amp; 28th (Part Refuge Area) </v>
      </c>
      <c r="H153" s="70"/>
    </row>
    <row r="154" spans="1:8" s="51" customFormat="1" x14ac:dyDescent="0.25">
      <c r="A154" s="66">
        <v>2</v>
      </c>
      <c r="B154" s="66"/>
      <c r="C154" s="25" t="s">
        <v>171</v>
      </c>
      <c r="D154" s="25">
        <f>44*10.764</f>
        <v>473.61599999999999</v>
      </c>
      <c r="E154" s="25">
        <v>0</v>
      </c>
      <c r="F154" s="25">
        <f t="shared" ref="F154:F162" si="2">D154*1.5+E154</f>
        <v>710.42399999999998</v>
      </c>
      <c r="G154" s="71"/>
      <c r="H154" s="72"/>
    </row>
    <row r="155" spans="1:8" s="51" customFormat="1" x14ac:dyDescent="0.25">
      <c r="A155" s="66">
        <v>3</v>
      </c>
      <c r="B155" s="66"/>
      <c r="C155" s="25" t="s">
        <v>171</v>
      </c>
      <c r="D155" s="25">
        <f>44*10.764</f>
        <v>473.61599999999999</v>
      </c>
      <c r="E155" s="25">
        <v>0</v>
      </c>
      <c r="F155" s="25">
        <f t="shared" si="2"/>
        <v>710.42399999999998</v>
      </c>
      <c r="G155" s="71"/>
      <c r="H155" s="72"/>
    </row>
    <row r="156" spans="1:8" s="51" customFormat="1" x14ac:dyDescent="0.25">
      <c r="A156" s="66">
        <v>4</v>
      </c>
      <c r="B156" s="66"/>
      <c r="C156" s="25" t="s">
        <v>170</v>
      </c>
      <c r="D156" s="25">
        <f>31*10.764</f>
        <v>333.68399999999997</v>
      </c>
      <c r="E156" s="25">
        <v>0</v>
      </c>
      <c r="F156" s="25">
        <f t="shared" si="2"/>
        <v>500.52599999999995</v>
      </c>
      <c r="G156" s="71"/>
      <c r="H156" s="72"/>
    </row>
    <row r="157" spans="1:8" s="51" customFormat="1" x14ac:dyDescent="0.25">
      <c r="A157" s="66">
        <v>5</v>
      </c>
      <c r="B157" s="66"/>
      <c r="C157" s="25" t="s">
        <v>170</v>
      </c>
      <c r="D157" s="25">
        <f>31*10.764</f>
        <v>333.68399999999997</v>
      </c>
      <c r="E157" s="25">
        <v>0</v>
      </c>
      <c r="F157" s="25">
        <f t="shared" si="2"/>
        <v>500.52599999999995</v>
      </c>
      <c r="G157" s="71"/>
      <c r="H157" s="72"/>
    </row>
    <row r="158" spans="1:8" s="51" customFormat="1" x14ac:dyDescent="0.25">
      <c r="A158" s="66">
        <v>6</v>
      </c>
      <c r="B158" s="66"/>
      <c r="C158" s="25" t="s">
        <v>170</v>
      </c>
      <c r="D158" s="25">
        <f>36*10.764</f>
        <v>387.50399999999996</v>
      </c>
      <c r="E158" s="25">
        <v>0</v>
      </c>
      <c r="F158" s="25">
        <f t="shared" si="2"/>
        <v>581.25599999999997</v>
      </c>
      <c r="G158" s="71"/>
      <c r="H158" s="72"/>
    </row>
    <row r="159" spans="1:8" s="51" customFormat="1" x14ac:dyDescent="0.25">
      <c r="A159" s="66">
        <v>7</v>
      </c>
      <c r="B159" s="66"/>
      <c r="C159" s="25" t="s">
        <v>170</v>
      </c>
      <c r="D159" s="25">
        <f>36*10.764</f>
        <v>387.50399999999996</v>
      </c>
      <c r="E159" s="25">
        <v>0</v>
      </c>
      <c r="F159" s="25">
        <f t="shared" si="2"/>
        <v>581.25599999999997</v>
      </c>
      <c r="G159" s="71"/>
      <c r="H159" s="72"/>
    </row>
    <row r="160" spans="1:8" s="51" customFormat="1" x14ac:dyDescent="0.25">
      <c r="A160" s="66">
        <v>8</v>
      </c>
      <c r="B160" s="66"/>
      <c r="C160" s="25" t="s">
        <v>170</v>
      </c>
      <c r="D160" s="25">
        <f>31*10.764</f>
        <v>333.68399999999997</v>
      </c>
      <c r="E160" s="25">
        <v>0</v>
      </c>
      <c r="F160" s="25">
        <f t="shared" si="2"/>
        <v>500.52599999999995</v>
      </c>
      <c r="G160" s="71"/>
      <c r="H160" s="72"/>
    </row>
    <row r="161" spans="1:11" s="51" customFormat="1" x14ac:dyDescent="0.25">
      <c r="A161" s="66">
        <v>9</v>
      </c>
      <c r="B161" s="66"/>
      <c r="C161" s="25" t="s">
        <v>170</v>
      </c>
      <c r="D161" s="25">
        <f t="shared" ref="D161" si="3">31*10.764</f>
        <v>333.68399999999997</v>
      </c>
      <c r="E161" s="25">
        <v>0</v>
      </c>
      <c r="F161" s="25">
        <f t="shared" si="2"/>
        <v>500.52599999999995</v>
      </c>
      <c r="G161" s="71"/>
      <c r="H161" s="72"/>
    </row>
    <row r="162" spans="1:11" s="51" customFormat="1" x14ac:dyDescent="0.25">
      <c r="A162" s="66">
        <v>10</v>
      </c>
      <c r="B162" s="66"/>
      <c r="C162" s="25" t="s">
        <v>171</v>
      </c>
      <c r="D162" s="25">
        <f>44*10.764</f>
        <v>473.61599999999999</v>
      </c>
      <c r="E162" s="25">
        <v>0</v>
      </c>
      <c r="F162" s="25">
        <f t="shared" si="2"/>
        <v>710.42399999999998</v>
      </c>
      <c r="G162" s="71"/>
      <c r="H162" s="72"/>
    </row>
    <row r="163" spans="1:11" s="51" customFormat="1" x14ac:dyDescent="0.25">
      <c r="A163" s="66">
        <v>11</v>
      </c>
      <c r="B163" s="66"/>
      <c r="C163" s="81" t="s">
        <v>172</v>
      </c>
      <c r="D163" s="82"/>
      <c r="E163" s="82"/>
      <c r="F163" s="83"/>
      <c r="G163" s="71"/>
      <c r="H163" s="72"/>
    </row>
    <row r="164" spans="1:11" s="51" customFormat="1" x14ac:dyDescent="0.25">
      <c r="A164" s="66">
        <v>12</v>
      </c>
      <c r="B164" s="66"/>
      <c r="C164" s="25" t="s">
        <v>170</v>
      </c>
      <c r="D164" s="25">
        <f>31*10.764</f>
        <v>333.68399999999997</v>
      </c>
      <c r="E164" s="25">
        <v>0</v>
      </c>
      <c r="F164" s="25">
        <f>D164*1.5+E164</f>
        <v>500.52599999999995</v>
      </c>
      <c r="G164" s="71"/>
      <c r="H164" s="72"/>
    </row>
    <row r="165" spans="1:11" s="51" customFormat="1" x14ac:dyDescent="0.25">
      <c r="A165" s="66">
        <v>13</v>
      </c>
      <c r="B165" s="66"/>
      <c r="C165" s="25" t="s">
        <v>170</v>
      </c>
      <c r="D165" s="25">
        <f>31*10.764</f>
        <v>333.68399999999997</v>
      </c>
      <c r="E165" s="25">
        <v>0</v>
      </c>
      <c r="F165" s="25">
        <f t="shared" ref="F165:F168" si="4">D165*1.5+E165</f>
        <v>500.52599999999995</v>
      </c>
      <c r="G165" s="71"/>
      <c r="H165" s="72"/>
    </row>
    <row r="166" spans="1:11" s="51" customFormat="1" x14ac:dyDescent="0.25">
      <c r="A166" s="66">
        <v>14</v>
      </c>
      <c r="B166" s="66"/>
      <c r="C166" s="25" t="s">
        <v>170</v>
      </c>
      <c r="D166" s="25">
        <f>36*10.764</f>
        <v>387.50399999999996</v>
      </c>
      <c r="E166" s="25">
        <v>0</v>
      </c>
      <c r="F166" s="25">
        <f t="shared" si="4"/>
        <v>581.25599999999997</v>
      </c>
      <c r="G166" s="71"/>
      <c r="H166" s="72"/>
    </row>
    <row r="167" spans="1:11" s="51" customFormat="1" x14ac:dyDescent="0.25">
      <c r="A167" s="66">
        <v>15</v>
      </c>
      <c r="B167" s="66"/>
      <c r="C167" s="25" t="s">
        <v>170</v>
      </c>
      <c r="D167" s="25">
        <f>36*10.764</f>
        <v>387.50399999999996</v>
      </c>
      <c r="E167" s="25">
        <v>0</v>
      </c>
      <c r="F167" s="25">
        <f t="shared" si="4"/>
        <v>581.25599999999997</v>
      </c>
      <c r="G167" s="71"/>
      <c r="H167" s="72"/>
    </row>
    <row r="168" spans="1:11" s="51" customFormat="1" x14ac:dyDescent="0.25">
      <c r="A168" s="66">
        <v>16</v>
      </c>
      <c r="B168" s="66"/>
      <c r="C168" s="25" t="s">
        <v>170</v>
      </c>
      <c r="D168" s="25">
        <f>31*10.764</f>
        <v>333.68399999999997</v>
      </c>
      <c r="E168" s="25">
        <v>0</v>
      </c>
      <c r="F168" s="25">
        <f t="shared" si="4"/>
        <v>500.52599999999995</v>
      </c>
      <c r="G168" s="73"/>
      <c r="H168" s="74"/>
    </row>
    <row r="169" spans="1:11" s="51" customFormat="1" x14ac:dyDescent="0.25">
      <c r="A169" s="80" t="s">
        <v>165</v>
      </c>
      <c r="B169" s="80"/>
      <c r="C169" s="80"/>
      <c r="D169" s="80"/>
      <c r="E169" s="80"/>
      <c r="F169" s="80"/>
      <c r="G169" s="80"/>
      <c r="H169" s="80"/>
    </row>
    <row r="170" spans="1:11" s="51" customFormat="1" ht="15.75" customHeight="1" x14ac:dyDescent="0.25">
      <c r="A170" s="80" t="s">
        <v>244</v>
      </c>
      <c r="B170" s="80"/>
      <c r="C170" s="80"/>
      <c r="D170" s="80"/>
      <c r="E170" s="80"/>
      <c r="F170" s="80"/>
      <c r="G170" s="80"/>
      <c r="H170" s="80"/>
    </row>
    <row r="171" spans="1:11" s="51" customFormat="1" ht="15.75" customHeight="1" x14ac:dyDescent="0.25">
      <c r="A171" s="91" t="s">
        <v>245</v>
      </c>
      <c r="B171" s="92"/>
      <c r="C171" s="92"/>
      <c r="D171" s="92"/>
      <c r="E171" s="92"/>
      <c r="F171" s="92"/>
      <c r="G171" s="92"/>
      <c r="H171" s="93"/>
      <c r="I171" s="52">
        <f>3703822/F172</f>
        <v>7399.8593479659403</v>
      </c>
      <c r="J171" s="51">
        <f>20*29</f>
        <v>580</v>
      </c>
      <c r="K171" s="52">
        <f>I171-J171</f>
        <v>6819.8593479659403</v>
      </c>
    </row>
    <row r="172" spans="1:11" s="51" customFormat="1" x14ac:dyDescent="0.25">
      <c r="A172" s="66">
        <v>1</v>
      </c>
      <c r="B172" s="66"/>
      <c r="C172" s="25" t="s">
        <v>170</v>
      </c>
      <c r="D172" s="25">
        <f>31*10.764</f>
        <v>333.68399999999997</v>
      </c>
      <c r="E172" s="25">
        <v>0</v>
      </c>
      <c r="F172" s="25">
        <f>D172*1.5+E172</f>
        <v>500.52599999999995</v>
      </c>
      <c r="G172" s="69" t="str">
        <f>A171</f>
        <v>1st Floor For Residential</v>
      </c>
      <c r="H172" s="70"/>
    </row>
    <row r="173" spans="1:11" s="51" customFormat="1" x14ac:dyDescent="0.25">
      <c r="A173" s="66">
        <v>2</v>
      </c>
      <c r="B173" s="66"/>
      <c r="C173" s="25" t="s">
        <v>171</v>
      </c>
      <c r="D173" s="25">
        <f>44*10.764</f>
        <v>473.61599999999999</v>
      </c>
      <c r="E173" s="25">
        <v>0</v>
      </c>
      <c r="F173" s="25">
        <f t="shared" ref="F173:F187" si="5">D173*1.5+E173</f>
        <v>710.42399999999998</v>
      </c>
      <c r="G173" s="71"/>
      <c r="H173" s="72"/>
      <c r="I173" s="51">
        <f>3.05*2.75+4.26*2.89+2.59*2.13+1.37*2.13+1.2*1+(1.37*0.61)</f>
        <v>31.1694</v>
      </c>
    </row>
    <row r="174" spans="1:11" s="51" customFormat="1" x14ac:dyDescent="0.25">
      <c r="A174" s="66">
        <v>3</v>
      </c>
      <c r="B174" s="66"/>
      <c r="C174" s="25" t="s">
        <v>171</v>
      </c>
      <c r="D174" s="25">
        <f>44*10.764</f>
        <v>473.61599999999999</v>
      </c>
      <c r="E174" s="25">
        <v>0</v>
      </c>
      <c r="F174" s="25">
        <f t="shared" si="5"/>
        <v>710.42399999999998</v>
      </c>
      <c r="G174" s="71"/>
      <c r="H174" s="72"/>
    </row>
    <row r="175" spans="1:11" s="51" customFormat="1" x14ac:dyDescent="0.25">
      <c r="A175" s="66">
        <v>4</v>
      </c>
      <c r="B175" s="66"/>
      <c r="C175" s="25" t="s">
        <v>170</v>
      </c>
      <c r="D175" s="25">
        <f>31*10.764</f>
        <v>333.68399999999997</v>
      </c>
      <c r="E175" s="25">
        <v>0</v>
      </c>
      <c r="F175" s="25">
        <f t="shared" si="5"/>
        <v>500.52599999999995</v>
      </c>
      <c r="G175" s="71"/>
      <c r="H175" s="72"/>
    </row>
    <row r="176" spans="1:11" s="51" customFormat="1" x14ac:dyDescent="0.25">
      <c r="A176" s="66">
        <v>5</v>
      </c>
      <c r="B176" s="66"/>
      <c r="C176" s="25" t="s">
        <v>170</v>
      </c>
      <c r="D176" s="25">
        <f>31*10.764</f>
        <v>333.68399999999997</v>
      </c>
      <c r="E176" s="25">
        <v>0</v>
      </c>
      <c r="F176" s="25">
        <f t="shared" si="5"/>
        <v>500.52599999999995</v>
      </c>
      <c r="G176" s="71"/>
      <c r="H176" s="72"/>
    </row>
    <row r="177" spans="1:14" s="51" customFormat="1" x14ac:dyDescent="0.25">
      <c r="A177" s="66">
        <v>6</v>
      </c>
      <c r="B177" s="66"/>
      <c r="C177" s="25" t="s">
        <v>170</v>
      </c>
      <c r="D177" s="25">
        <f>36*10.764</f>
        <v>387.50399999999996</v>
      </c>
      <c r="E177" s="25">
        <v>0</v>
      </c>
      <c r="F177" s="25">
        <f t="shared" si="5"/>
        <v>581.25599999999997</v>
      </c>
      <c r="G177" s="71"/>
      <c r="H177" s="72"/>
    </row>
    <row r="178" spans="1:14" s="51" customFormat="1" x14ac:dyDescent="0.25">
      <c r="A178" s="66">
        <v>7</v>
      </c>
      <c r="B178" s="66"/>
      <c r="C178" s="25" t="s">
        <v>170</v>
      </c>
      <c r="D178" s="25">
        <f>36*10.764</f>
        <v>387.50399999999996</v>
      </c>
      <c r="E178" s="25">
        <v>0</v>
      </c>
      <c r="F178" s="25">
        <f t="shared" si="5"/>
        <v>581.25599999999997</v>
      </c>
      <c r="G178" s="71"/>
      <c r="H178" s="72"/>
    </row>
    <row r="179" spans="1:14" s="51" customFormat="1" x14ac:dyDescent="0.25">
      <c r="A179" s="66">
        <v>8</v>
      </c>
      <c r="B179" s="66"/>
      <c r="C179" s="25" t="s">
        <v>170</v>
      </c>
      <c r="D179" s="25">
        <f>31*10.764</f>
        <v>333.68399999999997</v>
      </c>
      <c r="E179" s="25">
        <v>0</v>
      </c>
      <c r="F179" s="25">
        <f t="shared" si="5"/>
        <v>500.52599999999995</v>
      </c>
      <c r="G179" s="71"/>
      <c r="H179" s="72"/>
    </row>
    <row r="180" spans="1:14" s="51" customFormat="1" x14ac:dyDescent="0.25">
      <c r="A180" s="66">
        <v>9</v>
      </c>
      <c r="B180" s="66"/>
      <c r="C180" s="25" t="s">
        <v>170</v>
      </c>
      <c r="D180" s="25">
        <f t="shared" ref="D180" si="6">31*10.764</f>
        <v>333.68399999999997</v>
      </c>
      <c r="E180" s="25">
        <v>0</v>
      </c>
      <c r="F180" s="25">
        <f t="shared" si="5"/>
        <v>500.52599999999995</v>
      </c>
      <c r="G180" s="71"/>
      <c r="H180" s="72"/>
    </row>
    <row r="181" spans="1:14" s="51" customFormat="1" x14ac:dyDescent="0.25">
      <c r="A181" s="66">
        <v>10</v>
      </c>
      <c r="B181" s="66"/>
      <c r="C181" s="25" t="s">
        <v>171</v>
      </c>
      <c r="D181" s="25">
        <f>44*10.764</f>
        <v>473.61599999999999</v>
      </c>
      <c r="E181" s="25">
        <v>0</v>
      </c>
      <c r="F181" s="25">
        <f t="shared" si="5"/>
        <v>710.42399999999998</v>
      </c>
      <c r="G181" s="71"/>
      <c r="H181" s="72"/>
    </row>
    <row r="182" spans="1:14" s="51" customFormat="1" x14ac:dyDescent="0.25">
      <c r="A182" s="66">
        <v>11</v>
      </c>
      <c r="B182" s="66"/>
      <c r="C182" s="25" t="s">
        <v>171</v>
      </c>
      <c r="D182" s="25">
        <f>44*10.764</f>
        <v>473.61599999999999</v>
      </c>
      <c r="E182" s="25">
        <v>0</v>
      </c>
      <c r="F182" s="25">
        <f t="shared" si="5"/>
        <v>710.42399999999998</v>
      </c>
      <c r="G182" s="71"/>
      <c r="H182" s="72"/>
    </row>
    <row r="183" spans="1:14" s="51" customFormat="1" x14ac:dyDescent="0.25">
      <c r="A183" s="66">
        <v>12</v>
      </c>
      <c r="B183" s="66"/>
      <c r="C183" s="25" t="s">
        <v>170</v>
      </c>
      <c r="D183" s="25">
        <f>31*10.764</f>
        <v>333.68399999999997</v>
      </c>
      <c r="E183" s="25">
        <v>0</v>
      </c>
      <c r="F183" s="25">
        <f t="shared" si="5"/>
        <v>500.52599999999995</v>
      </c>
      <c r="G183" s="71"/>
      <c r="H183" s="72"/>
    </row>
    <row r="184" spans="1:14" s="51" customFormat="1" x14ac:dyDescent="0.25">
      <c r="A184" s="66">
        <v>13</v>
      </c>
      <c r="B184" s="66"/>
      <c r="C184" s="25" t="s">
        <v>170</v>
      </c>
      <c r="D184" s="25">
        <f>31*10.764</f>
        <v>333.68399999999997</v>
      </c>
      <c r="E184" s="25">
        <v>0</v>
      </c>
      <c r="F184" s="25">
        <f t="shared" si="5"/>
        <v>500.52599999999995</v>
      </c>
      <c r="G184" s="71"/>
      <c r="H184" s="72"/>
    </row>
    <row r="185" spans="1:14" s="51" customFormat="1" x14ac:dyDescent="0.25">
      <c r="A185" s="66">
        <v>14</v>
      </c>
      <c r="B185" s="66"/>
      <c r="C185" s="25" t="s">
        <v>170</v>
      </c>
      <c r="D185" s="25">
        <f>36*10.764</f>
        <v>387.50399999999996</v>
      </c>
      <c r="E185" s="25">
        <v>0</v>
      </c>
      <c r="F185" s="25">
        <f t="shared" si="5"/>
        <v>581.25599999999997</v>
      </c>
      <c r="G185" s="71"/>
      <c r="H185" s="72"/>
    </row>
    <row r="186" spans="1:14" s="51" customFormat="1" x14ac:dyDescent="0.25">
      <c r="A186" s="66">
        <v>15</v>
      </c>
      <c r="B186" s="66"/>
      <c r="C186" s="25" t="s">
        <v>170</v>
      </c>
      <c r="D186" s="25">
        <f>36*10.764</f>
        <v>387.50399999999996</v>
      </c>
      <c r="E186" s="25">
        <v>0</v>
      </c>
      <c r="F186" s="25">
        <f t="shared" si="5"/>
        <v>581.25599999999997</v>
      </c>
      <c r="G186" s="71"/>
      <c r="H186" s="72"/>
    </row>
    <row r="187" spans="1:14" s="51" customFormat="1" x14ac:dyDescent="0.25">
      <c r="A187" s="66">
        <v>16</v>
      </c>
      <c r="B187" s="66"/>
      <c r="C187" s="25" t="s">
        <v>170</v>
      </c>
      <c r="D187" s="25">
        <f>31*10.764</f>
        <v>333.68399999999997</v>
      </c>
      <c r="E187" s="25">
        <v>0</v>
      </c>
      <c r="F187" s="25">
        <f t="shared" si="5"/>
        <v>500.52599999999995</v>
      </c>
      <c r="G187" s="73"/>
      <c r="H187" s="74"/>
      <c r="I187" s="62">
        <v>10.763999999999999</v>
      </c>
    </row>
    <row r="188" spans="1:14" s="51" customFormat="1" x14ac:dyDescent="0.25">
      <c r="A188" s="80" t="s">
        <v>246</v>
      </c>
      <c r="B188" s="80"/>
      <c r="C188" s="80"/>
      <c r="D188" s="80"/>
      <c r="E188" s="80"/>
      <c r="F188" s="80"/>
      <c r="G188" s="80"/>
      <c r="H188" s="80"/>
    </row>
    <row r="189" spans="1:14" s="51" customFormat="1" x14ac:dyDescent="0.25">
      <c r="A189" s="66">
        <v>1</v>
      </c>
      <c r="B189" s="66"/>
      <c r="C189" s="25" t="s">
        <v>170</v>
      </c>
      <c r="D189" s="62">
        <f>(33.03)*10.764</f>
        <v>355.53492</v>
      </c>
      <c r="E189" s="25">
        <v>0</v>
      </c>
      <c r="F189" s="25">
        <f>D189*1.5+E189</f>
        <v>533.30237999999997</v>
      </c>
      <c r="G189" s="69" t="str">
        <f>A188</f>
        <v xml:space="preserve">2nd to 7th, 9th to 12th, 14th to 17th, 19th to 22nd, 24th to 27th, 29th to 31st Floor </v>
      </c>
      <c r="H189" s="70"/>
      <c r="I189" s="51">
        <f>3.05*2.75+4.26*2.89+2.59*2.13+1.37*2.13+1.2*1</f>
        <v>30.3337</v>
      </c>
      <c r="J189" s="51">
        <f>1.22*0.91+1.37*0.61</f>
        <v>1.9459</v>
      </c>
      <c r="K189" s="63">
        <f>I189+J189</f>
        <v>32.279600000000002</v>
      </c>
      <c r="M189" s="51">
        <f>6+4+4+4+4+3</f>
        <v>25</v>
      </c>
    </row>
    <row r="190" spans="1:14" s="51" customFormat="1" x14ac:dyDescent="0.25">
      <c r="A190" s="66">
        <v>2</v>
      </c>
      <c r="B190" s="66"/>
      <c r="C190" s="25" t="s">
        <v>171</v>
      </c>
      <c r="D190" s="62">
        <f>(49.15)*10.764</f>
        <v>529.05059999999992</v>
      </c>
      <c r="E190" s="25">
        <v>0</v>
      </c>
      <c r="F190" s="25">
        <f t="shared" ref="F190:F204" si="7">D190*1.5+E190</f>
        <v>793.57589999999982</v>
      </c>
      <c r="G190" s="71"/>
      <c r="H190" s="72"/>
      <c r="I190" s="51">
        <f>3.05*4.57+2.13*2.69+2.44*2.6+2.74*3.4+2.4*0.6+1.22*2.13+2.15*1.22+1.7*1</f>
        <v>43.689799999999998</v>
      </c>
      <c r="J190" s="51">
        <f>2.4*0.6+1.37*0.61+1.22*0.91</f>
        <v>3.3859000000000004</v>
      </c>
      <c r="K190" s="63">
        <f>I190+J190</f>
        <v>47.075699999999998</v>
      </c>
    </row>
    <row r="191" spans="1:14" s="51" customFormat="1" x14ac:dyDescent="0.25">
      <c r="A191" s="66">
        <v>3</v>
      </c>
      <c r="B191" s="66"/>
      <c r="C191" s="25" t="s">
        <v>171</v>
      </c>
      <c r="D191" s="62">
        <f>(49.15)*10.764</f>
        <v>529.05059999999992</v>
      </c>
      <c r="E191" s="25">
        <v>0</v>
      </c>
      <c r="F191" s="25">
        <f t="shared" si="7"/>
        <v>793.57589999999982</v>
      </c>
      <c r="G191" s="71"/>
      <c r="H191" s="72"/>
    </row>
    <row r="192" spans="1:14" s="51" customFormat="1" x14ac:dyDescent="0.25">
      <c r="A192" s="66">
        <v>4</v>
      </c>
      <c r="B192" s="66"/>
      <c r="C192" s="25" t="s">
        <v>170</v>
      </c>
      <c r="D192" s="62">
        <f>(33.03)*10.764</f>
        <v>355.53492</v>
      </c>
      <c r="E192" s="25">
        <v>0</v>
      </c>
      <c r="F192" s="25">
        <f t="shared" si="7"/>
        <v>533.30237999999997</v>
      </c>
      <c r="G192" s="71"/>
      <c r="H192" s="72"/>
      <c r="J192" s="63">
        <f>3827439.15/F192</f>
        <v>7176.8649335485807</v>
      </c>
      <c r="L192" s="51">
        <f>7300*F189</f>
        <v>3893107.3739999998</v>
      </c>
      <c r="M192" s="51">
        <f>120000</f>
        <v>120000</v>
      </c>
      <c r="N192" s="51" t="e">
        <f>K192:L192+M192</f>
        <v>#VALUE!</v>
      </c>
    </row>
    <row r="193" spans="1:14" s="51" customFormat="1" x14ac:dyDescent="0.25">
      <c r="A193" s="66">
        <v>5</v>
      </c>
      <c r="B193" s="66"/>
      <c r="C193" s="25" t="s">
        <v>170</v>
      </c>
      <c r="D193" s="62">
        <f>(33.03)*10.764</f>
        <v>355.53492</v>
      </c>
      <c r="E193" s="25">
        <v>0</v>
      </c>
      <c r="F193" s="25">
        <f t="shared" si="7"/>
        <v>533.30237999999997</v>
      </c>
      <c r="G193" s="71"/>
      <c r="H193" s="72"/>
      <c r="N193" s="51">
        <f>L192+M192</f>
        <v>4013107.3739999998</v>
      </c>
    </row>
    <row r="194" spans="1:14" s="51" customFormat="1" x14ac:dyDescent="0.25">
      <c r="A194" s="66">
        <v>6</v>
      </c>
      <c r="B194" s="66"/>
      <c r="C194" s="25" t="s">
        <v>170</v>
      </c>
      <c r="D194" s="62">
        <f>(38.57)*10.764</f>
        <v>415.16747999999995</v>
      </c>
      <c r="E194" s="25">
        <v>0</v>
      </c>
      <c r="F194" s="25">
        <f t="shared" si="7"/>
        <v>622.75121999999988</v>
      </c>
      <c r="G194" s="71"/>
      <c r="H194" s="72"/>
      <c r="J194" s="63">
        <f>4500000/F189</f>
        <v>8437.9897198283652</v>
      </c>
    </row>
    <row r="195" spans="1:14" s="51" customFormat="1" x14ac:dyDescent="0.25">
      <c r="A195" s="66">
        <v>7</v>
      </c>
      <c r="B195" s="66"/>
      <c r="C195" s="25" t="s">
        <v>170</v>
      </c>
      <c r="D195" s="62">
        <f>(38.56)*10.764</f>
        <v>415.05984000000001</v>
      </c>
      <c r="E195" s="25">
        <v>0</v>
      </c>
      <c r="F195" s="25">
        <f t="shared" si="7"/>
        <v>622.58976000000007</v>
      </c>
      <c r="G195" s="71"/>
      <c r="H195" s="72"/>
      <c r="J195" s="63"/>
    </row>
    <row r="196" spans="1:14" s="51" customFormat="1" x14ac:dyDescent="0.25">
      <c r="A196" s="66">
        <v>8</v>
      </c>
      <c r="B196" s="66"/>
      <c r="C196" s="25" t="s">
        <v>170</v>
      </c>
      <c r="D196" s="62">
        <f>(33.03)*10.764</f>
        <v>355.53492</v>
      </c>
      <c r="E196" s="25">
        <v>0</v>
      </c>
      <c r="F196" s="25">
        <f t="shared" si="7"/>
        <v>533.30237999999997</v>
      </c>
      <c r="G196" s="71"/>
      <c r="H196" s="72"/>
      <c r="J196" s="63">
        <f>5261000/F195</f>
        <v>8450.1871665862272</v>
      </c>
    </row>
    <row r="197" spans="1:14" s="51" customFormat="1" x14ac:dyDescent="0.25">
      <c r="A197" s="66">
        <v>9</v>
      </c>
      <c r="B197" s="66"/>
      <c r="C197" s="25" t="s">
        <v>170</v>
      </c>
      <c r="D197" s="62">
        <f>(33.03)*10.764</f>
        <v>355.53492</v>
      </c>
      <c r="E197" s="25">
        <v>0</v>
      </c>
      <c r="F197" s="25">
        <f t="shared" si="7"/>
        <v>533.30237999999997</v>
      </c>
      <c r="G197" s="71"/>
      <c r="H197" s="72"/>
    </row>
    <row r="198" spans="1:14" s="51" customFormat="1" x14ac:dyDescent="0.25">
      <c r="A198" s="66">
        <v>10</v>
      </c>
      <c r="B198" s="66"/>
      <c r="C198" s="25" t="s">
        <v>171</v>
      </c>
      <c r="D198" s="62">
        <f>(49.15)*10.764</f>
        <v>529.05059999999992</v>
      </c>
      <c r="E198" s="25">
        <v>0</v>
      </c>
      <c r="F198" s="25">
        <f t="shared" si="7"/>
        <v>793.57589999999982</v>
      </c>
      <c r="G198" s="71"/>
      <c r="H198" s="72"/>
    </row>
    <row r="199" spans="1:14" s="51" customFormat="1" x14ac:dyDescent="0.25">
      <c r="A199" s="66">
        <v>11</v>
      </c>
      <c r="B199" s="66"/>
      <c r="C199" s="25" t="s">
        <v>171</v>
      </c>
      <c r="D199" s="62">
        <f>(49.15)*10.764</f>
        <v>529.05059999999992</v>
      </c>
      <c r="E199" s="25">
        <v>0</v>
      </c>
      <c r="F199" s="25">
        <f t="shared" si="7"/>
        <v>793.57589999999982</v>
      </c>
      <c r="G199" s="71"/>
      <c r="H199" s="72"/>
    </row>
    <row r="200" spans="1:14" s="51" customFormat="1" x14ac:dyDescent="0.25">
      <c r="A200" s="66">
        <v>12</v>
      </c>
      <c r="B200" s="66"/>
      <c r="C200" s="25" t="s">
        <v>170</v>
      </c>
      <c r="D200" s="62">
        <f>(33.03)*10.764</f>
        <v>355.53492</v>
      </c>
      <c r="E200" s="25">
        <v>0</v>
      </c>
      <c r="F200" s="25">
        <f t="shared" si="7"/>
        <v>533.30237999999997</v>
      </c>
      <c r="G200" s="71"/>
      <c r="H200" s="72"/>
    </row>
    <row r="201" spans="1:14" s="51" customFormat="1" x14ac:dyDescent="0.25">
      <c r="A201" s="66">
        <v>13</v>
      </c>
      <c r="B201" s="66"/>
      <c r="C201" s="25" t="s">
        <v>170</v>
      </c>
      <c r="D201" s="62">
        <f>(33.03)*10.764</f>
        <v>355.53492</v>
      </c>
      <c r="E201" s="25">
        <v>0</v>
      </c>
      <c r="F201" s="25">
        <f t="shared" si="7"/>
        <v>533.30237999999997</v>
      </c>
      <c r="G201" s="71"/>
      <c r="H201" s="72"/>
    </row>
    <row r="202" spans="1:14" s="51" customFormat="1" x14ac:dyDescent="0.25">
      <c r="A202" s="66">
        <v>14</v>
      </c>
      <c r="B202" s="66"/>
      <c r="C202" s="25" t="s">
        <v>170</v>
      </c>
      <c r="D202" s="62">
        <f>(38.57)*10.764</f>
        <v>415.16747999999995</v>
      </c>
      <c r="E202" s="25">
        <v>0</v>
      </c>
      <c r="F202" s="25">
        <f t="shared" si="7"/>
        <v>622.75121999999988</v>
      </c>
      <c r="G202" s="71"/>
      <c r="H202" s="72"/>
    </row>
    <row r="203" spans="1:14" s="51" customFormat="1" x14ac:dyDescent="0.25">
      <c r="A203" s="66">
        <v>15</v>
      </c>
      <c r="B203" s="66"/>
      <c r="C203" s="25" t="s">
        <v>170</v>
      </c>
      <c r="D203" s="62">
        <f>(38.56)*10.764</f>
        <v>415.05984000000001</v>
      </c>
      <c r="E203" s="25">
        <v>0</v>
      </c>
      <c r="F203" s="25">
        <f t="shared" si="7"/>
        <v>622.58976000000007</v>
      </c>
      <c r="G203" s="71"/>
      <c r="H203" s="72"/>
    </row>
    <row r="204" spans="1:14" s="51" customFormat="1" x14ac:dyDescent="0.25">
      <c r="A204" s="66">
        <v>16</v>
      </c>
      <c r="B204" s="66"/>
      <c r="C204" s="25" t="s">
        <v>170</v>
      </c>
      <c r="D204" s="62">
        <f>(33.03)*10.764</f>
        <v>355.53492</v>
      </c>
      <c r="E204" s="25">
        <v>0</v>
      </c>
      <c r="F204" s="25">
        <f t="shared" si="7"/>
        <v>533.30237999999997</v>
      </c>
      <c r="G204" s="73"/>
      <c r="H204" s="74"/>
    </row>
    <row r="205" spans="1:14" s="51" customFormat="1" x14ac:dyDescent="0.25">
      <c r="A205" s="80" t="s">
        <v>173</v>
      </c>
      <c r="B205" s="80"/>
      <c r="C205" s="80"/>
      <c r="D205" s="80"/>
      <c r="E205" s="80"/>
      <c r="F205" s="80"/>
      <c r="G205" s="80"/>
      <c r="H205" s="80"/>
    </row>
    <row r="206" spans="1:14" s="51" customFormat="1" ht="15.75" customHeight="1" x14ac:dyDescent="0.25">
      <c r="A206" s="66">
        <v>1</v>
      </c>
      <c r="B206" s="66"/>
      <c r="C206" s="25" t="s">
        <v>170</v>
      </c>
      <c r="D206" s="62">
        <f>(33.03)*10.764</f>
        <v>355.53492</v>
      </c>
      <c r="E206" s="25">
        <v>0</v>
      </c>
      <c r="F206" s="25">
        <f>D206*1.5+E206</f>
        <v>533.30237999999997</v>
      </c>
      <c r="G206" s="69" t="str">
        <f>A205</f>
        <v xml:space="preserve">8th, 13th, 18th, 23rd &amp; 28th (Part Refuge Area) </v>
      </c>
      <c r="H206" s="70"/>
    </row>
    <row r="207" spans="1:14" s="51" customFormat="1" x14ac:dyDescent="0.25">
      <c r="A207" s="66">
        <v>2</v>
      </c>
      <c r="B207" s="66"/>
      <c r="C207" s="25" t="s">
        <v>171</v>
      </c>
      <c r="D207" s="62">
        <f>(49.15)*10.764</f>
        <v>529.05059999999992</v>
      </c>
      <c r="E207" s="25">
        <v>0</v>
      </c>
      <c r="F207" s="25">
        <f t="shared" ref="F207:F215" si="8">D207*1.5+E207</f>
        <v>793.57589999999982</v>
      </c>
      <c r="G207" s="71"/>
      <c r="H207" s="72"/>
    </row>
    <row r="208" spans="1:14" s="51" customFormat="1" x14ac:dyDescent="0.25">
      <c r="A208" s="66">
        <v>3</v>
      </c>
      <c r="B208" s="66"/>
      <c r="C208" s="25" t="s">
        <v>171</v>
      </c>
      <c r="D208" s="62">
        <f>(49.15)*10.764</f>
        <v>529.05059999999992</v>
      </c>
      <c r="E208" s="25">
        <v>0</v>
      </c>
      <c r="F208" s="25">
        <f t="shared" si="8"/>
        <v>793.57589999999982</v>
      </c>
      <c r="G208" s="71"/>
      <c r="H208" s="72"/>
      <c r="I208" s="52">
        <f>6051024/F243</f>
        <v>8517.4825174825182</v>
      </c>
      <c r="J208" s="51">
        <f>50*29</f>
        <v>1450</v>
      </c>
      <c r="K208" s="52">
        <f>I208-J208</f>
        <v>7067.4825174825182</v>
      </c>
      <c r="L208" s="52">
        <f>48720/F243</f>
        <v>68.578764230938148</v>
      </c>
    </row>
    <row r="209" spans="1:12" s="51" customFormat="1" x14ac:dyDescent="0.25">
      <c r="A209" s="66">
        <v>4</v>
      </c>
      <c r="B209" s="66"/>
      <c r="C209" s="25" t="s">
        <v>170</v>
      </c>
      <c r="D209" s="62">
        <f>(33.03)*10.764</f>
        <v>355.53492</v>
      </c>
      <c r="E209" s="25">
        <v>0</v>
      </c>
      <c r="F209" s="25">
        <f t="shared" si="8"/>
        <v>533.30237999999997</v>
      </c>
      <c r="G209" s="71"/>
      <c r="H209" s="72"/>
    </row>
    <row r="210" spans="1:12" s="51" customFormat="1" x14ac:dyDescent="0.25">
      <c r="A210" s="66">
        <v>5</v>
      </c>
      <c r="B210" s="66"/>
      <c r="C210" s="25" t="s">
        <v>170</v>
      </c>
      <c r="D210" s="62">
        <f>(33.03)*10.764</f>
        <v>355.53492</v>
      </c>
      <c r="E210" s="25">
        <v>0</v>
      </c>
      <c r="F210" s="25">
        <f t="shared" si="8"/>
        <v>533.30237999999997</v>
      </c>
      <c r="G210" s="71"/>
      <c r="H210" s="72"/>
    </row>
    <row r="211" spans="1:12" s="51" customFormat="1" x14ac:dyDescent="0.25">
      <c r="A211" s="66">
        <v>6</v>
      </c>
      <c r="B211" s="66"/>
      <c r="C211" s="25" t="s">
        <v>170</v>
      </c>
      <c r="D211" s="62">
        <f>(38.57)*10.764</f>
        <v>415.16747999999995</v>
      </c>
      <c r="E211" s="25">
        <v>0</v>
      </c>
      <c r="F211" s="25">
        <f t="shared" si="8"/>
        <v>622.75121999999988</v>
      </c>
      <c r="G211" s="71"/>
      <c r="H211" s="72"/>
    </row>
    <row r="212" spans="1:12" s="51" customFormat="1" x14ac:dyDescent="0.25">
      <c r="A212" s="66">
        <v>7</v>
      </c>
      <c r="B212" s="66"/>
      <c r="C212" s="25" t="s">
        <v>170</v>
      </c>
      <c r="D212" s="62">
        <f>(38.56)*10.764</f>
        <v>415.05984000000001</v>
      </c>
      <c r="E212" s="25">
        <v>0</v>
      </c>
      <c r="F212" s="25">
        <f t="shared" si="8"/>
        <v>622.58976000000007</v>
      </c>
      <c r="G212" s="71"/>
      <c r="H212" s="72"/>
      <c r="I212" s="52">
        <f>4776732/F247</f>
        <v>8217.9487179487187</v>
      </c>
      <c r="J212" s="51">
        <f>50*29</f>
        <v>1450</v>
      </c>
      <c r="K212" s="52">
        <f>I212-J212</f>
        <v>6767.9487179487187</v>
      </c>
      <c r="L212" s="52">
        <f>38460/F247</f>
        <v>66.167058920682109</v>
      </c>
    </row>
    <row r="213" spans="1:12" s="51" customFormat="1" x14ac:dyDescent="0.25">
      <c r="A213" s="66">
        <v>8</v>
      </c>
      <c r="B213" s="66"/>
      <c r="C213" s="25" t="s">
        <v>170</v>
      </c>
      <c r="D213" s="62">
        <f>(33.03)*10.764</f>
        <v>355.53492</v>
      </c>
      <c r="E213" s="25">
        <v>0</v>
      </c>
      <c r="F213" s="25">
        <f t="shared" si="8"/>
        <v>533.30237999999997</v>
      </c>
      <c r="G213" s="71"/>
      <c r="H213" s="72"/>
    </row>
    <row r="214" spans="1:12" s="51" customFormat="1" x14ac:dyDescent="0.25">
      <c r="A214" s="66">
        <v>9</v>
      </c>
      <c r="B214" s="66"/>
      <c r="C214" s="25" t="s">
        <v>170</v>
      </c>
      <c r="D214" s="62">
        <f>(33.03)*10.764</f>
        <v>355.53492</v>
      </c>
      <c r="E214" s="25">
        <v>0</v>
      </c>
      <c r="F214" s="25">
        <f t="shared" si="8"/>
        <v>533.30237999999997</v>
      </c>
      <c r="G214" s="71"/>
      <c r="H214" s="72"/>
    </row>
    <row r="215" spans="1:12" s="51" customFormat="1" x14ac:dyDescent="0.25">
      <c r="A215" s="66">
        <v>10</v>
      </c>
      <c r="B215" s="66"/>
      <c r="C215" s="25" t="s">
        <v>171</v>
      </c>
      <c r="D215" s="62">
        <f>(49.15)*10.764</f>
        <v>529.05059999999992</v>
      </c>
      <c r="E215" s="25">
        <v>0</v>
      </c>
      <c r="F215" s="25">
        <f t="shared" si="8"/>
        <v>793.57589999999982</v>
      </c>
      <c r="G215" s="71"/>
      <c r="H215" s="72"/>
    </row>
    <row r="216" spans="1:12" s="51" customFormat="1" x14ac:dyDescent="0.25">
      <c r="A216" s="66">
        <v>11</v>
      </c>
      <c r="B216" s="66"/>
      <c r="C216" s="81" t="s">
        <v>172</v>
      </c>
      <c r="D216" s="82"/>
      <c r="E216" s="82"/>
      <c r="F216" s="83"/>
      <c r="G216" s="71"/>
      <c r="H216" s="72"/>
    </row>
    <row r="217" spans="1:12" s="51" customFormat="1" x14ac:dyDescent="0.25">
      <c r="A217" s="66">
        <v>12</v>
      </c>
      <c r="B217" s="66"/>
      <c r="C217" s="25" t="s">
        <v>170</v>
      </c>
      <c r="D217" s="62">
        <f>(33.03)*10.764</f>
        <v>355.53492</v>
      </c>
      <c r="E217" s="25">
        <v>0</v>
      </c>
      <c r="F217" s="25">
        <f>D217*1.5+E217</f>
        <v>533.30237999999997</v>
      </c>
      <c r="G217" s="71"/>
      <c r="H217" s="72"/>
    </row>
    <row r="218" spans="1:12" s="51" customFormat="1" x14ac:dyDescent="0.25">
      <c r="A218" s="66">
        <v>13</v>
      </c>
      <c r="B218" s="66"/>
      <c r="C218" s="25" t="s">
        <v>170</v>
      </c>
      <c r="D218" s="62">
        <f>(33.03)*10.764</f>
        <v>355.53492</v>
      </c>
      <c r="E218" s="25">
        <v>0</v>
      </c>
      <c r="F218" s="25">
        <f t="shared" ref="F218:F221" si="9">D218*1.5+E218</f>
        <v>533.30237999999997</v>
      </c>
      <c r="G218" s="71"/>
      <c r="H218" s="72"/>
    </row>
    <row r="219" spans="1:12" s="51" customFormat="1" x14ac:dyDescent="0.25">
      <c r="A219" s="66">
        <v>14</v>
      </c>
      <c r="B219" s="66"/>
      <c r="C219" s="25" t="s">
        <v>170</v>
      </c>
      <c r="D219" s="62">
        <f>(38.57)*10.764</f>
        <v>415.16747999999995</v>
      </c>
      <c r="E219" s="25">
        <v>0</v>
      </c>
      <c r="F219" s="25">
        <f t="shared" si="9"/>
        <v>622.75121999999988</v>
      </c>
      <c r="G219" s="71"/>
      <c r="H219" s="72"/>
    </row>
    <row r="220" spans="1:12" s="51" customFormat="1" x14ac:dyDescent="0.25">
      <c r="A220" s="66">
        <v>15</v>
      </c>
      <c r="B220" s="66"/>
      <c r="C220" s="25" t="s">
        <v>170</v>
      </c>
      <c r="D220" s="62">
        <f>(38.56)*10.764</f>
        <v>415.05984000000001</v>
      </c>
      <c r="E220" s="25">
        <v>0</v>
      </c>
      <c r="F220" s="25">
        <f t="shared" si="9"/>
        <v>622.58976000000007</v>
      </c>
      <c r="G220" s="71"/>
      <c r="H220" s="72"/>
    </row>
    <row r="221" spans="1:12" s="51" customFormat="1" x14ac:dyDescent="0.25">
      <c r="A221" s="66">
        <v>16</v>
      </c>
      <c r="B221" s="66"/>
      <c r="C221" s="25" t="s">
        <v>170</v>
      </c>
      <c r="D221" s="62">
        <f>(33.03)*10.764</f>
        <v>355.53492</v>
      </c>
      <c r="E221" s="25">
        <v>0</v>
      </c>
      <c r="F221" s="25">
        <f t="shared" si="9"/>
        <v>533.30237999999997</v>
      </c>
      <c r="G221" s="73"/>
      <c r="H221" s="74"/>
    </row>
    <row r="222" spans="1:12" s="51" customFormat="1" x14ac:dyDescent="0.25">
      <c r="A222" s="80" t="s">
        <v>247</v>
      </c>
      <c r="B222" s="80"/>
      <c r="C222" s="80"/>
      <c r="D222" s="80"/>
      <c r="E222" s="80"/>
      <c r="F222" s="80"/>
      <c r="G222" s="80"/>
      <c r="H222" s="80"/>
      <c r="I222" s="52">
        <f>3987000/F257</f>
        <v>7965.6201675837028</v>
      </c>
      <c r="J222" s="51">
        <f>50*14</f>
        <v>700</v>
      </c>
      <c r="K222" s="52">
        <f>I222-J222</f>
        <v>7265.6201675837028</v>
      </c>
    </row>
    <row r="223" spans="1:12" s="51" customFormat="1" x14ac:dyDescent="0.25">
      <c r="A223" s="66">
        <v>1</v>
      </c>
      <c r="B223" s="66"/>
      <c r="C223" s="25" t="s">
        <v>170</v>
      </c>
      <c r="D223" s="62">
        <f>(33.03)*10.764</f>
        <v>355.53492</v>
      </c>
      <c r="E223" s="25">
        <v>0</v>
      </c>
      <c r="F223" s="25">
        <f>D223*1.5+E223</f>
        <v>533.30237999999997</v>
      </c>
      <c r="G223" s="69" t="str">
        <f>A222</f>
        <v>32nd Floor</v>
      </c>
      <c r="H223" s="70"/>
    </row>
    <row r="224" spans="1:12" s="51" customFormat="1" ht="15.75" customHeight="1" x14ac:dyDescent="0.25">
      <c r="A224" s="66">
        <v>2</v>
      </c>
      <c r="B224" s="66"/>
      <c r="C224" s="25" t="s">
        <v>171</v>
      </c>
      <c r="D224" s="62">
        <f>(49.15)*10.764</f>
        <v>529.05059999999992</v>
      </c>
      <c r="E224" s="25">
        <v>0</v>
      </c>
      <c r="F224" s="25">
        <f t="shared" ref="F224:F238" si="10">D224*1.5+E224</f>
        <v>793.57589999999982</v>
      </c>
      <c r="G224" s="71"/>
      <c r="H224" s="72"/>
    </row>
    <row r="225" spans="1:8" s="51" customFormat="1" x14ac:dyDescent="0.25">
      <c r="A225" s="66">
        <v>3</v>
      </c>
      <c r="B225" s="66"/>
      <c r="C225" s="25" t="s">
        <v>171</v>
      </c>
      <c r="D225" s="62">
        <f>(49.15)*10.764</f>
        <v>529.05059999999992</v>
      </c>
      <c r="E225" s="25">
        <v>0</v>
      </c>
      <c r="F225" s="25">
        <f t="shared" si="10"/>
        <v>793.57589999999982</v>
      </c>
      <c r="G225" s="71"/>
      <c r="H225" s="72"/>
    </row>
    <row r="226" spans="1:8" s="51" customFormat="1" x14ac:dyDescent="0.25">
      <c r="A226" s="66">
        <v>4</v>
      </c>
      <c r="B226" s="66"/>
      <c r="C226" s="25" t="s">
        <v>170</v>
      </c>
      <c r="D226" s="62">
        <f>(33.03)*10.764</f>
        <v>355.53492</v>
      </c>
      <c r="E226" s="25">
        <v>0</v>
      </c>
      <c r="F226" s="25">
        <f t="shared" si="10"/>
        <v>533.30237999999997</v>
      </c>
      <c r="G226" s="71"/>
      <c r="H226" s="72"/>
    </row>
    <row r="227" spans="1:8" s="51" customFormat="1" x14ac:dyDescent="0.25">
      <c r="A227" s="66">
        <v>5</v>
      </c>
      <c r="B227" s="66"/>
      <c r="C227" s="25" t="s">
        <v>170</v>
      </c>
      <c r="D227" s="62">
        <f>(33.03)*10.764</f>
        <v>355.53492</v>
      </c>
      <c r="E227" s="25">
        <v>0</v>
      </c>
      <c r="F227" s="25">
        <f t="shared" si="10"/>
        <v>533.30237999999997</v>
      </c>
      <c r="G227" s="71"/>
      <c r="H227" s="72"/>
    </row>
    <row r="228" spans="1:8" s="51" customFormat="1" x14ac:dyDescent="0.25">
      <c r="A228" s="66">
        <v>6</v>
      </c>
      <c r="B228" s="66"/>
      <c r="C228" s="25" t="s">
        <v>170</v>
      </c>
      <c r="D228" s="62">
        <f>(38.57)*10.764</f>
        <v>415.16747999999995</v>
      </c>
      <c r="E228" s="25">
        <v>0</v>
      </c>
      <c r="F228" s="25">
        <f t="shared" si="10"/>
        <v>622.75121999999988</v>
      </c>
      <c r="G228" s="71"/>
      <c r="H228" s="72"/>
    </row>
    <row r="229" spans="1:8" s="51" customFormat="1" x14ac:dyDescent="0.25">
      <c r="A229" s="66">
        <v>7</v>
      </c>
      <c r="B229" s="66"/>
      <c r="C229" s="25" t="s">
        <v>170</v>
      </c>
      <c r="D229" s="62">
        <f>(38.56)*10.764</f>
        <v>415.05984000000001</v>
      </c>
      <c r="E229" s="25">
        <v>0</v>
      </c>
      <c r="F229" s="25">
        <f t="shared" si="10"/>
        <v>622.58976000000007</v>
      </c>
      <c r="G229" s="71"/>
      <c r="H229" s="72"/>
    </row>
    <row r="230" spans="1:8" s="51" customFormat="1" x14ac:dyDescent="0.25">
      <c r="A230" s="66">
        <v>8</v>
      </c>
      <c r="B230" s="66"/>
      <c r="C230" s="25" t="s">
        <v>170</v>
      </c>
      <c r="D230" s="62">
        <f>(33.03)*10.764</f>
        <v>355.53492</v>
      </c>
      <c r="E230" s="25">
        <v>0</v>
      </c>
      <c r="F230" s="25">
        <f t="shared" si="10"/>
        <v>533.30237999999997</v>
      </c>
      <c r="G230" s="71"/>
      <c r="H230" s="72"/>
    </row>
    <row r="231" spans="1:8" s="51" customFormat="1" x14ac:dyDescent="0.25">
      <c r="A231" s="66">
        <v>9</v>
      </c>
      <c r="B231" s="66"/>
      <c r="C231" s="25" t="s">
        <v>170</v>
      </c>
      <c r="D231" s="62">
        <f>(33.03)*10.764</f>
        <v>355.53492</v>
      </c>
      <c r="E231" s="25">
        <v>0</v>
      </c>
      <c r="F231" s="25">
        <f t="shared" si="10"/>
        <v>533.30237999999997</v>
      </c>
      <c r="G231" s="71"/>
      <c r="H231" s="72"/>
    </row>
    <row r="232" spans="1:8" s="51" customFormat="1" x14ac:dyDescent="0.25">
      <c r="A232" s="66">
        <v>10</v>
      </c>
      <c r="B232" s="66"/>
      <c r="C232" s="25" t="s">
        <v>171</v>
      </c>
      <c r="D232" s="62">
        <f>(49.15)*10.764</f>
        <v>529.05059999999992</v>
      </c>
      <c r="E232" s="25">
        <v>0</v>
      </c>
      <c r="F232" s="25">
        <f t="shared" si="10"/>
        <v>793.57589999999982</v>
      </c>
      <c r="G232" s="71"/>
      <c r="H232" s="72"/>
    </row>
    <row r="233" spans="1:8" s="51" customFormat="1" x14ac:dyDescent="0.25">
      <c r="A233" s="66">
        <v>11</v>
      </c>
      <c r="B233" s="66"/>
      <c r="C233" s="25" t="s">
        <v>171</v>
      </c>
      <c r="D233" s="62">
        <f>(49.15)*10.764</f>
        <v>529.05059999999992</v>
      </c>
      <c r="E233" s="25">
        <v>0</v>
      </c>
      <c r="F233" s="25">
        <f t="shared" si="10"/>
        <v>793.57589999999982</v>
      </c>
      <c r="G233" s="71"/>
      <c r="H233" s="72"/>
    </row>
    <row r="234" spans="1:8" s="51" customFormat="1" x14ac:dyDescent="0.25">
      <c r="A234" s="66">
        <v>12</v>
      </c>
      <c r="B234" s="66"/>
      <c r="C234" s="25" t="s">
        <v>170</v>
      </c>
      <c r="D234" s="62">
        <f>(33.03)*10.764</f>
        <v>355.53492</v>
      </c>
      <c r="E234" s="25">
        <v>0</v>
      </c>
      <c r="F234" s="25">
        <f t="shared" si="10"/>
        <v>533.30237999999997</v>
      </c>
      <c r="G234" s="71"/>
      <c r="H234" s="72"/>
    </row>
    <row r="235" spans="1:8" s="51" customFormat="1" x14ac:dyDescent="0.25">
      <c r="A235" s="66">
        <v>13</v>
      </c>
      <c r="B235" s="66"/>
      <c r="C235" s="25" t="s">
        <v>170</v>
      </c>
      <c r="D235" s="62">
        <f>(33.03)*10.764</f>
        <v>355.53492</v>
      </c>
      <c r="E235" s="25">
        <v>0</v>
      </c>
      <c r="F235" s="25">
        <f t="shared" si="10"/>
        <v>533.30237999999997</v>
      </c>
      <c r="G235" s="71"/>
      <c r="H235" s="72"/>
    </row>
    <row r="236" spans="1:8" s="51" customFormat="1" x14ac:dyDescent="0.25">
      <c r="A236" s="66">
        <v>14</v>
      </c>
      <c r="B236" s="66"/>
      <c r="C236" s="25" t="s">
        <v>170</v>
      </c>
      <c r="D236" s="62">
        <f>(38.57)*10.764</f>
        <v>415.16747999999995</v>
      </c>
      <c r="E236" s="25">
        <v>0</v>
      </c>
      <c r="F236" s="25">
        <f t="shared" si="10"/>
        <v>622.75121999999988</v>
      </c>
      <c r="G236" s="71"/>
      <c r="H236" s="72"/>
    </row>
    <row r="237" spans="1:8" s="51" customFormat="1" x14ac:dyDescent="0.25">
      <c r="A237" s="66">
        <v>15</v>
      </c>
      <c r="B237" s="66"/>
      <c r="C237" s="25" t="s">
        <v>170</v>
      </c>
      <c r="D237" s="62">
        <f>(38.56)*10.764</f>
        <v>415.05984000000001</v>
      </c>
      <c r="E237" s="25">
        <v>0</v>
      </c>
      <c r="F237" s="25">
        <f t="shared" si="10"/>
        <v>622.58976000000007</v>
      </c>
      <c r="G237" s="71"/>
      <c r="H237" s="72"/>
    </row>
    <row r="238" spans="1:8" s="51" customFormat="1" x14ac:dyDescent="0.25">
      <c r="A238" s="66">
        <v>16</v>
      </c>
      <c r="B238" s="66"/>
      <c r="C238" s="25" t="s">
        <v>170</v>
      </c>
      <c r="D238" s="62">
        <f>(33.03)*10.764</f>
        <v>355.53492</v>
      </c>
      <c r="E238" s="25">
        <v>0</v>
      </c>
      <c r="F238" s="25">
        <f t="shared" si="10"/>
        <v>533.30237999999997</v>
      </c>
      <c r="G238" s="73"/>
      <c r="H238" s="74"/>
    </row>
    <row r="239" spans="1:8" s="51" customFormat="1" x14ac:dyDescent="0.25">
      <c r="A239" s="80" t="s">
        <v>166</v>
      </c>
      <c r="B239" s="80"/>
      <c r="C239" s="80"/>
      <c r="D239" s="80"/>
      <c r="E239" s="80"/>
      <c r="F239" s="80"/>
      <c r="G239" s="80"/>
      <c r="H239" s="80"/>
    </row>
    <row r="240" spans="1:8" s="51" customFormat="1" x14ac:dyDescent="0.25">
      <c r="A240" s="80" t="s">
        <v>164</v>
      </c>
      <c r="B240" s="80"/>
      <c r="C240" s="80"/>
      <c r="D240" s="80"/>
      <c r="E240" s="80"/>
      <c r="F240" s="80"/>
      <c r="G240" s="80"/>
      <c r="H240" s="80"/>
    </row>
    <row r="241" spans="1:8" s="51" customFormat="1" x14ac:dyDescent="0.25">
      <c r="A241" s="91" t="s">
        <v>245</v>
      </c>
      <c r="B241" s="92"/>
      <c r="C241" s="92"/>
      <c r="D241" s="92"/>
      <c r="E241" s="92"/>
      <c r="F241" s="92"/>
      <c r="G241" s="92"/>
      <c r="H241" s="93"/>
    </row>
    <row r="242" spans="1:8" s="51" customFormat="1" ht="15.75" customHeight="1" x14ac:dyDescent="0.25">
      <c r="A242" s="66">
        <v>1</v>
      </c>
      <c r="B242" s="66"/>
      <c r="C242" s="25" t="s">
        <v>170</v>
      </c>
      <c r="D242" s="25">
        <f>31*10.764</f>
        <v>333.68399999999997</v>
      </c>
      <c r="E242" s="25">
        <v>0</v>
      </c>
      <c r="F242" s="25">
        <f>D242*1.5+E242</f>
        <v>500.52599999999995</v>
      </c>
      <c r="G242" s="69" t="str">
        <f>A241</f>
        <v>1st Floor For Residential</v>
      </c>
      <c r="H242" s="70"/>
    </row>
    <row r="243" spans="1:8" s="51" customFormat="1" x14ac:dyDescent="0.25">
      <c r="A243" s="66">
        <v>2</v>
      </c>
      <c r="B243" s="66"/>
      <c r="C243" s="25" t="s">
        <v>171</v>
      </c>
      <c r="D243" s="25">
        <f>44*10.764</f>
        <v>473.61599999999999</v>
      </c>
      <c r="E243" s="25">
        <v>0</v>
      </c>
      <c r="F243" s="25">
        <f t="shared" ref="F243:F251" si="11">D243*1.5+E243</f>
        <v>710.42399999999998</v>
      </c>
      <c r="G243" s="71"/>
      <c r="H243" s="72"/>
    </row>
    <row r="244" spans="1:8" s="51" customFormat="1" x14ac:dyDescent="0.25">
      <c r="A244" s="66">
        <v>3</v>
      </c>
      <c r="B244" s="66"/>
      <c r="C244" s="25" t="s">
        <v>171</v>
      </c>
      <c r="D244" s="25">
        <f>44*10.764</f>
        <v>473.61599999999999</v>
      </c>
      <c r="E244" s="25">
        <v>0</v>
      </c>
      <c r="F244" s="25">
        <f t="shared" si="11"/>
        <v>710.42399999999998</v>
      </c>
      <c r="G244" s="71"/>
      <c r="H244" s="72"/>
    </row>
    <row r="245" spans="1:8" s="51" customFormat="1" x14ac:dyDescent="0.25">
      <c r="A245" s="66">
        <v>4</v>
      </c>
      <c r="B245" s="66"/>
      <c r="C245" s="25" t="s">
        <v>170</v>
      </c>
      <c r="D245" s="25">
        <f>31*10.764</f>
        <v>333.68399999999997</v>
      </c>
      <c r="E245" s="25">
        <v>0</v>
      </c>
      <c r="F245" s="25">
        <f t="shared" si="11"/>
        <v>500.52599999999995</v>
      </c>
      <c r="G245" s="71"/>
      <c r="H245" s="72"/>
    </row>
    <row r="246" spans="1:8" s="51" customFormat="1" x14ac:dyDescent="0.25">
      <c r="A246" s="66">
        <v>5</v>
      </c>
      <c r="B246" s="66"/>
      <c r="C246" s="25" t="s">
        <v>170</v>
      </c>
      <c r="D246" s="25">
        <f>31*10.764</f>
        <v>333.68399999999997</v>
      </c>
      <c r="E246" s="25">
        <v>0</v>
      </c>
      <c r="F246" s="25">
        <f t="shared" si="11"/>
        <v>500.52599999999995</v>
      </c>
      <c r="G246" s="71"/>
      <c r="H246" s="72"/>
    </row>
    <row r="247" spans="1:8" s="51" customFormat="1" x14ac:dyDescent="0.25">
      <c r="A247" s="66">
        <v>6</v>
      </c>
      <c r="B247" s="66"/>
      <c r="C247" s="25" t="s">
        <v>170</v>
      </c>
      <c r="D247" s="25">
        <f>36*10.764</f>
        <v>387.50399999999996</v>
      </c>
      <c r="E247" s="25">
        <v>0</v>
      </c>
      <c r="F247" s="25">
        <f t="shared" si="11"/>
        <v>581.25599999999997</v>
      </c>
      <c r="G247" s="71"/>
      <c r="H247" s="72"/>
    </row>
    <row r="248" spans="1:8" s="51" customFormat="1" x14ac:dyDescent="0.25">
      <c r="A248" s="66">
        <v>7</v>
      </c>
      <c r="B248" s="66"/>
      <c r="C248" s="25" t="s">
        <v>170</v>
      </c>
      <c r="D248" s="25">
        <f>36*10.764</f>
        <v>387.50399999999996</v>
      </c>
      <c r="E248" s="25">
        <v>0</v>
      </c>
      <c r="F248" s="25">
        <f t="shared" si="11"/>
        <v>581.25599999999997</v>
      </c>
      <c r="G248" s="71"/>
      <c r="H248" s="72"/>
    </row>
    <row r="249" spans="1:8" s="51" customFormat="1" x14ac:dyDescent="0.25">
      <c r="A249" s="66">
        <v>8</v>
      </c>
      <c r="B249" s="66"/>
      <c r="C249" s="25" t="s">
        <v>170</v>
      </c>
      <c r="D249" s="25">
        <f>31*10.764</f>
        <v>333.68399999999997</v>
      </c>
      <c r="E249" s="25">
        <v>0</v>
      </c>
      <c r="F249" s="25">
        <f t="shared" si="11"/>
        <v>500.52599999999995</v>
      </c>
      <c r="G249" s="71"/>
      <c r="H249" s="72"/>
    </row>
    <row r="250" spans="1:8" s="51" customFormat="1" x14ac:dyDescent="0.25">
      <c r="A250" s="66">
        <v>9</v>
      </c>
      <c r="B250" s="66"/>
      <c r="C250" s="25" t="s">
        <v>170</v>
      </c>
      <c r="D250" s="25">
        <f t="shared" ref="D250" si="12">31*10.764</f>
        <v>333.68399999999997</v>
      </c>
      <c r="E250" s="25">
        <v>0</v>
      </c>
      <c r="F250" s="25">
        <f t="shared" si="11"/>
        <v>500.52599999999995</v>
      </c>
      <c r="G250" s="71"/>
      <c r="H250" s="72"/>
    </row>
    <row r="251" spans="1:8" s="51" customFormat="1" x14ac:dyDescent="0.25">
      <c r="A251" s="66">
        <v>10</v>
      </c>
      <c r="B251" s="66"/>
      <c r="C251" s="25" t="s">
        <v>171</v>
      </c>
      <c r="D251" s="25">
        <f>44*10.764</f>
        <v>473.61599999999999</v>
      </c>
      <c r="E251" s="25">
        <v>0</v>
      </c>
      <c r="F251" s="25">
        <f t="shared" si="11"/>
        <v>710.42399999999998</v>
      </c>
      <c r="G251" s="71"/>
      <c r="H251" s="72"/>
    </row>
    <row r="252" spans="1:8" s="51" customFormat="1" x14ac:dyDescent="0.25">
      <c r="A252" s="66">
        <v>11</v>
      </c>
      <c r="B252" s="66"/>
      <c r="C252" s="25" t="s">
        <v>171</v>
      </c>
      <c r="D252" s="25">
        <f>44*10.764</f>
        <v>473.61599999999999</v>
      </c>
      <c r="E252" s="25">
        <v>0</v>
      </c>
      <c r="F252" s="25">
        <f t="shared" ref="F252:F257" si="13">D252*1.5+E252</f>
        <v>710.42399999999998</v>
      </c>
      <c r="G252" s="71"/>
      <c r="H252" s="72"/>
    </row>
    <row r="253" spans="1:8" s="51" customFormat="1" x14ac:dyDescent="0.25">
      <c r="A253" s="66">
        <v>12</v>
      </c>
      <c r="B253" s="66"/>
      <c r="C253" s="25" t="s">
        <v>170</v>
      </c>
      <c r="D253" s="25">
        <f>31*10.764</f>
        <v>333.68399999999997</v>
      </c>
      <c r="E253" s="25">
        <v>0</v>
      </c>
      <c r="F253" s="25">
        <f t="shared" si="13"/>
        <v>500.52599999999995</v>
      </c>
      <c r="G253" s="71"/>
      <c r="H253" s="72"/>
    </row>
    <row r="254" spans="1:8" s="51" customFormat="1" x14ac:dyDescent="0.25">
      <c r="A254" s="66">
        <v>13</v>
      </c>
      <c r="B254" s="66"/>
      <c r="C254" s="25" t="s">
        <v>170</v>
      </c>
      <c r="D254" s="25">
        <f>31*10.764</f>
        <v>333.68399999999997</v>
      </c>
      <c r="E254" s="25">
        <v>0</v>
      </c>
      <c r="F254" s="25">
        <f t="shared" si="13"/>
        <v>500.52599999999995</v>
      </c>
      <c r="G254" s="71"/>
      <c r="H254" s="72"/>
    </row>
    <row r="255" spans="1:8" s="51" customFormat="1" x14ac:dyDescent="0.25">
      <c r="A255" s="66">
        <v>14</v>
      </c>
      <c r="B255" s="66"/>
      <c r="C255" s="25" t="s">
        <v>170</v>
      </c>
      <c r="D255" s="25">
        <f>36*10.764</f>
        <v>387.50399999999996</v>
      </c>
      <c r="E255" s="25">
        <v>0</v>
      </c>
      <c r="F255" s="25">
        <f t="shared" si="13"/>
        <v>581.25599999999997</v>
      </c>
      <c r="G255" s="71"/>
      <c r="H255" s="72"/>
    </row>
    <row r="256" spans="1:8" s="51" customFormat="1" x14ac:dyDescent="0.25">
      <c r="A256" s="66">
        <v>15</v>
      </c>
      <c r="B256" s="66"/>
      <c r="C256" s="25" t="s">
        <v>170</v>
      </c>
      <c r="D256" s="25">
        <f>36*10.764</f>
        <v>387.50399999999996</v>
      </c>
      <c r="E256" s="25">
        <v>0</v>
      </c>
      <c r="F256" s="25">
        <f t="shared" si="13"/>
        <v>581.25599999999997</v>
      </c>
      <c r="G256" s="71"/>
      <c r="H256" s="72"/>
    </row>
    <row r="257" spans="1:8" s="51" customFormat="1" x14ac:dyDescent="0.25">
      <c r="A257" s="66">
        <v>16</v>
      </c>
      <c r="B257" s="66"/>
      <c r="C257" s="25" t="s">
        <v>170</v>
      </c>
      <c r="D257" s="25">
        <f>31*10.764</f>
        <v>333.68399999999997</v>
      </c>
      <c r="E257" s="25">
        <v>0</v>
      </c>
      <c r="F257" s="25">
        <f t="shared" si="13"/>
        <v>500.52599999999995</v>
      </c>
      <c r="G257" s="73"/>
      <c r="H257" s="74"/>
    </row>
    <row r="258" spans="1:8" s="51" customFormat="1" ht="15.75" customHeight="1" x14ac:dyDescent="0.25">
      <c r="A258" s="80" t="s">
        <v>246</v>
      </c>
      <c r="B258" s="80"/>
      <c r="C258" s="80"/>
      <c r="D258" s="80"/>
      <c r="E258" s="80"/>
      <c r="F258" s="80"/>
      <c r="G258" s="80"/>
      <c r="H258" s="80"/>
    </row>
    <row r="259" spans="1:8" s="51" customFormat="1" ht="15.75" customHeight="1" x14ac:dyDescent="0.25">
      <c r="A259" s="66">
        <v>1</v>
      </c>
      <c r="B259" s="66"/>
      <c r="C259" s="25" t="s">
        <v>170</v>
      </c>
      <c r="D259" s="62">
        <f>(33.03)*10.764</f>
        <v>355.53492</v>
      </c>
      <c r="E259" s="25">
        <v>0</v>
      </c>
      <c r="F259" s="25">
        <f>D259*1.5+E259</f>
        <v>533.30237999999997</v>
      </c>
      <c r="G259" s="69" t="str">
        <f>A258</f>
        <v xml:space="preserve">2nd to 7th, 9th to 12th, 14th to 17th, 19th to 22nd, 24th to 27th, 29th to 31st Floor </v>
      </c>
      <c r="H259" s="70"/>
    </row>
    <row r="260" spans="1:8" s="51" customFormat="1" x14ac:dyDescent="0.25">
      <c r="A260" s="66">
        <v>2</v>
      </c>
      <c r="B260" s="66"/>
      <c r="C260" s="25" t="s">
        <v>171</v>
      </c>
      <c r="D260" s="62">
        <f>(49.15)*10.764</f>
        <v>529.05059999999992</v>
      </c>
      <c r="E260" s="25">
        <v>0</v>
      </c>
      <c r="F260" s="25">
        <f t="shared" ref="F260:F274" si="14">D260*1.5+E260</f>
        <v>793.57589999999982</v>
      </c>
      <c r="G260" s="71"/>
      <c r="H260" s="72"/>
    </row>
    <row r="261" spans="1:8" s="51" customFormat="1" x14ac:dyDescent="0.25">
      <c r="A261" s="66">
        <v>3</v>
      </c>
      <c r="B261" s="66"/>
      <c r="C261" s="25" t="s">
        <v>171</v>
      </c>
      <c r="D261" s="62">
        <f>(49.15)*10.764</f>
        <v>529.05059999999992</v>
      </c>
      <c r="E261" s="25">
        <v>0</v>
      </c>
      <c r="F261" s="25">
        <f t="shared" si="14"/>
        <v>793.57589999999982</v>
      </c>
      <c r="G261" s="71"/>
      <c r="H261" s="72"/>
    </row>
    <row r="262" spans="1:8" s="51" customFormat="1" x14ac:dyDescent="0.25">
      <c r="A262" s="66">
        <v>4</v>
      </c>
      <c r="B262" s="66"/>
      <c r="C262" s="25" t="s">
        <v>170</v>
      </c>
      <c r="D262" s="62">
        <f>(33.03)*10.764</f>
        <v>355.53492</v>
      </c>
      <c r="E262" s="25">
        <v>0</v>
      </c>
      <c r="F262" s="25">
        <f t="shared" si="14"/>
        <v>533.30237999999997</v>
      </c>
      <c r="G262" s="71"/>
      <c r="H262" s="72"/>
    </row>
    <row r="263" spans="1:8" s="51" customFormat="1" x14ac:dyDescent="0.25">
      <c r="A263" s="66">
        <v>5</v>
      </c>
      <c r="B263" s="66"/>
      <c r="C263" s="25" t="s">
        <v>170</v>
      </c>
      <c r="D263" s="62">
        <f>(33.03)*10.764</f>
        <v>355.53492</v>
      </c>
      <c r="E263" s="25">
        <v>0</v>
      </c>
      <c r="F263" s="25">
        <f t="shared" si="14"/>
        <v>533.30237999999997</v>
      </c>
      <c r="G263" s="71"/>
      <c r="H263" s="72"/>
    </row>
    <row r="264" spans="1:8" s="51" customFormat="1" x14ac:dyDescent="0.25">
      <c r="A264" s="66">
        <v>6</v>
      </c>
      <c r="B264" s="66"/>
      <c r="C264" s="25" t="s">
        <v>170</v>
      </c>
      <c r="D264" s="62">
        <f>(38.57)*10.764</f>
        <v>415.16747999999995</v>
      </c>
      <c r="E264" s="25">
        <v>0</v>
      </c>
      <c r="F264" s="25">
        <f t="shared" si="14"/>
        <v>622.75121999999988</v>
      </c>
      <c r="G264" s="71"/>
      <c r="H264" s="72"/>
    </row>
    <row r="265" spans="1:8" s="51" customFormat="1" x14ac:dyDescent="0.25">
      <c r="A265" s="66">
        <v>7</v>
      </c>
      <c r="B265" s="66"/>
      <c r="C265" s="25" t="s">
        <v>170</v>
      </c>
      <c r="D265" s="62">
        <f>(38.56)*10.764</f>
        <v>415.05984000000001</v>
      </c>
      <c r="E265" s="25">
        <v>0</v>
      </c>
      <c r="F265" s="25">
        <f t="shared" si="14"/>
        <v>622.58976000000007</v>
      </c>
      <c r="G265" s="71"/>
      <c r="H265" s="72"/>
    </row>
    <row r="266" spans="1:8" s="51" customFormat="1" x14ac:dyDescent="0.25">
      <c r="A266" s="66">
        <v>8</v>
      </c>
      <c r="B266" s="66"/>
      <c r="C266" s="25" t="s">
        <v>170</v>
      </c>
      <c r="D266" s="62">
        <f>(33.03)*10.764</f>
        <v>355.53492</v>
      </c>
      <c r="E266" s="25">
        <v>0</v>
      </c>
      <c r="F266" s="25">
        <f t="shared" si="14"/>
        <v>533.30237999999997</v>
      </c>
      <c r="G266" s="71"/>
      <c r="H266" s="72"/>
    </row>
    <row r="267" spans="1:8" s="51" customFormat="1" x14ac:dyDescent="0.25">
      <c r="A267" s="66">
        <v>9</v>
      </c>
      <c r="B267" s="66"/>
      <c r="C267" s="25" t="s">
        <v>170</v>
      </c>
      <c r="D267" s="62">
        <f>(33.03)*10.764</f>
        <v>355.53492</v>
      </c>
      <c r="E267" s="25">
        <v>0</v>
      </c>
      <c r="F267" s="25">
        <f t="shared" si="14"/>
        <v>533.30237999999997</v>
      </c>
      <c r="G267" s="71"/>
      <c r="H267" s="72"/>
    </row>
    <row r="268" spans="1:8" s="51" customFormat="1" x14ac:dyDescent="0.25">
      <c r="A268" s="66">
        <v>10</v>
      </c>
      <c r="B268" s="66"/>
      <c r="C268" s="25" t="s">
        <v>171</v>
      </c>
      <c r="D268" s="62">
        <f>(49.15)*10.764</f>
        <v>529.05059999999992</v>
      </c>
      <c r="E268" s="25">
        <v>0</v>
      </c>
      <c r="F268" s="25">
        <f t="shared" si="14"/>
        <v>793.57589999999982</v>
      </c>
      <c r="G268" s="71"/>
      <c r="H268" s="72"/>
    </row>
    <row r="269" spans="1:8" s="51" customFormat="1" x14ac:dyDescent="0.25">
      <c r="A269" s="66">
        <v>11</v>
      </c>
      <c r="B269" s="66"/>
      <c r="C269" s="25" t="s">
        <v>171</v>
      </c>
      <c r="D269" s="62">
        <f>(49.15)*10.764</f>
        <v>529.05059999999992</v>
      </c>
      <c r="E269" s="25">
        <v>0</v>
      </c>
      <c r="F269" s="25">
        <f t="shared" si="14"/>
        <v>793.57589999999982</v>
      </c>
      <c r="G269" s="71"/>
      <c r="H269" s="72"/>
    </row>
    <row r="270" spans="1:8" s="51" customFormat="1" x14ac:dyDescent="0.25">
      <c r="A270" s="66">
        <v>12</v>
      </c>
      <c r="B270" s="66"/>
      <c r="C270" s="25" t="s">
        <v>170</v>
      </c>
      <c r="D270" s="62">
        <f>(33.03)*10.764</f>
        <v>355.53492</v>
      </c>
      <c r="E270" s="25">
        <v>0</v>
      </c>
      <c r="F270" s="25">
        <f t="shared" si="14"/>
        <v>533.30237999999997</v>
      </c>
      <c r="G270" s="71"/>
      <c r="H270" s="72"/>
    </row>
    <row r="271" spans="1:8" s="51" customFormat="1" x14ac:dyDescent="0.25">
      <c r="A271" s="66">
        <v>13</v>
      </c>
      <c r="B271" s="66"/>
      <c r="C271" s="25" t="s">
        <v>170</v>
      </c>
      <c r="D271" s="62">
        <f>(33.03)*10.764</f>
        <v>355.53492</v>
      </c>
      <c r="E271" s="25">
        <v>0</v>
      </c>
      <c r="F271" s="25">
        <f t="shared" si="14"/>
        <v>533.30237999999997</v>
      </c>
      <c r="G271" s="71"/>
      <c r="H271" s="72"/>
    </row>
    <row r="272" spans="1:8" s="51" customFormat="1" x14ac:dyDescent="0.25">
      <c r="A272" s="66">
        <v>14</v>
      </c>
      <c r="B272" s="66"/>
      <c r="C272" s="25" t="s">
        <v>170</v>
      </c>
      <c r="D272" s="62">
        <f>(38.57)*10.764</f>
        <v>415.16747999999995</v>
      </c>
      <c r="E272" s="25">
        <v>0</v>
      </c>
      <c r="F272" s="25">
        <f t="shared" si="14"/>
        <v>622.75121999999988</v>
      </c>
      <c r="G272" s="71"/>
      <c r="H272" s="72"/>
    </row>
    <row r="273" spans="1:8" s="51" customFormat="1" x14ac:dyDescent="0.25">
      <c r="A273" s="66">
        <v>15</v>
      </c>
      <c r="B273" s="66"/>
      <c r="C273" s="25" t="s">
        <v>170</v>
      </c>
      <c r="D273" s="62">
        <f>(38.56)*10.764</f>
        <v>415.05984000000001</v>
      </c>
      <c r="E273" s="25">
        <v>0</v>
      </c>
      <c r="F273" s="25">
        <f t="shared" si="14"/>
        <v>622.58976000000007</v>
      </c>
      <c r="G273" s="71"/>
      <c r="H273" s="72"/>
    </row>
    <row r="274" spans="1:8" s="51" customFormat="1" x14ac:dyDescent="0.25">
      <c r="A274" s="66">
        <v>16</v>
      </c>
      <c r="B274" s="66"/>
      <c r="C274" s="25" t="s">
        <v>170</v>
      </c>
      <c r="D274" s="62">
        <f>(33.03)*10.764</f>
        <v>355.53492</v>
      </c>
      <c r="E274" s="25">
        <v>0</v>
      </c>
      <c r="F274" s="25">
        <f t="shared" si="14"/>
        <v>533.30237999999997</v>
      </c>
      <c r="G274" s="73"/>
      <c r="H274" s="74"/>
    </row>
    <row r="275" spans="1:8" s="51" customFormat="1" x14ac:dyDescent="0.25">
      <c r="A275" s="80" t="s">
        <v>173</v>
      </c>
      <c r="B275" s="80"/>
      <c r="C275" s="80"/>
      <c r="D275" s="80"/>
      <c r="E275" s="80"/>
      <c r="F275" s="80"/>
      <c r="G275" s="80"/>
      <c r="H275" s="80"/>
    </row>
    <row r="276" spans="1:8" s="51" customFormat="1" x14ac:dyDescent="0.25">
      <c r="A276" s="66">
        <v>1</v>
      </c>
      <c r="B276" s="66"/>
      <c r="C276" s="25" t="s">
        <v>170</v>
      </c>
      <c r="D276" s="62">
        <f>(33.03)*10.764</f>
        <v>355.53492</v>
      </c>
      <c r="E276" s="25">
        <v>0</v>
      </c>
      <c r="F276" s="25">
        <f>D276*1.5+E276</f>
        <v>533.30237999999997</v>
      </c>
      <c r="G276" s="69" t="str">
        <f>A275</f>
        <v xml:space="preserve">8th, 13th, 18th, 23rd &amp; 28th (Part Refuge Area) </v>
      </c>
      <c r="H276" s="70"/>
    </row>
    <row r="277" spans="1:8" s="51" customFormat="1" x14ac:dyDescent="0.25">
      <c r="A277" s="66">
        <v>2</v>
      </c>
      <c r="B277" s="66"/>
      <c r="C277" s="25" t="s">
        <v>171</v>
      </c>
      <c r="D277" s="62">
        <f>(49.15)*10.764</f>
        <v>529.05059999999992</v>
      </c>
      <c r="E277" s="25">
        <v>0</v>
      </c>
      <c r="F277" s="25">
        <f t="shared" ref="F277:F285" si="15">D277*1.5+E277</f>
        <v>793.57589999999982</v>
      </c>
      <c r="G277" s="71"/>
      <c r="H277" s="72"/>
    </row>
    <row r="278" spans="1:8" s="51" customFormat="1" x14ac:dyDescent="0.25">
      <c r="A278" s="66">
        <v>3</v>
      </c>
      <c r="B278" s="66"/>
      <c r="C278" s="25" t="s">
        <v>171</v>
      </c>
      <c r="D278" s="62">
        <f>(49.15)*10.764</f>
        <v>529.05059999999992</v>
      </c>
      <c r="E278" s="25">
        <v>0</v>
      </c>
      <c r="F278" s="25">
        <f t="shared" si="15"/>
        <v>793.57589999999982</v>
      </c>
      <c r="G278" s="71"/>
      <c r="H278" s="72"/>
    </row>
    <row r="279" spans="1:8" s="51" customFormat="1" ht="15.75" customHeight="1" x14ac:dyDescent="0.25">
      <c r="A279" s="66">
        <v>4</v>
      </c>
      <c r="B279" s="66"/>
      <c r="C279" s="25" t="s">
        <v>170</v>
      </c>
      <c r="D279" s="62">
        <f>(33.03)*10.764</f>
        <v>355.53492</v>
      </c>
      <c r="E279" s="25">
        <v>0</v>
      </c>
      <c r="F279" s="25">
        <f t="shared" si="15"/>
        <v>533.30237999999997</v>
      </c>
      <c r="G279" s="71"/>
      <c r="H279" s="72"/>
    </row>
    <row r="280" spans="1:8" s="51" customFormat="1" x14ac:dyDescent="0.25">
      <c r="A280" s="66">
        <v>5</v>
      </c>
      <c r="B280" s="66"/>
      <c r="C280" s="25" t="s">
        <v>170</v>
      </c>
      <c r="D280" s="62">
        <f>(33.03)*10.764</f>
        <v>355.53492</v>
      </c>
      <c r="E280" s="25">
        <v>0</v>
      </c>
      <c r="F280" s="25">
        <f t="shared" si="15"/>
        <v>533.30237999999997</v>
      </c>
      <c r="G280" s="71"/>
      <c r="H280" s="72"/>
    </row>
    <row r="281" spans="1:8" s="51" customFormat="1" x14ac:dyDescent="0.25">
      <c r="A281" s="66">
        <v>6</v>
      </c>
      <c r="B281" s="66"/>
      <c r="C281" s="25" t="s">
        <v>170</v>
      </c>
      <c r="D281" s="62">
        <f>(38.57)*10.764</f>
        <v>415.16747999999995</v>
      </c>
      <c r="E281" s="25">
        <v>0</v>
      </c>
      <c r="F281" s="25">
        <f t="shared" si="15"/>
        <v>622.75121999999988</v>
      </c>
      <c r="G281" s="71"/>
      <c r="H281" s="72"/>
    </row>
    <row r="282" spans="1:8" s="51" customFormat="1" x14ac:dyDescent="0.25">
      <c r="A282" s="66">
        <v>7</v>
      </c>
      <c r="B282" s="66"/>
      <c r="C282" s="25" t="s">
        <v>170</v>
      </c>
      <c r="D282" s="62">
        <f>(38.56)*10.764</f>
        <v>415.05984000000001</v>
      </c>
      <c r="E282" s="25">
        <v>0</v>
      </c>
      <c r="F282" s="25">
        <f t="shared" si="15"/>
        <v>622.58976000000007</v>
      </c>
      <c r="G282" s="71"/>
      <c r="H282" s="72"/>
    </row>
    <row r="283" spans="1:8" s="51" customFormat="1" x14ac:dyDescent="0.25">
      <c r="A283" s="66">
        <v>8</v>
      </c>
      <c r="B283" s="66"/>
      <c r="C283" s="25" t="s">
        <v>170</v>
      </c>
      <c r="D283" s="62">
        <f>(33.03)*10.764</f>
        <v>355.53492</v>
      </c>
      <c r="E283" s="25">
        <v>0</v>
      </c>
      <c r="F283" s="25">
        <f t="shared" si="15"/>
        <v>533.30237999999997</v>
      </c>
      <c r="G283" s="71"/>
      <c r="H283" s="72"/>
    </row>
    <row r="284" spans="1:8" s="51" customFormat="1" x14ac:dyDescent="0.25">
      <c r="A284" s="66">
        <v>9</v>
      </c>
      <c r="B284" s="66"/>
      <c r="C284" s="25" t="s">
        <v>170</v>
      </c>
      <c r="D284" s="62">
        <f>(33.03)*10.764</f>
        <v>355.53492</v>
      </c>
      <c r="E284" s="25">
        <v>0</v>
      </c>
      <c r="F284" s="25">
        <f t="shared" si="15"/>
        <v>533.30237999999997</v>
      </c>
      <c r="G284" s="71"/>
      <c r="H284" s="72"/>
    </row>
    <row r="285" spans="1:8" s="51" customFormat="1" x14ac:dyDescent="0.25">
      <c r="A285" s="66">
        <v>10</v>
      </c>
      <c r="B285" s="66"/>
      <c r="C285" s="25" t="s">
        <v>171</v>
      </c>
      <c r="D285" s="62">
        <f>(49.15)*10.764</f>
        <v>529.05059999999992</v>
      </c>
      <c r="E285" s="25">
        <v>0</v>
      </c>
      <c r="F285" s="25">
        <f t="shared" si="15"/>
        <v>793.57589999999982</v>
      </c>
      <c r="G285" s="71"/>
      <c r="H285" s="72"/>
    </row>
    <row r="286" spans="1:8" s="51" customFormat="1" x14ac:dyDescent="0.25">
      <c r="A286" s="66">
        <v>11</v>
      </c>
      <c r="B286" s="66"/>
      <c r="C286" s="81" t="s">
        <v>172</v>
      </c>
      <c r="D286" s="82"/>
      <c r="E286" s="82"/>
      <c r="F286" s="83"/>
      <c r="G286" s="71"/>
      <c r="H286" s="72"/>
    </row>
    <row r="287" spans="1:8" s="51" customFormat="1" ht="15.75" customHeight="1" x14ac:dyDescent="0.25">
      <c r="A287" s="66">
        <v>12</v>
      </c>
      <c r="B287" s="66"/>
      <c r="C287" s="25" t="s">
        <v>170</v>
      </c>
      <c r="D287" s="62">
        <f>(33.03)*10.764</f>
        <v>355.53492</v>
      </c>
      <c r="E287" s="25">
        <v>0</v>
      </c>
      <c r="F287" s="25">
        <f>D287*1.5+E287</f>
        <v>533.30237999999997</v>
      </c>
      <c r="G287" s="71"/>
      <c r="H287" s="72"/>
    </row>
    <row r="288" spans="1:8" s="51" customFormat="1" x14ac:dyDescent="0.25">
      <c r="A288" s="66">
        <v>13</v>
      </c>
      <c r="B288" s="66"/>
      <c r="C288" s="25" t="s">
        <v>170</v>
      </c>
      <c r="D288" s="62">
        <f>(33.03)*10.764</f>
        <v>355.53492</v>
      </c>
      <c r="E288" s="25">
        <v>0</v>
      </c>
      <c r="F288" s="25">
        <f t="shared" ref="F288:F291" si="16">D288*1.5+E288</f>
        <v>533.30237999999997</v>
      </c>
      <c r="G288" s="71"/>
      <c r="H288" s="72"/>
    </row>
    <row r="289" spans="1:8" s="51" customFormat="1" x14ac:dyDescent="0.25">
      <c r="A289" s="66">
        <v>14</v>
      </c>
      <c r="B289" s="66"/>
      <c r="C289" s="25" t="s">
        <v>170</v>
      </c>
      <c r="D289" s="62">
        <f>(38.57)*10.764</f>
        <v>415.16747999999995</v>
      </c>
      <c r="E289" s="25">
        <v>0</v>
      </c>
      <c r="F289" s="25">
        <f t="shared" si="16"/>
        <v>622.75121999999988</v>
      </c>
      <c r="G289" s="71"/>
      <c r="H289" s="72"/>
    </row>
    <row r="290" spans="1:8" s="51" customFormat="1" x14ac:dyDescent="0.25">
      <c r="A290" s="66">
        <v>15</v>
      </c>
      <c r="B290" s="66"/>
      <c r="C290" s="25" t="s">
        <v>170</v>
      </c>
      <c r="D290" s="62">
        <f>(38.56)*10.764</f>
        <v>415.05984000000001</v>
      </c>
      <c r="E290" s="25">
        <v>0</v>
      </c>
      <c r="F290" s="25">
        <f t="shared" si="16"/>
        <v>622.58976000000007</v>
      </c>
      <c r="G290" s="71"/>
      <c r="H290" s="72"/>
    </row>
    <row r="291" spans="1:8" s="51" customFormat="1" x14ac:dyDescent="0.25">
      <c r="A291" s="66">
        <v>16</v>
      </c>
      <c r="B291" s="66"/>
      <c r="C291" s="25" t="s">
        <v>170</v>
      </c>
      <c r="D291" s="62">
        <f>(33.03)*10.764</f>
        <v>355.53492</v>
      </c>
      <c r="E291" s="25">
        <v>0</v>
      </c>
      <c r="F291" s="25">
        <f t="shared" si="16"/>
        <v>533.30237999999997</v>
      </c>
      <c r="G291" s="73"/>
      <c r="H291" s="74"/>
    </row>
    <row r="292" spans="1:8" s="51" customFormat="1" x14ac:dyDescent="0.25">
      <c r="A292" s="80" t="s">
        <v>247</v>
      </c>
      <c r="B292" s="80"/>
      <c r="C292" s="80"/>
      <c r="D292" s="80"/>
      <c r="E292" s="80"/>
      <c r="F292" s="80"/>
      <c r="G292" s="80"/>
      <c r="H292" s="80"/>
    </row>
    <row r="293" spans="1:8" s="51" customFormat="1" x14ac:dyDescent="0.25">
      <c r="A293" s="66">
        <v>1</v>
      </c>
      <c r="B293" s="66"/>
      <c r="C293" s="25" t="s">
        <v>170</v>
      </c>
      <c r="D293" s="62">
        <f>(33.03)*10.764</f>
        <v>355.53492</v>
      </c>
      <c r="E293" s="25">
        <v>0</v>
      </c>
      <c r="F293" s="25">
        <f>D293*1.5+E293</f>
        <v>533.30237999999997</v>
      </c>
      <c r="G293" s="69" t="str">
        <f>A292</f>
        <v>32nd Floor</v>
      </c>
      <c r="H293" s="70"/>
    </row>
    <row r="294" spans="1:8" s="51" customFormat="1" x14ac:dyDescent="0.25">
      <c r="A294" s="66">
        <v>2</v>
      </c>
      <c r="B294" s="66"/>
      <c r="C294" s="25" t="s">
        <v>171</v>
      </c>
      <c r="D294" s="62">
        <f>(49.15)*10.764</f>
        <v>529.05059999999992</v>
      </c>
      <c r="E294" s="25">
        <v>0</v>
      </c>
      <c r="F294" s="25">
        <f t="shared" ref="F294:F308" si="17">D294*1.5+E294</f>
        <v>793.57589999999982</v>
      </c>
      <c r="G294" s="71"/>
      <c r="H294" s="72"/>
    </row>
    <row r="295" spans="1:8" s="51" customFormat="1" x14ac:dyDescent="0.25">
      <c r="A295" s="66">
        <v>3</v>
      </c>
      <c r="B295" s="66"/>
      <c r="C295" s="25" t="s">
        <v>171</v>
      </c>
      <c r="D295" s="62">
        <f>(49.15)*10.764</f>
        <v>529.05059999999992</v>
      </c>
      <c r="E295" s="25">
        <v>0</v>
      </c>
      <c r="F295" s="25">
        <f t="shared" si="17"/>
        <v>793.57589999999982</v>
      </c>
      <c r="G295" s="71"/>
      <c r="H295" s="72"/>
    </row>
    <row r="296" spans="1:8" s="51" customFormat="1" x14ac:dyDescent="0.25">
      <c r="A296" s="66">
        <v>4</v>
      </c>
      <c r="B296" s="66"/>
      <c r="C296" s="25" t="s">
        <v>170</v>
      </c>
      <c r="D296" s="62">
        <f>(33.03)*10.764</f>
        <v>355.53492</v>
      </c>
      <c r="E296" s="25">
        <v>0</v>
      </c>
      <c r="F296" s="25">
        <f t="shared" si="17"/>
        <v>533.30237999999997</v>
      </c>
      <c r="G296" s="71"/>
      <c r="H296" s="72"/>
    </row>
    <row r="297" spans="1:8" s="51" customFormat="1" x14ac:dyDescent="0.25">
      <c r="A297" s="66">
        <v>5</v>
      </c>
      <c r="B297" s="66"/>
      <c r="C297" s="25" t="s">
        <v>170</v>
      </c>
      <c r="D297" s="62">
        <f>(33.03)*10.764</f>
        <v>355.53492</v>
      </c>
      <c r="E297" s="25">
        <v>0</v>
      </c>
      <c r="F297" s="25">
        <f t="shared" si="17"/>
        <v>533.30237999999997</v>
      </c>
      <c r="G297" s="71"/>
      <c r="H297" s="72"/>
    </row>
    <row r="298" spans="1:8" s="51" customFormat="1" x14ac:dyDescent="0.25">
      <c r="A298" s="66">
        <v>6</v>
      </c>
      <c r="B298" s="66"/>
      <c r="C298" s="25" t="s">
        <v>170</v>
      </c>
      <c r="D298" s="62">
        <f>(38.57)*10.764</f>
        <v>415.16747999999995</v>
      </c>
      <c r="E298" s="25">
        <v>0</v>
      </c>
      <c r="F298" s="25">
        <f t="shared" si="17"/>
        <v>622.75121999999988</v>
      </c>
      <c r="G298" s="71"/>
      <c r="H298" s="72"/>
    </row>
    <row r="299" spans="1:8" s="51" customFormat="1" x14ac:dyDescent="0.25">
      <c r="A299" s="66">
        <v>7</v>
      </c>
      <c r="B299" s="66"/>
      <c r="C299" s="25" t="s">
        <v>170</v>
      </c>
      <c r="D299" s="62">
        <f>(38.56)*10.764</f>
        <v>415.05984000000001</v>
      </c>
      <c r="E299" s="25">
        <v>0</v>
      </c>
      <c r="F299" s="25">
        <f t="shared" si="17"/>
        <v>622.58976000000007</v>
      </c>
      <c r="G299" s="71"/>
      <c r="H299" s="72"/>
    </row>
    <row r="300" spans="1:8" s="51" customFormat="1" x14ac:dyDescent="0.25">
      <c r="A300" s="66">
        <v>8</v>
      </c>
      <c r="B300" s="66"/>
      <c r="C300" s="25" t="s">
        <v>170</v>
      </c>
      <c r="D300" s="62">
        <f>(33.03)*10.764</f>
        <v>355.53492</v>
      </c>
      <c r="E300" s="25">
        <v>0</v>
      </c>
      <c r="F300" s="25">
        <f t="shared" si="17"/>
        <v>533.30237999999997</v>
      </c>
      <c r="G300" s="71"/>
      <c r="H300" s="72"/>
    </row>
    <row r="301" spans="1:8" s="51" customFormat="1" x14ac:dyDescent="0.25">
      <c r="A301" s="66">
        <v>9</v>
      </c>
      <c r="B301" s="66"/>
      <c r="C301" s="25" t="s">
        <v>170</v>
      </c>
      <c r="D301" s="62">
        <f>(33.03)*10.764</f>
        <v>355.53492</v>
      </c>
      <c r="E301" s="25">
        <v>0</v>
      </c>
      <c r="F301" s="25">
        <f t="shared" si="17"/>
        <v>533.30237999999997</v>
      </c>
      <c r="G301" s="71"/>
      <c r="H301" s="72"/>
    </row>
    <row r="302" spans="1:8" s="51" customFormat="1" x14ac:dyDescent="0.25">
      <c r="A302" s="66">
        <v>10</v>
      </c>
      <c r="B302" s="66"/>
      <c r="C302" s="25" t="s">
        <v>171</v>
      </c>
      <c r="D302" s="62">
        <f>(49.15)*10.764</f>
        <v>529.05059999999992</v>
      </c>
      <c r="E302" s="25">
        <v>0</v>
      </c>
      <c r="F302" s="25">
        <f t="shared" si="17"/>
        <v>793.57589999999982</v>
      </c>
      <c r="G302" s="71"/>
      <c r="H302" s="72"/>
    </row>
    <row r="303" spans="1:8" s="51" customFormat="1" x14ac:dyDescent="0.25">
      <c r="A303" s="66">
        <v>11</v>
      </c>
      <c r="B303" s="66"/>
      <c r="C303" s="25" t="s">
        <v>171</v>
      </c>
      <c r="D303" s="62">
        <f>(49.15)*10.764</f>
        <v>529.05059999999992</v>
      </c>
      <c r="E303" s="25">
        <v>0</v>
      </c>
      <c r="F303" s="25">
        <f t="shared" si="17"/>
        <v>793.57589999999982</v>
      </c>
      <c r="G303" s="71"/>
      <c r="H303" s="72"/>
    </row>
    <row r="304" spans="1:8" s="51" customFormat="1" x14ac:dyDescent="0.25">
      <c r="A304" s="66">
        <v>12</v>
      </c>
      <c r="B304" s="66"/>
      <c r="C304" s="25" t="s">
        <v>170</v>
      </c>
      <c r="D304" s="62">
        <f>(33.03)*10.764</f>
        <v>355.53492</v>
      </c>
      <c r="E304" s="25">
        <v>0</v>
      </c>
      <c r="F304" s="25">
        <f t="shared" si="17"/>
        <v>533.30237999999997</v>
      </c>
      <c r="G304" s="71"/>
      <c r="H304" s="72"/>
    </row>
    <row r="305" spans="1:8" s="51" customFormat="1" x14ac:dyDescent="0.25">
      <c r="A305" s="66">
        <v>13</v>
      </c>
      <c r="B305" s="66"/>
      <c r="C305" s="25" t="s">
        <v>170</v>
      </c>
      <c r="D305" s="62">
        <f>(33.03)*10.764</f>
        <v>355.53492</v>
      </c>
      <c r="E305" s="25">
        <v>0</v>
      </c>
      <c r="F305" s="25">
        <f t="shared" si="17"/>
        <v>533.30237999999997</v>
      </c>
      <c r="G305" s="71"/>
      <c r="H305" s="72"/>
    </row>
    <row r="306" spans="1:8" s="51" customFormat="1" x14ac:dyDescent="0.25">
      <c r="A306" s="66">
        <v>14</v>
      </c>
      <c r="B306" s="66"/>
      <c r="C306" s="25" t="s">
        <v>170</v>
      </c>
      <c r="D306" s="62">
        <f>(38.57)*10.764</f>
        <v>415.16747999999995</v>
      </c>
      <c r="E306" s="25">
        <v>0</v>
      </c>
      <c r="F306" s="25">
        <f t="shared" si="17"/>
        <v>622.75121999999988</v>
      </c>
      <c r="G306" s="71"/>
      <c r="H306" s="72"/>
    </row>
    <row r="307" spans="1:8" s="51" customFormat="1" x14ac:dyDescent="0.25">
      <c r="A307" s="66">
        <v>15</v>
      </c>
      <c r="B307" s="66"/>
      <c r="C307" s="25" t="s">
        <v>170</v>
      </c>
      <c r="D307" s="62">
        <f>(38.56)*10.764</f>
        <v>415.05984000000001</v>
      </c>
      <c r="E307" s="25">
        <v>0</v>
      </c>
      <c r="F307" s="25">
        <f t="shared" si="17"/>
        <v>622.58976000000007</v>
      </c>
      <c r="G307" s="71"/>
      <c r="H307" s="72"/>
    </row>
    <row r="308" spans="1:8" s="51" customFormat="1" x14ac:dyDescent="0.25">
      <c r="A308" s="66">
        <v>16</v>
      </c>
      <c r="B308" s="66"/>
      <c r="C308" s="25" t="s">
        <v>170</v>
      </c>
      <c r="D308" s="62">
        <f>(33.03)*10.764</f>
        <v>355.53492</v>
      </c>
      <c r="E308" s="25">
        <v>0</v>
      </c>
      <c r="F308" s="25">
        <f t="shared" si="17"/>
        <v>533.30237999999997</v>
      </c>
      <c r="G308" s="73"/>
      <c r="H308" s="74"/>
    </row>
    <row r="309" spans="1:8" s="51" customFormat="1" x14ac:dyDescent="0.25">
      <c r="A309" s="80" t="s">
        <v>167</v>
      </c>
      <c r="B309" s="80"/>
      <c r="C309" s="80"/>
      <c r="D309" s="80"/>
      <c r="E309" s="80"/>
      <c r="F309" s="80"/>
      <c r="G309" s="80"/>
      <c r="H309" s="80"/>
    </row>
    <row r="310" spans="1:8" s="51" customFormat="1" x14ac:dyDescent="0.25">
      <c r="A310" s="80" t="s">
        <v>164</v>
      </c>
      <c r="B310" s="80"/>
      <c r="C310" s="80"/>
      <c r="D310" s="80"/>
      <c r="E310" s="80"/>
      <c r="F310" s="80"/>
      <c r="G310" s="80"/>
      <c r="H310" s="80"/>
    </row>
    <row r="311" spans="1:8" s="51" customFormat="1" x14ac:dyDescent="0.25">
      <c r="A311" s="80" t="s">
        <v>195</v>
      </c>
      <c r="B311" s="80"/>
      <c r="C311" s="80"/>
      <c r="D311" s="80"/>
      <c r="E311" s="80"/>
      <c r="F311" s="80"/>
      <c r="G311" s="80"/>
      <c r="H311" s="80"/>
    </row>
    <row r="312" spans="1:8" s="51" customFormat="1" x14ac:dyDescent="0.25">
      <c r="A312" s="66">
        <v>1</v>
      </c>
      <c r="B312" s="66"/>
      <c r="C312" s="25" t="s">
        <v>170</v>
      </c>
      <c r="D312" s="25">
        <f>31*10.764</f>
        <v>333.68399999999997</v>
      </c>
      <c r="E312" s="25">
        <v>0</v>
      </c>
      <c r="F312" s="25">
        <f>D312*1.5+E312</f>
        <v>500.52599999999995</v>
      </c>
      <c r="G312" s="69" t="str">
        <f>A311</f>
        <v xml:space="preserve">1st to 7th, 9th to 12th, 14th to 17th, 19th to 22nd, 24th to 27th, 29th to 31st Floor </v>
      </c>
      <c r="H312" s="70"/>
    </row>
    <row r="313" spans="1:8" s="51" customFormat="1" x14ac:dyDescent="0.25">
      <c r="A313" s="66">
        <v>2</v>
      </c>
      <c r="B313" s="66"/>
      <c r="C313" s="25" t="s">
        <v>171</v>
      </c>
      <c r="D313" s="25">
        <f>44*10.764</f>
        <v>473.61599999999999</v>
      </c>
      <c r="E313" s="25">
        <v>0</v>
      </c>
      <c r="F313" s="25">
        <f t="shared" ref="F313:F327" si="18">D313*1.5+E313</f>
        <v>710.42399999999998</v>
      </c>
      <c r="G313" s="71"/>
      <c r="H313" s="72"/>
    </row>
    <row r="314" spans="1:8" s="51" customFormat="1" x14ac:dyDescent="0.25">
      <c r="A314" s="66">
        <v>3</v>
      </c>
      <c r="B314" s="66"/>
      <c r="C314" s="25" t="s">
        <v>171</v>
      </c>
      <c r="D314" s="25">
        <f>44*10.764</f>
        <v>473.61599999999999</v>
      </c>
      <c r="E314" s="25">
        <v>0</v>
      </c>
      <c r="F314" s="25">
        <f t="shared" si="18"/>
        <v>710.42399999999998</v>
      </c>
      <c r="G314" s="71"/>
      <c r="H314" s="72"/>
    </row>
    <row r="315" spans="1:8" s="51" customFormat="1" x14ac:dyDescent="0.25">
      <c r="A315" s="66">
        <v>4</v>
      </c>
      <c r="B315" s="66"/>
      <c r="C315" s="25" t="s">
        <v>170</v>
      </c>
      <c r="D315" s="25">
        <f>31*10.764</f>
        <v>333.68399999999997</v>
      </c>
      <c r="E315" s="25">
        <v>0</v>
      </c>
      <c r="F315" s="25">
        <f t="shared" si="18"/>
        <v>500.52599999999995</v>
      </c>
      <c r="G315" s="71"/>
      <c r="H315" s="72"/>
    </row>
    <row r="316" spans="1:8" s="51" customFormat="1" x14ac:dyDescent="0.25">
      <c r="A316" s="66">
        <v>5</v>
      </c>
      <c r="B316" s="66"/>
      <c r="C316" s="25" t="s">
        <v>170</v>
      </c>
      <c r="D316" s="25">
        <f>31*10.764</f>
        <v>333.68399999999997</v>
      </c>
      <c r="E316" s="25">
        <v>0</v>
      </c>
      <c r="F316" s="25">
        <f t="shared" si="18"/>
        <v>500.52599999999995</v>
      </c>
      <c r="G316" s="71"/>
      <c r="H316" s="72"/>
    </row>
    <row r="317" spans="1:8" s="51" customFormat="1" x14ac:dyDescent="0.25">
      <c r="A317" s="66">
        <v>6</v>
      </c>
      <c r="B317" s="66"/>
      <c r="C317" s="25" t="s">
        <v>170</v>
      </c>
      <c r="D317" s="25">
        <f>36*10.764</f>
        <v>387.50399999999996</v>
      </c>
      <c r="E317" s="25">
        <v>0</v>
      </c>
      <c r="F317" s="25">
        <f t="shared" si="18"/>
        <v>581.25599999999997</v>
      </c>
      <c r="G317" s="71"/>
      <c r="H317" s="72"/>
    </row>
    <row r="318" spans="1:8" s="51" customFormat="1" x14ac:dyDescent="0.25">
      <c r="A318" s="66">
        <v>7</v>
      </c>
      <c r="B318" s="66"/>
      <c r="C318" s="25" t="s">
        <v>170</v>
      </c>
      <c r="D318" s="25">
        <f>36*10.764</f>
        <v>387.50399999999996</v>
      </c>
      <c r="E318" s="25">
        <v>0</v>
      </c>
      <c r="F318" s="25">
        <f t="shared" si="18"/>
        <v>581.25599999999997</v>
      </c>
      <c r="G318" s="71"/>
      <c r="H318" s="72"/>
    </row>
    <row r="319" spans="1:8" s="51" customFormat="1" x14ac:dyDescent="0.25">
      <c r="A319" s="66">
        <v>8</v>
      </c>
      <c r="B319" s="66"/>
      <c r="C319" s="25" t="s">
        <v>170</v>
      </c>
      <c r="D319" s="25">
        <f>31*10.764</f>
        <v>333.68399999999997</v>
      </c>
      <c r="E319" s="25">
        <v>0</v>
      </c>
      <c r="F319" s="25">
        <f t="shared" si="18"/>
        <v>500.52599999999995</v>
      </c>
      <c r="G319" s="71"/>
      <c r="H319" s="72"/>
    </row>
    <row r="320" spans="1:8" s="51" customFormat="1" x14ac:dyDescent="0.25">
      <c r="A320" s="66">
        <v>9</v>
      </c>
      <c r="B320" s="66"/>
      <c r="C320" s="25" t="s">
        <v>170</v>
      </c>
      <c r="D320" s="25">
        <f t="shared" ref="D320" si="19">31*10.764</f>
        <v>333.68399999999997</v>
      </c>
      <c r="E320" s="25">
        <v>0</v>
      </c>
      <c r="F320" s="25">
        <f t="shared" si="18"/>
        <v>500.52599999999995</v>
      </c>
      <c r="G320" s="71"/>
      <c r="H320" s="72"/>
    </row>
    <row r="321" spans="1:8" s="51" customFormat="1" x14ac:dyDescent="0.25">
      <c r="A321" s="66">
        <v>10</v>
      </c>
      <c r="B321" s="66"/>
      <c r="C321" s="25" t="s">
        <v>171</v>
      </c>
      <c r="D321" s="25">
        <f>44*10.764</f>
        <v>473.61599999999999</v>
      </c>
      <c r="E321" s="25">
        <v>0</v>
      </c>
      <c r="F321" s="25">
        <f t="shared" si="18"/>
        <v>710.42399999999998</v>
      </c>
      <c r="G321" s="71"/>
      <c r="H321" s="72"/>
    </row>
    <row r="322" spans="1:8" s="51" customFormat="1" x14ac:dyDescent="0.25">
      <c r="A322" s="66">
        <v>11</v>
      </c>
      <c r="B322" s="66"/>
      <c r="C322" s="25" t="s">
        <v>171</v>
      </c>
      <c r="D322" s="25">
        <f>44*10.764</f>
        <v>473.61599999999999</v>
      </c>
      <c r="E322" s="25">
        <v>0</v>
      </c>
      <c r="F322" s="25">
        <f t="shared" si="18"/>
        <v>710.42399999999998</v>
      </c>
      <c r="G322" s="71"/>
      <c r="H322" s="72"/>
    </row>
    <row r="323" spans="1:8" s="51" customFormat="1" x14ac:dyDescent="0.25">
      <c r="A323" s="66">
        <v>12</v>
      </c>
      <c r="B323" s="66"/>
      <c r="C323" s="25" t="s">
        <v>170</v>
      </c>
      <c r="D323" s="25">
        <f>31*10.764</f>
        <v>333.68399999999997</v>
      </c>
      <c r="E323" s="25">
        <v>0</v>
      </c>
      <c r="F323" s="25">
        <f t="shared" si="18"/>
        <v>500.52599999999995</v>
      </c>
      <c r="G323" s="71"/>
      <c r="H323" s="72"/>
    </row>
    <row r="324" spans="1:8" s="51" customFormat="1" x14ac:dyDescent="0.25">
      <c r="A324" s="66">
        <v>13</v>
      </c>
      <c r="B324" s="66"/>
      <c r="C324" s="25" t="s">
        <v>170</v>
      </c>
      <c r="D324" s="25">
        <f>31*10.764</f>
        <v>333.68399999999997</v>
      </c>
      <c r="E324" s="25">
        <v>0</v>
      </c>
      <c r="F324" s="25">
        <f t="shared" si="18"/>
        <v>500.52599999999995</v>
      </c>
      <c r="G324" s="71"/>
      <c r="H324" s="72"/>
    </row>
    <row r="325" spans="1:8" s="51" customFormat="1" x14ac:dyDescent="0.25">
      <c r="A325" s="66">
        <v>14</v>
      </c>
      <c r="B325" s="66"/>
      <c r="C325" s="25" t="s">
        <v>170</v>
      </c>
      <c r="D325" s="25">
        <f>36*10.764</f>
        <v>387.50399999999996</v>
      </c>
      <c r="E325" s="25">
        <v>0</v>
      </c>
      <c r="F325" s="25">
        <f t="shared" si="18"/>
        <v>581.25599999999997</v>
      </c>
      <c r="G325" s="71"/>
      <c r="H325" s="72"/>
    </row>
    <row r="326" spans="1:8" s="51" customFormat="1" x14ac:dyDescent="0.25">
      <c r="A326" s="66">
        <v>15</v>
      </c>
      <c r="B326" s="66"/>
      <c r="C326" s="25" t="s">
        <v>170</v>
      </c>
      <c r="D326" s="25">
        <f>36*10.764</f>
        <v>387.50399999999996</v>
      </c>
      <c r="E326" s="25">
        <v>0</v>
      </c>
      <c r="F326" s="25">
        <f t="shared" si="18"/>
        <v>581.25599999999997</v>
      </c>
      <c r="G326" s="71"/>
      <c r="H326" s="72"/>
    </row>
    <row r="327" spans="1:8" s="51" customFormat="1" x14ac:dyDescent="0.25">
      <c r="A327" s="66">
        <v>16</v>
      </c>
      <c r="B327" s="66"/>
      <c r="C327" s="25" t="s">
        <v>170</v>
      </c>
      <c r="D327" s="25">
        <f>31*10.764</f>
        <v>333.68399999999997</v>
      </c>
      <c r="E327" s="25">
        <v>0</v>
      </c>
      <c r="F327" s="25">
        <f t="shared" si="18"/>
        <v>500.52599999999995</v>
      </c>
      <c r="G327" s="73"/>
      <c r="H327" s="74"/>
    </row>
    <row r="328" spans="1:8" s="51" customFormat="1" x14ac:dyDescent="0.25">
      <c r="A328" s="87" t="s">
        <v>173</v>
      </c>
      <c r="B328" s="87"/>
      <c r="C328" s="87"/>
      <c r="D328" s="87"/>
      <c r="E328" s="87"/>
      <c r="F328" s="87"/>
      <c r="G328" s="87"/>
      <c r="H328" s="87"/>
    </row>
    <row r="329" spans="1:8" s="51" customFormat="1" x14ac:dyDescent="0.25">
      <c r="A329" s="66">
        <v>1</v>
      </c>
      <c r="B329" s="66"/>
      <c r="C329" s="25" t="s">
        <v>170</v>
      </c>
      <c r="D329" s="25">
        <f>31*10.764</f>
        <v>333.68399999999997</v>
      </c>
      <c r="E329" s="25">
        <v>0</v>
      </c>
      <c r="F329" s="25">
        <f>D329*1.5+E329</f>
        <v>500.52599999999995</v>
      </c>
      <c r="G329" s="69" t="str">
        <f>A328</f>
        <v xml:space="preserve">8th, 13th, 18th, 23rd &amp; 28th (Part Refuge Area) </v>
      </c>
      <c r="H329" s="70"/>
    </row>
    <row r="330" spans="1:8" s="51" customFormat="1" x14ac:dyDescent="0.25">
      <c r="A330" s="66">
        <v>2</v>
      </c>
      <c r="B330" s="66"/>
      <c r="C330" s="25" t="s">
        <v>171</v>
      </c>
      <c r="D330" s="25">
        <f>44*10.764</f>
        <v>473.61599999999999</v>
      </c>
      <c r="E330" s="25">
        <v>0</v>
      </c>
      <c r="F330" s="25">
        <f t="shared" ref="F330:F337" si="20">D330*1.5+E330</f>
        <v>710.42399999999998</v>
      </c>
      <c r="G330" s="71"/>
      <c r="H330" s="72"/>
    </row>
    <row r="331" spans="1:8" s="51" customFormat="1" x14ac:dyDescent="0.25">
      <c r="A331" s="66">
        <v>3</v>
      </c>
      <c r="B331" s="66"/>
      <c r="C331" s="25" t="s">
        <v>171</v>
      </c>
      <c r="D331" s="25">
        <f>44*10.764</f>
        <v>473.61599999999999</v>
      </c>
      <c r="E331" s="25">
        <v>0</v>
      </c>
      <c r="F331" s="25">
        <f t="shared" si="20"/>
        <v>710.42399999999998</v>
      </c>
      <c r="G331" s="71"/>
      <c r="H331" s="72"/>
    </row>
    <row r="332" spans="1:8" s="51" customFormat="1" x14ac:dyDescent="0.25">
      <c r="A332" s="66">
        <v>4</v>
      </c>
      <c r="B332" s="66"/>
      <c r="C332" s="25" t="s">
        <v>170</v>
      </c>
      <c r="D332" s="25">
        <f>31*10.764</f>
        <v>333.68399999999997</v>
      </c>
      <c r="E332" s="25">
        <v>0</v>
      </c>
      <c r="F332" s="25">
        <f t="shared" si="20"/>
        <v>500.52599999999995</v>
      </c>
      <c r="G332" s="71"/>
      <c r="H332" s="72"/>
    </row>
    <row r="333" spans="1:8" s="51" customFormat="1" x14ac:dyDescent="0.25">
      <c r="A333" s="66">
        <v>5</v>
      </c>
      <c r="B333" s="66"/>
      <c r="C333" s="25" t="s">
        <v>170</v>
      </c>
      <c r="D333" s="25">
        <f>31*10.764</f>
        <v>333.68399999999997</v>
      </c>
      <c r="E333" s="25">
        <v>0</v>
      </c>
      <c r="F333" s="25">
        <f t="shared" si="20"/>
        <v>500.52599999999995</v>
      </c>
      <c r="G333" s="71"/>
      <c r="H333" s="72"/>
    </row>
    <row r="334" spans="1:8" s="51" customFormat="1" x14ac:dyDescent="0.25">
      <c r="A334" s="66">
        <v>6</v>
      </c>
      <c r="B334" s="66"/>
      <c r="C334" s="25" t="s">
        <v>170</v>
      </c>
      <c r="D334" s="25">
        <f>36*10.764</f>
        <v>387.50399999999996</v>
      </c>
      <c r="E334" s="25">
        <v>0</v>
      </c>
      <c r="F334" s="25">
        <f t="shared" si="20"/>
        <v>581.25599999999997</v>
      </c>
      <c r="G334" s="71"/>
      <c r="H334" s="72"/>
    </row>
    <row r="335" spans="1:8" s="51" customFormat="1" x14ac:dyDescent="0.25">
      <c r="A335" s="66">
        <v>7</v>
      </c>
      <c r="B335" s="66"/>
      <c r="C335" s="25" t="s">
        <v>170</v>
      </c>
      <c r="D335" s="25">
        <f>36*10.764</f>
        <v>387.50399999999996</v>
      </c>
      <c r="E335" s="25">
        <v>0</v>
      </c>
      <c r="F335" s="25">
        <f t="shared" si="20"/>
        <v>581.25599999999997</v>
      </c>
      <c r="G335" s="71"/>
      <c r="H335" s="72"/>
    </row>
    <row r="336" spans="1:8" s="51" customFormat="1" x14ac:dyDescent="0.25">
      <c r="A336" s="66">
        <v>8</v>
      </c>
      <c r="B336" s="66"/>
      <c r="C336" s="25" t="s">
        <v>170</v>
      </c>
      <c r="D336" s="25">
        <f>31*10.764</f>
        <v>333.68399999999997</v>
      </c>
      <c r="E336" s="25">
        <v>0</v>
      </c>
      <c r="F336" s="25">
        <f t="shared" si="20"/>
        <v>500.52599999999995</v>
      </c>
      <c r="G336" s="71"/>
      <c r="H336" s="72"/>
    </row>
    <row r="337" spans="1:8" s="51" customFormat="1" x14ac:dyDescent="0.25">
      <c r="A337" s="66">
        <v>9</v>
      </c>
      <c r="B337" s="66"/>
      <c r="C337" s="25" t="s">
        <v>170</v>
      </c>
      <c r="D337" s="25">
        <f t="shared" ref="D337" si="21">31*10.764</f>
        <v>333.68399999999997</v>
      </c>
      <c r="E337" s="25">
        <v>0</v>
      </c>
      <c r="F337" s="25">
        <f t="shared" si="20"/>
        <v>500.52599999999995</v>
      </c>
      <c r="G337" s="71"/>
      <c r="H337" s="72"/>
    </row>
    <row r="338" spans="1:8" s="51" customFormat="1" x14ac:dyDescent="0.25">
      <c r="A338" s="66">
        <v>10</v>
      </c>
      <c r="B338" s="66"/>
      <c r="C338" s="81" t="s">
        <v>172</v>
      </c>
      <c r="D338" s="82"/>
      <c r="E338" s="82"/>
      <c r="F338" s="83"/>
      <c r="G338" s="71"/>
      <c r="H338" s="72"/>
    </row>
    <row r="339" spans="1:8" s="51" customFormat="1" x14ac:dyDescent="0.25">
      <c r="A339" s="66">
        <v>11</v>
      </c>
      <c r="B339" s="66"/>
      <c r="C339" s="25" t="s">
        <v>171</v>
      </c>
      <c r="D339" s="25">
        <f>44*10.764</f>
        <v>473.61599999999999</v>
      </c>
      <c r="E339" s="25">
        <v>0</v>
      </c>
      <c r="F339" s="25">
        <f>D339*1.5+E339</f>
        <v>710.42399999999998</v>
      </c>
      <c r="G339" s="71"/>
      <c r="H339" s="72"/>
    </row>
    <row r="340" spans="1:8" s="51" customFormat="1" x14ac:dyDescent="0.25">
      <c r="A340" s="66">
        <v>12</v>
      </c>
      <c r="B340" s="66"/>
      <c r="C340" s="25" t="s">
        <v>170</v>
      </c>
      <c r="D340" s="25">
        <f>31*10.764</f>
        <v>333.68399999999997</v>
      </c>
      <c r="E340" s="25">
        <v>0</v>
      </c>
      <c r="F340" s="25">
        <f t="shared" ref="F340:F344" si="22">D340*1.5+E340</f>
        <v>500.52599999999995</v>
      </c>
      <c r="G340" s="71"/>
      <c r="H340" s="72"/>
    </row>
    <row r="341" spans="1:8" s="51" customFormat="1" x14ac:dyDescent="0.25">
      <c r="A341" s="66">
        <v>13</v>
      </c>
      <c r="B341" s="66"/>
      <c r="C341" s="25" t="s">
        <v>170</v>
      </c>
      <c r="D341" s="25">
        <f>31*10.764</f>
        <v>333.68399999999997</v>
      </c>
      <c r="E341" s="25">
        <v>0</v>
      </c>
      <c r="F341" s="25">
        <f t="shared" si="22"/>
        <v>500.52599999999995</v>
      </c>
      <c r="G341" s="71"/>
      <c r="H341" s="72"/>
    </row>
    <row r="342" spans="1:8" s="51" customFormat="1" x14ac:dyDescent="0.25">
      <c r="A342" s="66">
        <v>14</v>
      </c>
      <c r="B342" s="66"/>
      <c r="C342" s="25" t="s">
        <v>170</v>
      </c>
      <c r="D342" s="25">
        <f>36*10.764</f>
        <v>387.50399999999996</v>
      </c>
      <c r="E342" s="25">
        <v>0</v>
      </c>
      <c r="F342" s="25">
        <f t="shared" si="22"/>
        <v>581.25599999999997</v>
      </c>
      <c r="G342" s="71"/>
      <c r="H342" s="72"/>
    </row>
    <row r="343" spans="1:8" s="51" customFormat="1" x14ac:dyDescent="0.25">
      <c r="A343" s="66">
        <v>15</v>
      </c>
      <c r="B343" s="66"/>
      <c r="C343" s="25" t="s">
        <v>170</v>
      </c>
      <c r="D343" s="25">
        <f>36*10.764</f>
        <v>387.50399999999996</v>
      </c>
      <c r="E343" s="25">
        <v>0</v>
      </c>
      <c r="F343" s="25">
        <f t="shared" si="22"/>
        <v>581.25599999999997</v>
      </c>
      <c r="G343" s="71"/>
      <c r="H343" s="72"/>
    </row>
    <row r="344" spans="1:8" s="51" customFormat="1" x14ac:dyDescent="0.25">
      <c r="A344" s="66">
        <v>16</v>
      </c>
      <c r="B344" s="66"/>
      <c r="C344" s="25" t="s">
        <v>170</v>
      </c>
      <c r="D344" s="25">
        <f>31*10.764</f>
        <v>333.68399999999997</v>
      </c>
      <c r="E344" s="25">
        <v>0</v>
      </c>
      <c r="F344" s="25">
        <f t="shared" si="22"/>
        <v>500.52599999999995</v>
      </c>
      <c r="G344" s="73"/>
      <c r="H344" s="74"/>
    </row>
    <row r="345" spans="1:8" s="51" customFormat="1" x14ac:dyDescent="0.25">
      <c r="A345" s="80" t="s">
        <v>168</v>
      </c>
      <c r="B345" s="80"/>
      <c r="C345" s="80"/>
      <c r="D345" s="80"/>
      <c r="E345" s="80"/>
      <c r="F345" s="80"/>
      <c r="G345" s="80"/>
      <c r="H345" s="80"/>
    </row>
    <row r="346" spans="1:8" s="51" customFormat="1" x14ac:dyDescent="0.25">
      <c r="A346" s="80" t="s">
        <v>164</v>
      </c>
      <c r="B346" s="80"/>
      <c r="C346" s="80"/>
      <c r="D346" s="80"/>
      <c r="E346" s="80"/>
      <c r="F346" s="80"/>
      <c r="G346" s="80"/>
      <c r="H346" s="80"/>
    </row>
    <row r="347" spans="1:8" s="51" customFormat="1" x14ac:dyDescent="0.25">
      <c r="A347" s="80" t="s">
        <v>175</v>
      </c>
      <c r="B347" s="80"/>
      <c r="C347" s="80"/>
      <c r="D347" s="80"/>
      <c r="E347" s="80"/>
      <c r="F347" s="80"/>
      <c r="G347" s="80"/>
      <c r="H347" s="80"/>
    </row>
    <row r="348" spans="1:8" s="47" customFormat="1" x14ac:dyDescent="0.25">
      <c r="A348" s="66">
        <v>1</v>
      </c>
      <c r="B348" s="66"/>
      <c r="C348" s="25" t="s">
        <v>170</v>
      </c>
      <c r="D348" s="25">
        <f>31*10.764</f>
        <v>333.68399999999997</v>
      </c>
      <c r="E348" s="25">
        <v>0</v>
      </c>
      <c r="F348" s="25">
        <f>D348*1.5+E348</f>
        <v>500.52599999999995</v>
      </c>
      <c r="G348" s="69" t="str">
        <f>A347</f>
        <v xml:space="preserve">1st to 7th &amp; 9th Floor </v>
      </c>
      <c r="H348" s="70"/>
    </row>
    <row r="349" spans="1:8" s="53" customFormat="1" x14ac:dyDescent="0.25">
      <c r="A349" s="66">
        <v>2</v>
      </c>
      <c r="B349" s="66"/>
      <c r="C349" s="25" t="s">
        <v>171</v>
      </c>
      <c r="D349" s="25">
        <f>44*10.764</f>
        <v>473.61599999999999</v>
      </c>
      <c r="E349" s="25">
        <v>0</v>
      </c>
      <c r="F349" s="25">
        <f t="shared" ref="F349:F363" si="23">D349*1.5+E349</f>
        <v>710.42399999999998</v>
      </c>
      <c r="G349" s="71"/>
      <c r="H349" s="72"/>
    </row>
    <row r="350" spans="1:8" x14ac:dyDescent="0.25">
      <c r="A350" s="66">
        <v>3</v>
      </c>
      <c r="B350" s="66"/>
      <c r="C350" s="25" t="s">
        <v>171</v>
      </c>
      <c r="D350" s="25">
        <f>44*10.764</f>
        <v>473.61599999999999</v>
      </c>
      <c r="E350" s="25">
        <v>0</v>
      </c>
      <c r="F350" s="25">
        <f t="shared" si="23"/>
        <v>710.42399999999998</v>
      </c>
      <c r="G350" s="71"/>
      <c r="H350" s="72"/>
    </row>
    <row r="351" spans="1:8" x14ac:dyDescent="0.25">
      <c r="A351" s="66">
        <v>4</v>
      </c>
      <c r="B351" s="66"/>
      <c r="C351" s="25" t="s">
        <v>170</v>
      </c>
      <c r="D351" s="25">
        <f>31*10.764</f>
        <v>333.68399999999997</v>
      </c>
      <c r="E351" s="25">
        <v>0</v>
      </c>
      <c r="F351" s="25">
        <f t="shared" si="23"/>
        <v>500.52599999999995</v>
      </c>
      <c r="G351" s="71"/>
      <c r="H351" s="72"/>
    </row>
    <row r="352" spans="1:8" ht="15.75" customHeight="1" x14ac:dyDescent="0.25">
      <c r="A352" s="66">
        <v>5</v>
      </c>
      <c r="B352" s="66"/>
      <c r="C352" s="25" t="s">
        <v>170</v>
      </c>
      <c r="D352" s="25">
        <f>31*10.764</f>
        <v>333.68399999999997</v>
      </c>
      <c r="E352" s="25">
        <v>0</v>
      </c>
      <c r="F352" s="25">
        <f t="shared" si="23"/>
        <v>500.52599999999995</v>
      </c>
      <c r="G352" s="71"/>
      <c r="H352" s="72"/>
    </row>
    <row r="353" spans="1:8" x14ac:dyDescent="0.25">
      <c r="A353" s="66">
        <v>6</v>
      </c>
      <c r="B353" s="66"/>
      <c r="C353" s="25" t="s">
        <v>170</v>
      </c>
      <c r="D353" s="25">
        <f>36*10.764</f>
        <v>387.50399999999996</v>
      </c>
      <c r="E353" s="25">
        <v>0</v>
      </c>
      <c r="F353" s="25">
        <f t="shared" si="23"/>
        <v>581.25599999999997</v>
      </c>
      <c r="G353" s="71"/>
      <c r="H353" s="72"/>
    </row>
    <row r="354" spans="1:8" hidden="1" x14ac:dyDescent="0.25">
      <c r="A354" s="66">
        <v>7</v>
      </c>
      <c r="B354" s="66"/>
      <c r="C354" s="25" t="s">
        <v>170</v>
      </c>
      <c r="D354" s="25">
        <f>36*10.764</f>
        <v>387.50399999999996</v>
      </c>
      <c r="E354" s="25">
        <v>0</v>
      </c>
      <c r="F354" s="25">
        <f t="shared" si="23"/>
        <v>581.25599999999997</v>
      </c>
      <c r="G354" s="71"/>
      <c r="H354" s="72"/>
    </row>
    <row r="355" spans="1:8" hidden="1" x14ac:dyDescent="0.25">
      <c r="A355" s="66">
        <v>8</v>
      </c>
      <c r="B355" s="66"/>
      <c r="C355" s="25" t="s">
        <v>170</v>
      </c>
      <c r="D355" s="25">
        <f>31*10.764</f>
        <v>333.68399999999997</v>
      </c>
      <c r="E355" s="25">
        <v>0</v>
      </c>
      <c r="F355" s="25">
        <f t="shared" si="23"/>
        <v>500.52599999999995</v>
      </c>
      <c r="G355" s="71"/>
      <c r="H355" s="72"/>
    </row>
    <row r="356" spans="1:8" hidden="1" x14ac:dyDescent="0.25">
      <c r="A356" s="66">
        <v>9</v>
      </c>
      <c r="B356" s="66"/>
      <c r="C356" s="25" t="s">
        <v>170</v>
      </c>
      <c r="D356" s="25">
        <f t="shared" ref="D356" si="24">31*10.764</f>
        <v>333.68399999999997</v>
      </c>
      <c r="E356" s="25">
        <v>0</v>
      </c>
      <c r="F356" s="25">
        <f t="shared" si="23"/>
        <v>500.52599999999995</v>
      </c>
      <c r="G356" s="71"/>
      <c r="H356" s="72"/>
    </row>
    <row r="357" spans="1:8" x14ac:dyDescent="0.25">
      <c r="A357" s="66">
        <v>10</v>
      </c>
      <c r="B357" s="66"/>
      <c r="C357" s="25" t="s">
        <v>171</v>
      </c>
      <c r="D357" s="25">
        <f>44*10.764</f>
        <v>473.61599999999999</v>
      </c>
      <c r="E357" s="25">
        <v>0</v>
      </c>
      <c r="F357" s="25">
        <f t="shared" si="23"/>
        <v>710.42399999999998</v>
      </c>
      <c r="G357" s="71"/>
      <c r="H357" s="72"/>
    </row>
    <row r="358" spans="1:8" x14ac:dyDescent="0.25">
      <c r="A358" s="66">
        <v>11</v>
      </c>
      <c r="B358" s="66"/>
      <c r="C358" s="25" t="s">
        <v>171</v>
      </c>
      <c r="D358" s="25">
        <f>44*10.764</f>
        <v>473.61599999999999</v>
      </c>
      <c r="E358" s="25">
        <v>0</v>
      </c>
      <c r="F358" s="25">
        <f t="shared" si="23"/>
        <v>710.42399999999998</v>
      </c>
      <c r="G358" s="71"/>
      <c r="H358" s="72"/>
    </row>
    <row r="359" spans="1:8" x14ac:dyDescent="0.25">
      <c r="A359" s="66">
        <v>12</v>
      </c>
      <c r="B359" s="66"/>
      <c r="C359" s="25" t="s">
        <v>170</v>
      </c>
      <c r="D359" s="25">
        <f>31*10.764</f>
        <v>333.68399999999997</v>
      </c>
      <c r="E359" s="25">
        <v>0</v>
      </c>
      <c r="F359" s="25">
        <f t="shared" si="23"/>
        <v>500.52599999999995</v>
      </c>
      <c r="G359" s="71"/>
      <c r="H359" s="72"/>
    </row>
    <row r="360" spans="1:8" x14ac:dyDescent="0.25">
      <c r="A360" s="66">
        <v>13</v>
      </c>
      <c r="B360" s="66"/>
      <c r="C360" s="25" t="s">
        <v>170</v>
      </c>
      <c r="D360" s="25">
        <f>31*10.764</f>
        <v>333.68399999999997</v>
      </c>
      <c r="E360" s="25">
        <v>0</v>
      </c>
      <c r="F360" s="25">
        <f t="shared" si="23"/>
        <v>500.52599999999995</v>
      </c>
      <c r="G360" s="71"/>
      <c r="H360" s="72"/>
    </row>
    <row r="361" spans="1:8" x14ac:dyDescent="0.25">
      <c r="A361" s="66">
        <v>14</v>
      </c>
      <c r="B361" s="66"/>
      <c r="C361" s="25" t="s">
        <v>170</v>
      </c>
      <c r="D361" s="25">
        <f>36*10.764</f>
        <v>387.50399999999996</v>
      </c>
      <c r="E361" s="25">
        <v>0</v>
      </c>
      <c r="F361" s="25">
        <f t="shared" si="23"/>
        <v>581.25599999999997</v>
      </c>
      <c r="G361" s="71"/>
      <c r="H361" s="72"/>
    </row>
    <row r="362" spans="1:8" x14ac:dyDescent="0.25">
      <c r="A362" s="66">
        <v>15</v>
      </c>
      <c r="B362" s="66"/>
      <c r="C362" s="25" t="s">
        <v>170</v>
      </c>
      <c r="D362" s="25">
        <f>36*10.764</f>
        <v>387.50399999999996</v>
      </c>
      <c r="E362" s="25">
        <v>0</v>
      </c>
      <c r="F362" s="25">
        <f t="shared" si="23"/>
        <v>581.25599999999997</v>
      </c>
      <c r="G362" s="71"/>
      <c r="H362" s="72"/>
    </row>
    <row r="363" spans="1:8" x14ac:dyDescent="0.25">
      <c r="A363" s="66">
        <v>16</v>
      </c>
      <c r="B363" s="66"/>
      <c r="C363" s="25" t="s">
        <v>170</v>
      </c>
      <c r="D363" s="25">
        <f>31*10.764</f>
        <v>333.68399999999997</v>
      </c>
      <c r="E363" s="25">
        <v>0</v>
      </c>
      <c r="F363" s="25">
        <f t="shared" si="23"/>
        <v>500.52599999999995</v>
      </c>
      <c r="G363" s="73"/>
      <c r="H363" s="74"/>
    </row>
    <row r="364" spans="1:8" x14ac:dyDescent="0.25">
      <c r="A364" s="87" t="s">
        <v>174</v>
      </c>
      <c r="B364" s="87"/>
      <c r="C364" s="87"/>
      <c r="D364" s="87"/>
      <c r="E364" s="87"/>
      <c r="F364" s="87"/>
      <c r="G364" s="87"/>
      <c r="H364" s="87"/>
    </row>
    <row r="365" spans="1:8" ht="15" customHeight="1" x14ac:dyDescent="0.25">
      <c r="A365" s="66">
        <v>1</v>
      </c>
      <c r="B365" s="66"/>
      <c r="C365" s="25" t="s">
        <v>170</v>
      </c>
      <c r="D365" s="25">
        <f>31*10.764</f>
        <v>333.68399999999997</v>
      </c>
      <c r="E365" s="25">
        <v>0</v>
      </c>
      <c r="F365" s="25">
        <f>D365*1.5+E365</f>
        <v>500.52599999999995</v>
      </c>
      <c r="G365" s="69" t="str">
        <f>A364</f>
        <v xml:space="preserve">8th (Part Refuge Area) </v>
      </c>
      <c r="H365" s="70"/>
    </row>
    <row r="366" spans="1:8" x14ac:dyDescent="0.25">
      <c r="A366" s="66">
        <v>2</v>
      </c>
      <c r="B366" s="66"/>
      <c r="C366" s="25" t="s">
        <v>171</v>
      </c>
      <c r="D366" s="25">
        <f>44*10.764</f>
        <v>473.61599999999999</v>
      </c>
      <c r="E366" s="25">
        <v>0</v>
      </c>
      <c r="F366" s="25">
        <f t="shared" ref="F366:F373" si="25">D366*1.5+E366</f>
        <v>710.42399999999998</v>
      </c>
      <c r="G366" s="71"/>
      <c r="H366" s="72"/>
    </row>
    <row r="367" spans="1:8" x14ac:dyDescent="0.25">
      <c r="A367" s="66">
        <v>3</v>
      </c>
      <c r="B367" s="66"/>
      <c r="C367" s="25" t="s">
        <v>171</v>
      </c>
      <c r="D367" s="25">
        <f>44*10.764</f>
        <v>473.61599999999999</v>
      </c>
      <c r="E367" s="25">
        <v>0</v>
      </c>
      <c r="F367" s="25">
        <f t="shared" si="25"/>
        <v>710.42399999999998</v>
      </c>
      <c r="G367" s="71"/>
      <c r="H367" s="72"/>
    </row>
    <row r="368" spans="1:8" x14ac:dyDescent="0.25">
      <c r="A368" s="66">
        <v>4</v>
      </c>
      <c r="B368" s="66"/>
      <c r="C368" s="25" t="s">
        <v>170</v>
      </c>
      <c r="D368" s="25">
        <f>31*10.764</f>
        <v>333.68399999999997</v>
      </c>
      <c r="E368" s="25">
        <v>0</v>
      </c>
      <c r="F368" s="25">
        <f t="shared" si="25"/>
        <v>500.52599999999995</v>
      </c>
      <c r="G368" s="71"/>
      <c r="H368" s="72"/>
    </row>
    <row r="369" spans="1:8" x14ac:dyDescent="0.25">
      <c r="A369" s="66">
        <v>5</v>
      </c>
      <c r="B369" s="66"/>
      <c r="C369" s="25" t="s">
        <v>170</v>
      </c>
      <c r="D369" s="25">
        <f>31*10.764</f>
        <v>333.68399999999997</v>
      </c>
      <c r="E369" s="25">
        <v>0</v>
      </c>
      <c r="F369" s="25">
        <f t="shared" si="25"/>
        <v>500.52599999999995</v>
      </c>
      <c r="G369" s="71"/>
      <c r="H369" s="72"/>
    </row>
    <row r="370" spans="1:8" x14ac:dyDescent="0.25">
      <c r="A370" s="66">
        <v>6</v>
      </c>
      <c r="B370" s="66"/>
      <c r="C370" s="25" t="s">
        <v>170</v>
      </c>
      <c r="D370" s="25">
        <f>36*10.764</f>
        <v>387.50399999999996</v>
      </c>
      <c r="E370" s="25">
        <v>0</v>
      </c>
      <c r="F370" s="25">
        <f t="shared" si="25"/>
        <v>581.25599999999997</v>
      </c>
      <c r="G370" s="71"/>
      <c r="H370" s="72"/>
    </row>
    <row r="371" spans="1:8" x14ac:dyDescent="0.25">
      <c r="A371" s="66">
        <v>7</v>
      </c>
      <c r="B371" s="66"/>
      <c r="C371" s="25" t="s">
        <v>170</v>
      </c>
      <c r="D371" s="25">
        <f>36*10.764</f>
        <v>387.50399999999996</v>
      </c>
      <c r="E371" s="25">
        <v>0</v>
      </c>
      <c r="F371" s="25">
        <f t="shared" si="25"/>
        <v>581.25599999999997</v>
      </c>
      <c r="G371" s="71"/>
      <c r="H371" s="72"/>
    </row>
    <row r="372" spans="1:8" x14ac:dyDescent="0.25">
      <c r="A372" s="66">
        <v>8</v>
      </c>
      <c r="B372" s="66"/>
      <c r="C372" s="25" t="s">
        <v>170</v>
      </c>
      <c r="D372" s="25">
        <f>31*10.764</f>
        <v>333.68399999999997</v>
      </c>
      <c r="E372" s="25">
        <v>0</v>
      </c>
      <c r="F372" s="25">
        <f t="shared" si="25"/>
        <v>500.52599999999995</v>
      </c>
      <c r="G372" s="71"/>
      <c r="H372" s="72"/>
    </row>
    <row r="373" spans="1:8" x14ac:dyDescent="0.25">
      <c r="A373" s="66">
        <v>9</v>
      </c>
      <c r="B373" s="66"/>
      <c r="C373" s="25" t="s">
        <v>170</v>
      </c>
      <c r="D373" s="25">
        <f t="shared" ref="D373" si="26">31*10.764</f>
        <v>333.68399999999997</v>
      </c>
      <c r="E373" s="25">
        <v>0</v>
      </c>
      <c r="F373" s="25">
        <f t="shared" si="25"/>
        <v>500.52599999999995</v>
      </c>
      <c r="G373" s="71"/>
      <c r="H373" s="72"/>
    </row>
    <row r="374" spans="1:8" x14ac:dyDescent="0.25">
      <c r="A374" s="66">
        <v>10</v>
      </c>
      <c r="B374" s="66"/>
      <c r="C374" s="81" t="s">
        <v>172</v>
      </c>
      <c r="D374" s="82"/>
      <c r="E374" s="82"/>
      <c r="F374" s="83"/>
      <c r="G374" s="71"/>
      <c r="H374" s="72"/>
    </row>
    <row r="375" spans="1:8" x14ac:dyDescent="0.25">
      <c r="A375" s="66">
        <v>11</v>
      </c>
      <c r="B375" s="66"/>
      <c r="C375" s="25" t="s">
        <v>171</v>
      </c>
      <c r="D375" s="25">
        <f>44*10.764</f>
        <v>473.61599999999999</v>
      </c>
      <c r="E375" s="25">
        <v>0</v>
      </c>
      <c r="F375" s="25">
        <f>D375*1.5+E375</f>
        <v>710.42399999999998</v>
      </c>
      <c r="G375" s="71"/>
      <c r="H375" s="72"/>
    </row>
    <row r="376" spans="1:8" x14ac:dyDescent="0.25">
      <c r="A376" s="66">
        <v>12</v>
      </c>
      <c r="B376" s="66"/>
      <c r="C376" s="25" t="s">
        <v>170</v>
      </c>
      <c r="D376" s="25">
        <f>31*10.764</f>
        <v>333.68399999999997</v>
      </c>
      <c r="E376" s="25">
        <v>0</v>
      </c>
      <c r="F376" s="25">
        <f t="shared" ref="F376:F380" si="27">D376*1.5+E376</f>
        <v>500.52599999999995</v>
      </c>
      <c r="G376" s="71"/>
      <c r="H376" s="72"/>
    </row>
    <row r="377" spans="1:8" x14ac:dyDescent="0.25">
      <c r="A377" s="66">
        <v>13</v>
      </c>
      <c r="B377" s="66"/>
      <c r="C377" s="25" t="s">
        <v>170</v>
      </c>
      <c r="D377" s="25">
        <f>31*10.764</f>
        <v>333.68399999999997</v>
      </c>
      <c r="E377" s="25">
        <v>0</v>
      </c>
      <c r="F377" s="25">
        <f t="shared" si="27"/>
        <v>500.52599999999995</v>
      </c>
      <c r="G377" s="71"/>
      <c r="H377" s="72"/>
    </row>
    <row r="378" spans="1:8" x14ac:dyDescent="0.25">
      <c r="A378" s="66">
        <v>14</v>
      </c>
      <c r="B378" s="66"/>
      <c r="C378" s="25" t="s">
        <v>170</v>
      </c>
      <c r="D378" s="25">
        <f>36*10.764</f>
        <v>387.50399999999996</v>
      </c>
      <c r="E378" s="25">
        <v>0</v>
      </c>
      <c r="F378" s="25">
        <f t="shared" si="27"/>
        <v>581.25599999999997</v>
      </c>
      <c r="G378" s="71"/>
      <c r="H378" s="72"/>
    </row>
    <row r="379" spans="1:8" x14ac:dyDescent="0.25">
      <c r="A379" s="66">
        <v>15</v>
      </c>
      <c r="B379" s="66"/>
      <c r="C379" s="25" t="s">
        <v>170</v>
      </c>
      <c r="D379" s="25">
        <f>36*10.764</f>
        <v>387.50399999999996</v>
      </c>
      <c r="E379" s="25">
        <v>0</v>
      </c>
      <c r="F379" s="25">
        <f t="shared" si="27"/>
        <v>581.25599999999997</v>
      </c>
      <c r="G379" s="71"/>
      <c r="H379" s="72"/>
    </row>
    <row r="380" spans="1:8" x14ac:dyDescent="0.25">
      <c r="A380" s="66">
        <v>16</v>
      </c>
      <c r="B380" s="66"/>
      <c r="C380" s="25" t="s">
        <v>170</v>
      </c>
      <c r="D380" s="25">
        <f>31*10.764</f>
        <v>333.68399999999997</v>
      </c>
      <c r="E380" s="25">
        <v>0</v>
      </c>
      <c r="F380" s="25">
        <f t="shared" si="27"/>
        <v>500.52599999999995</v>
      </c>
      <c r="G380" s="73"/>
      <c r="H380" s="74"/>
    </row>
    <row r="381" spans="1:8" x14ac:dyDescent="0.25">
      <c r="A381" s="80" t="s">
        <v>169</v>
      </c>
      <c r="B381" s="80"/>
      <c r="C381" s="80"/>
      <c r="D381" s="80"/>
      <c r="E381" s="80"/>
      <c r="F381" s="80"/>
      <c r="G381" s="80"/>
      <c r="H381" s="80"/>
    </row>
    <row r="382" spans="1:8" x14ac:dyDescent="0.25">
      <c r="A382" s="80" t="s">
        <v>164</v>
      </c>
      <c r="B382" s="80"/>
      <c r="C382" s="80"/>
      <c r="D382" s="80"/>
      <c r="E382" s="80"/>
      <c r="F382" s="80"/>
      <c r="G382" s="80"/>
      <c r="H382" s="80"/>
    </row>
    <row r="383" spans="1:8" x14ac:dyDescent="0.25">
      <c r="A383" s="80" t="s">
        <v>175</v>
      </c>
      <c r="B383" s="80"/>
      <c r="C383" s="80"/>
      <c r="D383" s="80"/>
      <c r="E383" s="80"/>
      <c r="F383" s="80"/>
      <c r="G383" s="80"/>
      <c r="H383" s="80"/>
    </row>
    <row r="384" spans="1:8" x14ac:dyDescent="0.25">
      <c r="A384" s="66">
        <v>1</v>
      </c>
      <c r="B384" s="66"/>
      <c r="C384" s="25" t="s">
        <v>170</v>
      </c>
      <c r="D384" s="25">
        <f>31*10.764</f>
        <v>333.68399999999997</v>
      </c>
      <c r="E384" s="25">
        <v>0</v>
      </c>
      <c r="F384" s="25">
        <f>D384*1.5+E384</f>
        <v>500.52599999999995</v>
      </c>
      <c r="G384" s="69" t="str">
        <f>A383</f>
        <v xml:space="preserve">1st to 7th &amp; 9th Floor </v>
      </c>
      <c r="H384" s="70"/>
    </row>
    <row r="385" spans="1:8" x14ac:dyDescent="0.25">
      <c r="A385" s="66">
        <v>2</v>
      </c>
      <c r="B385" s="66"/>
      <c r="C385" s="25" t="s">
        <v>171</v>
      </c>
      <c r="D385" s="25">
        <f>44*10.764</f>
        <v>473.61599999999999</v>
      </c>
      <c r="E385" s="25">
        <v>0</v>
      </c>
      <c r="F385" s="25">
        <f t="shared" ref="F385:F399" si="28">D385*1.5+E385</f>
        <v>710.42399999999998</v>
      </c>
      <c r="G385" s="71"/>
      <c r="H385" s="72"/>
    </row>
    <row r="386" spans="1:8" x14ac:dyDescent="0.25">
      <c r="A386" s="66">
        <v>3</v>
      </c>
      <c r="B386" s="66"/>
      <c r="C386" s="25" t="s">
        <v>171</v>
      </c>
      <c r="D386" s="25">
        <f>44*10.764</f>
        <v>473.61599999999999</v>
      </c>
      <c r="E386" s="25">
        <v>0</v>
      </c>
      <c r="F386" s="25">
        <f t="shared" si="28"/>
        <v>710.42399999999998</v>
      </c>
      <c r="G386" s="71"/>
      <c r="H386" s="72"/>
    </row>
    <row r="387" spans="1:8" x14ac:dyDescent="0.25">
      <c r="A387" s="66">
        <v>4</v>
      </c>
      <c r="B387" s="66"/>
      <c r="C387" s="25" t="s">
        <v>170</v>
      </c>
      <c r="D387" s="25">
        <f>31*10.764</f>
        <v>333.68399999999997</v>
      </c>
      <c r="E387" s="25">
        <v>0</v>
      </c>
      <c r="F387" s="25">
        <f t="shared" si="28"/>
        <v>500.52599999999995</v>
      </c>
      <c r="G387" s="71"/>
      <c r="H387" s="72"/>
    </row>
    <row r="388" spans="1:8" x14ac:dyDescent="0.25">
      <c r="A388" s="66">
        <v>5</v>
      </c>
      <c r="B388" s="66"/>
      <c r="C388" s="25" t="s">
        <v>170</v>
      </c>
      <c r="D388" s="25">
        <f>31*10.764</f>
        <v>333.68399999999997</v>
      </c>
      <c r="E388" s="25">
        <v>0</v>
      </c>
      <c r="F388" s="25">
        <f t="shared" si="28"/>
        <v>500.52599999999995</v>
      </c>
      <c r="G388" s="71"/>
      <c r="H388" s="72"/>
    </row>
    <row r="389" spans="1:8" x14ac:dyDescent="0.25">
      <c r="A389" s="66">
        <v>6</v>
      </c>
      <c r="B389" s="66"/>
      <c r="C389" s="25" t="s">
        <v>170</v>
      </c>
      <c r="D389" s="25">
        <f>36*10.764</f>
        <v>387.50399999999996</v>
      </c>
      <c r="E389" s="25">
        <v>0</v>
      </c>
      <c r="F389" s="25">
        <f t="shared" si="28"/>
        <v>581.25599999999997</v>
      </c>
      <c r="G389" s="71"/>
      <c r="H389" s="72"/>
    </row>
    <row r="390" spans="1:8" x14ac:dyDescent="0.25">
      <c r="A390" s="66">
        <v>7</v>
      </c>
      <c r="B390" s="66"/>
      <c r="C390" s="25" t="s">
        <v>170</v>
      </c>
      <c r="D390" s="25">
        <f>36*10.764</f>
        <v>387.50399999999996</v>
      </c>
      <c r="E390" s="25">
        <v>0</v>
      </c>
      <c r="F390" s="25">
        <f t="shared" si="28"/>
        <v>581.25599999999997</v>
      </c>
      <c r="G390" s="71"/>
      <c r="H390" s="72"/>
    </row>
    <row r="391" spans="1:8" x14ac:dyDescent="0.25">
      <c r="A391" s="66">
        <v>8</v>
      </c>
      <c r="B391" s="66"/>
      <c r="C391" s="25" t="s">
        <v>170</v>
      </c>
      <c r="D391" s="25">
        <f>31*10.764</f>
        <v>333.68399999999997</v>
      </c>
      <c r="E391" s="25">
        <v>0</v>
      </c>
      <c r="F391" s="25">
        <f t="shared" si="28"/>
        <v>500.52599999999995</v>
      </c>
      <c r="G391" s="71"/>
      <c r="H391" s="72"/>
    </row>
    <row r="392" spans="1:8" x14ac:dyDescent="0.25">
      <c r="A392" s="66">
        <v>9</v>
      </c>
      <c r="B392" s="66"/>
      <c r="C392" s="25" t="s">
        <v>170</v>
      </c>
      <c r="D392" s="25">
        <f t="shared" ref="D392" si="29">31*10.764</f>
        <v>333.68399999999997</v>
      </c>
      <c r="E392" s="25">
        <v>0</v>
      </c>
      <c r="F392" s="25">
        <f t="shared" si="28"/>
        <v>500.52599999999995</v>
      </c>
      <c r="G392" s="71"/>
      <c r="H392" s="72"/>
    </row>
    <row r="393" spans="1:8" x14ac:dyDescent="0.25">
      <c r="A393" s="66">
        <v>10</v>
      </c>
      <c r="B393" s="66"/>
      <c r="C393" s="25" t="s">
        <v>171</v>
      </c>
      <c r="D393" s="25">
        <f>44*10.764</f>
        <v>473.61599999999999</v>
      </c>
      <c r="E393" s="25">
        <v>0</v>
      </c>
      <c r="F393" s="25">
        <f t="shared" si="28"/>
        <v>710.42399999999998</v>
      </c>
      <c r="G393" s="71"/>
      <c r="H393" s="72"/>
    </row>
    <row r="394" spans="1:8" x14ac:dyDescent="0.25">
      <c r="A394" s="66">
        <v>11</v>
      </c>
      <c r="B394" s="66"/>
      <c r="C394" s="25" t="s">
        <v>171</v>
      </c>
      <c r="D394" s="25">
        <f>44*10.764</f>
        <v>473.61599999999999</v>
      </c>
      <c r="E394" s="25">
        <v>0</v>
      </c>
      <c r="F394" s="25">
        <f t="shared" si="28"/>
        <v>710.42399999999998</v>
      </c>
      <c r="G394" s="71"/>
      <c r="H394" s="72"/>
    </row>
    <row r="395" spans="1:8" x14ac:dyDescent="0.25">
      <c r="A395" s="66">
        <v>12</v>
      </c>
      <c r="B395" s="66"/>
      <c r="C395" s="25" t="s">
        <v>170</v>
      </c>
      <c r="D395" s="25">
        <f>31*10.764</f>
        <v>333.68399999999997</v>
      </c>
      <c r="E395" s="25">
        <v>0</v>
      </c>
      <c r="F395" s="25">
        <f t="shared" si="28"/>
        <v>500.52599999999995</v>
      </c>
      <c r="G395" s="71"/>
      <c r="H395" s="72"/>
    </row>
    <row r="396" spans="1:8" x14ac:dyDescent="0.25">
      <c r="A396" s="66">
        <v>13</v>
      </c>
      <c r="B396" s="66"/>
      <c r="C396" s="25" t="s">
        <v>170</v>
      </c>
      <c r="D396" s="25">
        <f>31*10.764</f>
        <v>333.68399999999997</v>
      </c>
      <c r="E396" s="25">
        <v>0</v>
      </c>
      <c r="F396" s="25">
        <f t="shared" si="28"/>
        <v>500.52599999999995</v>
      </c>
      <c r="G396" s="71"/>
      <c r="H396" s="72"/>
    </row>
    <row r="397" spans="1:8" x14ac:dyDescent="0.25">
      <c r="A397" s="66">
        <v>14</v>
      </c>
      <c r="B397" s="66"/>
      <c r="C397" s="25" t="s">
        <v>170</v>
      </c>
      <c r="D397" s="25">
        <f>36*10.764</f>
        <v>387.50399999999996</v>
      </c>
      <c r="E397" s="25">
        <v>0</v>
      </c>
      <c r="F397" s="25">
        <f t="shared" si="28"/>
        <v>581.25599999999997</v>
      </c>
      <c r="G397" s="71"/>
      <c r="H397" s="72"/>
    </row>
    <row r="398" spans="1:8" x14ac:dyDescent="0.25">
      <c r="A398" s="66">
        <v>15</v>
      </c>
      <c r="B398" s="66"/>
      <c r="C398" s="25" t="s">
        <v>170</v>
      </c>
      <c r="D398" s="25">
        <f>36*10.764</f>
        <v>387.50399999999996</v>
      </c>
      <c r="E398" s="25">
        <v>0</v>
      </c>
      <c r="F398" s="25">
        <f t="shared" si="28"/>
        <v>581.25599999999997</v>
      </c>
      <c r="G398" s="71"/>
      <c r="H398" s="72"/>
    </row>
    <row r="399" spans="1:8" x14ac:dyDescent="0.25">
      <c r="A399" s="66">
        <v>16</v>
      </c>
      <c r="B399" s="66"/>
      <c r="C399" s="25" t="s">
        <v>170</v>
      </c>
      <c r="D399" s="25">
        <f>31*10.764</f>
        <v>333.68399999999997</v>
      </c>
      <c r="E399" s="25">
        <v>0</v>
      </c>
      <c r="F399" s="25">
        <f t="shared" si="28"/>
        <v>500.52599999999995</v>
      </c>
      <c r="G399" s="73"/>
      <c r="H399" s="74"/>
    </row>
    <row r="400" spans="1:8" x14ac:dyDescent="0.25">
      <c r="A400" s="87" t="s">
        <v>174</v>
      </c>
      <c r="B400" s="87"/>
      <c r="C400" s="87"/>
      <c r="D400" s="87"/>
      <c r="E400" s="87"/>
      <c r="F400" s="87"/>
      <c r="G400" s="87"/>
      <c r="H400" s="87"/>
    </row>
    <row r="401" spans="1:8" x14ac:dyDescent="0.25">
      <c r="A401" s="66">
        <v>1</v>
      </c>
      <c r="B401" s="66"/>
      <c r="C401" s="25" t="s">
        <v>170</v>
      </c>
      <c r="D401" s="25">
        <f>31*10.764</f>
        <v>333.68399999999997</v>
      </c>
      <c r="E401" s="25">
        <v>0</v>
      </c>
      <c r="F401" s="25">
        <f>D401*1.5+E401</f>
        <v>500.52599999999995</v>
      </c>
      <c r="G401" s="69" t="str">
        <f>A400</f>
        <v xml:space="preserve">8th (Part Refuge Area) </v>
      </c>
      <c r="H401" s="70"/>
    </row>
    <row r="402" spans="1:8" x14ac:dyDescent="0.25">
      <c r="A402" s="66">
        <v>2</v>
      </c>
      <c r="B402" s="66"/>
      <c r="C402" s="25" t="s">
        <v>171</v>
      </c>
      <c r="D402" s="25">
        <f>44*10.764</f>
        <v>473.61599999999999</v>
      </c>
      <c r="E402" s="25">
        <v>0</v>
      </c>
      <c r="F402" s="25">
        <f t="shared" ref="F402:F409" si="30">D402*1.5+E402</f>
        <v>710.42399999999998</v>
      </c>
      <c r="G402" s="71"/>
      <c r="H402" s="72"/>
    </row>
    <row r="403" spans="1:8" x14ac:dyDescent="0.25">
      <c r="A403" s="66">
        <v>3</v>
      </c>
      <c r="B403" s="66"/>
      <c r="C403" s="25" t="s">
        <v>171</v>
      </c>
      <c r="D403" s="25">
        <f>44*10.764</f>
        <v>473.61599999999999</v>
      </c>
      <c r="E403" s="25">
        <v>0</v>
      </c>
      <c r="F403" s="25">
        <f t="shared" si="30"/>
        <v>710.42399999999998</v>
      </c>
      <c r="G403" s="71"/>
      <c r="H403" s="72"/>
    </row>
    <row r="404" spans="1:8" x14ac:dyDescent="0.25">
      <c r="A404" s="66">
        <v>4</v>
      </c>
      <c r="B404" s="66"/>
      <c r="C404" s="25" t="s">
        <v>170</v>
      </c>
      <c r="D404" s="25">
        <f>31*10.764</f>
        <v>333.68399999999997</v>
      </c>
      <c r="E404" s="25">
        <v>0</v>
      </c>
      <c r="F404" s="25">
        <f t="shared" si="30"/>
        <v>500.52599999999995</v>
      </c>
      <c r="G404" s="71"/>
      <c r="H404" s="72"/>
    </row>
    <row r="405" spans="1:8" x14ac:dyDescent="0.25">
      <c r="A405" s="66">
        <v>5</v>
      </c>
      <c r="B405" s="66"/>
      <c r="C405" s="25" t="s">
        <v>170</v>
      </c>
      <c r="D405" s="25">
        <f>31*10.764</f>
        <v>333.68399999999997</v>
      </c>
      <c r="E405" s="25">
        <v>0</v>
      </c>
      <c r="F405" s="25">
        <f t="shared" si="30"/>
        <v>500.52599999999995</v>
      </c>
      <c r="G405" s="71"/>
      <c r="H405" s="72"/>
    </row>
    <row r="406" spans="1:8" x14ac:dyDescent="0.25">
      <c r="A406" s="66">
        <v>6</v>
      </c>
      <c r="B406" s="66"/>
      <c r="C406" s="25" t="s">
        <v>170</v>
      </c>
      <c r="D406" s="25">
        <f>36*10.764</f>
        <v>387.50399999999996</v>
      </c>
      <c r="E406" s="25">
        <v>0</v>
      </c>
      <c r="F406" s="25">
        <f t="shared" si="30"/>
        <v>581.25599999999997</v>
      </c>
      <c r="G406" s="71"/>
      <c r="H406" s="72"/>
    </row>
    <row r="407" spans="1:8" x14ac:dyDescent="0.25">
      <c r="A407" s="66">
        <v>7</v>
      </c>
      <c r="B407" s="66"/>
      <c r="C407" s="25" t="s">
        <v>170</v>
      </c>
      <c r="D407" s="25">
        <f>36*10.764</f>
        <v>387.50399999999996</v>
      </c>
      <c r="E407" s="25">
        <v>0</v>
      </c>
      <c r="F407" s="25">
        <f t="shared" si="30"/>
        <v>581.25599999999997</v>
      </c>
      <c r="G407" s="71"/>
      <c r="H407" s="72"/>
    </row>
    <row r="408" spans="1:8" x14ac:dyDescent="0.25">
      <c r="A408" s="66">
        <v>8</v>
      </c>
      <c r="B408" s="66"/>
      <c r="C408" s="25" t="s">
        <v>170</v>
      </c>
      <c r="D408" s="25">
        <f>31*10.764</f>
        <v>333.68399999999997</v>
      </c>
      <c r="E408" s="25">
        <v>0</v>
      </c>
      <c r="F408" s="25">
        <f t="shared" si="30"/>
        <v>500.52599999999995</v>
      </c>
      <c r="G408" s="71"/>
      <c r="H408" s="72"/>
    </row>
    <row r="409" spans="1:8" x14ac:dyDescent="0.25">
      <c r="A409" s="66">
        <v>9</v>
      </c>
      <c r="B409" s="66"/>
      <c r="C409" s="25" t="s">
        <v>170</v>
      </c>
      <c r="D409" s="25">
        <f t="shared" ref="D409" si="31">31*10.764</f>
        <v>333.68399999999997</v>
      </c>
      <c r="E409" s="25">
        <v>0</v>
      </c>
      <c r="F409" s="25">
        <f t="shared" si="30"/>
        <v>500.52599999999995</v>
      </c>
      <c r="G409" s="71"/>
      <c r="H409" s="72"/>
    </row>
    <row r="410" spans="1:8" x14ac:dyDescent="0.25">
      <c r="A410" s="66">
        <v>10</v>
      </c>
      <c r="B410" s="66"/>
      <c r="C410" s="81" t="s">
        <v>172</v>
      </c>
      <c r="D410" s="82"/>
      <c r="E410" s="82"/>
      <c r="F410" s="83"/>
      <c r="G410" s="71"/>
      <c r="H410" s="72"/>
    </row>
    <row r="411" spans="1:8" x14ac:dyDescent="0.25">
      <c r="A411" s="66">
        <v>11</v>
      </c>
      <c r="B411" s="66"/>
      <c r="C411" s="25" t="s">
        <v>171</v>
      </c>
      <c r="D411" s="25">
        <f>44*10.764</f>
        <v>473.61599999999999</v>
      </c>
      <c r="E411" s="25">
        <v>0</v>
      </c>
      <c r="F411" s="25">
        <f>D411*1.5+E411</f>
        <v>710.42399999999998</v>
      </c>
      <c r="G411" s="71"/>
      <c r="H411" s="72"/>
    </row>
    <row r="412" spans="1:8" x14ac:dyDescent="0.25">
      <c r="A412" s="66">
        <v>12</v>
      </c>
      <c r="B412" s="66"/>
      <c r="C412" s="25" t="s">
        <v>170</v>
      </c>
      <c r="D412" s="25">
        <f>31*10.764</f>
        <v>333.68399999999997</v>
      </c>
      <c r="E412" s="25">
        <v>0</v>
      </c>
      <c r="F412" s="25">
        <f t="shared" ref="F412:F416" si="32">D412*1.5+E412</f>
        <v>500.52599999999995</v>
      </c>
      <c r="G412" s="71"/>
      <c r="H412" s="72"/>
    </row>
    <row r="413" spans="1:8" x14ac:dyDescent="0.25">
      <c r="A413" s="66">
        <v>13</v>
      </c>
      <c r="B413" s="66"/>
      <c r="C413" s="25" t="s">
        <v>170</v>
      </c>
      <c r="D413" s="25">
        <f>31*10.764</f>
        <v>333.68399999999997</v>
      </c>
      <c r="E413" s="25">
        <v>0</v>
      </c>
      <c r="F413" s="25">
        <f t="shared" si="32"/>
        <v>500.52599999999995</v>
      </c>
      <c r="G413" s="71"/>
      <c r="H413" s="72"/>
    </row>
    <row r="414" spans="1:8" x14ac:dyDescent="0.25">
      <c r="A414" s="66">
        <v>14</v>
      </c>
      <c r="B414" s="66"/>
      <c r="C414" s="25" t="s">
        <v>170</v>
      </c>
      <c r="D414" s="25">
        <f>36*10.764</f>
        <v>387.50399999999996</v>
      </c>
      <c r="E414" s="25">
        <v>0</v>
      </c>
      <c r="F414" s="25">
        <f t="shared" si="32"/>
        <v>581.25599999999997</v>
      </c>
      <c r="G414" s="71"/>
      <c r="H414" s="72"/>
    </row>
    <row r="415" spans="1:8" x14ac:dyDescent="0.25">
      <c r="A415" s="66">
        <v>15</v>
      </c>
      <c r="B415" s="66"/>
      <c r="C415" s="25" t="s">
        <v>170</v>
      </c>
      <c r="D415" s="25">
        <f>36*10.764</f>
        <v>387.50399999999996</v>
      </c>
      <c r="E415" s="25">
        <v>0</v>
      </c>
      <c r="F415" s="25">
        <f t="shared" si="32"/>
        <v>581.25599999999997</v>
      </c>
      <c r="G415" s="71"/>
      <c r="H415" s="72"/>
    </row>
    <row r="416" spans="1:8" x14ac:dyDescent="0.25">
      <c r="A416" s="66">
        <v>16</v>
      </c>
      <c r="B416" s="66"/>
      <c r="C416" s="25" t="s">
        <v>170</v>
      </c>
      <c r="D416" s="25">
        <f>31*10.764</f>
        <v>333.68399999999997</v>
      </c>
      <c r="E416" s="25">
        <v>0</v>
      </c>
      <c r="F416" s="25">
        <f t="shared" si="32"/>
        <v>500.52599999999995</v>
      </c>
      <c r="G416" s="73"/>
      <c r="H416" s="74"/>
    </row>
    <row r="417" spans="1:8" x14ac:dyDescent="0.25">
      <c r="A417" s="110" t="s">
        <v>78</v>
      </c>
      <c r="B417" s="110"/>
      <c r="C417" s="110"/>
      <c r="D417" s="110"/>
      <c r="E417" s="110"/>
      <c r="F417" s="110"/>
      <c r="G417" s="110"/>
      <c r="H417" s="110"/>
    </row>
    <row r="418" spans="1:8" ht="223.5" customHeight="1" x14ac:dyDescent="0.25">
      <c r="A418" s="111" t="s">
        <v>256</v>
      </c>
      <c r="B418" s="111"/>
      <c r="C418" s="111"/>
      <c r="D418" s="111"/>
      <c r="E418" s="111"/>
      <c r="F418" s="111"/>
      <c r="G418" s="111"/>
      <c r="H418" s="111"/>
    </row>
    <row r="419" spans="1:8" x14ac:dyDescent="0.25">
      <c r="A419" s="112" t="s">
        <v>69</v>
      </c>
      <c r="B419" s="112"/>
      <c r="C419" s="112"/>
      <c r="D419" s="112"/>
      <c r="E419" s="112"/>
      <c r="F419" s="112"/>
      <c r="G419" s="112"/>
      <c r="H419" s="112"/>
    </row>
    <row r="420" spans="1:8" x14ac:dyDescent="0.25">
      <c r="A420" s="94" t="s">
        <v>70</v>
      </c>
      <c r="B420" s="94"/>
      <c r="C420" s="94"/>
      <c r="D420" s="94"/>
      <c r="E420" s="94"/>
      <c r="F420" s="94"/>
      <c r="G420" s="94"/>
      <c r="H420" s="94"/>
    </row>
    <row r="421" spans="1:8" x14ac:dyDescent="0.25">
      <c r="A421" s="112" t="s">
        <v>71</v>
      </c>
      <c r="B421" s="112"/>
      <c r="C421" s="112"/>
      <c r="D421" s="112"/>
      <c r="E421" s="112"/>
      <c r="F421" s="112"/>
      <c r="G421" s="112"/>
      <c r="H421" s="112"/>
    </row>
    <row r="422" spans="1:8" x14ac:dyDescent="0.25">
      <c r="A422" s="94" t="s">
        <v>72</v>
      </c>
      <c r="B422" s="94"/>
      <c r="C422" s="94"/>
      <c r="D422" s="94"/>
      <c r="E422" s="94"/>
      <c r="F422" s="94"/>
      <c r="G422" s="94"/>
      <c r="H422" s="94"/>
    </row>
    <row r="423" spans="1:8" x14ac:dyDescent="0.25">
      <c r="A423" s="94" t="s">
        <v>73</v>
      </c>
      <c r="B423" s="94"/>
      <c r="C423" s="94"/>
      <c r="D423" s="94"/>
      <c r="E423" s="94"/>
      <c r="F423" s="94"/>
      <c r="G423" s="94"/>
      <c r="H423" s="94"/>
    </row>
    <row r="424" spans="1:8" x14ac:dyDescent="0.25">
      <c r="A424" s="94" t="s">
        <v>74</v>
      </c>
      <c r="B424" s="94"/>
      <c r="C424" s="94"/>
      <c r="D424" s="94"/>
      <c r="E424" s="94"/>
      <c r="F424" s="94"/>
      <c r="G424" s="94"/>
      <c r="H424" s="94"/>
    </row>
    <row r="425" spans="1:8" x14ac:dyDescent="0.25">
      <c r="A425" s="79" t="s">
        <v>75</v>
      </c>
      <c r="B425" s="79"/>
      <c r="C425" s="79"/>
      <c r="D425" s="79"/>
      <c r="E425" s="79"/>
      <c r="F425" s="79"/>
      <c r="G425" s="79"/>
      <c r="H425" s="79"/>
    </row>
    <row r="426" spans="1:8" x14ac:dyDescent="0.25">
      <c r="A426" s="141" t="s">
        <v>112</v>
      </c>
      <c r="B426" s="141"/>
      <c r="C426" s="141" t="s">
        <v>255</v>
      </c>
      <c r="D426" s="141"/>
      <c r="E426" s="141" t="s">
        <v>142</v>
      </c>
      <c r="F426" s="141"/>
      <c r="G426" s="141" t="s">
        <v>249</v>
      </c>
      <c r="H426" s="141"/>
    </row>
    <row r="427" spans="1:8" x14ac:dyDescent="0.25">
      <c r="A427" s="140" t="s">
        <v>114</v>
      </c>
      <c r="B427" s="140"/>
      <c r="C427" s="140"/>
      <c r="D427" s="140"/>
      <c r="E427" s="140"/>
      <c r="F427" s="140"/>
      <c r="G427" s="140"/>
      <c r="H427" s="140"/>
    </row>
    <row r="428" spans="1:8" x14ac:dyDescent="0.25">
      <c r="A428" s="140"/>
      <c r="B428" s="140"/>
      <c r="C428" s="140"/>
      <c r="D428" s="140"/>
      <c r="E428" s="140"/>
      <c r="F428" s="140"/>
      <c r="G428" s="140"/>
      <c r="H428" s="140"/>
    </row>
    <row r="429" spans="1:8" x14ac:dyDescent="0.25">
      <c r="A429" s="140"/>
      <c r="B429" s="140"/>
      <c r="C429" s="140"/>
      <c r="D429" s="140"/>
      <c r="E429" s="140"/>
      <c r="F429" s="140"/>
      <c r="G429" s="140"/>
      <c r="H429" s="140"/>
    </row>
    <row r="430" spans="1:8" x14ac:dyDescent="0.25">
      <c r="A430" s="140"/>
      <c r="B430" s="140"/>
      <c r="C430" s="140"/>
      <c r="D430" s="140"/>
      <c r="E430" s="140"/>
      <c r="F430" s="140"/>
      <c r="G430" s="140"/>
      <c r="H430" s="140"/>
    </row>
    <row r="431" spans="1:8" x14ac:dyDescent="0.25">
      <c r="A431" s="54" t="s">
        <v>76</v>
      </c>
      <c r="B431" s="55"/>
      <c r="C431" s="55"/>
      <c r="D431" s="54" t="str">
        <f>E8</f>
        <v>Godrej Upavan</v>
      </c>
      <c r="F431" s="55"/>
      <c r="G431" s="55"/>
      <c r="H431" s="55"/>
    </row>
    <row r="432" spans="1:8" x14ac:dyDescent="0.25">
      <c r="A432" s="55"/>
      <c r="B432" s="55"/>
      <c r="C432" s="55"/>
      <c r="D432" s="55"/>
      <c r="E432" s="55"/>
      <c r="F432" s="55"/>
      <c r="G432" s="55"/>
      <c r="H432" s="55"/>
    </row>
    <row r="433" spans="1:8" x14ac:dyDescent="0.25">
      <c r="A433" s="55"/>
      <c r="B433" s="55"/>
      <c r="C433" s="55"/>
      <c r="D433" s="55"/>
      <c r="E433" s="55"/>
      <c r="F433" s="55"/>
      <c r="G433" s="55"/>
      <c r="H433" s="55"/>
    </row>
    <row r="474" spans="1:1" x14ac:dyDescent="0.25">
      <c r="A474" s="57" t="s">
        <v>77</v>
      </c>
    </row>
  </sheetData>
  <mergeCells count="569">
    <mergeCell ref="A234:B234"/>
    <mergeCell ref="A235:B235"/>
    <mergeCell ref="A236:B236"/>
    <mergeCell ref="A237:B237"/>
    <mergeCell ref="A238:B238"/>
    <mergeCell ref="A292:H292"/>
    <mergeCell ref="A293:B293"/>
    <mergeCell ref="G293:H308"/>
    <mergeCell ref="A294:B294"/>
    <mergeCell ref="A295:B295"/>
    <mergeCell ref="A296:B296"/>
    <mergeCell ref="A297:B297"/>
    <mergeCell ref="A298:B298"/>
    <mergeCell ref="A299:B299"/>
    <mergeCell ref="A300:B300"/>
    <mergeCell ref="A301:B301"/>
    <mergeCell ref="A302:B302"/>
    <mergeCell ref="A303:B303"/>
    <mergeCell ref="A304:B304"/>
    <mergeCell ref="A305:B305"/>
    <mergeCell ref="A306:B306"/>
    <mergeCell ref="A307:B307"/>
    <mergeCell ref="A308:B308"/>
    <mergeCell ref="A258:H258"/>
    <mergeCell ref="A225:B225"/>
    <mergeCell ref="A226:B226"/>
    <mergeCell ref="A227:B227"/>
    <mergeCell ref="A228:B228"/>
    <mergeCell ref="A229:B229"/>
    <mergeCell ref="A230:B230"/>
    <mergeCell ref="A231:B231"/>
    <mergeCell ref="A232:B232"/>
    <mergeCell ref="A233:B233"/>
    <mergeCell ref="A259:B259"/>
    <mergeCell ref="G259:H274"/>
    <mergeCell ref="A260:B260"/>
    <mergeCell ref="A261:B261"/>
    <mergeCell ref="A262:B262"/>
    <mergeCell ref="A263:B263"/>
    <mergeCell ref="A264:B264"/>
    <mergeCell ref="A265:B265"/>
    <mergeCell ref="A266:B266"/>
    <mergeCell ref="A267:B267"/>
    <mergeCell ref="A268:B268"/>
    <mergeCell ref="A269:B269"/>
    <mergeCell ref="A270:B270"/>
    <mergeCell ref="A271:B271"/>
    <mergeCell ref="A272:B272"/>
    <mergeCell ref="A273:B273"/>
    <mergeCell ref="A274:B274"/>
    <mergeCell ref="A49:B49"/>
    <mergeCell ref="C49:E49"/>
    <mergeCell ref="G49:H49"/>
    <mergeCell ref="A188:H188"/>
    <mergeCell ref="A189:B189"/>
    <mergeCell ref="G189:H204"/>
    <mergeCell ref="A190:B190"/>
    <mergeCell ref="A191:B191"/>
    <mergeCell ref="A192:B192"/>
    <mergeCell ref="A193:B193"/>
    <mergeCell ref="A194:B194"/>
    <mergeCell ref="A195:B195"/>
    <mergeCell ref="A196:B196"/>
    <mergeCell ref="A197:B197"/>
    <mergeCell ref="A198:B198"/>
    <mergeCell ref="A199:B199"/>
    <mergeCell ref="A200:B200"/>
    <mergeCell ref="A201:B201"/>
    <mergeCell ref="A202:B202"/>
    <mergeCell ref="A203:B203"/>
    <mergeCell ref="A204:B204"/>
    <mergeCell ref="A90:B90"/>
    <mergeCell ref="C90:H90"/>
    <mergeCell ref="A92:B92"/>
    <mergeCell ref="C92:H92"/>
    <mergeCell ref="A93:B93"/>
    <mergeCell ref="E93:F93"/>
    <mergeCell ref="G93:H93"/>
    <mergeCell ref="A94:B94"/>
    <mergeCell ref="E94:F103"/>
    <mergeCell ref="G94:H103"/>
    <mergeCell ref="A95:B95"/>
    <mergeCell ref="A96:B96"/>
    <mergeCell ref="A97:B97"/>
    <mergeCell ref="A98:B98"/>
    <mergeCell ref="A99:B99"/>
    <mergeCell ref="A100:B100"/>
    <mergeCell ref="A101:B101"/>
    <mergeCell ref="A102:B102"/>
    <mergeCell ref="A103:B103"/>
    <mergeCell ref="A78:B78"/>
    <mergeCell ref="C78:H78"/>
    <mergeCell ref="A79:B79"/>
    <mergeCell ref="E79:F79"/>
    <mergeCell ref="G79:H79"/>
    <mergeCell ref="A80:B80"/>
    <mergeCell ref="E80:F89"/>
    <mergeCell ref="G80:H89"/>
    <mergeCell ref="A81:B81"/>
    <mergeCell ref="A82:B82"/>
    <mergeCell ref="A83:B83"/>
    <mergeCell ref="A84:B84"/>
    <mergeCell ref="A85:B85"/>
    <mergeCell ref="A86:B86"/>
    <mergeCell ref="A87:B87"/>
    <mergeCell ref="A88:B88"/>
    <mergeCell ref="A89:B89"/>
    <mergeCell ref="A69:B69"/>
    <mergeCell ref="A70:B70"/>
    <mergeCell ref="A71:B71"/>
    <mergeCell ref="A72:B72"/>
    <mergeCell ref="A73:B73"/>
    <mergeCell ref="A74:B74"/>
    <mergeCell ref="A75:B75"/>
    <mergeCell ref="A76:B76"/>
    <mergeCell ref="C76:H76"/>
    <mergeCell ref="A33:B33"/>
    <mergeCell ref="C33:E33"/>
    <mergeCell ref="C34:E34"/>
    <mergeCell ref="A30:B30"/>
    <mergeCell ref="G48:H48"/>
    <mergeCell ref="A48:B48"/>
    <mergeCell ref="A47:B47"/>
    <mergeCell ref="C47:E47"/>
    <mergeCell ref="A36:B36"/>
    <mergeCell ref="A41:D41"/>
    <mergeCell ref="E41:H41"/>
    <mergeCell ref="E42:H42"/>
    <mergeCell ref="E43:H43"/>
    <mergeCell ref="E44:H44"/>
    <mergeCell ref="A42:D42"/>
    <mergeCell ref="A43:D43"/>
    <mergeCell ref="A44:D44"/>
    <mergeCell ref="A45:H45"/>
    <mergeCell ref="G47:H47"/>
    <mergeCell ref="C48:E48"/>
    <mergeCell ref="C36:H36"/>
    <mergeCell ref="A46:B46"/>
    <mergeCell ref="C46:H46"/>
    <mergeCell ref="A423:H423"/>
    <mergeCell ref="F114:H114"/>
    <mergeCell ref="A115:E115"/>
    <mergeCell ref="F115:H115"/>
    <mergeCell ref="A309:H309"/>
    <mergeCell ref="A310:H310"/>
    <mergeCell ref="A345:H345"/>
    <mergeCell ref="A346:H346"/>
    <mergeCell ref="A143:B143"/>
    <mergeCell ref="A144:B144"/>
    <mergeCell ref="A145:B145"/>
    <mergeCell ref="A146:B146"/>
    <mergeCell ref="A147:B147"/>
    <mergeCell ref="A148:B148"/>
    <mergeCell ref="A149:B149"/>
    <mergeCell ref="A212:B212"/>
    <mergeCell ref="A213:B213"/>
    <mergeCell ref="A114:E114"/>
    <mergeCell ref="A353:B353"/>
    <mergeCell ref="A354:B354"/>
    <mergeCell ref="A330:B330"/>
    <mergeCell ref="A241:H241"/>
    <mergeCell ref="A256:B256"/>
    <mergeCell ref="A257:B257"/>
    <mergeCell ref="A24:D24"/>
    <mergeCell ref="A25:D25"/>
    <mergeCell ref="E25:H25"/>
    <mergeCell ref="E24:H24"/>
    <mergeCell ref="A26:D26"/>
    <mergeCell ref="E26:H26"/>
    <mergeCell ref="A23:D23"/>
    <mergeCell ref="F31:H31"/>
    <mergeCell ref="A427:H430"/>
    <mergeCell ref="A426:B426"/>
    <mergeCell ref="E426:F426"/>
    <mergeCell ref="C426:D426"/>
    <mergeCell ref="G426:H426"/>
    <mergeCell ref="A118:H118"/>
    <mergeCell ref="A116:E116"/>
    <mergeCell ref="F116:H116"/>
    <mergeCell ref="A117:E117"/>
    <mergeCell ref="F117:H117"/>
    <mergeCell ref="D123:E123"/>
    <mergeCell ref="F123:H123"/>
    <mergeCell ref="A132:B132"/>
    <mergeCell ref="A133:H133"/>
    <mergeCell ref="A123:B123"/>
    <mergeCell ref="A130:H130"/>
    <mergeCell ref="A27:D27"/>
    <mergeCell ref="E27:H27"/>
    <mergeCell ref="A40:D40"/>
    <mergeCell ref="E40:H40"/>
    <mergeCell ref="A28:D28"/>
    <mergeCell ref="E28:H28"/>
    <mergeCell ref="A35:H35"/>
    <mergeCell ref="A34:B34"/>
    <mergeCell ref="A29:D29"/>
    <mergeCell ref="E29:H29"/>
    <mergeCell ref="A38:H38"/>
    <mergeCell ref="A39:D39"/>
    <mergeCell ref="E39:H39"/>
    <mergeCell ref="A37:B37"/>
    <mergeCell ref="C37:H37"/>
    <mergeCell ref="F32:H32"/>
    <mergeCell ref="C30:E30"/>
    <mergeCell ref="F33:H33"/>
    <mergeCell ref="F34:H34"/>
    <mergeCell ref="F30:H30"/>
    <mergeCell ref="A31:B31"/>
    <mergeCell ref="C31:E31"/>
    <mergeCell ref="A32:B32"/>
    <mergeCell ref="C32:E32"/>
    <mergeCell ref="A1:H1"/>
    <mergeCell ref="A2:H2"/>
    <mergeCell ref="A3:D3"/>
    <mergeCell ref="E3:H3"/>
    <mergeCell ref="A4:D4"/>
    <mergeCell ref="A8:D8"/>
    <mergeCell ref="E8:H8"/>
    <mergeCell ref="A9:D9"/>
    <mergeCell ref="E9:H9"/>
    <mergeCell ref="E4:H4"/>
    <mergeCell ref="A11:D11"/>
    <mergeCell ref="E11:H11"/>
    <mergeCell ref="A5:D5"/>
    <mergeCell ref="E5:H5"/>
    <mergeCell ref="A6:D6"/>
    <mergeCell ref="E6:H6"/>
    <mergeCell ref="A7:D7"/>
    <mergeCell ref="E7:H7"/>
    <mergeCell ref="A15:B15"/>
    <mergeCell ref="A12:D12"/>
    <mergeCell ref="E12:H12"/>
    <mergeCell ref="A10:D10"/>
    <mergeCell ref="E10:H10"/>
    <mergeCell ref="A17:B17"/>
    <mergeCell ref="A13:D13"/>
    <mergeCell ref="E13:H13"/>
    <mergeCell ref="A14:B14"/>
    <mergeCell ref="C14:H14"/>
    <mergeCell ref="C15:H15"/>
    <mergeCell ref="A16:B16"/>
    <mergeCell ref="C16:D16"/>
    <mergeCell ref="E16:F16"/>
    <mergeCell ref="G16:H16"/>
    <mergeCell ref="C17:D17"/>
    <mergeCell ref="E17:F17"/>
    <mergeCell ref="G17:H17"/>
    <mergeCell ref="E23:H23"/>
    <mergeCell ref="A18:B18"/>
    <mergeCell ref="C18:D18"/>
    <mergeCell ref="E18:F18"/>
    <mergeCell ref="G18:H18"/>
    <mergeCell ref="A19:B19"/>
    <mergeCell ref="C19:D19"/>
    <mergeCell ref="E19:F19"/>
    <mergeCell ref="G19:H19"/>
    <mergeCell ref="A20:D21"/>
    <mergeCell ref="E20:H21"/>
    <mergeCell ref="A22:D22"/>
    <mergeCell ref="E22:H22"/>
    <mergeCell ref="C50:E50"/>
    <mergeCell ref="G52:H52"/>
    <mergeCell ref="A52:B52"/>
    <mergeCell ref="C52:E52"/>
    <mergeCell ref="A58:C58"/>
    <mergeCell ref="A59:C59"/>
    <mergeCell ref="D58:H58"/>
    <mergeCell ref="D59:H59"/>
    <mergeCell ref="A50:B51"/>
    <mergeCell ref="G50:H50"/>
    <mergeCell ref="D56:H56"/>
    <mergeCell ref="A56:C56"/>
    <mergeCell ref="A57:C57"/>
    <mergeCell ref="D57:H57"/>
    <mergeCell ref="A55:C55"/>
    <mergeCell ref="D55:H55"/>
    <mergeCell ref="D54:H54"/>
    <mergeCell ref="A424:H424"/>
    <mergeCell ref="A425:H425"/>
    <mergeCell ref="A60:C60"/>
    <mergeCell ref="D60:H60"/>
    <mergeCell ref="A417:H417"/>
    <mergeCell ref="A418:H418"/>
    <mergeCell ref="A419:H419"/>
    <mergeCell ref="A420:H420"/>
    <mergeCell ref="A131:H131"/>
    <mergeCell ref="D119:E119"/>
    <mergeCell ref="F119:H119"/>
    <mergeCell ref="A120:B120"/>
    <mergeCell ref="D120:E120"/>
    <mergeCell ref="F120:H120"/>
    <mergeCell ref="A121:H121"/>
    <mergeCell ref="A104:H104"/>
    <mergeCell ref="A107:H107"/>
    <mergeCell ref="A122:B122"/>
    <mergeCell ref="D122:E122"/>
    <mergeCell ref="G132:H132"/>
    <mergeCell ref="F122:H122"/>
    <mergeCell ref="A119:B119"/>
    <mergeCell ref="A421:H421"/>
    <mergeCell ref="A422:H422"/>
    <mergeCell ref="A111:E111"/>
    <mergeCell ref="F111:H111"/>
    <mergeCell ref="A112:E112"/>
    <mergeCell ref="F112:H112"/>
    <mergeCell ref="A61:C61"/>
    <mergeCell ref="D61:H61"/>
    <mergeCell ref="A109:E109"/>
    <mergeCell ref="F109:H109"/>
    <mergeCell ref="A110:E110"/>
    <mergeCell ref="F110:H110"/>
    <mergeCell ref="A108:E108"/>
    <mergeCell ref="F108:H108"/>
    <mergeCell ref="A105:H105"/>
    <mergeCell ref="A106:B106"/>
    <mergeCell ref="C106:H106"/>
    <mergeCell ref="C64:H64"/>
    <mergeCell ref="A65:B65"/>
    <mergeCell ref="E65:F65"/>
    <mergeCell ref="G65:H65"/>
    <mergeCell ref="A66:B66"/>
    <mergeCell ref="E66:F75"/>
    <mergeCell ref="G66:H75"/>
    <mergeCell ref="A67:B67"/>
    <mergeCell ref="A68:B68"/>
    <mergeCell ref="A289:B289"/>
    <mergeCell ref="A290:B290"/>
    <mergeCell ref="A113:E113"/>
    <mergeCell ref="F113:H113"/>
    <mergeCell ref="A62:B62"/>
    <mergeCell ref="C62:H62"/>
    <mergeCell ref="A64:B64"/>
    <mergeCell ref="A170:H170"/>
    <mergeCell ref="A239:H239"/>
    <mergeCell ref="A215:B215"/>
    <mergeCell ref="A216:B216"/>
    <mergeCell ref="A171:H171"/>
    <mergeCell ref="A172:B172"/>
    <mergeCell ref="A173:B173"/>
    <mergeCell ref="A174:B174"/>
    <mergeCell ref="A153:B153"/>
    <mergeCell ref="A154:B154"/>
    <mergeCell ref="A135:H135"/>
    <mergeCell ref="A124:B124"/>
    <mergeCell ref="D124:E124"/>
    <mergeCell ref="F124:H124"/>
    <mergeCell ref="A125:B125"/>
    <mergeCell ref="D125:E125"/>
    <mergeCell ref="F125:H125"/>
    <mergeCell ref="A318:B318"/>
    <mergeCell ref="A319:B319"/>
    <mergeCell ref="A320:B320"/>
    <mergeCell ref="A321:B321"/>
    <mergeCell ref="A322:B322"/>
    <mergeCell ref="A278:B278"/>
    <mergeCell ref="A279:B279"/>
    <mergeCell ref="A284:B284"/>
    <mergeCell ref="A285:B285"/>
    <mergeCell ref="A286:B286"/>
    <mergeCell ref="A313:B313"/>
    <mergeCell ref="A314:B314"/>
    <mergeCell ref="A315:B315"/>
    <mergeCell ref="A316:B316"/>
    <mergeCell ref="A288:B288"/>
    <mergeCell ref="A283:B283"/>
    <mergeCell ref="A281:B281"/>
    <mergeCell ref="A282:B282"/>
    <mergeCell ref="A311:H311"/>
    <mergeCell ref="A312:B312"/>
    <mergeCell ref="A280:B280"/>
    <mergeCell ref="C286:F286"/>
    <mergeCell ref="A287:B287"/>
    <mergeCell ref="A291:B291"/>
    <mergeCell ref="A182:B182"/>
    <mergeCell ref="A180:B180"/>
    <mergeCell ref="A169:H169"/>
    <mergeCell ref="A254:B254"/>
    <mergeCell ref="A255:B255"/>
    <mergeCell ref="A214:B214"/>
    <mergeCell ref="A219:B219"/>
    <mergeCell ref="A220:B220"/>
    <mergeCell ref="A221:B221"/>
    <mergeCell ref="A183:B183"/>
    <mergeCell ref="A184:B184"/>
    <mergeCell ref="A185:B185"/>
    <mergeCell ref="A186:B186"/>
    <mergeCell ref="A187:B187"/>
    <mergeCell ref="A242:B242"/>
    <mergeCell ref="A243:B243"/>
    <mergeCell ref="A208:B208"/>
    <mergeCell ref="A209:B209"/>
    <mergeCell ref="A210:B210"/>
    <mergeCell ref="A211:B211"/>
    <mergeCell ref="A222:H222"/>
    <mergeCell ref="A223:B223"/>
    <mergeCell ref="G223:H238"/>
    <mergeCell ref="A224:B224"/>
    <mergeCell ref="A277:B277"/>
    <mergeCell ref="A217:B217"/>
    <mergeCell ref="A218:B218"/>
    <mergeCell ref="C216:F216"/>
    <mergeCell ref="G276:H291"/>
    <mergeCell ref="A175:B175"/>
    <mergeCell ref="A176:B176"/>
    <mergeCell ref="A177:B177"/>
    <mergeCell ref="A178:B178"/>
    <mergeCell ref="A179:B179"/>
    <mergeCell ref="A249:B249"/>
    <mergeCell ref="A250:B250"/>
    <mergeCell ref="A251:B251"/>
    <mergeCell ref="A252:B252"/>
    <mergeCell ref="A253:B253"/>
    <mergeCell ref="A244:B244"/>
    <mergeCell ref="A245:B245"/>
    <mergeCell ref="A246:B246"/>
    <mergeCell ref="A247:B247"/>
    <mergeCell ref="A248:B248"/>
    <mergeCell ref="A240:H240"/>
    <mergeCell ref="A275:H275"/>
    <mergeCell ref="A276:B276"/>
    <mergeCell ref="A181:B181"/>
    <mergeCell ref="A362:B362"/>
    <mergeCell ref="A347:H347"/>
    <mergeCell ref="A355:B355"/>
    <mergeCell ref="A356:B356"/>
    <mergeCell ref="A337:B337"/>
    <mergeCell ref="A338:B338"/>
    <mergeCell ref="C338:F338"/>
    <mergeCell ref="A329:B329"/>
    <mergeCell ref="G312:H327"/>
    <mergeCell ref="A317:B317"/>
    <mergeCell ref="A357:B357"/>
    <mergeCell ref="A331:B331"/>
    <mergeCell ref="A332:B332"/>
    <mergeCell ref="A333:B333"/>
    <mergeCell ref="A328:H328"/>
    <mergeCell ref="G329:H344"/>
    <mergeCell ref="A334:B334"/>
    <mergeCell ref="A335:B335"/>
    <mergeCell ref="A336:B336"/>
    <mergeCell ref="A323:B323"/>
    <mergeCell ref="A324:B324"/>
    <mergeCell ref="A325:B325"/>
    <mergeCell ref="A327:B327"/>
    <mergeCell ref="A326:B326"/>
    <mergeCell ref="A393:B393"/>
    <mergeCell ref="A394:B394"/>
    <mergeCell ref="A391:B391"/>
    <mergeCell ref="C374:F374"/>
    <mergeCell ref="A365:B365"/>
    <mergeCell ref="A366:B366"/>
    <mergeCell ref="A367:B367"/>
    <mergeCell ref="A339:B339"/>
    <mergeCell ref="A340:B340"/>
    <mergeCell ref="A341:B341"/>
    <mergeCell ref="A342:B342"/>
    <mergeCell ref="A343:B343"/>
    <mergeCell ref="A363:B363"/>
    <mergeCell ref="A348:B348"/>
    <mergeCell ref="A349:B349"/>
    <mergeCell ref="A350:B350"/>
    <mergeCell ref="A351:B351"/>
    <mergeCell ref="A352:B352"/>
    <mergeCell ref="A344:B344"/>
    <mergeCell ref="A364:H364"/>
    <mergeCell ref="A358:B358"/>
    <mergeCell ref="A359:B359"/>
    <mergeCell ref="A360:B360"/>
    <mergeCell ref="A361:B361"/>
    <mergeCell ref="A373:B373"/>
    <mergeCell ref="A370:B370"/>
    <mergeCell ref="A383:H383"/>
    <mergeCell ref="A381:H381"/>
    <mergeCell ref="A382:H382"/>
    <mergeCell ref="A371:B371"/>
    <mergeCell ref="A372:B372"/>
    <mergeCell ref="A374:B374"/>
    <mergeCell ref="A380:B380"/>
    <mergeCell ref="A400:H400"/>
    <mergeCell ref="A401:B401"/>
    <mergeCell ref="A392:B392"/>
    <mergeCell ref="A388:B388"/>
    <mergeCell ref="A389:B389"/>
    <mergeCell ref="A390:B390"/>
    <mergeCell ref="A395:B395"/>
    <mergeCell ref="G365:H380"/>
    <mergeCell ref="G384:H399"/>
    <mergeCell ref="A375:B375"/>
    <mergeCell ref="A376:B376"/>
    <mergeCell ref="A377:B377"/>
    <mergeCell ref="A378:B378"/>
    <mergeCell ref="A396:B396"/>
    <mergeCell ref="A397:B397"/>
    <mergeCell ref="A398:B398"/>
    <mergeCell ref="A399:B399"/>
    <mergeCell ref="A384:B384"/>
    <mergeCell ref="A385:B385"/>
    <mergeCell ref="A386:B386"/>
    <mergeCell ref="A387:B387"/>
    <mergeCell ref="A368:B368"/>
    <mergeCell ref="A369:B369"/>
    <mergeCell ref="A379:B379"/>
    <mergeCell ref="A414:B414"/>
    <mergeCell ref="A415:B415"/>
    <mergeCell ref="A416:B416"/>
    <mergeCell ref="G401:H416"/>
    <mergeCell ref="A408:B408"/>
    <mergeCell ref="A409:B409"/>
    <mergeCell ref="A410:B410"/>
    <mergeCell ref="C410:F410"/>
    <mergeCell ref="A411:B411"/>
    <mergeCell ref="A403:B403"/>
    <mergeCell ref="A404:B404"/>
    <mergeCell ref="A405:B405"/>
    <mergeCell ref="A406:B406"/>
    <mergeCell ref="A407:B407"/>
    <mergeCell ref="A402:B402"/>
    <mergeCell ref="A412:B412"/>
    <mergeCell ref="A413:B413"/>
    <mergeCell ref="F126:H126"/>
    <mergeCell ref="A127:B127"/>
    <mergeCell ref="D127:E127"/>
    <mergeCell ref="F127:H127"/>
    <mergeCell ref="A128:B128"/>
    <mergeCell ref="D128:E128"/>
    <mergeCell ref="F128:H128"/>
    <mergeCell ref="A129:B129"/>
    <mergeCell ref="A134:H134"/>
    <mergeCell ref="A126:B126"/>
    <mergeCell ref="D126:E126"/>
    <mergeCell ref="A159:B159"/>
    <mergeCell ref="A160:B160"/>
    <mergeCell ref="A136:B136"/>
    <mergeCell ref="A137:B137"/>
    <mergeCell ref="A138:B138"/>
    <mergeCell ref="A139:B139"/>
    <mergeCell ref="A140:B140"/>
    <mergeCell ref="A141:B141"/>
    <mergeCell ref="A142:B142"/>
    <mergeCell ref="A155:B155"/>
    <mergeCell ref="A156:B156"/>
    <mergeCell ref="A157:B157"/>
    <mergeCell ref="A158:B158"/>
    <mergeCell ref="A150:B150"/>
    <mergeCell ref="A151:B151"/>
    <mergeCell ref="A161:B161"/>
    <mergeCell ref="A162:B162"/>
    <mergeCell ref="D129:E129"/>
    <mergeCell ref="F129:H129"/>
    <mergeCell ref="G348:H363"/>
    <mergeCell ref="C51:H51"/>
    <mergeCell ref="A53:H53"/>
    <mergeCell ref="A54:C54"/>
    <mergeCell ref="G136:H151"/>
    <mergeCell ref="G153:H168"/>
    <mergeCell ref="G172:H187"/>
    <mergeCell ref="G206:H221"/>
    <mergeCell ref="G242:H257"/>
    <mergeCell ref="A152:H152"/>
    <mergeCell ref="C163:F163"/>
    <mergeCell ref="A168:B168"/>
    <mergeCell ref="A205:H205"/>
    <mergeCell ref="A206:B206"/>
    <mergeCell ref="A207:B207"/>
    <mergeCell ref="A163:B163"/>
    <mergeCell ref="A164:B164"/>
    <mergeCell ref="A165:B165"/>
    <mergeCell ref="A166:B166"/>
    <mergeCell ref="A167:B167"/>
  </mergeCells>
  <hyperlinks>
    <hyperlink ref="C37" r:id="rId1"/>
  </hyperlinks>
  <printOptions horizontalCentered="1"/>
  <pageMargins left="0.39370078740157483" right="0.39370078740157483" top="0.78740157480314965" bottom="0.78740157480314965" header="0.19685039370078741" footer="0.19685039370078741"/>
  <pageSetup paperSize="9" scale="98" fitToHeight="0" orientation="portrait" r:id="rId2"/>
  <headerFooter>
    <oddHeader>&amp;C&amp;G</oddHeader>
    <oddFooter>&amp;L&amp;"Times New Roman,Bold"&amp;12Ref No: &amp;F&amp;C&amp;G&amp;R&amp;"Times New Roman,Bold"&amp;12                                &amp;P</oddFooter>
  </headerFooter>
  <rowBreaks count="3" manualBreakCount="3">
    <brk id="61" max="7" man="1"/>
    <brk id="430" max="7" man="1"/>
    <brk id="473" max="7"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topLeftCell="A16" workbookViewId="0">
      <selection activeCell="D28" sqref="D28"/>
    </sheetView>
  </sheetViews>
  <sheetFormatPr defaultRowHeight="15" x14ac:dyDescent="0.25"/>
  <cols>
    <col min="2" max="2" width="12.28515625" customWidth="1"/>
  </cols>
  <sheetData>
    <row r="2" spans="1:12" x14ac:dyDescent="0.25">
      <c r="B2" s="1" t="s">
        <v>79</v>
      </c>
      <c r="C2" s="161">
        <v>11</v>
      </c>
      <c r="D2" s="161"/>
    </row>
    <row r="3" spans="1:12" x14ac:dyDescent="0.25">
      <c r="D3" s="2"/>
      <c r="E3" s="2"/>
      <c r="F3" s="2"/>
      <c r="G3" s="2"/>
      <c r="H3" s="2"/>
      <c r="I3" s="2"/>
    </row>
    <row r="4" spans="1:12" x14ac:dyDescent="0.25">
      <c r="A4" s="1" t="s">
        <v>80</v>
      </c>
      <c r="B4" s="3" t="s">
        <v>81</v>
      </c>
      <c r="C4" s="162" t="s">
        <v>82</v>
      </c>
      <c r="D4" s="162"/>
      <c r="E4" s="162"/>
      <c r="F4" s="4"/>
      <c r="G4" s="162" t="s">
        <v>83</v>
      </c>
      <c r="H4" s="162"/>
      <c r="I4" s="162"/>
      <c r="J4" s="162" t="s">
        <v>84</v>
      </c>
      <c r="K4" s="162"/>
      <c r="L4" s="162"/>
    </row>
    <row r="5" spans="1:12" x14ac:dyDescent="0.25">
      <c r="A5" s="1">
        <v>202</v>
      </c>
      <c r="B5" s="3"/>
      <c r="C5" s="3" t="s">
        <v>85</v>
      </c>
      <c r="D5" s="3" t="s">
        <v>86</v>
      </c>
      <c r="E5" s="3" t="s">
        <v>60</v>
      </c>
      <c r="F5" s="3"/>
      <c r="G5" s="3" t="s">
        <v>85</v>
      </c>
      <c r="H5" s="3" t="s">
        <v>86</v>
      </c>
      <c r="I5" s="3" t="s">
        <v>60</v>
      </c>
      <c r="J5" s="3" t="s">
        <v>85</v>
      </c>
      <c r="K5" s="3" t="s">
        <v>86</v>
      </c>
      <c r="L5" s="3" t="s">
        <v>60</v>
      </c>
    </row>
    <row r="6" spans="1:12" x14ac:dyDescent="0.25">
      <c r="B6" s="5" t="s">
        <v>87</v>
      </c>
      <c r="C6" s="5">
        <v>3.05</v>
      </c>
      <c r="D6" s="5">
        <v>4.57</v>
      </c>
      <c r="E6" s="5">
        <f>C6*D6</f>
        <v>13.938499999999999</v>
      </c>
      <c r="F6" s="5" t="s">
        <v>88</v>
      </c>
      <c r="G6" s="5"/>
      <c r="H6" s="5"/>
      <c r="I6" s="5">
        <f>G6*H6</f>
        <v>0</v>
      </c>
      <c r="J6" s="5"/>
      <c r="K6" s="5"/>
      <c r="L6" s="5">
        <f>J6*K6</f>
        <v>0</v>
      </c>
    </row>
    <row r="7" spans="1:12" x14ac:dyDescent="0.25">
      <c r="B7" s="5"/>
      <c r="C7" s="5"/>
      <c r="D7" s="5"/>
      <c r="E7" s="5">
        <f t="shared" ref="E7:E33" si="0">C7*D7</f>
        <v>0</v>
      </c>
      <c r="F7" s="5" t="s">
        <v>89</v>
      </c>
      <c r="G7" s="5"/>
      <c r="H7" s="5"/>
      <c r="I7" s="5">
        <f t="shared" ref="I7:I29" si="1">G7*H7</f>
        <v>0</v>
      </c>
      <c r="J7" s="5"/>
      <c r="K7" s="5"/>
      <c r="L7" s="5">
        <f t="shared" ref="L7:L29" si="2">J7*K7</f>
        <v>0</v>
      </c>
    </row>
    <row r="8" spans="1:12" x14ac:dyDescent="0.25">
      <c r="B8" s="5"/>
      <c r="C8" s="5"/>
      <c r="D8" s="5"/>
      <c r="E8" s="5">
        <f t="shared" si="0"/>
        <v>0</v>
      </c>
      <c r="F8" s="5"/>
      <c r="G8" s="5"/>
      <c r="H8" s="5"/>
      <c r="I8" s="5">
        <f t="shared" si="1"/>
        <v>0</v>
      </c>
      <c r="J8" s="5"/>
      <c r="K8" s="5"/>
      <c r="L8" s="5">
        <f t="shared" si="2"/>
        <v>0</v>
      </c>
    </row>
    <row r="9" spans="1:12" x14ac:dyDescent="0.25">
      <c r="B9" s="5" t="s">
        <v>90</v>
      </c>
      <c r="C9" s="5">
        <v>2.13</v>
      </c>
      <c r="D9" s="5">
        <v>2.69</v>
      </c>
      <c r="E9" s="5">
        <f t="shared" si="0"/>
        <v>5.7296999999999993</v>
      </c>
      <c r="F9" s="5" t="s">
        <v>88</v>
      </c>
      <c r="G9" s="5"/>
      <c r="H9" s="5"/>
      <c r="I9" s="5">
        <f t="shared" si="1"/>
        <v>0</v>
      </c>
      <c r="J9" s="5"/>
      <c r="K9" s="5"/>
      <c r="L9" s="5">
        <f t="shared" si="2"/>
        <v>0</v>
      </c>
    </row>
    <row r="10" spans="1:12" x14ac:dyDescent="0.25">
      <c r="B10" s="5"/>
      <c r="C10" s="5">
        <v>1.37</v>
      </c>
      <c r="D10" s="5">
        <v>0.6</v>
      </c>
      <c r="E10" s="5">
        <f t="shared" si="0"/>
        <v>0.82200000000000006</v>
      </c>
      <c r="F10" s="5" t="s">
        <v>89</v>
      </c>
      <c r="G10" s="5"/>
      <c r="H10" s="5"/>
      <c r="I10" s="5">
        <f t="shared" si="1"/>
        <v>0</v>
      </c>
      <c r="J10" s="5"/>
      <c r="K10" s="5"/>
      <c r="L10" s="5">
        <f t="shared" si="2"/>
        <v>0</v>
      </c>
    </row>
    <row r="11" spans="1:12" x14ac:dyDescent="0.25">
      <c r="B11" s="5"/>
      <c r="C11" s="5"/>
      <c r="D11" s="5"/>
      <c r="E11" s="5">
        <f t="shared" si="0"/>
        <v>0</v>
      </c>
      <c r="F11" s="5"/>
      <c r="G11" s="5"/>
      <c r="H11" s="5"/>
      <c r="I11" s="5">
        <f t="shared" si="1"/>
        <v>0</v>
      </c>
      <c r="J11" s="5"/>
      <c r="K11" s="5"/>
      <c r="L11" s="5">
        <f t="shared" si="2"/>
        <v>0</v>
      </c>
    </row>
    <row r="12" spans="1:12" x14ac:dyDescent="0.25">
      <c r="B12" s="5"/>
      <c r="C12" s="5"/>
      <c r="D12" s="5"/>
      <c r="E12" s="5">
        <f t="shared" si="0"/>
        <v>0</v>
      </c>
      <c r="F12" s="5"/>
      <c r="G12" s="5"/>
      <c r="H12" s="5"/>
      <c r="I12" s="5">
        <f t="shared" si="1"/>
        <v>0</v>
      </c>
      <c r="J12" s="5"/>
      <c r="K12" s="5"/>
      <c r="L12" s="5">
        <f t="shared" si="2"/>
        <v>0</v>
      </c>
    </row>
    <row r="13" spans="1:12" x14ac:dyDescent="0.25">
      <c r="B13" s="5" t="s">
        <v>91</v>
      </c>
      <c r="C13" s="5">
        <v>2.74</v>
      </c>
      <c r="D13" s="5">
        <v>3.4</v>
      </c>
      <c r="E13" s="5">
        <f t="shared" si="0"/>
        <v>9.3160000000000007</v>
      </c>
      <c r="F13" s="5" t="s">
        <v>88</v>
      </c>
      <c r="G13" s="5"/>
      <c r="H13" s="5"/>
      <c r="I13" s="5">
        <f t="shared" si="1"/>
        <v>0</v>
      </c>
      <c r="J13" s="5"/>
      <c r="K13" s="5"/>
      <c r="L13" s="5">
        <f t="shared" si="2"/>
        <v>0</v>
      </c>
    </row>
    <row r="14" spans="1:12" x14ac:dyDescent="0.25">
      <c r="B14" s="5"/>
      <c r="C14" s="5">
        <v>2.4</v>
      </c>
      <c r="D14" s="5">
        <v>0.6</v>
      </c>
      <c r="E14" s="5">
        <f t="shared" si="0"/>
        <v>1.44</v>
      </c>
      <c r="F14" s="5" t="s">
        <v>89</v>
      </c>
      <c r="G14" s="5"/>
      <c r="H14" s="5"/>
      <c r="I14" s="5">
        <f t="shared" si="1"/>
        <v>0</v>
      </c>
      <c r="J14" s="5"/>
      <c r="K14" s="5"/>
      <c r="L14" s="5">
        <f t="shared" si="2"/>
        <v>0</v>
      </c>
    </row>
    <row r="15" spans="1:12" x14ac:dyDescent="0.25">
      <c r="B15" s="5"/>
      <c r="C15" s="5"/>
      <c r="D15" s="5"/>
      <c r="E15" s="5">
        <f t="shared" si="0"/>
        <v>0</v>
      </c>
      <c r="F15" s="5"/>
      <c r="G15" s="5"/>
      <c r="H15" s="5"/>
      <c r="I15" s="5">
        <f t="shared" si="1"/>
        <v>0</v>
      </c>
      <c r="J15" s="5"/>
      <c r="K15" s="5"/>
      <c r="L15" s="5">
        <f t="shared" si="2"/>
        <v>0</v>
      </c>
    </row>
    <row r="16" spans="1:12" x14ac:dyDescent="0.25">
      <c r="B16" s="5"/>
      <c r="C16" s="5"/>
      <c r="D16" s="5"/>
      <c r="E16" s="5">
        <f t="shared" si="0"/>
        <v>0</v>
      </c>
      <c r="F16" s="5"/>
      <c r="G16" s="5"/>
      <c r="H16" s="5"/>
      <c r="I16" s="5">
        <f t="shared" si="1"/>
        <v>0</v>
      </c>
      <c r="J16" s="5"/>
      <c r="K16" s="5"/>
      <c r="L16" s="5">
        <f t="shared" si="2"/>
        <v>0</v>
      </c>
    </row>
    <row r="17" spans="2:12" x14ac:dyDescent="0.25">
      <c r="B17" s="5" t="s">
        <v>92</v>
      </c>
      <c r="C17" s="5">
        <v>2.4</v>
      </c>
      <c r="D17" s="5">
        <v>2.6</v>
      </c>
      <c r="E17" s="5">
        <f t="shared" si="0"/>
        <v>6.24</v>
      </c>
      <c r="F17" s="5" t="s">
        <v>88</v>
      </c>
      <c r="G17" s="5"/>
      <c r="H17" s="5"/>
      <c r="I17" s="5">
        <f t="shared" si="1"/>
        <v>0</v>
      </c>
      <c r="J17" s="5"/>
      <c r="K17" s="5"/>
      <c r="L17" s="5">
        <f t="shared" si="2"/>
        <v>0</v>
      </c>
    </row>
    <row r="18" spans="2:12" x14ac:dyDescent="0.25">
      <c r="B18" s="5"/>
      <c r="C18" s="5"/>
      <c r="D18" s="5"/>
      <c r="E18" s="5">
        <f t="shared" si="0"/>
        <v>0</v>
      </c>
      <c r="F18" s="5" t="s">
        <v>89</v>
      </c>
      <c r="G18" s="5"/>
      <c r="H18" s="5"/>
      <c r="I18" s="5">
        <f t="shared" si="1"/>
        <v>0</v>
      </c>
      <c r="J18" s="5"/>
      <c r="K18" s="5"/>
      <c r="L18" s="5">
        <f t="shared" si="2"/>
        <v>0</v>
      </c>
    </row>
    <row r="19" spans="2:12" x14ac:dyDescent="0.25">
      <c r="B19" s="5"/>
      <c r="C19" s="5"/>
      <c r="D19" s="5"/>
      <c r="E19" s="5">
        <f t="shared" si="0"/>
        <v>0</v>
      </c>
      <c r="F19" s="5"/>
      <c r="G19" s="5"/>
      <c r="H19" s="5"/>
      <c r="I19" s="5">
        <f t="shared" si="1"/>
        <v>0</v>
      </c>
      <c r="J19" s="5"/>
      <c r="K19" s="5"/>
      <c r="L19" s="5">
        <f t="shared" si="2"/>
        <v>0</v>
      </c>
    </row>
    <row r="20" spans="2:12" x14ac:dyDescent="0.25">
      <c r="B20" s="5" t="s">
        <v>92</v>
      </c>
      <c r="C20" s="5"/>
      <c r="D20" s="5"/>
      <c r="E20" s="5">
        <f t="shared" si="0"/>
        <v>0</v>
      </c>
      <c r="F20" s="5" t="s">
        <v>88</v>
      </c>
      <c r="G20" s="5"/>
      <c r="H20" s="5"/>
      <c r="I20" s="5">
        <f t="shared" si="1"/>
        <v>0</v>
      </c>
      <c r="J20" s="5"/>
      <c r="K20" s="5"/>
      <c r="L20" s="5">
        <f t="shared" si="2"/>
        <v>0</v>
      </c>
    </row>
    <row r="21" spans="2:12" x14ac:dyDescent="0.25">
      <c r="B21" s="5"/>
      <c r="C21" s="5"/>
      <c r="D21" s="5"/>
      <c r="E21" s="5">
        <f t="shared" si="0"/>
        <v>0</v>
      </c>
      <c r="F21" s="5" t="s">
        <v>89</v>
      </c>
      <c r="G21" s="5"/>
      <c r="H21" s="5"/>
      <c r="I21" s="5">
        <f t="shared" si="1"/>
        <v>0</v>
      </c>
      <c r="J21" s="5"/>
      <c r="K21" s="5"/>
      <c r="L21" s="5">
        <f t="shared" si="2"/>
        <v>0</v>
      </c>
    </row>
    <row r="22" spans="2:12" x14ac:dyDescent="0.25">
      <c r="B22" s="5"/>
      <c r="C22" s="5"/>
      <c r="D22" s="5"/>
      <c r="E22" s="5">
        <f t="shared" si="0"/>
        <v>0</v>
      </c>
      <c r="F22" s="5"/>
      <c r="G22" s="5"/>
      <c r="H22" s="5"/>
      <c r="I22" s="5">
        <f t="shared" si="1"/>
        <v>0</v>
      </c>
      <c r="J22" s="5"/>
      <c r="K22" s="5"/>
      <c r="L22" s="5">
        <f t="shared" si="2"/>
        <v>0</v>
      </c>
    </row>
    <row r="23" spans="2:12" x14ac:dyDescent="0.25">
      <c r="B23" s="5" t="s">
        <v>93</v>
      </c>
      <c r="C23" s="5">
        <v>1.22</v>
      </c>
      <c r="D23" s="5">
        <v>2.13</v>
      </c>
      <c r="E23" s="5">
        <f t="shared" si="0"/>
        <v>2.5985999999999998</v>
      </c>
      <c r="F23" s="5" t="s">
        <v>94</v>
      </c>
      <c r="G23" s="5"/>
      <c r="H23" s="5"/>
      <c r="I23" s="5">
        <f t="shared" si="1"/>
        <v>0</v>
      </c>
      <c r="J23" s="5"/>
      <c r="K23" s="5"/>
      <c r="L23" s="5">
        <f t="shared" si="2"/>
        <v>0</v>
      </c>
    </row>
    <row r="24" spans="2:12" x14ac:dyDescent="0.25">
      <c r="B24" s="5" t="s">
        <v>95</v>
      </c>
      <c r="C24" s="5">
        <v>1.22</v>
      </c>
      <c r="D24" s="5">
        <v>2.15</v>
      </c>
      <c r="E24" s="5">
        <f t="shared" si="0"/>
        <v>2.6229999999999998</v>
      </c>
      <c r="F24" s="5" t="s">
        <v>94</v>
      </c>
      <c r="G24" s="5"/>
      <c r="H24" s="5"/>
      <c r="I24" s="5">
        <f t="shared" si="1"/>
        <v>0</v>
      </c>
      <c r="J24" s="5"/>
      <c r="K24" s="5"/>
      <c r="L24" s="5">
        <f t="shared" si="2"/>
        <v>0</v>
      </c>
    </row>
    <row r="25" spans="2:12" x14ac:dyDescent="0.25">
      <c r="B25" s="5" t="s">
        <v>96</v>
      </c>
      <c r="C25" s="5"/>
      <c r="D25" s="5"/>
      <c r="E25" s="5">
        <f t="shared" si="0"/>
        <v>0</v>
      </c>
      <c r="F25" s="5" t="s">
        <v>94</v>
      </c>
      <c r="G25" s="5"/>
      <c r="H25" s="5"/>
      <c r="I25" s="5">
        <f t="shared" si="1"/>
        <v>0</v>
      </c>
      <c r="J25" s="5"/>
      <c r="K25" s="5"/>
      <c r="L25" s="5">
        <f t="shared" si="2"/>
        <v>0</v>
      </c>
    </row>
    <row r="26" spans="2:12" x14ac:dyDescent="0.25">
      <c r="B26" s="5"/>
      <c r="C26" s="5"/>
      <c r="D26" s="5"/>
      <c r="E26" s="5">
        <f t="shared" si="0"/>
        <v>0</v>
      </c>
      <c r="F26" s="5"/>
      <c r="G26" s="5"/>
      <c r="H26" s="5"/>
      <c r="I26" s="5">
        <f t="shared" si="1"/>
        <v>0</v>
      </c>
      <c r="J26" s="5"/>
      <c r="K26" s="5"/>
      <c r="L26" s="5">
        <f t="shared" si="2"/>
        <v>0</v>
      </c>
    </row>
    <row r="27" spans="2:12" x14ac:dyDescent="0.25">
      <c r="B27" s="5" t="s">
        <v>97</v>
      </c>
      <c r="C27" s="5">
        <v>1</v>
      </c>
      <c r="D27" s="5">
        <v>1.22</v>
      </c>
      <c r="E27" s="5">
        <f t="shared" si="0"/>
        <v>1.22</v>
      </c>
      <c r="F27" s="5"/>
      <c r="G27" s="5"/>
      <c r="H27" s="5"/>
      <c r="I27" s="5">
        <f t="shared" si="1"/>
        <v>0</v>
      </c>
      <c r="J27" s="5"/>
      <c r="K27" s="5"/>
      <c r="L27" s="5">
        <f t="shared" si="2"/>
        <v>0</v>
      </c>
    </row>
    <row r="28" spans="2:12" x14ac:dyDescent="0.25">
      <c r="B28" s="5" t="s">
        <v>98</v>
      </c>
      <c r="C28" s="5"/>
      <c r="D28" s="5"/>
      <c r="E28" s="5">
        <f t="shared" si="0"/>
        <v>0</v>
      </c>
      <c r="F28" s="5"/>
      <c r="G28" s="5"/>
      <c r="H28" s="5"/>
      <c r="I28" s="5">
        <f t="shared" si="1"/>
        <v>0</v>
      </c>
      <c r="J28" s="5"/>
      <c r="K28" s="5"/>
      <c r="L28" s="5">
        <f t="shared" si="2"/>
        <v>0</v>
      </c>
    </row>
    <row r="29" spans="2:12" x14ac:dyDescent="0.25">
      <c r="B29" s="5" t="s">
        <v>99</v>
      </c>
      <c r="C29" s="5"/>
      <c r="D29" s="5"/>
      <c r="E29" s="5">
        <f t="shared" si="0"/>
        <v>0</v>
      </c>
      <c r="F29" s="5"/>
      <c r="G29" s="5"/>
      <c r="H29" s="5"/>
      <c r="I29" s="5">
        <f t="shared" si="1"/>
        <v>0</v>
      </c>
      <c r="J29" s="5"/>
      <c r="K29" s="5"/>
      <c r="L29" s="5">
        <f t="shared" si="2"/>
        <v>0</v>
      </c>
    </row>
    <row r="30" spans="2:12" x14ac:dyDescent="0.25">
      <c r="B30" s="5" t="s">
        <v>100</v>
      </c>
      <c r="C30" s="5"/>
      <c r="D30" s="5"/>
      <c r="E30" s="5">
        <f t="shared" si="0"/>
        <v>0</v>
      </c>
      <c r="F30" s="5"/>
      <c r="G30" s="5"/>
      <c r="H30" s="5"/>
      <c r="I30" s="5">
        <f>G30*H30</f>
        <v>0</v>
      </c>
      <c r="J30" s="5"/>
      <c r="K30" s="5"/>
      <c r="L30" s="5">
        <f>J30*K30</f>
        <v>0</v>
      </c>
    </row>
    <row r="31" spans="2:12" x14ac:dyDescent="0.25">
      <c r="B31" s="5"/>
      <c r="C31" s="5"/>
      <c r="D31" s="5"/>
      <c r="E31" s="5">
        <f t="shared" si="0"/>
        <v>0</v>
      </c>
      <c r="F31" s="5"/>
      <c r="G31" s="5"/>
      <c r="H31" s="5"/>
      <c r="I31" s="5">
        <f>G31*H31</f>
        <v>0</v>
      </c>
      <c r="J31" s="5"/>
      <c r="K31" s="5"/>
      <c r="L31" s="5">
        <f>J31*K31</f>
        <v>0</v>
      </c>
    </row>
    <row r="32" spans="2:12" x14ac:dyDescent="0.25">
      <c r="B32" s="5"/>
      <c r="C32" s="5"/>
      <c r="D32" s="5"/>
      <c r="E32" s="5">
        <f t="shared" si="0"/>
        <v>0</v>
      </c>
      <c r="F32" s="5"/>
      <c r="G32" s="5"/>
      <c r="H32" s="5"/>
      <c r="I32" s="5">
        <f>G32*H32</f>
        <v>0</v>
      </c>
      <c r="J32" s="5"/>
      <c r="K32" s="5"/>
      <c r="L32" s="5">
        <f>J32*K32</f>
        <v>0</v>
      </c>
    </row>
    <row r="33" spans="2:12" x14ac:dyDescent="0.25">
      <c r="B33" s="5"/>
      <c r="C33" s="5"/>
      <c r="D33" s="5"/>
      <c r="E33" s="5">
        <f t="shared" si="0"/>
        <v>0</v>
      </c>
      <c r="F33" s="5"/>
      <c r="G33" s="5"/>
      <c r="H33" s="5"/>
      <c r="I33" s="5">
        <f>G33*H33</f>
        <v>0</v>
      </c>
      <c r="J33" s="5"/>
      <c r="K33" s="5"/>
      <c r="L33" s="5">
        <f>J33*K33</f>
        <v>0</v>
      </c>
    </row>
    <row r="34" spans="2:12" x14ac:dyDescent="0.25">
      <c r="B34" s="5" t="s">
        <v>61</v>
      </c>
      <c r="C34" s="5"/>
      <c r="D34" s="5">
        <f>E34*10.764</f>
        <v>472.83883919999988</v>
      </c>
      <c r="E34" s="5">
        <f>SUM(E6:E33)</f>
        <v>43.927799999999991</v>
      </c>
      <c r="F34" s="5"/>
      <c r="G34" s="5"/>
      <c r="H34" s="5">
        <f>I34*10.764</f>
        <v>0</v>
      </c>
      <c r="I34" s="5">
        <f>SUM(I6:I33)</f>
        <v>0</v>
      </c>
      <c r="J34" s="5"/>
      <c r="K34" s="5">
        <f>L34*10.764</f>
        <v>0</v>
      </c>
      <c r="L34" s="5">
        <f>SUM(L6:L33)</f>
        <v>0</v>
      </c>
    </row>
    <row r="36" spans="2:12" x14ac:dyDescent="0.25">
      <c r="D36">
        <f>D34+H34</f>
        <v>472.83883919999988</v>
      </c>
      <c r="E36">
        <f>E34+I34</f>
        <v>43.927799999999991</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topLeftCell="A39" workbookViewId="0">
      <selection activeCell="O59" sqref="O59"/>
    </sheetView>
  </sheetViews>
  <sheetFormatPr defaultRowHeight="15" x14ac:dyDescent="0.25"/>
  <cols>
    <col min="1" max="1" width="10.42578125" bestFit="1" customWidth="1"/>
  </cols>
  <sheetData>
    <row r="1" spans="1:3" x14ac:dyDescent="0.25">
      <c r="A1" s="20">
        <v>44267</v>
      </c>
      <c r="B1" t="s">
        <v>199</v>
      </c>
      <c r="C1" t="s">
        <v>200</v>
      </c>
    </row>
    <row r="40" spans="1:3" x14ac:dyDescent="0.25">
      <c r="A40" s="20">
        <v>44283</v>
      </c>
      <c r="B40" t="s">
        <v>199</v>
      </c>
      <c r="C40" t="s">
        <v>202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topLeftCell="A31" zoomScale="115" zoomScaleNormal="115" workbookViewId="0">
      <selection activeCell="H7" sqref="H7"/>
    </sheetView>
  </sheetViews>
  <sheetFormatPr defaultColWidth="8.7109375" defaultRowHeight="15" x14ac:dyDescent="0.25"/>
  <cols>
    <col min="1" max="1" width="8.7109375" style="7"/>
    <col min="2" max="2" width="22.140625" style="7" customWidth="1"/>
    <col min="3" max="3" width="37" style="7" customWidth="1"/>
    <col min="4" max="5" width="11.42578125" style="7" customWidth="1"/>
    <col min="6" max="6" width="14" style="7" customWidth="1"/>
    <col min="7" max="7" width="20" style="7" customWidth="1"/>
    <col min="8" max="8" width="16.42578125" style="7" customWidth="1"/>
    <col min="9" max="16384" width="8.7109375" style="7"/>
  </cols>
  <sheetData>
    <row r="1" spans="1:9" ht="15" customHeight="1" x14ac:dyDescent="0.25"/>
    <row r="2" spans="1:9" ht="15" customHeight="1" x14ac:dyDescent="0.25">
      <c r="A2" s="8"/>
      <c r="B2" s="8"/>
      <c r="C2" s="8"/>
      <c r="D2" s="8"/>
      <c r="E2" s="8"/>
      <c r="F2" s="8"/>
      <c r="G2" s="8"/>
      <c r="H2" s="8"/>
    </row>
    <row r="3" spans="1:9" ht="15.75" customHeight="1" x14ac:dyDescent="0.25">
      <c r="A3" s="8"/>
      <c r="B3" s="163" t="s">
        <v>143</v>
      </c>
      <c r="C3" s="163"/>
      <c r="D3" s="163"/>
      <c r="E3" s="163"/>
      <c r="F3" s="163"/>
      <c r="G3" s="163"/>
      <c r="H3" s="163"/>
    </row>
    <row r="4" spans="1:9" x14ac:dyDescent="0.25">
      <c r="A4" s="8"/>
      <c r="B4" s="9" t="s">
        <v>144</v>
      </c>
      <c r="C4" s="9" t="s">
        <v>145</v>
      </c>
      <c r="D4" s="9" t="s">
        <v>80</v>
      </c>
      <c r="E4" s="9" t="s">
        <v>146</v>
      </c>
      <c r="F4" s="9" t="s">
        <v>151</v>
      </c>
      <c r="G4" s="9" t="s">
        <v>152</v>
      </c>
      <c r="H4" s="9" t="s">
        <v>147</v>
      </c>
    </row>
    <row r="5" spans="1:9" ht="15" customHeight="1" x14ac:dyDescent="0.25">
      <c r="A5" s="8"/>
      <c r="B5" s="11" t="s">
        <v>148</v>
      </c>
      <c r="C5" s="18" t="s">
        <v>154</v>
      </c>
      <c r="D5" s="19" t="s">
        <v>170</v>
      </c>
      <c r="E5" s="11">
        <v>355.53</v>
      </c>
      <c r="F5" s="12">
        <f>E5*1.5</f>
        <v>533.29499999999996</v>
      </c>
      <c r="G5" s="12">
        <f>H5/F5</f>
        <v>6806.7392343824722</v>
      </c>
      <c r="H5" s="13">
        <v>3630000</v>
      </c>
    </row>
    <row r="6" spans="1:9" x14ac:dyDescent="0.25">
      <c r="A6" s="8"/>
      <c r="B6" s="11" t="s">
        <v>148</v>
      </c>
      <c r="C6" s="18" t="s">
        <v>154</v>
      </c>
      <c r="D6" s="19" t="s">
        <v>170</v>
      </c>
      <c r="E6" s="11">
        <v>415.16</v>
      </c>
      <c r="F6" s="12">
        <f t="shared" ref="F6:F10" si="0">E6*1.5</f>
        <v>622.74</v>
      </c>
      <c r="G6" s="12">
        <f t="shared" ref="G6:G10" si="1">H6/F6</f>
        <v>6813.4373896007965</v>
      </c>
      <c r="H6" s="13">
        <v>4243000</v>
      </c>
    </row>
    <row r="7" spans="1:9" ht="15" customHeight="1" x14ac:dyDescent="0.25">
      <c r="A7" s="8"/>
      <c r="B7" s="11" t="s">
        <v>148</v>
      </c>
      <c r="C7" s="18" t="s">
        <v>154</v>
      </c>
      <c r="D7" s="19" t="s">
        <v>171</v>
      </c>
      <c r="E7" s="11">
        <v>529.04999999999995</v>
      </c>
      <c r="F7" s="12">
        <f t="shared" si="0"/>
        <v>793.57499999999993</v>
      </c>
      <c r="G7" s="12">
        <f t="shared" si="1"/>
        <v>6930.6618782093692</v>
      </c>
      <c r="H7" s="13">
        <v>5500000</v>
      </c>
    </row>
    <row r="8" spans="1:9" x14ac:dyDescent="0.25">
      <c r="A8" s="8"/>
      <c r="B8" s="19" t="s">
        <v>191</v>
      </c>
      <c r="C8" s="18" t="s">
        <v>154</v>
      </c>
      <c r="D8" s="19" t="s">
        <v>170</v>
      </c>
      <c r="E8" s="11">
        <v>355</v>
      </c>
      <c r="F8" s="12">
        <f t="shared" si="0"/>
        <v>532.5</v>
      </c>
      <c r="G8" s="12">
        <f t="shared" si="1"/>
        <v>6619.7183098591549</v>
      </c>
      <c r="H8" s="13">
        <v>3525000</v>
      </c>
    </row>
    <row r="9" spans="1:9" ht="15" customHeight="1" x14ac:dyDescent="0.25">
      <c r="A9" s="8"/>
      <c r="B9" s="19" t="s">
        <v>191</v>
      </c>
      <c r="C9" s="18" t="s">
        <v>154</v>
      </c>
      <c r="D9" s="19" t="s">
        <v>170</v>
      </c>
      <c r="E9" s="11">
        <v>415</v>
      </c>
      <c r="F9" s="12">
        <f t="shared" si="0"/>
        <v>622.5</v>
      </c>
      <c r="G9" s="12">
        <f t="shared" si="1"/>
        <v>6798.3935742971889</v>
      </c>
      <c r="H9" s="13">
        <v>4232000</v>
      </c>
    </row>
    <row r="10" spans="1:9" ht="15" customHeight="1" x14ac:dyDescent="0.25">
      <c r="A10" s="8"/>
      <c r="B10" s="19" t="s">
        <v>191</v>
      </c>
      <c r="C10" s="18" t="s">
        <v>154</v>
      </c>
      <c r="D10" s="19" t="s">
        <v>171</v>
      </c>
      <c r="E10" s="11">
        <v>529</v>
      </c>
      <c r="F10" s="12">
        <f t="shared" si="0"/>
        <v>793.5</v>
      </c>
      <c r="G10" s="12">
        <f t="shared" si="1"/>
        <v>6797.7315689981097</v>
      </c>
      <c r="H10" s="13">
        <v>5394000</v>
      </c>
    </row>
    <row r="11" spans="1:9" ht="15" customHeight="1" x14ac:dyDescent="0.25">
      <c r="A11" s="8"/>
      <c r="B11" s="14" t="s">
        <v>149</v>
      </c>
      <c r="C11" s="11"/>
      <c r="D11" s="11"/>
      <c r="E11" s="11"/>
      <c r="F11" s="11"/>
      <c r="G11" s="15">
        <f>AVERAGE(G5:G10)</f>
        <v>6794.4469925578487</v>
      </c>
      <c r="H11" s="11"/>
    </row>
    <row r="12" spans="1:9" ht="15" customHeight="1" x14ac:dyDescent="0.25">
      <c r="B12" s="14" t="s">
        <v>150</v>
      </c>
      <c r="C12" s="11"/>
      <c r="D12" s="11"/>
      <c r="E12" s="11"/>
      <c r="F12" s="16"/>
      <c r="G12" s="14">
        <v>6800</v>
      </c>
      <c r="H12" s="14"/>
      <c r="I12" s="10"/>
    </row>
    <row r="13" spans="1:9" ht="15" customHeight="1" x14ac:dyDescent="0.25"/>
    <row r="14" spans="1:9" ht="15" customHeight="1" x14ac:dyDescent="0.25"/>
    <row r="15" spans="1:9" ht="15" customHeight="1" x14ac:dyDescent="0.25"/>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VSJC-06</cp:lastModifiedBy>
  <cp:lastPrinted>2025-08-29T07:41:29Z</cp:lastPrinted>
  <dcterms:created xsi:type="dcterms:W3CDTF">2019-07-16T09:29:46Z</dcterms:created>
  <dcterms:modified xsi:type="dcterms:W3CDTF">2025-08-29T07:41:50Z</dcterms:modified>
</cp:coreProperties>
</file>