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bookViews>
  <sheets>
    <sheet name="Report" sheetId="1" r:id="rId1"/>
    <sheet name="Flat detail" sheetId="3" r:id="rId2"/>
    <sheet name="Note" sheetId="4" r:id="rId3"/>
    <sheet name="valuation" sheetId="5" r:id="rId4"/>
  </sheets>
  <definedNames>
    <definedName name="_xlnm.Print_Area" localSheetId="0">Report!$A$1:$H$425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7" i="1" l="1"/>
  <c r="E156" i="1" l="1"/>
  <c r="E154" i="1"/>
  <c r="C14" i="1"/>
  <c r="J110" i="1" l="1"/>
  <c r="D135" i="1"/>
  <c r="D134" i="1"/>
  <c r="F134" i="1" s="1"/>
  <c r="D133" i="1"/>
  <c r="D132" i="1"/>
  <c r="F132" i="1" s="1"/>
  <c r="D131" i="1"/>
  <c r="F131" i="1" s="1"/>
  <c r="D130" i="1"/>
  <c r="D129" i="1"/>
  <c r="D128" i="1"/>
  <c r="D127" i="1"/>
  <c r="D126" i="1"/>
  <c r="D125" i="1"/>
  <c r="D124" i="1"/>
  <c r="D123" i="1"/>
  <c r="D122" i="1"/>
  <c r="D121" i="1"/>
  <c r="C106" i="1" s="1"/>
  <c r="F135" i="1"/>
  <c r="F133" i="1"/>
  <c r="F130" i="1"/>
  <c r="J114" i="1"/>
  <c r="G47" i="1"/>
  <c r="C47" i="1"/>
  <c r="D178" i="1"/>
  <c r="D177" i="1"/>
  <c r="D176" i="1"/>
  <c r="D175" i="1"/>
  <c r="D174" i="1"/>
  <c r="D173" i="1"/>
  <c r="D172" i="1"/>
  <c r="D171" i="1"/>
  <c r="D170" i="1"/>
  <c r="D166" i="1"/>
  <c r="D164" i="1"/>
  <c r="D162" i="1"/>
  <c r="D161" i="1"/>
  <c r="D156" i="1"/>
  <c r="F156" i="1" s="1"/>
  <c r="D154" i="1"/>
  <c r="F154" i="1" s="1"/>
  <c r="D153" i="1"/>
  <c r="D152" i="1"/>
  <c r="F152" i="1" s="1"/>
  <c r="D151" i="1"/>
  <c r="I154" i="1"/>
  <c r="D158" i="1"/>
  <c r="F158" i="1" s="1"/>
  <c r="D157" i="1"/>
  <c r="F157" i="1" s="1"/>
  <c r="D155" i="1"/>
  <c r="F155" i="1" s="1"/>
  <c r="F151" i="1"/>
  <c r="G150" i="1"/>
  <c r="D150" i="1"/>
  <c r="F150" i="1" s="1"/>
  <c r="E144" i="1"/>
  <c r="D147" i="1"/>
  <c r="D146" i="1"/>
  <c r="D144" i="1"/>
  <c r="E143" i="1"/>
  <c r="D143" i="1"/>
  <c r="E142" i="1"/>
  <c r="E141" i="1"/>
  <c r="D148" i="1"/>
  <c r="I122" i="1"/>
  <c r="I126" i="1"/>
  <c r="E40" i="1"/>
  <c r="D106" i="1" l="1"/>
  <c r="F153" i="1"/>
  <c r="E3" i="1"/>
  <c r="P167" i="1"/>
  <c r="N167" i="1" l="1"/>
  <c r="F178" i="1" l="1"/>
  <c r="L178" i="1" s="1"/>
  <c r="F177" i="1"/>
  <c r="L177" i="1" s="1"/>
  <c r="F176" i="1"/>
  <c r="L176" i="1" s="1"/>
  <c r="F175" i="1"/>
  <c r="L175" i="1" s="1"/>
  <c r="F174" i="1"/>
  <c r="L174" i="1" s="1"/>
  <c r="F173" i="1"/>
  <c r="L173" i="1" s="1"/>
  <c r="F172" i="1"/>
  <c r="L172" i="1" s="1"/>
  <c r="F171" i="1"/>
  <c r="L171" i="1" s="1"/>
  <c r="G170" i="1"/>
  <c r="F170" i="1"/>
  <c r="D168" i="1"/>
  <c r="F168" i="1" s="1"/>
  <c r="F147" i="1"/>
  <c r="D167" i="1"/>
  <c r="F167" i="1" s="1"/>
  <c r="F166" i="1"/>
  <c r="F164" i="1"/>
  <c r="F162" i="1"/>
  <c r="F161" i="1"/>
  <c r="D141" i="1"/>
  <c r="D140" i="1"/>
  <c r="D160" i="1"/>
  <c r="F160" i="1" s="1"/>
  <c r="D165" i="1"/>
  <c r="F165" i="1" s="1"/>
  <c r="D163" i="1"/>
  <c r="F163" i="1" s="1"/>
  <c r="M168" i="1"/>
  <c r="L168" i="1"/>
  <c r="F148" i="1"/>
  <c r="F146" i="1"/>
  <c r="D145" i="1"/>
  <c r="F145" i="1" s="1"/>
  <c r="F144" i="1"/>
  <c r="F143" i="1"/>
  <c r="D142" i="1"/>
  <c r="F142" i="1" s="1"/>
  <c r="K140" i="1"/>
  <c r="D109" i="1" l="1"/>
  <c r="C109" i="1"/>
  <c r="Q167" i="1"/>
  <c r="L167" i="1"/>
  <c r="O167" i="1"/>
  <c r="F140" i="1"/>
  <c r="F141" i="1"/>
  <c r="F129" i="1"/>
  <c r="F128" i="1"/>
  <c r="F127" i="1"/>
  <c r="F126" i="1"/>
  <c r="F125" i="1"/>
  <c r="F124" i="1"/>
  <c r="F123" i="1"/>
  <c r="F122" i="1"/>
  <c r="J122" i="1"/>
  <c r="J121" i="1"/>
  <c r="G121" i="1"/>
  <c r="F109" i="1" l="1"/>
  <c r="F121" i="1"/>
  <c r="F106" i="1" s="1"/>
  <c r="M167" i="1"/>
  <c r="J100" i="1"/>
  <c r="I100" i="1"/>
  <c r="I99" i="1"/>
  <c r="J88" i="1" l="1"/>
  <c r="J87" i="1"/>
  <c r="J86" i="1"/>
  <c r="J85" i="1"/>
  <c r="J72" i="1"/>
  <c r="J71" i="1"/>
  <c r="J70" i="1"/>
  <c r="J69" i="1"/>
  <c r="H62" i="1"/>
  <c r="H76" i="1"/>
  <c r="D90" i="1" l="1"/>
  <c r="D88" i="1"/>
  <c r="D86" i="1"/>
  <c r="D84" i="1"/>
  <c r="D82" i="1"/>
  <c r="D81" i="1"/>
  <c r="J81" i="1"/>
  <c r="D89" i="1"/>
  <c r="D85" i="1"/>
  <c r="G81" i="1"/>
  <c r="E81" i="1"/>
  <c r="J83" i="1"/>
  <c r="J84" i="1" s="1"/>
  <c r="J89" i="1" s="1"/>
  <c r="J90" i="1" s="1"/>
  <c r="J80" i="1"/>
  <c r="D87" i="1"/>
  <c r="D83" i="1"/>
  <c r="J82" i="1"/>
  <c r="D67" i="1"/>
  <c r="J65" i="1"/>
  <c r="D71" i="1"/>
  <c r="D74" i="1"/>
  <c r="D72" i="1"/>
  <c r="D70" i="1"/>
  <c r="D68" i="1"/>
  <c r="J66" i="1"/>
  <c r="C65" i="1" s="1"/>
  <c r="J64" i="1"/>
  <c r="J67" i="1"/>
  <c r="D73" i="1"/>
  <c r="D69" i="1"/>
  <c r="L160" i="1"/>
  <c r="E245" i="1"/>
  <c r="E242" i="1"/>
  <c r="E225" i="1"/>
  <c r="D225" i="1"/>
  <c r="E224" i="1"/>
  <c r="E223" i="1"/>
  <c r="E222" i="1"/>
  <c r="D212" i="1"/>
  <c r="I212" i="1" s="1"/>
  <c r="D213" i="1"/>
  <c r="J203" i="1"/>
  <c r="I203" i="1"/>
  <c r="D198" i="1"/>
  <c r="I198" i="1" s="1"/>
  <c r="D193" i="1"/>
  <c r="I193" i="1" s="1"/>
  <c r="J182" i="1"/>
  <c r="I182" i="1"/>
  <c r="J141" i="1"/>
  <c r="I141" i="1"/>
  <c r="J68" i="1" l="1"/>
  <c r="J73" i="1" s="1"/>
  <c r="J74" i="1" s="1"/>
  <c r="G65" i="1"/>
  <c r="I75" i="1"/>
  <c r="D65" i="1"/>
  <c r="J140" i="1"/>
  <c r="I140" i="1"/>
  <c r="D66" i="1" l="1"/>
  <c r="E65" i="1"/>
  <c r="I61" i="1" s="1"/>
  <c r="C63" i="1" s="1"/>
  <c r="F12" i="5"/>
  <c r="G12" i="5" s="1"/>
  <c r="F11" i="5"/>
  <c r="F8" i="5"/>
  <c r="F9" i="5"/>
  <c r="F10" i="5"/>
  <c r="F6" i="5"/>
  <c r="F7" i="5"/>
  <c r="F5" i="5"/>
  <c r="F112" i="1"/>
  <c r="F111" i="1"/>
  <c r="F110" i="1"/>
  <c r="G140" i="1"/>
  <c r="G160" i="1"/>
  <c r="G182" i="1"/>
  <c r="G191" i="1"/>
  <c r="G203" i="1"/>
  <c r="G212" i="1"/>
  <c r="G221" i="1"/>
  <c r="G232" i="1"/>
  <c r="G237" i="1"/>
  <c r="G242" i="1"/>
  <c r="D245" i="1"/>
  <c r="D244" i="1"/>
  <c r="E244" i="1"/>
  <c r="E243" i="1"/>
  <c r="D243" i="1"/>
  <c r="D242" i="1"/>
  <c r="D224" i="1"/>
  <c r="D223" i="1"/>
  <c r="D222" i="1"/>
  <c r="E228" i="1"/>
  <c r="D228" i="1"/>
  <c r="E227" i="1"/>
  <c r="D227" i="1"/>
  <c r="E226" i="1"/>
  <c r="D226" i="1"/>
  <c r="E221" i="1"/>
  <c r="D221" i="1"/>
  <c r="D238" i="1"/>
  <c r="D239" i="1"/>
  <c r="D240" i="1"/>
  <c r="D237" i="1"/>
  <c r="D219" i="1"/>
  <c r="D218" i="1"/>
  <c r="D217" i="1"/>
  <c r="D216" i="1"/>
  <c r="D215" i="1"/>
  <c r="D214" i="1"/>
  <c r="D233" i="1"/>
  <c r="D234" i="1"/>
  <c r="D235" i="1"/>
  <c r="E233" i="1"/>
  <c r="E234" i="1"/>
  <c r="E235" i="1"/>
  <c r="E232" i="1"/>
  <c r="D232" i="1"/>
  <c r="D210" i="1"/>
  <c r="E210" i="1"/>
  <c r="E209" i="1"/>
  <c r="D209" i="1"/>
  <c r="I209" i="1" s="1"/>
  <c r="E208" i="1"/>
  <c r="D207" i="1"/>
  <c r="I207" i="1" s="1"/>
  <c r="D208" i="1"/>
  <c r="I208" i="1" s="1"/>
  <c r="E207" i="1"/>
  <c r="E206" i="1"/>
  <c r="D206" i="1"/>
  <c r="I206" i="1" s="1"/>
  <c r="E205" i="1"/>
  <c r="D205" i="1"/>
  <c r="E204" i="1"/>
  <c r="D204" i="1"/>
  <c r="E203" i="1"/>
  <c r="D203" i="1"/>
  <c r="D197" i="1"/>
  <c r="I197" i="1" s="1"/>
  <c r="D196" i="1"/>
  <c r="I196" i="1" s="1"/>
  <c r="D195" i="1"/>
  <c r="I195" i="1" s="1"/>
  <c r="D194" i="1"/>
  <c r="I194" i="1" s="1"/>
  <c r="D192" i="1"/>
  <c r="I192" i="1" s="1"/>
  <c r="D191" i="1"/>
  <c r="I191" i="1" s="1"/>
  <c r="E189" i="1"/>
  <c r="D189" i="1"/>
  <c r="E188" i="1"/>
  <c r="D188" i="1"/>
  <c r="E187" i="1"/>
  <c r="D187" i="1"/>
  <c r="E185" i="1"/>
  <c r="E186" i="1"/>
  <c r="D186" i="1"/>
  <c r="D185" i="1"/>
  <c r="E184" i="1"/>
  <c r="D184" i="1"/>
  <c r="E183" i="1"/>
  <c r="D183" i="1"/>
  <c r="E182" i="1"/>
  <c r="D182" i="1"/>
  <c r="L182" i="1" l="1"/>
  <c r="C110" i="1"/>
  <c r="D111" i="1"/>
  <c r="C111" i="1"/>
  <c r="C112" i="1"/>
  <c r="D112" i="1"/>
  <c r="D110" i="1"/>
  <c r="F113" i="1"/>
  <c r="F114" i="1" s="1"/>
  <c r="G7" i="5"/>
  <c r="G10" i="5"/>
  <c r="G11" i="5"/>
  <c r="G6" i="5"/>
  <c r="G8" i="5"/>
  <c r="G9" i="5"/>
  <c r="G5" i="5"/>
  <c r="C113" i="1" l="1"/>
  <c r="C114" i="1" s="1"/>
  <c r="D113" i="1"/>
  <c r="D114" i="1" s="1"/>
  <c r="G13" i="5"/>
  <c r="E7" i="1" l="1"/>
  <c r="E41" i="1" l="1"/>
  <c r="E42" i="1" s="1"/>
  <c r="D260" i="1" l="1"/>
  <c r="F103" i="1"/>
  <c r="D53"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<sst xmlns="http://schemas.openxmlformats.org/spreadsheetml/2006/main" count="480" uniqueCount="268">
  <si>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</si>
  <si>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</si>
  <si>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</si>
  <si>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</si>
  <si>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</si>
  <si>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</si>
  <si>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</si>
  <si>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</si>
  <si>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</si>
  <si>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</si>
  <si>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</si>
  <si>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</si>
  <si>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</si>
  <si>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</si>
  <si>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</si>
  <si>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</si>
  <si>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</si>
  <si>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</si>
  <si>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</si>
  <si>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</si>
  <si>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</si>
  <si>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</si>
  <si>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</si>
  <si>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</si>
  <si>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</si>
  <si>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</si>
  <si>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</si>
  <si>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</si>
  <si>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</si>
  <si>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</si>
  <si>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</si>
  <si>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</si>
  <si>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</si>
  <si>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</si>
  <si>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</si>
  <si>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</si>
  <si>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</si>
  <si>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</si>
  <si>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</si>
  <si>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</si>
  <si>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</si>
  <si>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</si>
  <si>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</si>
  <si>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</si>
  <si>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</si>
  <si>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</si>
  <si>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</si>
  <si>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</si>
  <si>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</si>
  <si>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</si>
  <si>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</si>
  <si>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</si>
  <si>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</si>
  <si>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</si>
  <si>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</si>
  <si>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</si>
  <si>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</si>
  <si>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</si>
  <si>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</si>
  <si>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</si>
  <si>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</si>
  <si>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</si>
  <si>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</si>
  <si>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</si>
  <si>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</si>
  <si>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</si>
  <si>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</si>
  <si>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</si>
  <si>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</si>
  <si>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</si>
  <si>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</si>
  <si>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</si>
  <si>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</si>
  <si>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</si>
  <si>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</si>
  <si>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</si>
  <si>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</si>
  <si>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</si>
  <si>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</si>
  <si>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</si>
  <si>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</si>
  <si>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</si>
  <si>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</si>
  <si>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</si>
  <si>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</si>
  <si>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</si>
  <si>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</si>
  <si>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</si>
  <si>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</si>
  <si>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</si>
  <si>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</si>
  <si>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</si>
  <si>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</si>
  <si>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</si>
  <si>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</si>
  <si>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</si>
  <si>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</si>
  <si>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</si>
  <si>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</si>
  <si>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</si>
  <si>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</si>
  <si>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</si>
  <si>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</si>
  <si>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</si>
  <si>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</si>
  <si>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</si>
  <si>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</si>
  <si>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</si>
  <si>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Flat/Shop No.</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</si>
  <si>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</si>
  <si>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</si>
  <si>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</si>
  <si>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</si>
  <si>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</si>
  <si>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</si>
  <si>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</si>
  <si>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</si>
  <si>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</si>
  <si>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</si>
  <si>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</si>
  <si>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</si>
  <si>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</si>
  <si>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</si>
  <si>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</si>
  <si>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</si>
  <si>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</si>
  <si>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</si>
  <si>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</si>
  <si>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</si>
  <si>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</si>
  <si>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Society Formation Charges</t>
  </si>
  <si>
    <t>Excavation in process</t>
  </si>
  <si>
    <t>Excavation Completed</t>
  </si>
  <si>
    <t>Footing in Process</t>
  </si>
  <si>
    <t>Footing Completed</t>
  </si>
  <si>
    <t>Plinth in process</t>
  </si>
  <si>
    <t>Plinth completed</t>
  </si>
  <si>
    <t>All work Completed. OC Received.</t>
  </si>
  <si>
    <t>Report By :</t>
  </si>
  <si>
    <t>Market Research Data</t>
  </si>
  <si>
    <t>Source</t>
  </si>
  <si>
    <t>Distance from proposed property</t>
  </si>
  <si>
    <t>Net Carpet</t>
  </si>
  <si>
    <t>Market Value</t>
  </si>
  <si>
    <t>99 Acres</t>
  </si>
  <si>
    <t>Average</t>
  </si>
  <si>
    <t xml:space="preserve">Valuation Adopted </t>
  </si>
  <si>
    <t>Saleable Area</t>
  </si>
  <si>
    <t>Rate on Saleable</t>
  </si>
  <si>
    <t>Housing</t>
  </si>
  <si>
    <t>Proptiger</t>
  </si>
  <si>
    <t>Pratiksha</t>
  </si>
  <si>
    <t>M/s.Shubham Infra</t>
  </si>
  <si>
    <t xml:space="preserve">Jijai Angan  </t>
  </si>
  <si>
    <t>Building No.1
Building No.2
Building No.3 (A &amp; B wing)</t>
  </si>
  <si>
    <t>P52000026344</t>
  </si>
  <si>
    <t>66 &amp; H.No.8, 10, 11 &amp; 12</t>
  </si>
  <si>
    <t>Ghot</t>
  </si>
  <si>
    <t>Panvel</t>
  </si>
  <si>
    <t>Raigad</t>
  </si>
  <si>
    <t>2.7Km from Taloja Panchnand Railway Station</t>
  </si>
  <si>
    <t>Taloja Panchnand</t>
  </si>
  <si>
    <t>Taloja Phase 1 Road</t>
  </si>
  <si>
    <t>Survey No</t>
  </si>
  <si>
    <t>Middle Class</t>
  </si>
  <si>
    <t>Developing</t>
  </si>
  <si>
    <t>Building No.1</t>
  </si>
  <si>
    <t>Ground Floor For Parking</t>
  </si>
  <si>
    <t>1st, 3rd &amp; 5th Floor</t>
  </si>
  <si>
    <t>2BHK</t>
  </si>
  <si>
    <t>1BHK</t>
  </si>
  <si>
    <t>2nd, 4th &amp; 6th Floor</t>
  </si>
  <si>
    <t>Building No.2</t>
  </si>
  <si>
    <t>1st, 3rd, 5th &amp; 7th Floor</t>
  </si>
  <si>
    <t>Building No.3</t>
  </si>
  <si>
    <t>A Wing</t>
  </si>
  <si>
    <t>B Wing</t>
  </si>
  <si>
    <t>7th Floor</t>
  </si>
  <si>
    <t>1RK</t>
  </si>
  <si>
    <t>Cement, Aggregate, Steel, etc</t>
  </si>
  <si>
    <t>Wheather the construction is as per approved Building plan : Under Construction</t>
  </si>
  <si>
    <t xml:space="preserve">Residential </t>
  </si>
  <si>
    <t>Axis Sanpada</t>
  </si>
  <si>
    <t>Building No.3 (A wing)</t>
  </si>
  <si>
    <t>Building No.3 (B wing)</t>
  </si>
  <si>
    <t xml:space="preserve">Approved Plans, CC, Builder Saleable Area, Cost Sheet </t>
  </si>
  <si>
    <t xml:space="preserve">04 Building </t>
  </si>
  <si>
    <t>Arihant Anaika</t>
  </si>
  <si>
    <t>Grill Cost</t>
  </si>
  <si>
    <t>Other Charges</t>
  </si>
  <si>
    <t>30/12/2020.</t>
  </si>
  <si>
    <t>Asmi</t>
  </si>
  <si>
    <t>Cost sheet send by Palas</t>
  </si>
  <si>
    <t>Other Charges added</t>
  </si>
  <si>
    <t>Construction details:</t>
  </si>
  <si>
    <t>Slab/Floor</t>
  </si>
  <si>
    <t>Piling Work in process</t>
  </si>
  <si>
    <t>Excavation</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</si>
  <si>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</si>
  <si>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</si>
  <si>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</si>
  <si>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</si>
  <si>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</si>
  <si>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</si>
  <si>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</si>
  <si>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</si>
  <si>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</si>
  <si>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</si>
  <si>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</si>
  <si>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</si>
  <si>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</si>
  <si>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RCC </t>
  </si>
  <si>
    <t>Maintainace Charges for 1 year</t>
  </si>
  <si>
    <t>Building No. 1 = Gr + 1st to 14th Floor
Building No. 2 = Gr + 1st to 7th Floor
Building No. 3 (A &amp; B wing) = Gr + 1st to 7th Floor</t>
  </si>
  <si>
    <t>PMP/NRV/16091/JA. KR.1835/2021</t>
  </si>
  <si>
    <t>Shop</t>
  </si>
  <si>
    <t>Building No. 1 = Gr + 1st to 14th Floor</t>
  </si>
  <si>
    <t>2.5BHK</t>
  </si>
  <si>
    <t>1.5BHK</t>
  </si>
  <si>
    <t>Commercial Area Details :</t>
  </si>
  <si>
    <t>Saleable area
Loading: 60%</t>
  </si>
  <si>
    <t>Jijai Angan</t>
  </si>
  <si>
    <t>Rate Changed from 3750 to 4500</t>
  </si>
  <si>
    <t>asmi</t>
  </si>
  <si>
    <t>Index II by Palas</t>
  </si>
  <si>
    <t>rate change from 4500 to 5000</t>
  </si>
  <si>
    <t>Site Meet Person Details ( Name &amp; Contact No.)</t>
  </si>
  <si>
    <t>Contact Details ( Name &amp; Contact No.)</t>
  </si>
  <si>
    <t>Office No. 1031, Wing J, Akshar Business Park, Plot No. 03 Sector 25, Near APMC Market,
 Vashi, Navi Mumbai, Maharashtra 400703 TEL: 022-46090378/79/80                                                                      
 E mail : vsjcapf@gmail.com. Web site : www.vsjadon.com</t>
  </si>
  <si>
    <t>Latitude, Longitude</t>
  </si>
  <si>
    <t>Location Link</t>
  </si>
  <si>
    <t>https://goo.gl/maps/NfARAWDPzQNwKEiN6?coh=178572&amp;entry=tt</t>
  </si>
  <si>
    <t>Grand Total</t>
  </si>
  <si>
    <t>Building No. 2 = Gr + 1st to 7th Floor
Building No.3 (A &amp; B wing) = Gr + 7th Floor</t>
  </si>
  <si>
    <t>Recommended rate of the Shop Per Sq. Ft. ( on Saleable area)</t>
  </si>
  <si>
    <t>Recommended rate of the Flat Per Sq. Ft. ( on Saleable area)</t>
  </si>
  <si>
    <t>Done by Sachin on 29/06/2024</t>
  </si>
  <si>
    <t xml:space="preserve">Commencement Certificate No.
Valid Up to: </t>
  </si>
  <si>
    <t>10K to 11K</t>
  </si>
  <si>
    <t>smith</t>
  </si>
  <si>
    <t>19.083874,73.110125</t>
  </si>
  <si>
    <t>Survey No. 66</t>
  </si>
  <si>
    <t>Survey No. 01</t>
  </si>
  <si>
    <t>9.15  M W Road</t>
  </si>
  <si>
    <t>9.0 M W Road</t>
  </si>
  <si>
    <t>Building</t>
  </si>
  <si>
    <t>Ghot Road</t>
  </si>
  <si>
    <t>PMC/NRV/16091/JK.579/2023</t>
  </si>
  <si>
    <t>PMC/TP/Ghot/66/8,10,11,12/21-23/16091/579/2023</t>
  </si>
  <si>
    <t>Building No. 1 = Gr + 1st to 14th Floor (Total Builtup Area = 7834.138 Sq.mt.)
Building No. 1 Residenial Unit - 126 Nos &amp; Commercial Unit - 15 Nos
Building No. 2 &amp; 3 (A &amp; B wing) = Gr + 1st to 7th Floor
(Total Builtup Area = 6007.141 Sq.mt.)   
Building No.2 &amp; 3 = Residenial Unit - 140 Nos</t>
  </si>
  <si>
    <t>As per RERA - 30/06/2026</t>
  </si>
  <si>
    <t xml:space="preserve">Ground Floor For Commercial, Fitness Center, Drivers Room &amp; Parking </t>
  </si>
  <si>
    <t>2nd Floor</t>
  </si>
  <si>
    <t>3rd, 4th, 5th, 6th, 7th, 9th, 10th, 11th, 12th &amp; 14th Floor</t>
  </si>
  <si>
    <t>1st Floor For Residentail</t>
  </si>
  <si>
    <t>8th &amp; 13th Floor (Fire Escape Terrace Area At Midlanding )</t>
  </si>
  <si>
    <t>Approved Floor plan No. (Building No.2 &amp; 3)</t>
  </si>
  <si>
    <t>Approved Floor plan No. (Building No.1)</t>
  </si>
  <si>
    <t>Layout :</t>
  </si>
  <si>
    <t>Flats - 266, Shops - 15</t>
  </si>
  <si>
    <t>Remark No. 11 :</t>
  </si>
  <si>
    <t>Builder Saleable area
75%</t>
  </si>
  <si>
    <t>Mr. Akshay 7977549218</t>
  </si>
  <si>
    <t>Tushar Mohite</t>
  </si>
  <si>
    <t>CARPC/PO/2024/APL/00013
Approved upto : Building 2 &amp; 3 = G + 1st to 7th Floor</t>
  </si>
  <si>
    <t>Pranita Mhatre</t>
  </si>
  <si>
    <t>Sunil Peravi</t>
  </si>
  <si>
    <t>1. Building No.1 = Few door &amp; window fitting work is pending.
    Building No. 2 &amp; 3 = All work Completed. OC received.
2. We considered  Saleable area  as per Builder area sheet.
3. We considered Carpet area as per Approved Plan.
4. We considered Gross carpet area = Net carpet + Enclose balcony + W.S Area + Chajja Area.
5. We have considered rate by verifying it from market inquire.
6. Recommended rate should be considered as all inclusive rate if other charges are not mentioned. (Excluding GST &amp; other government Taxes)
7. Car parking is subjected to authentic documentation.
8. We have updated revised approved floor plan &amp; C.C (on 04/02/2022).
9. Other charges has been revised as per market inquiry (on 29/06/2024)
10. Recommended Rates/Other Charges of the Property have been revised on 02/07/2024.
11. As per Approved plans, Natural terrace area of Flat No. 101 is taken for the living room &amp; kitchen. but As per the site visit dated 07/02/2025, we have observed that the terrace area of flat   No. 101 is not constructed as per the approved floor plan.
12. We have updated Approved plans &amp; CC of Building No.1 on 11/02/2025.
13. We have updated OC referred from RERA site. (On 14/05/2025).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</si>
</sst>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0.0000"/>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8"/>
      <name val="Calibri"/>
      <family val="2"/>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9">
    <xf numFmtId="0" fontId="0" fillId="0" borderId="0"/>
    <xf numFmtId="0" fontId="5" fillId="0" borderId="0"/>
    <xf numFmtId="0" fontId="7" fillId="0" borderId="0"/>
    <xf numFmtId="0" fontId="4" fillId="0" borderId="0"/>
    <xf numFmtId="0" fontId="7" fillId="0" borderId="0"/>
    <xf numFmtId="0" fontId="3" fillId="0" borderId="0"/>
    <xf numFmtId="164" fontId="7" fillId="0" borderId="0" applyFont="0" applyFill="0" applyBorder="0" applyAlignment="0" applyProtection="0"/>
    <xf numFmtId="0" fontId="22" fillId="0" borderId="0"/>
    <xf numFmtId="0" fontId="24" fillId="0" borderId="0" applyNumberFormat="0" applyFill="0" applyBorder="0" applyAlignment="0" applyProtection="0"/>
  </cellStyleXfs>
  <cellXfs count="188">
    <xf numFmtId="0" fontId="0" fillId="0" borderId="0" xfId="0"/>
    <xf numFmtId="0" fontId="9" fillId="0" borderId="0" xfId="0" applyFont="1" applyAlignment="1">
      <alignment horizontal="center" vertical="center"/>
    </xf>
    <xf numFmtId="0" fontId="9" fillId="0" borderId="0" xfId="1" applyFont="1" applyAlignment="1">
      <alignment horizontal="center" vertical="center"/>
    </xf>
    <xf numFmtId="0" fontId="0" fillId="3" borderId="1" xfId="0" applyFill="1" applyBorder="1"/>
    <xf numFmtId="0" fontId="0" fillId="0" borderId="2" xfId="0" applyBorder="1"/>
    <xf numFmtId="0" fontId="11" fillId="0" borderId="1" xfId="0" applyFont="1" applyBorder="1"/>
    <xf numFmtId="0" fontId="11" fillId="0" borderId="1" xfId="0" applyFont="1" applyBorder="1" applyAlignment="1">
      <alignment horizontal="center"/>
    </xf>
    <xf numFmtId="0" fontId="0" fillId="0" borderId="1" xfId="0" applyBorder="1"/>
    <xf numFmtId="0" fontId="9" fillId="0" borderId="0" xfId="1" applyFont="1"/>
    <xf numFmtId="0" fontId="8" fillId="0" borderId="0" xfId="2" applyFont="1"/>
    <xf numFmtId="0" fontId="9" fillId="0" borderId="0" xfId="0" applyFont="1"/>
    <xf numFmtId="0" fontId="14" fillId="0" borderId="0" xfId="1" applyFont="1"/>
    <xf numFmtId="0" fontId="17" fillId="0" borderId="0" xfId="1" applyFont="1"/>
    <xf numFmtId="0" fontId="18" fillId="0" borderId="0" xfId="1" applyFont="1"/>
    <xf numFmtId="0" fontId="14" fillId="2" borderId="1" xfId="1" applyFont="1" applyFill="1" applyBorder="1" applyAlignment="1" applyProtection="1">
      <alignment vertical="top"/>
      <protection locked="0"/>
    </xf>
    <xf numFmtId="0" fontId="12"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center"/>
      <protection locked="0"/>
    </xf>
    <xf numFmtId="1" fontId="6" fillId="0" borderId="1" xfId="1" applyNumberFormat="1" applyFont="1" applyBorder="1" applyAlignment="1" applyProtection="1">
      <alignment horizontal="center" vertical="top" wrapText="1"/>
      <protection locked="0"/>
    </xf>
    <xf numFmtId="0" fontId="10" fillId="0" borderId="0" xfId="1" applyFont="1" applyAlignment="1" applyProtection="1">
      <alignment vertical="top"/>
      <protection locked="0"/>
    </xf>
    <xf numFmtId="0" fontId="10" fillId="0" borderId="0" xfId="1" applyFont="1" applyAlignment="1" applyProtection="1">
      <alignment vertical="top" wrapText="1"/>
      <protection locked="0"/>
    </xf>
    <xf numFmtId="0" fontId="9" fillId="0" borderId="0" xfId="1" applyFont="1" applyProtection="1">
      <protection locked="0"/>
    </xf>
    <xf numFmtId="0" fontId="12" fillId="0" borderId="0" xfId="1" applyFont="1" applyProtection="1">
      <protection locked="0"/>
    </xf>
    <xf numFmtId="0" fontId="9" fillId="0" borderId="0" xfId="1" applyFont="1" applyProtection="1">
      <protection hidden="1"/>
    </xf>
    <xf numFmtId="0" fontId="14" fillId="0" borderId="5" xfId="1" applyFont="1" applyBorder="1" applyAlignment="1" applyProtection="1">
      <alignment horizontal="center" vertical="top"/>
      <protection locked="0"/>
    </xf>
    <xf numFmtId="0" fontId="9" fillId="0" borderId="13" xfId="1" applyFont="1" applyBorder="1" applyProtection="1">
      <protection hidden="1"/>
    </xf>
    <xf numFmtId="0" fontId="9" fillId="0" borderId="14" xfId="1" applyFont="1" applyBorder="1" applyProtection="1">
      <protection hidden="1"/>
    </xf>
    <xf numFmtId="0" fontId="9" fillId="0" borderId="14" xfId="1" applyFont="1" applyBorder="1"/>
    <xf numFmtId="9" fontId="19" fillId="0" borderId="14" xfId="0" applyNumberFormat="1" applyFont="1" applyBorder="1" applyProtection="1">
      <protection hidden="1"/>
    </xf>
    <xf numFmtId="9" fontId="19" fillId="0" borderId="16" xfId="0" applyNumberFormat="1" applyFont="1" applyBorder="1" applyProtection="1">
      <protection hidden="1"/>
    </xf>
    <xf numFmtId="0" fontId="7" fillId="0" borderId="0" xfId="4"/>
    <xf numFmtId="0" fontId="3" fillId="0" borderId="0" xfId="5"/>
    <xf numFmtId="0" fontId="11" fillId="0" borderId="1" xfId="5" applyFont="1" applyBorder="1" applyAlignment="1">
      <alignment horizontal="center" vertical="top" wrapText="1"/>
    </xf>
    <xf numFmtId="0" fontId="21" fillId="0" borderId="0" xfId="4" applyFont="1"/>
    <xf numFmtId="0" fontId="3" fillId="0" borderId="1" xfId="5" applyBorder="1" applyAlignment="1">
      <alignment horizontal="center" vertical="center"/>
    </xf>
    <xf numFmtId="1" fontId="3" fillId="0" borderId="1" xfId="5" applyNumberFormat="1" applyBorder="1" applyAlignment="1">
      <alignment horizontal="center" vertical="center"/>
    </xf>
    <xf numFmtId="166" fontId="3" fillId="0" borderId="1" xfId="6" applyNumberFormat="1" applyFont="1" applyBorder="1" applyAlignment="1">
      <alignment horizontal="right" vertical="center"/>
    </xf>
    <xf numFmtId="0" fontId="11" fillId="0" borderId="1" xfId="5" applyFont="1" applyBorder="1" applyAlignment="1">
      <alignment horizontal="center" vertical="center"/>
    </xf>
    <xf numFmtId="1" fontId="20" fillId="0" borderId="1" xfId="5" applyNumberFormat="1" applyFont="1" applyBorder="1" applyAlignment="1">
      <alignment horizontal="center" vertical="center"/>
    </xf>
    <xf numFmtId="0" fontId="7" fillId="0" borderId="1" xfId="4" applyBorder="1" applyAlignment="1">
      <alignment horizontal="center" vertical="center"/>
    </xf>
    <xf numFmtId="0" fontId="2" fillId="0" borderId="1" xfId="5" applyFont="1" applyBorder="1" applyAlignment="1">
      <alignment horizontal="center" vertical="center"/>
    </xf>
    <xf numFmtId="14" fontId="7" fillId="0" borderId="0" xfId="4" applyNumberFormat="1"/>
    <xf numFmtId="0" fontId="14" fillId="2" borderId="1" xfId="1" applyFont="1" applyFill="1" applyBorder="1" applyAlignment="1" applyProtection="1">
      <alignment horizontal="left" vertical="top"/>
      <protection locked="0"/>
    </xf>
    <xf numFmtId="0" fontId="15" fillId="2" borderId="1" xfId="1" applyFont="1" applyFill="1" applyBorder="1" applyAlignment="1" applyProtection="1">
      <alignment horizontal="left" vertical="top"/>
      <protection locked="0"/>
    </xf>
    <xf numFmtId="0" fontId="14" fillId="0" borderId="6" xfId="1" applyFont="1" applyBorder="1" applyAlignment="1" applyProtection="1">
      <alignment horizontal="center" vertical="top"/>
      <protection locked="0"/>
    </xf>
    <xf numFmtId="0" fontId="14"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wrapText="1"/>
      <protection locked="0"/>
    </xf>
    <xf numFmtId="1" fontId="14" fillId="0" borderId="1" xfId="1" applyNumberFormat="1" applyFont="1" applyBorder="1" applyAlignment="1" applyProtection="1">
      <alignment horizontal="center" wrapText="1"/>
      <protection locked="0"/>
    </xf>
    <xf numFmtId="0" fontId="14" fillId="0" borderId="8" xfId="1" applyFont="1" applyBorder="1" applyAlignment="1" applyProtection="1">
      <alignment horizontal="center" wrapText="1"/>
      <protection locked="0"/>
    </xf>
    <xf numFmtId="0" fontId="1" fillId="0" borderId="1" xfId="5" applyFont="1" applyBorder="1" applyAlignment="1">
      <alignment horizontal="left" vertical="center"/>
    </xf>
    <xf numFmtId="0" fontId="1" fillId="0" borderId="1" xfId="5" applyFont="1" applyBorder="1" applyAlignment="1">
      <alignment horizontal="center" vertical="center"/>
    </xf>
    <xf numFmtId="0" fontId="12" fillId="0" borderId="0" xfId="0" applyFont="1" applyAlignment="1">
      <alignment horizontal="center" vertical="center"/>
    </xf>
    <xf numFmtId="14" fontId="0" fillId="0" borderId="0" xfId="0" applyNumberFormat="1"/>
    <xf numFmtId="9" fontId="14" fillId="2" borderId="1" xfId="1" applyNumberFormat="1" applyFont="1" applyFill="1" applyBorder="1" applyAlignment="1" applyProtection="1">
      <alignment horizontal="center" vertical="center" wrapText="1"/>
      <protection hidden="1"/>
    </xf>
    <xf numFmtId="9" fontId="14" fillId="2" borderId="8" xfId="1" applyNumberFormat="1" applyFont="1" applyFill="1" applyBorder="1" applyAlignment="1" applyProtection="1">
      <alignment horizontal="center" vertical="center" wrapText="1"/>
      <protection hidden="1"/>
    </xf>
    <xf numFmtId="0" fontId="14" fillId="0" borderId="1" xfId="1" applyFont="1" applyBorder="1" applyAlignment="1" applyProtection="1">
      <alignment horizontal="center" vertical="top"/>
      <protection locked="0"/>
    </xf>
    <xf numFmtId="0" fontId="9" fillId="0" borderId="12" xfId="1" applyFont="1" applyBorder="1" applyProtection="1">
      <protection hidden="1"/>
    </xf>
    <xf numFmtId="0" fontId="19" fillId="0" borderId="0" xfId="0" applyFont="1" applyProtection="1">
      <protection hidden="1"/>
    </xf>
    <xf numFmtId="0" fontId="19" fillId="0" borderId="14" xfId="0" applyFont="1" applyBorder="1" applyProtection="1">
      <protection hidden="1"/>
    </xf>
    <xf numFmtId="1" fontId="0" fillId="0" borderId="14" xfId="0" applyNumberFormat="1" applyBorder="1"/>
    <xf numFmtId="1" fontId="0" fillId="0" borderId="14" xfId="0" applyNumberFormat="1" applyBorder="1" applyAlignment="1">
      <alignment horizontal="right"/>
    </xf>
    <xf numFmtId="0" fontId="19" fillId="0" borderId="15" xfId="0" applyFont="1" applyBorder="1" applyProtection="1">
      <protection hidden="1"/>
    </xf>
    <xf numFmtId="1" fontId="0" fillId="0" borderId="16" xfId="0" applyNumberFormat="1" applyBorder="1"/>
    <xf numFmtId="1" fontId="8" fillId="0" borderId="1" xfId="1" applyNumberFormat="1" applyFont="1" applyBorder="1" applyAlignment="1" applyProtection="1">
      <alignment horizontal="center" vertical="center" wrapText="1"/>
      <protection locked="0"/>
    </xf>
    <xf numFmtId="1" fontId="10" fillId="0" borderId="1" xfId="1" applyNumberFormat="1" applyFont="1" applyBorder="1" applyAlignment="1" applyProtection="1">
      <alignment horizontal="center" vertical="top" wrapText="1"/>
      <protection locked="0"/>
    </xf>
    <xf numFmtId="1" fontId="12" fillId="0" borderId="3" xfId="0" applyNumberFormat="1" applyFont="1" applyBorder="1" applyAlignment="1" applyProtection="1">
      <alignment horizontal="center" vertical="center"/>
      <protection locked="0"/>
    </xf>
    <xf numFmtId="1" fontId="12" fillId="0" borderId="28" xfId="0" applyNumberFormat="1" applyFont="1" applyBorder="1" applyAlignment="1" applyProtection="1">
      <alignment horizontal="center" vertical="center"/>
      <protection locked="0"/>
    </xf>
    <xf numFmtId="0" fontId="18" fillId="3" borderId="0" xfId="1" applyFont="1" applyFill="1"/>
    <xf numFmtId="0" fontId="9" fillId="0" borderId="0" xfId="1" applyFont="1" applyAlignment="1" applyProtection="1">
      <alignment horizontal="center" vertical="center"/>
      <protection hidden="1"/>
    </xf>
    <xf numFmtId="0" fontId="9" fillId="0" borderId="14" xfId="1" applyFont="1" applyBorder="1" applyAlignment="1" applyProtection="1">
      <alignment horizontal="center" vertical="center"/>
      <protection hidden="1"/>
    </xf>
    <xf numFmtId="0" fontId="14" fillId="0" borderId="4" xfId="1" applyFont="1" applyBorder="1" applyAlignment="1" applyProtection="1">
      <alignment horizontal="center" vertical="top" wrapText="1"/>
      <protection locked="0"/>
    </xf>
    <xf numFmtId="14" fontId="18" fillId="0" borderId="0" xfId="1" applyNumberFormat="1" applyFont="1"/>
    <xf numFmtId="0" fontId="12" fillId="0" borderId="0" xfId="1" applyFont="1"/>
    <xf numFmtId="1" fontId="9" fillId="0" borderId="0" xfId="1" applyNumberFormat="1" applyFont="1" applyAlignment="1">
      <alignment horizontal="center" vertical="center"/>
    </xf>
    <xf numFmtId="1" fontId="14" fillId="0" borderId="1" xfId="1" applyNumberFormat="1" applyFont="1" applyBorder="1" applyAlignment="1" applyProtection="1">
      <alignment horizontal="center" vertical="center" wrapText="1"/>
      <protection locked="0"/>
    </xf>
    <xf numFmtId="1" fontId="9" fillId="0" borderId="1" xfId="0" applyNumberFormat="1" applyFont="1" applyBorder="1" applyAlignment="1">
      <alignment horizontal="center" vertical="center"/>
    </xf>
    <xf numFmtId="0" fontId="14" fillId="0" borderId="1" xfId="1" applyFont="1" applyBorder="1" applyAlignment="1" applyProtection="1">
      <alignment horizontal="left" vertical="top"/>
      <protection locked="0"/>
    </xf>
    <xf numFmtId="167" fontId="9" fillId="0" borderId="0" xfId="1" applyNumberFormat="1" applyFont="1" applyAlignment="1">
      <alignment horizontal="center" vertical="center"/>
    </xf>
    <xf numFmtId="0" fontId="16" fillId="0" borderId="1" xfId="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wrapText="1"/>
      <protection locked="0"/>
    </xf>
    <xf numFmtId="1" fontId="12" fillId="0" borderId="3" xfId="0"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10" fillId="0" borderId="27" xfId="0" applyNumberFormat="1" applyFont="1" applyBorder="1" applyAlignment="1" applyProtection="1">
      <alignment horizontal="center" vertical="center" wrapText="1"/>
      <protection locked="0"/>
    </xf>
    <xf numFmtId="1" fontId="10" fillId="0" borderId="28" xfId="0" applyNumberFormat="1" applyFont="1" applyBorder="1" applyAlignment="1" applyProtection="1">
      <alignment horizontal="center" vertical="center" wrapText="1"/>
      <protection locked="0"/>
    </xf>
    <xf numFmtId="1" fontId="12" fillId="0" borderId="28" xfId="0" applyNumberFormat="1" applyFont="1" applyBorder="1" applyAlignment="1" applyProtection="1">
      <alignment horizontal="center" vertical="top" wrapText="1"/>
      <protection locked="0"/>
    </xf>
    <xf numFmtId="1" fontId="10" fillId="0" borderId="28" xfId="0" applyNumberFormat="1" applyFont="1" applyBorder="1" applyAlignment="1" applyProtection="1">
      <alignment horizontal="center" vertical="top" wrapText="1"/>
      <protection locked="0"/>
    </xf>
    <xf numFmtId="1" fontId="10" fillId="0" borderId="29" xfId="0" applyNumberFormat="1" applyFont="1" applyBorder="1" applyAlignment="1" applyProtection="1">
      <alignment horizontal="center" vertical="top" wrapText="1"/>
      <protection locked="0"/>
    </xf>
    <xf numFmtId="1" fontId="10" fillId="0" borderId="18" xfId="1" applyNumberFormat="1" applyFont="1" applyBorder="1" applyAlignment="1" applyProtection="1">
      <alignment horizontal="center" vertical="top" wrapText="1"/>
      <protection locked="0"/>
    </xf>
    <xf numFmtId="1" fontId="10" fillId="0" borderId="19" xfId="1" applyNumberFormat="1" applyFont="1" applyBorder="1" applyAlignment="1" applyProtection="1">
      <alignment horizontal="center" vertical="top" wrapText="1"/>
      <protection locked="0"/>
    </xf>
    <xf numFmtId="1" fontId="10" fillId="0" borderId="22" xfId="1" applyNumberFormat="1" applyFont="1" applyBorder="1" applyAlignment="1" applyProtection="1">
      <alignment horizontal="center" vertical="top" wrapText="1"/>
      <protection locked="0"/>
    </xf>
    <xf numFmtId="1" fontId="10" fillId="0" borderId="23" xfId="1" applyNumberFormat="1" applyFont="1" applyBorder="1" applyAlignment="1" applyProtection="1">
      <alignment horizontal="center" vertical="top" wrapText="1"/>
      <protection locked="0"/>
    </xf>
    <xf numFmtId="1" fontId="10" fillId="0" borderId="3" xfId="1" applyNumberFormat="1" applyFont="1" applyBorder="1" applyAlignment="1" applyProtection="1">
      <alignment horizontal="center" vertical="top" wrapText="1"/>
      <protection locked="0"/>
    </xf>
    <xf numFmtId="1" fontId="10" fillId="0" borderId="4"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center" wrapText="1"/>
      <protection locked="0"/>
    </xf>
    <xf numFmtId="1" fontId="8" fillId="0" borderId="19"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22" xfId="1" applyNumberFormat="1" applyFont="1" applyBorder="1" applyAlignment="1" applyProtection="1">
      <alignment horizontal="center" vertical="center" wrapText="1"/>
      <protection locked="0"/>
    </xf>
    <xf numFmtId="1" fontId="8" fillId="0" borderId="23"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3" fontId="14" fillId="2" borderId="1" xfId="1" applyNumberFormat="1" applyFont="1" applyFill="1" applyBorder="1" applyAlignment="1" applyProtection="1">
      <alignment horizontal="left" vertical="top"/>
      <protection locked="0"/>
    </xf>
    <xf numFmtId="0" fontId="14" fillId="2" borderId="1" xfId="1" applyFont="1" applyFill="1" applyBorder="1" applyAlignment="1" applyProtection="1">
      <alignment horizontal="left" vertical="top"/>
      <protection locked="0"/>
    </xf>
    <xf numFmtId="14" fontId="15" fillId="0" borderId="10" xfId="1" applyNumberFormat="1" applyFont="1" applyBorder="1" applyAlignment="1" applyProtection="1">
      <alignment horizontal="left" vertical="top" wrapText="1"/>
      <protection locked="0"/>
    </xf>
    <xf numFmtId="0" fontId="15" fillId="0" borderId="11"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5" fillId="2" borderId="1" xfId="1" applyFont="1" applyFill="1" applyBorder="1" applyAlignment="1" applyProtection="1">
      <alignment horizontal="left" vertical="top" wrapText="1"/>
      <protection locked="0"/>
    </xf>
    <xf numFmtId="0" fontId="15" fillId="2" borderId="1" xfId="1" applyFont="1" applyFill="1" applyBorder="1" applyAlignment="1" applyProtection="1">
      <alignment horizontal="left" vertical="top"/>
      <protection locked="0"/>
    </xf>
    <xf numFmtId="0" fontId="10" fillId="0" borderId="1" xfId="1" applyFont="1" applyBorder="1" applyAlignment="1" applyProtection="1">
      <alignment vertical="top"/>
      <protection locked="0"/>
    </xf>
    <xf numFmtId="0" fontId="15" fillId="0" borderId="24" xfId="1" applyFont="1" applyBorder="1" applyAlignment="1" applyProtection="1">
      <alignment horizontal="left" vertical="top" wrapText="1"/>
      <protection locked="0"/>
    </xf>
    <xf numFmtId="0" fontId="15" fillId="0" borderId="25"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15" fillId="0" borderId="30" xfId="1" applyFont="1" applyBorder="1" applyAlignment="1" applyProtection="1">
      <alignment horizontal="center" vertical="center"/>
      <protection locked="0"/>
    </xf>
    <xf numFmtId="0" fontId="15" fillId="0" borderId="19" xfId="1" applyFont="1" applyBorder="1" applyAlignment="1" applyProtection="1">
      <alignment horizontal="center" vertical="center"/>
      <protection locked="0"/>
    </xf>
    <xf numFmtId="0" fontId="15" fillId="0" borderId="34" xfId="1" applyFont="1" applyBorder="1" applyAlignment="1" applyProtection="1">
      <alignment horizontal="center" vertical="center"/>
      <protection locked="0"/>
    </xf>
    <xf numFmtId="0" fontId="15" fillId="0" borderId="35" xfId="1" applyFont="1" applyBorder="1" applyAlignment="1" applyProtection="1">
      <alignment horizontal="center" vertical="center"/>
      <protection locked="0"/>
    </xf>
    <xf numFmtId="9" fontId="15" fillId="0" borderId="18" xfId="1" applyNumberFormat="1" applyFont="1" applyBorder="1" applyAlignment="1" applyProtection="1">
      <alignment horizontal="center" vertical="center" wrapText="1"/>
      <protection locked="0"/>
    </xf>
    <xf numFmtId="0" fontId="15" fillId="0" borderId="19" xfId="1" applyFont="1" applyBorder="1" applyAlignment="1" applyProtection="1">
      <alignment horizontal="center" vertical="center" wrapText="1"/>
      <protection locked="0"/>
    </xf>
    <xf numFmtId="0" fontId="15" fillId="0" borderId="36" xfId="1" applyFont="1" applyBorder="1" applyAlignment="1" applyProtection="1">
      <alignment horizontal="center" vertical="center" wrapText="1"/>
      <protection locked="0"/>
    </xf>
    <xf numFmtId="0" fontId="15" fillId="0" borderId="35" xfId="1" applyFont="1" applyBorder="1" applyAlignment="1" applyProtection="1">
      <alignment horizontal="center" vertical="center" wrapText="1"/>
      <protection locked="0"/>
    </xf>
    <xf numFmtId="0" fontId="15" fillId="0" borderId="18" xfId="1" applyFont="1" applyBorder="1" applyAlignment="1" applyProtection="1">
      <alignment horizontal="center" vertical="center" wrapText="1"/>
      <protection locked="0"/>
    </xf>
    <xf numFmtId="0" fontId="15" fillId="0" borderId="31" xfId="1" applyFont="1" applyBorder="1" applyAlignment="1" applyProtection="1">
      <alignment horizontal="center" vertical="center" wrapText="1"/>
      <protection locked="0"/>
    </xf>
    <xf numFmtId="0" fontId="15" fillId="0" borderId="16" xfId="1" applyFont="1" applyBorder="1" applyAlignment="1" applyProtection="1">
      <alignment horizontal="center" vertical="center" wrapText="1"/>
      <protection locked="0"/>
    </xf>
    <xf numFmtId="0" fontId="14" fillId="0" borderId="32" xfId="1" applyFont="1" applyBorder="1" applyAlignment="1" applyProtection="1">
      <alignment horizontal="center" vertical="top" wrapText="1"/>
      <protection locked="0"/>
    </xf>
    <xf numFmtId="0" fontId="14" fillId="0" borderId="4" xfId="1" applyFont="1" applyBorder="1" applyAlignment="1" applyProtection="1">
      <alignment horizontal="center" vertical="top" wrapText="1"/>
      <protection locked="0"/>
    </xf>
    <xf numFmtId="0" fontId="14" fillId="0" borderId="33"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4" fillId="0" borderId="6" xfId="1" applyFont="1" applyBorder="1" applyAlignment="1" applyProtection="1">
      <alignment horizontal="center" vertical="top" wrapText="1"/>
      <protection locked="0"/>
    </xf>
    <xf numFmtId="0" fontId="15" fillId="0" borderId="26" xfId="1" applyFont="1" applyBorder="1" applyAlignment="1" applyProtection="1">
      <alignment horizontal="left" vertical="top" wrapText="1"/>
      <protection locked="0"/>
    </xf>
    <xf numFmtId="0" fontId="15" fillId="0" borderId="1" xfId="1" applyFont="1" applyBorder="1" applyAlignment="1" applyProtection="1">
      <alignment horizontal="center" vertical="top" wrapText="1"/>
      <protection locked="0"/>
    </xf>
    <xf numFmtId="3" fontId="14" fillId="2" borderId="1" xfId="1" applyNumberFormat="1" applyFont="1" applyFill="1" applyBorder="1" applyAlignment="1" applyProtection="1">
      <alignment horizontal="left" vertical="top" wrapText="1"/>
      <protection locked="0"/>
    </xf>
    <xf numFmtId="0" fontId="14" fillId="2" borderId="1" xfId="1" applyFont="1" applyFill="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1" fontId="10"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10" fillId="0" borderId="1" xfId="1" applyNumberFormat="1" applyFont="1" applyBorder="1" applyAlignment="1" applyProtection="1">
      <alignment horizontal="center" vertical="top" wrapText="1"/>
      <protection locked="0"/>
    </xf>
    <xf numFmtId="0" fontId="14" fillId="0" borderId="5" xfId="1" applyFont="1" applyBorder="1" applyAlignment="1" applyProtection="1">
      <alignment horizontal="center" vertical="top" wrapText="1"/>
      <protection locked="0"/>
    </xf>
    <xf numFmtId="0" fontId="14" fillId="0" borderId="5" xfId="1" applyFont="1" applyBorder="1" applyAlignment="1" applyProtection="1">
      <alignment horizontal="center" vertical="top"/>
      <protection locked="0"/>
    </xf>
    <xf numFmtId="0" fontId="14" fillId="0" borderId="1" xfId="1" applyFont="1" applyBorder="1" applyAlignment="1" applyProtection="1">
      <alignment horizontal="center" vertical="top"/>
      <protection locked="0"/>
    </xf>
    <xf numFmtId="0" fontId="14" fillId="0" borderId="7" xfId="1" applyFont="1" applyBorder="1" applyAlignment="1" applyProtection="1">
      <alignment horizontal="center" vertical="top" wrapText="1"/>
      <protection locked="0"/>
    </xf>
    <xf numFmtId="0" fontId="14" fillId="0" borderId="8" xfId="1" applyFont="1" applyBorder="1" applyAlignment="1" applyProtection="1">
      <alignment horizontal="center" vertical="top" wrapText="1"/>
      <protection locked="0"/>
    </xf>
    <xf numFmtId="0" fontId="15" fillId="0" borderId="1" xfId="1" applyFont="1" applyBorder="1" applyAlignment="1" applyProtection="1">
      <alignment horizontal="left" vertical="top"/>
      <protection locked="0"/>
    </xf>
    <xf numFmtId="0" fontId="15" fillId="0" borderId="5" xfId="1" applyFont="1" applyBorder="1" applyAlignment="1" applyProtection="1">
      <alignment horizontal="left" vertical="top"/>
      <protection locked="0"/>
    </xf>
    <xf numFmtId="0" fontId="14" fillId="0" borderId="4" xfId="1" applyFont="1" applyBorder="1" applyAlignment="1" applyProtection="1">
      <alignment horizontal="left" vertical="top"/>
      <protection locked="0"/>
    </xf>
    <xf numFmtId="9" fontId="14" fillId="2" borderId="1" xfId="1" applyNumberFormat="1" applyFont="1" applyFill="1" applyBorder="1" applyAlignment="1" applyProtection="1">
      <alignment horizontal="center" vertical="center" wrapText="1"/>
      <protection hidden="1"/>
    </xf>
    <xf numFmtId="9" fontId="14" fillId="2" borderId="8" xfId="1" applyNumberFormat="1" applyFont="1" applyFill="1" applyBorder="1" applyAlignment="1" applyProtection="1">
      <alignment horizontal="center" vertical="center" wrapText="1"/>
      <protection hidden="1"/>
    </xf>
    <xf numFmtId="0" fontId="14" fillId="0" borderId="3" xfId="1" applyFont="1" applyBorder="1" applyAlignment="1" applyProtection="1">
      <alignment horizontal="left" vertical="top" wrapText="1"/>
      <protection locked="0"/>
    </xf>
    <xf numFmtId="0" fontId="8" fillId="0" borderId="3" xfId="1" applyFont="1" applyBorder="1" applyAlignment="1" applyProtection="1">
      <alignment horizontal="left" vertical="top"/>
      <protection locked="0"/>
    </xf>
    <xf numFmtId="0" fontId="14" fillId="2" borderId="10" xfId="1" applyFont="1" applyFill="1" applyBorder="1" applyAlignment="1" applyProtection="1">
      <alignment horizontal="left" vertical="top" wrapText="1"/>
      <protection locked="0"/>
    </xf>
    <xf numFmtId="0" fontId="14" fillId="2" borderId="17" xfId="1" applyFont="1" applyFill="1" applyBorder="1" applyAlignment="1" applyProtection="1">
      <alignment horizontal="left" vertical="top" wrapText="1"/>
      <protection locked="0"/>
    </xf>
    <xf numFmtId="0" fontId="14" fillId="2" borderId="11" xfId="1" applyFont="1" applyFill="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14" fontId="14" fillId="2" borderId="1" xfId="1" applyNumberFormat="1" applyFont="1" applyFill="1" applyBorder="1" applyAlignment="1" applyProtection="1">
      <alignment horizontal="left" vertical="top"/>
      <protection locked="0"/>
    </xf>
    <xf numFmtId="14" fontId="14" fillId="0" borderId="1" xfId="1" applyNumberFormat="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4" fillId="0" borderId="1" xfId="1" applyFont="1" applyBorder="1" applyAlignment="1" applyProtection="1">
      <alignment horizontal="left"/>
      <protection locked="0"/>
    </xf>
    <xf numFmtId="0" fontId="15" fillId="0" borderId="1" xfId="1" applyFont="1" applyBorder="1" applyAlignment="1" applyProtection="1">
      <alignment horizontal="center" vertical="top"/>
      <protection locked="0"/>
    </xf>
    <xf numFmtId="0" fontId="15" fillId="0" borderId="1" xfId="1" applyFont="1" applyBorder="1" applyAlignment="1" applyProtection="1">
      <alignment horizontal="center"/>
      <protection locked="0"/>
    </xf>
    <xf numFmtId="0" fontId="14" fillId="0" borderId="1" xfId="1" applyFont="1" applyBorder="1" applyAlignment="1" applyProtection="1">
      <alignment horizontal="center"/>
      <protection locked="0"/>
    </xf>
    <xf numFmtId="0" fontId="10" fillId="0" borderId="1" xfId="1" applyFont="1" applyBorder="1" applyAlignment="1" applyProtection="1">
      <alignment horizontal="center" vertical="top"/>
      <protection locked="0"/>
    </xf>
    <xf numFmtId="0" fontId="9" fillId="0" borderId="10" xfId="1" applyFont="1" applyBorder="1" applyAlignment="1" applyProtection="1">
      <alignment horizontal="left"/>
      <protection locked="0"/>
    </xf>
    <xf numFmtId="0" fontId="9" fillId="0" borderId="17" xfId="1" applyFont="1" applyBorder="1" applyAlignment="1" applyProtection="1">
      <alignment horizontal="left"/>
      <protection locked="0"/>
    </xf>
    <xf numFmtId="0" fontId="9" fillId="0" borderId="11" xfId="1" applyFont="1" applyBorder="1" applyAlignment="1" applyProtection="1">
      <alignment horizontal="left"/>
      <protection locked="0"/>
    </xf>
    <xf numFmtId="0" fontId="24" fillId="0" borderId="10" xfId="8" applyBorder="1" applyAlignment="1" applyProtection="1">
      <alignment horizontal="left"/>
      <protection locked="0"/>
    </xf>
    <xf numFmtId="165" fontId="8" fillId="0" borderId="1" xfId="1" applyNumberFormat="1" applyFont="1" applyBorder="1" applyAlignment="1" applyProtection="1">
      <alignment horizontal="left" vertical="top"/>
      <protection locked="0"/>
    </xf>
    <xf numFmtId="0" fontId="14" fillId="0" borderId="1" xfId="1" applyFont="1" applyBorder="1" applyAlignment="1" applyProtection="1">
      <alignment horizontal="left" vertical="center" wrapText="1"/>
      <protection locked="0"/>
    </xf>
    <xf numFmtId="2" fontId="8"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14" fontId="8" fillId="0" borderId="1" xfId="1" applyNumberFormat="1" applyFont="1" applyBorder="1" applyAlignment="1" applyProtection="1">
      <alignment horizontal="left" vertical="top"/>
      <protection locked="0"/>
    </xf>
    <xf numFmtId="0" fontId="8" fillId="2" borderId="1" xfId="1" applyFont="1" applyFill="1" applyBorder="1" applyAlignment="1" applyProtection="1">
      <alignment horizontal="left" vertical="top" wrapText="1"/>
      <protection locked="0"/>
    </xf>
    <xf numFmtId="0" fontId="10" fillId="0" borderId="4" xfId="1" applyFont="1" applyBorder="1" applyAlignment="1" applyProtection="1">
      <alignment horizontal="center" vertical="top"/>
      <protection locked="0"/>
    </xf>
    <xf numFmtId="0" fontId="12" fillId="0" borderId="1" xfId="0" applyFont="1" applyBorder="1" applyAlignment="1" applyProtection="1">
      <alignment horizontal="center" vertical="top" wrapText="1"/>
      <protection locked="0"/>
    </xf>
    <xf numFmtId="2" fontId="8" fillId="0" borderId="1" xfId="1" applyNumberFormat="1" applyFont="1" applyBorder="1" applyAlignment="1" applyProtection="1">
      <alignment horizontal="left" vertical="top" wrapText="1"/>
      <protection locked="0"/>
    </xf>
    <xf numFmtId="9" fontId="14" fillId="2" borderId="6" xfId="1" applyNumberFormat="1" applyFont="1" applyFill="1" applyBorder="1" applyAlignment="1" applyProtection="1">
      <alignment horizontal="center" vertical="center" wrapText="1"/>
      <protection hidden="1"/>
    </xf>
    <xf numFmtId="9" fontId="14" fillId="2" borderId="9" xfId="1" applyNumberFormat="1" applyFont="1" applyFill="1" applyBorder="1" applyAlignment="1" applyProtection="1">
      <alignment horizontal="center" vertical="center" wrapText="1"/>
      <protection hidden="1"/>
    </xf>
    <xf numFmtId="0" fontId="15" fillId="0" borderId="1" xfId="1" applyFont="1" applyBorder="1" applyAlignment="1" applyProtection="1">
      <alignment horizontal="left" vertical="top" wrapText="1"/>
      <protection locked="0"/>
    </xf>
    <xf numFmtId="0" fontId="15" fillId="0" borderId="6" xfId="1" applyFont="1" applyBorder="1" applyAlignment="1" applyProtection="1">
      <alignment horizontal="left" vertical="top" wrapText="1"/>
      <protection locked="0"/>
    </xf>
    <xf numFmtId="1" fontId="10" fillId="0" borderId="1" xfId="0" applyNumberFormat="1"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1" fontId="6" fillId="0" borderId="3" xfId="1" applyNumberFormat="1" applyFont="1" applyBorder="1" applyAlignment="1" applyProtection="1">
      <alignment horizontal="center" vertical="top" wrapText="1"/>
      <protection locked="0"/>
    </xf>
    <xf numFmtId="1" fontId="6" fillId="0" borderId="4" xfId="1" applyNumberFormat="1" applyFont="1" applyBorder="1" applyAlignment="1" applyProtection="1">
      <alignment horizontal="center" vertical="top" wrapText="1"/>
      <protection locked="0"/>
    </xf>
    <xf numFmtId="0" fontId="0" fillId="3" borderId="1" xfId="0" applyFill="1" applyBorder="1" applyAlignment="1">
      <alignment horizontal="center" wrapText="1"/>
    </xf>
    <xf numFmtId="0" fontId="11" fillId="0" borderId="1" xfId="0" applyFont="1" applyBorder="1" applyAlignment="1">
      <alignment horizontal="center"/>
    </xf>
    <xf numFmtId="0" fontId="11" fillId="0" borderId="1" xfId="5" applyFont="1" applyBorder="1" applyAlignment="1">
      <alignment horizontal="left"/>
    </xf>
  </cellXfs>
  <cellStyles count="9">
    <cellStyle name="Comma 2" xfId="6"/>
    <cellStyle name="Excel Built-in Normal" xfId="2"/>
    <cellStyle name="Excel Built-in Normal 2" xfId="4"/>
    <cellStyle name="Hyperlink" xfId="8" builtinId="8"/>
    <cellStyle name="Normal" xfId="0" builtinId="0"/>
    <cellStyle name="Normal 2" xfId="3"/>
    <cellStyle name="Normal 3" xfId="1"/>
    <cellStyle name="Normal 3 3" xfId="7"/>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8" Type="http://schemas.openxmlformats.org/officeDocument/2006/relationships/image" Target="../media/image8.png"/></Relationships>
</file>

<file path=xl/drawings/_rels/drawing2.xml.rels><?xml version="1.0" encoding="UTF-8" standalone="yes"?>
<Relationships xmlns="http://schemas.openxmlformats.org/package/2006/relationships"><Relationship Id="rId8" Type="http://schemas.openxmlformats.org/officeDocument/2006/relationships/image" Target="../media/image43.jpeg"/><Relationship Id="rId3" Type="http://schemas.openxmlformats.org/officeDocument/2006/relationships/image" Target="../media/image38.jpeg"/><Relationship Id="rId7" Type="http://schemas.openxmlformats.org/officeDocument/2006/relationships/image" Target="../media/image42.jpeg"/><Relationship Id="rId2" Type="http://schemas.openxmlformats.org/officeDocument/2006/relationships/image" Target="../media/image37.jpg"/><Relationship Id="rId1" Type="http://schemas.openxmlformats.org/officeDocument/2006/relationships/image" Target="../media/image36.jpg"/><Relationship Id="rId6" Type="http://schemas.openxmlformats.org/officeDocument/2006/relationships/image" Target="../media/image41.jpeg"/><Relationship Id="rId5" Type="http://schemas.openxmlformats.org/officeDocument/2006/relationships/image" Target="../media/image40.jpeg"/><Relationship Id="rId10" Type="http://schemas.openxmlformats.org/officeDocument/2006/relationships/image" Target="../media/image45.png"/><Relationship Id="rId4" Type="http://schemas.openxmlformats.org/officeDocument/2006/relationships/image" Target="../media/image39.jpeg"/><Relationship Id="rId9" Type="http://schemas.openxmlformats.org/officeDocument/2006/relationships/image" Target="../media/image4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8.png"/><Relationship Id="rId2" Type="http://schemas.openxmlformats.org/officeDocument/2006/relationships/image" Target="../media/image47.png"/><Relationship Id="rId1" Type="http://schemas.openxmlformats.org/officeDocument/2006/relationships/image" Target="../media/image46.jpeg"/><Relationship Id="rId6" Type="http://schemas.openxmlformats.org/officeDocument/2006/relationships/image" Target="../media/image51.jpeg"/><Relationship Id="rId5" Type="http://schemas.openxmlformats.org/officeDocument/2006/relationships/image" Target="../media/image50.png"/><Relationship Id="rId4" Type="http://schemas.openxmlformats.org/officeDocument/2006/relationships/image" Target="../media/image4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drawing1.xml><?xml version="1.0" encoding="utf-8"?>
<xdr:wsDr xmlns:xdr="http://schemas.openxmlformats.org/drawingml/2006/spreadsheetDrawing" xmlns:a="http://schemas.openxmlformats.org/drawingml/2006/main">
  <xdr:twoCellAnchor editAs="oneCell">
    <xdr:from>
      <xdr:col>0</xdr:col>
      <xdr:colOff>226968</xdr:colOff>
      <xdr:row>384</xdr:row>
      <xdr:rowOff>42576</xdr:rowOff>
    </xdr:from>
    <xdr:to>
      <xdr:col>7</xdr:col>
      <xdr:colOff>650260</xdr:colOff>
      <xdr:row>402</xdr:row>
      <xdr:rowOff>92551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226968" y="74382400"/>
          <a:ext cx="5992616" cy="3680681"/>
        </a:xfrm>
        <a:prstGeom prst="rect">
          <a:avLst/>
        </a:prstGeom>
        <a:ln>
          <a:solidFill>
            <a:schemeClr val="tx1"/>
          </a:solidFill>
        </a:ln>
      </xdr:spPr>
    </xdr:pic>
    <xdr:clientData/>
  </xdr:twoCellAnchor>
  <xdr:twoCellAnchor>
    <xdr:from>
      <xdr:col>8</xdr:col>
      <xdr:colOff>717177</xdr:colOff>
      <xdr:row>256</xdr:row>
      <xdr:rowOff>22411</xdr:rowOff>
    </xdr:from>
    <xdr:to>
      <xdr:col>9</xdr:col>
      <xdr:colOff>302560</xdr:colOff>
      <xdr:row>257</xdr:row>
      <xdr:rowOff>163491</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7115736" y="52331470"/>
          <a:ext cx="952500" cy="34278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600" b="1">
              <a:solidFill>
                <a:srgbClr val="FF0000"/>
              </a:solidFill>
            </a:rPr>
            <a:t>Bldg 1</a:t>
          </a:r>
        </a:p>
      </xdr:txBody>
    </xdr:sp>
    <xdr:clientData/>
  </xdr:twoCellAnchor>
  <xdr:twoCellAnchor editAs="oneCell">
    <xdr:from>
      <xdr:col>8</xdr:col>
      <xdr:colOff>514349</xdr:colOff>
      <xdr:row>39</xdr:row>
      <xdr:rowOff>20151</xdr:rowOff>
    </xdr:from>
    <xdr:to>
      <xdr:col>16</xdr:col>
      <xdr:colOff>351549</xdr:colOff>
      <xdr:row>49</xdr:row>
      <xdr:rowOff>466236</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a:stretch>
          <a:fillRect/>
        </a:stretch>
      </xdr:blipFill>
      <xdr:spPr>
        <a:xfrm>
          <a:off x="6896099" y="9097476"/>
          <a:ext cx="5580775" cy="3113085"/>
        </a:xfrm>
        <a:prstGeom prst="rect">
          <a:avLst/>
        </a:prstGeom>
      </xdr:spPr>
    </xdr:pic>
    <xdr:clientData/>
  </xdr:twoCellAnchor>
  <xdr:twoCellAnchor editAs="oneCell">
    <xdr:from>
      <xdr:col>8</xdr:col>
      <xdr:colOff>1333500</xdr:colOff>
      <xdr:row>53</xdr:row>
      <xdr:rowOff>2374</xdr:rowOff>
    </xdr:from>
    <xdr:to>
      <xdr:col>13</xdr:col>
      <xdr:colOff>475820</xdr:colOff>
      <xdr:row>60</xdr:row>
      <xdr:rowOff>66349</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a:stretch>
          <a:fillRect/>
        </a:stretch>
      </xdr:blipFill>
      <xdr:spPr>
        <a:xfrm>
          <a:off x="7715250" y="12375349"/>
          <a:ext cx="3057095" cy="2311875"/>
        </a:xfrm>
        <a:prstGeom prst="rect">
          <a:avLst/>
        </a:prstGeom>
      </xdr:spPr>
    </xdr:pic>
    <xdr:clientData/>
  </xdr:twoCellAnchor>
  <xdr:twoCellAnchor editAs="oneCell">
    <xdr:from>
      <xdr:col>8</xdr:col>
      <xdr:colOff>1123950</xdr:colOff>
      <xdr:row>121</xdr:row>
      <xdr:rowOff>13075</xdr:rowOff>
    </xdr:from>
    <xdr:to>
      <xdr:col>14</xdr:col>
      <xdr:colOff>370881</xdr:colOff>
      <xdr:row>135</xdr:row>
      <xdr:rowOff>9084</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a:stretch>
          <a:fillRect/>
        </a:stretch>
      </xdr:blipFill>
      <xdr:spPr>
        <a:xfrm>
          <a:off x="7505700" y="26892625"/>
          <a:ext cx="3771306" cy="2796359"/>
        </a:xfrm>
        <a:prstGeom prst="rect">
          <a:avLst/>
        </a:prstGeom>
      </xdr:spPr>
    </xdr:pic>
    <xdr:clientData/>
  </xdr:twoCellAnchor>
  <xdr:twoCellAnchor editAs="oneCell">
    <xdr:from>
      <xdr:col>8</xdr:col>
      <xdr:colOff>909984</xdr:colOff>
      <xdr:row>139</xdr:row>
      <xdr:rowOff>33617</xdr:rowOff>
    </xdr:from>
    <xdr:to>
      <xdr:col>13</xdr:col>
      <xdr:colOff>72472</xdr:colOff>
      <xdr:row>147</xdr:row>
      <xdr:rowOff>115873</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7308543" y="30491205"/>
          <a:ext cx="3073341" cy="1695903"/>
        </a:xfrm>
        <a:prstGeom prst="rect">
          <a:avLst/>
        </a:prstGeom>
      </xdr:spPr>
    </xdr:pic>
    <xdr:clientData/>
  </xdr:twoCellAnchor>
  <xdr:twoCellAnchor editAs="oneCell">
    <xdr:from>
      <xdr:col>8</xdr:col>
      <xdr:colOff>999164</xdr:colOff>
      <xdr:row>153</xdr:row>
      <xdr:rowOff>87086</xdr:rowOff>
    </xdr:from>
    <xdr:to>
      <xdr:col>16</xdr:col>
      <xdr:colOff>211334</xdr:colOff>
      <xdr:row>164</xdr:row>
      <xdr:rowOff>70002</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6"/>
        <a:stretch>
          <a:fillRect/>
        </a:stretch>
      </xdr:blipFill>
      <xdr:spPr>
        <a:xfrm>
          <a:off x="7380914" y="33567461"/>
          <a:ext cx="4955745" cy="2183191"/>
        </a:xfrm>
        <a:prstGeom prst="rect">
          <a:avLst/>
        </a:prstGeom>
      </xdr:spPr>
    </xdr:pic>
    <xdr:clientData/>
  </xdr:twoCellAnchor>
  <xdr:twoCellAnchor>
    <xdr:from>
      <xdr:col>0</xdr:col>
      <xdr:colOff>201705</xdr:colOff>
      <xdr:row>342</xdr:row>
      <xdr:rowOff>89647</xdr:rowOff>
    </xdr:from>
    <xdr:to>
      <xdr:col>7</xdr:col>
      <xdr:colOff>661146</xdr:colOff>
      <xdr:row>371</xdr:row>
      <xdr:rowOff>38653</xdr:rowOff>
    </xdr:to>
    <xdr:grpSp>
      <xdr:nvGrpSpPr>
        <xdr:cNvPr id="32" name="Group 31">
          <a:extLst>
            <a:ext uri="{FF2B5EF4-FFF2-40B4-BE49-F238E27FC236}">
              <a16:creationId xmlns:a16="http://schemas.microsoft.com/office/drawing/2014/main" id="{00000000-0008-0000-0000-000020000000}"/>
            </a:ext>
          </a:extLst>
        </xdr:cNvPr>
        <xdr:cNvGrpSpPr/>
      </xdr:nvGrpSpPr>
      <xdr:grpSpPr>
        <a:xfrm>
          <a:off x="201705" y="75060922"/>
          <a:ext cx="6012516" cy="5749731"/>
          <a:chOff x="235323" y="65957823"/>
          <a:chExt cx="6028765" cy="5798477"/>
        </a:xfrm>
      </xdr:grpSpPr>
      <xdr:pic>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7"/>
          <a:stretch>
            <a:fillRect/>
          </a:stretch>
        </xdr:blipFill>
        <xdr:spPr>
          <a:xfrm>
            <a:off x="235323" y="65957823"/>
            <a:ext cx="6028765" cy="5798477"/>
          </a:xfrm>
          <a:prstGeom prst="rect">
            <a:avLst/>
          </a:prstGeom>
          <a:ln>
            <a:solidFill>
              <a:schemeClr val="tx1"/>
            </a:solidFill>
          </a:ln>
        </xdr:spPr>
      </xdr:pic>
      <xdr:sp macro="" textlink="">
        <xdr:nvSpPr>
          <xdr:cNvPr id="27" name="Rectangle 26">
            <a:extLst>
              <a:ext uri="{FF2B5EF4-FFF2-40B4-BE49-F238E27FC236}">
                <a16:creationId xmlns:a16="http://schemas.microsoft.com/office/drawing/2014/main" id="{00000000-0008-0000-0000-00001B000000}"/>
              </a:ext>
            </a:extLst>
          </xdr:cNvPr>
          <xdr:cNvSpPr/>
        </xdr:nvSpPr>
        <xdr:spPr>
          <a:xfrm rot="845201">
            <a:off x="2368557" y="68525051"/>
            <a:ext cx="3071373" cy="9050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8" name="TextBox 27">
            <a:extLst>
              <a:ext uri="{FF2B5EF4-FFF2-40B4-BE49-F238E27FC236}">
                <a16:creationId xmlns:a16="http://schemas.microsoft.com/office/drawing/2014/main" id="{00000000-0008-0000-0000-00001C000000}"/>
              </a:ext>
            </a:extLst>
          </xdr:cNvPr>
          <xdr:cNvSpPr txBox="1"/>
        </xdr:nvSpPr>
        <xdr:spPr>
          <a:xfrm rot="883812">
            <a:off x="3182470" y="68792910"/>
            <a:ext cx="1624853" cy="403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rPr>
              <a:t>Building</a:t>
            </a:r>
            <a:r>
              <a:rPr lang="en-IN" sz="1800" b="1" baseline="0">
                <a:solidFill>
                  <a:srgbClr val="FF0000"/>
                </a:solidFill>
              </a:rPr>
              <a:t> No. 3</a:t>
            </a:r>
            <a:endParaRPr lang="en-IN" sz="1800" b="1">
              <a:solidFill>
                <a:srgbClr val="FF0000"/>
              </a:solidFill>
            </a:endParaRPr>
          </a:p>
        </xdr:txBody>
      </xdr:sp>
      <xdr:sp macro="" textlink="">
        <xdr:nvSpPr>
          <xdr:cNvPr id="54" name="Rectangle 53">
            <a:extLst>
              <a:ext uri="{FF2B5EF4-FFF2-40B4-BE49-F238E27FC236}">
                <a16:creationId xmlns:a16="http://schemas.microsoft.com/office/drawing/2014/main" id="{00000000-0008-0000-0000-000036000000}"/>
              </a:ext>
            </a:extLst>
          </xdr:cNvPr>
          <xdr:cNvSpPr/>
        </xdr:nvSpPr>
        <xdr:spPr>
          <a:xfrm>
            <a:off x="2017059" y="69958323"/>
            <a:ext cx="2017059" cy="905010"/>
          </a:xfrm>
          <a:prstGeom prst="rect">
            <a:avLst/>
          </a:prstGeom>
          <a:no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2252383" y="70182442"/>
            <a:ext cx="1624853" cy="403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002060"/>
                </a:solidFill>
              </a:rPr>
              <a:t>Building</a:t>
            </a:r>
            <a:r>
              <a:rPr lang="en-IN" sz="1800" b="1" baseline="0">
                <a:solidFill>
                  <a:srgbClr val="002060"/>
                </a:solidFill>
              </a:rPr>
              <a:t> No. 2</a:t>
            </a:r>
            <a:endParaRPr lang="en-IN" sz="1800" b="1">
              <a:solidFill>
                <a:srgbClr val="002060"/>
              </a:solidFill>
            </a:endParaRPr>
          </a:p>
        </xdr:txBody>
      </xdr:sp>
      <xdr:sp macro="" textlink="">
        <xdr:nvSpPr>
          <xdr:cNvPr id="30" name="Freeform 29">
            <a:extLst>
              <a:ext uri="{FF2B5EF4-FFF2-40B4-BE49-F238E27FC236}">
                <a16:creationId xmlns:a16="http://schemas.microsoft.com/office/drawing/2014/main" id="{00000000-0008-0000-0000-00001E000000}"/>
              </a:ext>
            </a:extLst>
          </xdr:cNvPr>
          <xdr:cNvSpPr/>
        </xdr:nvSpPr>
        <xdr:spPr>
          <a:xfrm>
            <a:off x="907676" y="67862824"/>
            <a:ext cx="1524000" cy="2969558"/>
          </a:xfrm>
          <a:custGeom>
            <a:avLst/>
            <a:gdLst>
              <a:gd name="connsiteX0" fmla="*/ 0 w 1524000"/>
              <a:gd name="connsiteY0" fmla="*/ 2969558 h 2969558"/>
              <a:gd name="connsiteX1" fmla="*/ 862853 w 1524000"/>
              <a:gd name="connsiteY1" fmla="*/ 2969558 h 2969558"/>
              <a:gd name="connsiteX2" fmla="*/ 918883 w 1524000"/>
              <a:gd name="connsiteY2" fmla="*/ 1680882 h 2969558"/>
              <a:gd name="connsiteX3" fmla="*/ 1524000 w 1524000"/>
              <a:gd name="connsiteY3" fmla="*/ 470647 h 2969558"/>
              <a:gd name="connsiteX4" fmla="*/ 1008530 w 1524000"/>
              <a:gd name="connsiteY4" fmla="*/ 0 h 2969558"/>
              <a:gd name="connsiteX5" fmla="*/ 437030 w 1524000"/>
              <a:gd name="connsiteY5" fmla="*/ 739588 h 2969558"/>
              <a:gd name="connsiteX6" fmla="*/ 22412 w 1524000"/>
              <a:gd name="connsiteY6" fmla="*/ 739588 h 2969558"/>
              <a:gd name="connsiteX7" fmla="*/ 0 w 1524000"/>
              <a:gd name="connsiteY7" fmla="*/ 2969558 h 29695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524000" h="2969558">
                <a:moveTo>
                  <a:pt x="0" y="2969558"/>
                </a:moveTo>
                <a:lnTo>
                  <a:pt x="862853" y="2969558"/>
                </a:lnTo>
                <a:lnTo>
                  <a:pt x="918883" y="1680882"/>
                </a:lnTo>
                <a:lnTo>
                  <a:pt x="1524000" y="470647"/>
                </a:lnTo>
                <a:lnTo>
                  <a:pt x="1008530" y="0"/>
                </a:lnTo>
                <a:lnTo>
                  <a:pt x="437030" y="739588"/>
                </a:lnTo>
                <a:lnTo>
                  <a:pt x="22412" y="739588"/>
                </a:lnTo>
                <a:lnTo>
                  <a:pt x="0" y="2969558"/>
                </a:lnTo>
                <a:close/>
              </a:path>
            </a:pathLst>
          </a:custGeom>
          <a:no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6" name="TextBox 55">
            <a:extLst>
              <a:ext uri="{FF2B5EF4-FFF2-40B4-BE49-F238E27FC236}">
                <a16:creationId xmlns:a16="http://schemas.microsoft.com/office/drawing/2014/main" id="{00000000-0008-0000-0000-000038000000}"/>
              </a:ext>
            </a:extLst>
          </xdr:cNvPr>
          <xdr:cNvSpPr txBox="1"/>
        </xdr:nvSpPr>
        <xdr:spPr>
          <a:xfrm>
            <a:off x="560296" y="70866000"/>
            <a:ext cx="1624853" cy="403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7030A0"/>
                </a:solidFill>
              </a:rPr>
              <a:t>Building</a:t>
            </a:r>
            <a:r>
              <a:rPr lang="en-IN" sz="1800" b="1" baseline="0">
                <a:solidFill>
                  <a:srgbClr val="7030A0"/>
                </a:solidFill>
              </a:rPr>
              <a:t> No. 1</a:t>
            </a:r>
            <a:endParaRPr lang="en-IN" sz="1800" b="1">
              <a:solidFill>
                <a:srgbClr val="7030A0"/>
              </a:solidFill>
            </a:endParaRPr>
          </a:p>
        </xdr:txBody>
      </xdr:sp>
    </xdr:grpSp>
    <xdr:clientData/>
  </xdr:twoCellAnchor>
  <xdr:twoCellAnchor>
    <xdr:from>
      <xdr:col>0</xdr:col>
      <xdr:colOff>280146</xdr:colOff>
      <xdr:row>402</xdr:row>
      <xdr:rowOff>179294</xdr:rowOff>
    </xdr:from>
    <xdr:to>
      <xdr:col>7</xdr:col>
      <xdr:colOff>537882</xdr:colOff>
      <xdr:row>423</xdr:row>
      <xdr:rowOff>182403</xdr:rowOff>
    </xdr:to>
    <xdr:grpSp>
      <xdr:nvGrpSpPr>
        <xdr:cNvPr id="59" name="Group 58">
          <a:extLst>
            <a:ext uri="{FF2B5EF4-FFF2-40B4-BE49-F238E27FC236}">
              <a16:creationId xmlns:a16="http://schemas.microsoft.com/office/drawing/2014/main" id="{00000000-0008-0000-0000-00003B000000}"/>
            </a:ext>
          </a:extLst>
        </xdr:cNvPr>
        <xdr:cNvGrpSpPr/>
      </xdr:nvGrpSpPr>
      <xdr:grpSpPr>
        <a:xfrm>
          <a:off x="280146" y="85151819"/>
          <a:ext cx="5810811" cy="4203634"/>
          <a:chOff x="280146" y="78149823"/>
          <a:chExt cx="5827060" cy="4238933"/>
        </a:xfrm>
      </xdr:grpSpPr>
      <xdr:pic>
        <xdr:nvPicPr>
          <xdr:cNvPr id="57" name="Pictur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8"/>
          <a:stretch>
            <a:fillRect/>
          </a:stretch>
        </xdr:blipFill>
        <xdr:spPr>
          <a:xfrm>
            <a:off x="280146" y="78149823"/>
            <a:ext cx="5827060" cy="4238933"/>
          </a:xfrm>
          <a:prstGeom prst="rect">
            <a:avLst/>
          </a:prstGeom>
          <a:ln>
            <a:solidFill>
              <a:schemeClr val="tx1"/>
            </a:solidFill>
          </a:ln>
        </xdr:spPr>
      </xdr:pic>
      <xdr:sp macro="" textlink="">
        <xdr:nvSpPr>
          <xdr:cNvPr id="58" name="Freeform 57">
            <a:extLst>
              <a:ext uri="{FF2B5EF4-FFF2-40B4-BE49-F238E27FC236}">
                <a16:creationId xmlns:a16="http://schemas.microsoft.com/office/drawing/2014/main" id="{00000000-0008-0000-0000-00003A000000}"/>
              </a:ext>
            </a:extLst>
          </xdr:cNvPr>
          <xdr:cNvSpPr/>
        </xdr:nvSpPr>
        <xdr:spPr>
          <a:xfrm>
            <a:off x="1546412" y="79180765"/>
            <a:ext cx="2476500" cy="2028264"/>
          </a:xfrm>
          <a:custGeom>
            <a:avLst/>
            <a:gdLst>
              <a:gd name="connsiteX0" fmla="*/ 1098176 w 2476500"/>
              <a:gd name="connsiteY0" fmla="*/ 661147 h 2028264"/>
              <a:gd name="connsiteX1" fmla="*/ 2364441 w 2476500"/>
              <a:gd name="connsiteY1" fmla="*/ 683559 h 2028264"/>
              <a:gd name="connsiteX2" fmla="*/ 2476500 w 2476500"/>
              <a:gd name="connsiteY2" fmla="*/ 986117 h 2028264"/>
              <a:gd name="connsiteX3" fmla="*/ 2017059 w 2476500"/>
              <a:gd name="connsiteY3" fmla="*/ 1400735 h 2028264"/>
              <a:gd name="connsiteX4" fmla="*/ 1580029 w 2476500"/>
              <a:gd name="connsiteY4" fmla="*/ 1568823 h 2028264"/>
              <a:gd name="connsiteX5" fmla="*/ 1669676 w 2476500"/>
              <a:gd name="connsiteY5" fmla="*/ 1815353 h 2028264"/>
              <a:gd name="connsiteX6" fmla="*/ 1344706 w 2476500"/>
              <a:gd name="connsiteY6" fmla="*/ 1927411 h 2028264"/>
              <a:gd name="connsiteX7" fmla="*/ 717176 w 2476500"/>
              <a:gd name="connsiteY7" fmla="*/ 1927411 h 2028264"/>
              <a:gd name="connsiteX8" fmla="*/ 246529 w 2476500"/>
              <a:gd name="connsiteY8" fmla="*/ 2028264 h 2028264"/>
              <a:gd name="connsiteX9" fmla="*/ 134470 w 2476500"/>
              <a:gd name="connsiteY9" fmla="*/ 1949823 h 2028264"/>
              <a:gd name="connsiteX10" fmla="*/ 0 w 2476500"/>
              <a:gd name="connsiteY10" fmla="*/ 1019735 h 2028264"/>
              <a:gd name="connsiteX11" fmla="*/ 347382 w 2476500"/>
              <a:gd name="connsiteY11" fmla="*/ 851647 h 2028264"/>
              <a:gd name="connsiteX12" fmla="*/ 246529 w 2476500"/>
              <a:gd name="connsiteY12" fmla="*/ 582706 h 2028264"/>
              <a:gd name="connsiteX13" fmla="*/ 739588 w 2476500"/>
              <a:gd name="connsiteY13" fmla="*/ 526676 h 2028264"/>
              <a:gd name="connsiteX14" fmla="*/ 705970 w 2476500"/>
              <a:gd name="connsiteY14" fmla="*/ 112059 h 2028264"/>
              <a:gd name="connsiteX15" fmla="*/ 1075764 w 2476500"/>
              <a:gd name="connsiteY15" fmla="*/ 0 h 2028264"/>
              <a:gd name="connsiteX16" fmla="*/ 1098176 w 2476500"/>
              <a:gd name="connsiteY16" fmla="*/ 661147 h 2028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476500" h="2028264">
                <a:moveTo>
                  <a:pt x="1098176" y="661147"/>
                </a:moveTo>
                <a:lnTo>
                  <a:pt x="2364441" y="683559"/>
                </a:lnTo>
                <a:lnTo>
                  <a:pt x="2476500" y="986117"/>
                </a:lnTo>
                <a:lnTo>
                  <a:pt x="2017059" y="1400735"/>
                </a:lnTo>
                <a:lnTo>
                  <a:pt x="1580029" y="1568823"/>
                </a:lnTo>
                <a:lnTo>
                  <a:pt x="1669676" y="1815353"/>
                </a:lnTo>
                <a:lnTo>
                  <a:pt x="1344706" y="1927411"/>
                </a:lnTo>
                <a:lnTo>
                  <a:pt x="717176" y="1927411"/>
                </a:lnTo>
                <a:lnTo>
                  <a:pt x="246529" y="2028264"/>
                </a:lnTo>
                <a:lnTo>
                  <a:pt x="134470" y="1949823"/>
                </a:lnTo>
                <a:lnTo>
                  <a:pt x="0" y="1019735"/>
                </a:lnTo>
                <a:lnTo>
                  <a:pt x="347382" y="851647"/>
                </a:lnTo>
                <a:lnTo>
                  <a:pt x="246529" y="582706"/>
                </a:lnTo>
                <a:lnTo>
                  <a:pt x="739588" y="526676"/>
                </a:lnTo>
                <a:lnTo>
                  <a:pt x="705970" y="112059"/>
                </a:lnTo>
                <a:lnTo>
                  <a:pt x="1075764" y="0"/>
                </a:lnTo>
                <a:lnTo>
                  <a:pt x="1098176" y="661147"/>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1</xdr:col>
      <xdr:colOff>571499</xdr:colOff>
      <xdr:row>300</xdr:row>
      <xdr:rowOff>9524</xdr:rowOff>
    </xdr:from>
    <xdr:to>
      <xdr:col>6</xdr:col>
      <xdr:colOff>135859</xdr:colOff>
      <xdr:row>317</xdr:row>
      <xdr:rowOff>171450</xdr:rowOff>
    </xdr:to>
    <xdr:grpSp>
      <xdr:nvGrpSpPr>
        <xdr:cNvPr id="71" name="Group 70">
          <a:extLst>
            <a:ext uri="{FF2B5EF4-FFF2-40B4-BE49-F238E27FC236}">
              <a16:creationId xmlns:a16="http://schemas.microsoft.com/office/drawing/2014/main" id="{00000000-0008-0000-0000-000047000000}"/>
            </a:ext>
          </a:extLst>
        </xdr:cNvPr>
        <xdr:cNvGrpSpPr/>
      </xdr:nvGrpSpPr>
      <xdr:grpSpPr>
        <a:xfrm>
          <a:off x="1333499" y="66579749"/>
          <a:ext cx="3574385" cy="3562351"/>
          <a:chOff x="1333499" y="66046349"/>
          <a:chExt cx="3574385" cy="3562351"/>
        </a:xfrm>
      </xdr:grpSpPr>
      <xdr:pic>
        <xdr:nvPicPr>
          <xdr:cNvPr id="68" name="Picture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333499" y="66046349"/>
            <a:ext cx="3574385" cy="3562351"/>
          </a:xfrm>
          <a:prstGeom prst="rect">
            <a:avLst/>
          </a:prstGeom>
          <a:ln>
            <a:solidFill>
              <a:schemeClr val="tx1"/>
            </a:solidFill>
          </a:ln>
        </xdr:spPr>
      </xdr:pic>
      <xdr:sp macro="" textlink="">
        <xdr:nvSpPr>
          <xdr:cNvPr id="70" name="Rectangle 69">
            <a:extLst>
              <a:ext uri="{FF2B5EF4-FFF2-40B4-BE49-F238E27FC236}">
                <a16:creationId xmlns:a16="http://schemas.microsoft.com/office/drawing/2014/main" id="{00000000-0008-0000-0000-000046000000}"/>
              </a:ext>
            </a:extLst>
          </xdr:cNvPr>
          <xdr:cNvSpPr/>
        </xdr:nvSpPr>
        <xdr:spPr>
          <a:xfrm>
            <a:off x="2971800" y="68075175"/>
            <a:ext cx="895350" cy="8572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1</xdr:col>
      <xdr:colOff>728482</xdr:colOff>
      <xdr:row>318</xdr:row>
      <xdr:rowOff>76201</xdr:rowOff>
    </xdr:from>
    <xdr:to>
      <xdr:col>5</xdr:col>
      <xdr:colOff>726039</xdr:colOff>
      <xdr:row>340</xdr:row>
      <xdr:rowOff>9525</xdr:rowOff>
    </xdr:to>
    <xdr:grpSp>
      <xdr:nvGrpSpPr>
        <xdr:cNvPr id="73" name="Group 72">
          <a:extLst>
            <a:ext uri="{FF2B5EF4-FFF2-40B4-BE49-F238E27FC236}">
              <a16:creationId xmlns:a16="http://schemas.microsoft.com/office/drawing/2014/main" id="{00000000-0008-0000-0000-000049000000}"/>
            </a:ext>
          </a:extLst>
        </xdr:cNvPr>
        <xdr:cNvGrpSpPr/>
      </xdr:nvGrpSpPr>
      <xdr:grpSpPr>
        <a:xfrm>
          <a:off x="1490482" y="70246876"/>
          <a:ext cx="3226532" cy="4333874"/>
          <a:chOff x="1490482" y="69713476"/>
          <a:chExt cx="3226532" cy="4333874"/>
        </a:xfrm>
      </xdr:grpSpPr>
      <xdr:pic>
        <xdr:nvPicPr>
          <xdr:cNvPr id="69" name="Picture 68" descr="https://vsjcllp.vsjadon.com/upload/insp-217359-851.jpg">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1490482" y="69713476"/>
            <a:ext cx="3226532" cy="43338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72" name="Rectangle 71">
            <a:extLst>
              <a:ext uri="{FF2B5EF4-FFF2-40B4-BE49-F238E27FC236}">
                <a16:creationId xmlns:a16="http://schemas.microsoft.com/office/drawing/2014/main" id="{00000000-0008-0000-0000-000048000000}"/>
              </a:ext>
            </a:extLst>
          </xdr:cNvPr>
          <xdr:cNvSpPr/>
        </xdr:nvSpPr>
        <xdr:spPr>
          <a:xfrm>
            <a:off x="2981324" y="72818624"/>
            <a:ext cx="647701" cy="43814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8</xdr:col>
      <xdr:colOff>152400</xdr:colOff>
      <xdr:row>49</xdr:row>
      <xdr:rowOff>695325</xdr:rowOff>
    </xdr:from>
    <xdr:to>
      <xdr:col>16</xdr:col>
      <xdr:colOff>105570</xdr:colOff>
      <xdr:row>58</xdr:row>
      <xdr:rowOff>152875</xdr:rowOff>
    </xdr:to>
    <xdr:pic>
      <xdr:nvPicPr>
        <xdr:cNvPr id="4" name="Picture 3">
          <a:extLst>
            <a:ext uri="{FF2B5EF4-FFF2-40B4-BE49-F238E27FC236}">
              <a16:creationId xmlns:a16="http://schemas.microsoft.com/office/drawing/2014/main" id="{02B3C8C0-871C-4DD6-9A51-08E5588FF9B9}"/>
            </a:ext>
          </a:extLst>
        </xdr:cNvPr>
        <xdr:cNvPicPr>
          <a:picLocks noChangeAspect="1"/>
        </xdr:cNvPicPr>
      </xdr:nvPicPr>
      <xdr:blipFill>
        <a:blip xmlns:r="http://schemas.openxmlformats.org/officeDocument/2006/relationships" r:embed="rId11"/>
        <a:stretch>
          <a:fillRect/>
        </a:stretch>
      </xdr:blipFill>
      <xdr:spPr>
        <a:xfrm>
          <a:off x="6534150" y="12439650"/>
          <a:ext cx="5696745" cy="3400900"/>
        </a:xfrm>
        <a:prstGeom prst="rect">
          <a:avLst/>
        </a:prstGeom>
      </xdr:spPr>
    </xdr:pic>
    <xdr:clientData/>
  </xdr:twoCellAnchor>
  <xdr:twoCellAnchor>
    <xdr:from>
      <xdr:col>8</xdr:col>
      <xdr:colOff>202924</xdr:colOff>
      <xdr:row>259</xdr:row>
      <xdr:rowOff>86222</xdr:rowOff>
    </xdr:from>
    <xdr:to>
      <xdr:col>17</xdr:col>
      <xdr:colOff>18139</xdr:colOff>
      <xdr:row>297</xdr:row>
      <xdr:rowOff>86222</xdr:rowOff>
    </xdr:to>
    <xdr:grpSp>
      <xdr:nvGrpSpPr>
        <xdr:cNvPr id="61" name="Group 60">
          <a:extLst>
            <a:ext uri="{FF2B5EF4-FFF2-40B4-BE49-F238E27FC236}">
              <a16:creationId xmlns:a16="http://schemas.microsoft.com/office/drawing/2014/main" id="{EB4B86B1-B92E-4BFA-9C99-C412C96D7B90}"/>
            </a:ext>
          </a:extLst>
        </xdr:cNvPr>
        <xdr:cNvGrpSpPr/>
      </xdr:nvGrpSpPr>
      <xdr:grpSpPr>
        <a:xfrm>
          <a:off x="6584674" y="58464947"/>
          <a:ext cx="6168390" cy="7591425"/>
          <a:chOff x="331730" y="124606"/>
          <a:chExt cx="6191250" cy="8894788"/>
        </a:xfrm>
      </xdr:grpSpPr>
      <xdr:grpSp>
        <xdr:nvGrpSpPr>
          <xdr:cNvPr id="62" name="Group 61">
            <a:extLst>
              <a:ext uri="{FF2B5EF4-FFF2-40B4-BE49-F238E27FC236}">
                <a16:creationId xmlns:a16="http://schemas.microsoft.com/office/drawing/2014/main" id="{70A343B0-D637-482C-9D26-28EF3D571CE4}"/>
              </a:ext>
            </a:extLst>
          </xdr:cNvPr>
          <xdr:cNvGrpSpPr/>
        </xdr:nvGrpSpPr>
        <xdr:grpSpPr>
          <a:xfrm>
            <a:off x="331730" y="124606"/>
            <a:ext cx="6191250" cy="8894788"/>
            <a:chOff x="147208" y="558178"/>
            <a:chExt cx="6191250" cy="8894788"/>
          </a:xfrm>
        </xdr:grpSpPr>
        <xdr:pic>
          <xdr:nvPicPr>
            <xdr:cNvPr id="67" name="Picture 66">
              <a:extLst>
                <a:ext uri="{FF2B5EF4-FFF2-40B4-BE49-F238E27FC236}">
                  <a16:creationId xmlns:a16="http://schemas.microsoft.com/office/drawing/2014/main" id="{D44577AC-90FF-4CC1-85E0-372D1FB0050F}"/>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981115" y="558178"/>
              <a:ext cx="2157751" cy="2880000"/>
            </a:xfrm>
            <a:prstGeom prst="rect">
              <a:avLst/>
            </a:prstGeom>
            <a:ln>
              <a:solidFill>
                <a:schemeClr val="tx1"/>
              </a:solidFill>
            </a:ln>
          </xdr:spPr>
        </xdr:pic>
        <xdr:pic>
          <xdr:nvPicPr>
            <xdr:cNvPr id="74" name="Picture 73">
              <a:extLst>
                <a:ext uri="{FF2B5EF4-FFF2-40B4-BE49-F238E27FC236}">
                  <a16:creationId xmlns:a16="http://schemas.microsoft.com/office/drawing/2014/main" id="{32C351CF-B18B-4490-A280-C338FFDC02F7}"/>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302585" y="558178"/>
              <a:ext cx="2157751" cy="2880000"/>
            </a:xfrm>
            <a:prstGeom prst="rect">
              <a:avLst/>
            </a:prstGeom>
            <a:ln>
              <a:solidFill>
                <a:schemeClr val="tx1"/>
              </a:solidFill>
            </a:ln>
          </xdr:spPr>
        </xdr:pic>
        <xdr:pic>
          <xdr:nvPicPr>
            <xdr:cNvPr id="75" name="Picture 74">
              <a:extLst>
                <a:ext uri="{FF2B5EF4-FFF2-40B4-BE49-F238E27FC236}">
                  <a16:creationId xmlns:a16="http://schemas.microsoft.com/office/drawing/2014/main" id="{0E0B0AE8-E685-4142-9BB3-E1E766548A63}"/>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501310" y="3582000"/>
              <a:ext cx="2637556" cy="1980000"/>
            </a:xfrm>
            <a:prstGeom prst="rect">
              <a:avLst/>
            </a:prstGeom>
            <a:ln>
              <a:solidFill>
                <a:schemeClr val="tx1"/>
              </a:solidFill>
            </a:ln>
          </xdr:spPr>
        </xdr:pic>
        <xdr:pic>
          <xdr:nvPicPr>
            <xdr:cNvPr id="76" name="Picture 75">
              <a:extLst>
                <a:ext uri="{FF2B5EF4-FFF2-40B4-BE49-F238E27FC236}">
                  <a16:creationId xmlns:a16="http://schemas.microsoft.com/office/drawing/2014/main" id="{1D4F3A76-BADB-4B27-8892-A5896FC21F56}"/>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302585" y="3582000"/>
              <a:ext cx="2637556" cy="1980000"/>
            </a:xfrm>
            <a:prstGeom prst="rect">
              <a:avLst/>
            </a:prstGeom>
            <a:ln>
              <a:solidFill>
                <a:schemeClr val="tx1"/>
              </a:solidFill>
            </a:ln>
          </xdr:spPr>
        </xdr:pic>
        <xdr:pic>
          <xdr:nvPicPr>
            <xdr:cNvPr id="77" name="Picture 76">
              <a:extLst>
                <a:ext uri="{FF2B5EF4-FFF2-40B4-BE49-F238E27FC236}">
                  <a16:creationId xmlns:a16="http://schemas.microsoft.com/office/drawing/2014/main" id="{68177AD7-2FFF-453C-B46C-567C672859B3}"/>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322016" y="5707483"/>
              <a:ext cx="1348594" cy="1800000"/>
            </a:xfrm>
            <a:prstGeom prst="rect">
              <a:avLst/>
            </a:prstGeom>
            <a:ln>
              <a:solidFill>
                <a:schemeClr val="tx1"/>
              </a:solidFill>
            </a:ln>
          </xdr:spPr>
        </xdr:pic>
        <xdr:pic>
          <xdr:nvPicPr>
            <xdr:cNvPr id="78" name="Picture 77">
              <a:extLst>
                <a:ext uri="{FF2B5EF4-FFF2-40B4-BE49-F238E27FC236}">
                  <a16:creationId xmlns:a16="http://schemas.microsoft.com/office/drawing/2014/main" id="{573B2A4D-B885-4209-BF4A-F00B04DA5F46}"/>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304518" y="5707483"/>
              <a:ext cx="1348594" cy="1800000"/>
            </a:xfrm>
            <a:prstGeom prst="rect">
              <a:avLst/>
            </a:prstGeom>
            <a:ln>
              <a:solidFill>
                <a:schemeClr val="tx1"/>
              </a:solidFill>
            </a:ln>
          </xdr:spPr>
        </xdr:pic>
        <xdr:pic>
          <xdr:nvPicPr>
            <xdr:cNvPr id="79" name="Picture 78">
              <a:extLst>
                <a:ext uri="{FF2B5EF4-FFF2-40B4-BE49-F238E27FC236}">
                  <a16:creationId xmlns:a16="http://schemas.microsoft.com/office/drawing/2014/main" id="{7125108B-DF7F-471F-A811-A835E31D4B9B}"/>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4795769" y="5707483"/>
              <a:ext cx="1348594" cy="1800000"/>
            </a:xfrm>
            <a:prstGeom prst="rect">
              <a:avLst/>
            </a:prstGeom>
            <a:ln>
              <a:solidFill>
                <a:schemeClr val="tx1"/>
              </a:solidFill>
            </a:ln>
          </xdr:spPr>
        </xdr:pic>
        <xdr:pic>
          <xdr:nvPicPr>
            <xdr:cNvPr id="80" name="Picture 79">
              <a:extLst>
                <a:ext uri="{FF2B5EF4-FFF2-40B4-BE49-F238E27FC236}">
                  <a16:creationId xmlns:a16="http://schemas.microsoft.com/office/drawing/2014/main" id="{4549C78E-B666-4368-8D74-592794974239}"/>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813267" y="5707483"/>
              <a:ext cx="1348594" cy="1800000"/>
            </a:xfrm>
            <a:prstGeom prst="rect">
              <a:avLst/>
            </a:prstGeom>
            <a:ln>
              <a:solidFill>
                <a:schemeClr val="tx1"/>
              </a:solidFill>
            </a:ln>
          </xdr:spPr>
        </xdr:pic>
        <xdr:pic>
          <xdr:nvPicPr>
            <xdr:cNvPr id="81" name="Picture 80">
              <a:extLst>
                <a:ext uri="{FF2B5EF4-FFF2-40B4-BE49-F238E27FC236}">
                  <a16:creationId xmlns:a16="http://schemas.microsoft.com/office/drawing/2014/main" id="{F182BB92-2531-410E-9E3D-AA4497E87D01}"/>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47208" y="7652966"/>
              <a:ext cx="2321578" cy="1800000"/>
            </a:xfrm>
            <a:prstGeom prst="rect">
              <a:avLst/>
            </a:prstGeom>
            <a:ln>
              <a:solidFill>
                <a:schemeClr val="tx1"/>
              </a:solidFill>
            </a:ln>
          </xdr:spPr>
        </xdr:pic>
        <xdr:pic>
          <xdr:nvPicPr>
            <xdr:cNvPr id="82" name="Picture 81">
              <a:extLst>
                <a:ext uri="{FF2B5EF4-FFF2-40B4-BE49-F238E27FC236}">
                  <a16:creationId xmlns:a16="http://schemas.microsoft.com/office/drawing/2014/main" id="{7BB5F04D-11B4-4E73-8605-F552CD5674C7}"/>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569006" y="7652966"/>
              <a:ext cx="1348594" cy="1800000"/>
            </a:xfrm>
            <a:prstGeom prst="rect">
              <a:avLst/>
            </a:prstGeom>
            <a:ln>
              <a:solidFill>
                <a:schemeClr val="tx1"/>
              </a:solidFill>
            </a:ln>
          </xdr:spPr>
        </xdr:pic>
        <xdr:pic>
          <xdr:nvPicPr>
            <xdr:cNvPr id="83" name="Picture 82">
              <a:extLst>
                <a:ext uri="{FF2B5EF4-FFF2-40B4-BE49-F238E27FC236}">
                  <a16:creationId xmlns:a16="http://schemas.microsoft.com/office/drawing/2014/main" id="{C28ECDF8-5E5B-4633-ADB7-4A1C44D7A09F}"/>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4020169" y="7652966"/>
              <a:ext cx="2318289" cy="1800000"/>
            </a:xfrm>
            <a:prstGeom prst="rect">
              <a:avLst/>
            </a:prstGeom>
            <a:ln>
              <a:solidFill>
                <a:schemeClr val="tx1"/>
              </a:solidFill>
            </a:ln>
          </xdr:spPr>
        </xdr:pic>
      </xdr:grpSp>
      <xdr:sp macro="" textlink="">
        <xdr:nvSpPr>
          <xdr:cNvPr id="63" name="TextBox 41">
            <a:extLst>
              <a:ext uri="{FF2B5EF4-FFF2-40B4-BE49-F238E27FC236}">
                <a16:creationId xmlns:a16="http://schemas.microsoft.com/office/drawing/2014/main" id="{CED7A54E-9B87-4BD0-91D9-A9203DA54F5C}"/>
              </a:ext>
            </a:extLst>
          </xdr:cNvPr>
          <xdr:cNvSpPr txBox="1"/>
        </xdr:nvSpPr>
        <xdr:spPr>
          <a:xfrm>
            <a:off x="1454419" y="2632713"/>
            <a:ext cx="113204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1</a:t>
            </a:r>
            <a:endParaRPr lang="en-IN" b="1">
              <a:solidFill>
                <a:srgbClr val="FF0000"/>
              </a:solidFill>
            </a:endParaRPr>
          </a:p>
        </xdr:txBody>
      </xdr:sp>
      <xdr:sp macro="" textlink="">
        <xdr:nvSpPr>
          <xdr:cNvPr id="64" name="TextBox 42">
            <a:extLst>
              <a:ext uri="{FF2B5EF4-FFF2-40B4-BE49-F238E27FC236}">
                <a16:creationId xmlns:a16="http://schemas.microsoft.com/office/drawing/2014/main" id="{6B64F2FC-072E-4BD3-8F8E-98490CEDBA81}"/>
              </a:ext>
            </a:extLst>
          </xdr:cNvPr>
          <xdr:cNvSpPr txBox="1"/>
        </xdr:nvSpPr>
        <xdr:spPr>
          <a:xfrm>
            <a:off x="3536101" y="162926"/>
            <a:ext cx="113204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1</a:t>
            </a:r>
            <a:endParaRPr lang="en-IN" b="1">
              <a:solidFill>
                <a:srgbClr val="FF0000"/>
              </a:solidFill>
            </a:endParaRPr>
          </a:p>
        </xdr:txBody>
      </xdr:sp>
      <xdr:sp macro="" textlink="">
        <xdr:nvSpPr>
          <xdr:cNvPr id="65" name="TextBox 43">
            <a:extLst>
              <a:ext uri="{FF2B5EF4-FFF2-40B4-BE49-F238E27FC236}">
                <a16:creationId xmlns:a16="http://schemas.microsoft.com/office/drawing/2014/main" id="{74A2891D-9608-450B-9FCD-69ACD6CEAFAA}"/>
              </a:ext>
            </a:extLst>
          </xdr:cNvPr>
          <xdr:cNvSpPr txBox="1"/>
        </xdr:nvSpPr>
        <xdr:spPr>
          <a:xfrm>
            <a:off x="856831" y="3166258"/>
            <a:ext cx="113204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2</a:t>
            </a:r>
            <a:endParaRPr lang="en-IN" b="1">
              <a:solidFill>
                <a:srgbClr val="FF0000"/>
              </a:solidFill>
            </a:endParaRPr>
          </a:p>
        </xdr:txBody>
      </xdr:sp>
      <xdr:sp macro="" textlink="">
        <xdr:nvSpPr>
          <xdr:cNvPr id="66" name="TextBox 44">
            <a:extLst>
              <a:ext uri="{FF2B5EF4-FFF2-40B4-BE49-F238E27FC236}">
                <a16:creationId xmlns:a16="http://schemas.microsoft.com/office/drawing/2014/main" id="{0694369B-B2A3-416A-AEE0-A6DF6660579C}"/>
              </a:ext>
            </a:extLst>
          </xdr:cNvPr>
          <xdr:cNvSpPr txBox="1"/>
        </xdr:nvSpPr>
        <xdr:spPr>
          <a:xfrm>
            <a:off x="4943126" y="3204578"/>
            <a:ext cx="113204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3</a:t>
            </a:r>
            <a:endParaRPr lang="en-IN" b="1">
              <a:solidFill>
                <a:srgbClr val="FF0000"/>
              </a:solidFill>
            </a:endParaRPr>
          </a:p>
        </xdr:txBody>
      </xdr:sp>
    </xdr:grpSp>
    <xdr:clientData/>
  </xdr:twoCellAnchor>
  <xdr:twoCellAnchor editAs="oneCell">
    <xdr:from>
      <xdr:col>8</xdr:col>
      <xdr:colOff>533400</xdr:colOff>
      <xdr:row>60</xdr:row>
      <xdr:rowOff>114300</xdr:rowOff>
    </xdr:from>
    <xdr:to>
      <xdr:col>13</xdr:col>
      <xdr:colOff>219578</xdr:colOff>
      <xdr:row>76</xdr:row>
      <xdr:rowOff>29046</xdr:rowOff>
    </xdr:to>
    <xdr:pic>
      <xdr:nvPicPr>
        <xdr:cNvPr id="26" name="Picture 25">
          <a:extLst>
            <a:ext uri="{FF2B5EF4-FFF2-40B4-BE49-F238E27FC236}">
              <a16:creationId xmlns:a16="http://schemas.microsoft.com/office/drawing/2014/main" id="{8414545E-47F6-4A77-8420-D32D79520723}"/>
            </a:ext>
          </a:extLst>
        </xdr:cNvPr>
        <xdr:cNvPicPr>
          <a:picLocks noChangeAspect="1"/>
        </xdr:cNvPicPr>
      </xdr:nvPicPr>
      <xdr:blipFill>
        <a:blip xmlns:r="http://schemas.openxmlformats.org/officeDocument/2006/relationships" r:embed="rId23"/>
        <a:stretch>
          <a:fillRect/>
        </a:stretch>
      </xdr:blipFill>
      <xdr:spPr>
        <a:xfrm>
          <a:off x="6915150" y="15992475"/>
          <a:ext cx="3600953" cy="3372321"/>
        </a:xfrm>
        <a:prstGeom prst="rect">
          <a:avLst/>
        </a:prstGeom>
      </xdr:spPr>
    </xdr:pic>
    <xdr:clientData/>
  </xdr:twoCellAnchor>
  <xdr:twoCellAnchor>
    <xdr:from>
      <xdr:col>0</xdr:col>
      <xdr:colOff>215153</xdr:colOff>
      <xdr:row>260</xdr:row>
      <xdr:rowOff>107576</xdr:rowOff>
    </xdr:from>
    <xdr:to>
      <xdr:col>7</xdr:col>
      <xdr:colOff>555812</xdr:colOff>
      <xdr:row>298</xdr:row>
      <xdr:rowOff>4387</xdr:rowOff>
    </xdr:to>
    <xdr:grpSp>
      <xdr:nvGrpSpPr>
        <xdr:cNvPr id="29" name="Group 28">
          <a:extLst>
            <a:ext uri="{FF2B5EF4-FFF2-40B4-BE49-F238E27FC236}">
              <a16:creationId xmlns:a16="http://schemas.microsoft.com/office/drawing/2014/main" id="{CAB49597-44D8-ACAB-16E5-957E18765060}"/>
            </a:ext>
          </a:extLst>
        </xdr:cNvPr>
        <xdr:cNvGrpSpPr/>
      </xdr:nvGrpSpPr>
      <xdr:grpSpPr>
        <a:xfrm>
          <a:off x="215153" y="58686326"/>
          <a:ext cx="5893734" cy="7488236"/>
          <a:chOff x="234453" y="203966"/>
          <a:chExt cx="5758621" cy="6570887"/>
        </a:xfrm>
      </xdr:grpSpPr>
      <xdr:pic>
        <xdr:nvPicPr>
          <xdr:cNvPr id="33" name="Picture 32">
            <a:extLst>
              <a:ext uri="{FF2B5EF4-FFF2-40B4-BE49-F238E27FC236}">
                <a16:creationId xmlns:a16="http://schemas.microsoft.com/office/drawing/2014/main" id="{8BD3F863-F69B-A09F-6856-D58112A4983B}"/>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4616074" y="4974853"/>
            <a:ext cx="1348750"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a:extLst>
              <a:ext uri="{FF2B5EF4-FFF2-40B4-BE49-F238E27FC236}">
                <a16:creationId xmlns:a16="http://schemas.microsoft.com/office/drawing/2014/main" id="{EA4AAF78-3497-3F4A-A4EA-E3F1D2923DA4}"/>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943818" y="203966"/>
            <a:ext cx="2074809" cy="27689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a:extLst>
              <a:ext uri="{FF2B5EF4-FFF2-40B4-BE49-F238E27FC236}">
                <a16:creationId xmlns:a16="http://schemas.microsoft.com/office/drawing/2014/main" id="{378BB26F-593F-0404-4E24-3295B2FE32D9}"/>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701165" y="4962967"/>
            <a:ext cx="1348750"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0" name="Picture 59">
            <a:extLst>
              <a:ext uri="{FF2B5EF4-FFF2-40B4-BE49-F238E27FC236}">
                <a16:creationId xmlns:a16="http://schemas.microsoft.com/office/drawing/2014/main" id="{FFD7C669-ABA5-9A73-7CAC-98C1FFFDF80A}"/>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3138506" y="203966"/>
            <a:ext cx="2074809" cy="27689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4" name="Picture 83">
            <a:extLst>
              <a:ext uri="{FF2B5EF4-FFF2-40B4-BE49-F238E27FC236}">
                <a16:creationId xmlns:a16="http://schemas.microsoft.com/office/drawing/2014/main" id="{6B964C2C-7CCB-4137-D803-8E2892EADB27}"/>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34453" y="4962967"/>
            <a:ext cx="1348750"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5" name="Picture 84">
            <a:extLst>
              <a:ext uri="{FF2B5EF4-FFF2-40B4-BE49-F238E27FC236}">
                <a16:creationId xmlns:a16="http://schemas.microsoft.com/office/drawing/2014/main" id="{5C096E69-3E72-FC7D-034D-5F2E7A276608}"/>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4644324" y="3036468"/>
            <a:ext cx="1348750"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6" name="Picture 85">
            <a:extLst>
              <a:ext uri="{FF2B5EF4-FFF2-40B4-BE49-F238E27FC236}">
                <a16:creationId xmlns:a16="http://schemas.microsoft.com/office/drawing/2014/main" id="{744BA59B-5D66-CC76-F59A-0102FD7B3F9E}"/>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3171999" y="3044420"/>
            <a:ext cx="1348750"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7" name="Picture 86">
            <a:extLst>
              <a:ext uri="{FF2B5EF4-FFF2-40B4-BE49-F238E27FC236}">
                <a16:creationId xmlns:a16="http://schemas.microsoft.com/office/drawing/2014/main" id="{7C14D887-FE58-E56E-0B5B-8D623E161EAB}"/>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70071" y="3063494"/>
            <a:ext cx="1348750"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8" name="Picture 87">
            <a:extLst>
              <a:ext uri="{FF2B5EF4-FFF2-40B4-BE49-F238E27FC236}">
                <a16:creationId xmlns:a16="http://schemas.microsoft.com/office/drawing/2014/main" id="{AC7615BF-5105-A84E-1AC4-E36471685B02}"/>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742396" y="3063494"/>
            <a:ext cx="1348750"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9" name="Picture 88">
            <a:extLst>
              <a:ext uri="{FF2B5EF4-FFF2-40B4-BE49-F238E27FC236}">
                <a16:creationId xmlns:a16="http://schemas.microsoft.com/office/drawing/2014/main" id="{C715BA47-D75E-BDF2-6F3E-6CB08CB7D1AF}"/>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3175497" y="4950914"/>
            <a:ext cx="1348750"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581162</xdr:colOff>
      <xdr:row>1</xdr:row>
      <xdr:rowOff>7620</xdr:rowOff>
    </xdr:from>
    <xdr:to>
      <xdr:col>13</xdr:col>
      <xdr:colOff>164725</xdr:colOff>
      <xdr:row>24</xdr:row>
      <xdr:rowOff>121380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4848362" y="190500"/>
          <a:ext cx="3241163" cy="4320000"/>
        </a:xfrm>
        <a:prstGeom prst="rect">
          <a:avLst/>
        </a:prstGeom>
      </xdr:spPr>
    </xdr:pic>
    <xdr:clientData/>
  </xdr:twoCellAnchor>
  <xdr:twoCellAnchor editAs="oneCell">
    <xdr:from>
      <xdr:col>2</xdr:col>
      <xdr:colOff>243840</xdr:colOff>
      <xdr:row>1</xdr:row>
      <xdr:rowOff>7620</xdr:rowOff>
    </xdr:from>
    <xdr:to>
      <xdr:col>5</xdr:col>
      <xdr:colOff>389378</xdr:colOff>
      <xdr:row>24</xdr:row>
      <xdr:rowOff>121380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1463040" y="190500"/>
          <a:ext cx="3241163" cy="4320000"/>
        </a:xfrm>
        <a:prstGeom prst="rect">
          <a:avLst/>
        </a:prstGeom>
      </xdr:spPr>
    </xdr:pic>
    <xdr:clientData/>
  </xdr:twoCellAnchor>
  <xdr:twoCellAnchor editAs="oneCell">
    <xdr:from>
      <xdr:col>3</xdr:col>
      <xdr:colOff>1104900</xdr:colOff>
      <xdr:row>25</xdr:row>
      <xdr:rowOff>152400</xdr:rowOff>
    </xdr:from>
    <xdr:to>
      <xdr:col>6</xdr:col>
      <xdr:colOff>77700</xdr:colOff>
      <xdr:row>37</xdr:row>
      <xdr:rowOff>26400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4238625" y="4914900"/>
          <a:ext cx="1525500" cy="2160000"/>
        </a:xfrm>
        <a:prstGeom prst="rect">
          <a:avLst/>
        </a:prstGeom>
      </xdr:spPr>
    </xdr:pic>
    <xdr:clientData/>
  </xdr:twoCellAnchor>
  <xdr:twoCellAnchor editAs="oneCell">
    <xdr:from>
      <xdr:col>6</xdr:col>
      <xdr:colOff>114300</xdr:colOff>
      <xdr:row>26</xdr:row>
      <xdr:rowOff>19050</xdr:rowOff>
    </xdr:from>
    <xdr:to>
      <xdr:col>8</xdr:col>
      <xdr:colOff>420600</xdr:colOff>
      <xdr:row>37</xdr:row>
      <xdr:rowOff>83550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5076825" y="4972050"/>
          <a:ext cx="1525500" cy="2160000"/>
        </a:xfrm>
        <a:prstGeom prst="rect">
          <a:avLst/>
        </a:prstGeom>
      </xdr:spPr>
    </xdr:pic>
    <xdr:clientData/>
  </xdr:twoCellAnchor>
  <xdr:twoCellAnchor editAs="oneCell">
    <xdr:from>
      <xdr:col>8</xdr:col>
      <xdr:colOff>371475</xdr:colOff>
      <xdr:row>25</xdr:row>
      <xdr:rowOff>180975</xdr:rowOff>
    </xdr:from>
    <xdr:to>
      <xdr:col>11</xdr:col>
      <xdr:colOff>68175</xdr:colOff>
      <xdr:row>37</xdr:row>
      <xdr:rowOff>54975</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a:stretch>
          <a:fillRect/>
        </a:stretch>
      </xdr:blipFill>
      <xdr:spPr>
        <a:xfrm>
          <a:off x="6553200" y="4943475"/>
          <a:ext cx="1525500" cy="2160000"/>
        </a:xfrm>
        <a:prstGeom prst="rect">
          <a:avLst/>
        </a:prstGeom>
      </xdr:spPr>
    </xdr:pic>
    <xdr:clientData/>
  </xdr:twoCellAnchor>
  <xdr:twoCellAnchor editAs="oneCell">
    <xdr:from>
      <xdr:col>11</xdr:col>
      <xdr:colOff>0</xdr:colOff>
      <xdr:row>26</xdr:row>
      <xdr:rowOff>0</xdr:rowOff>
    </xdr:from>
    <xdr:to>
      <xdr:col>13</xdr:col>
      <xdr:colOff>306300</xdr:colOff>
      <xdr:row>37</xdr:row>
      <xdr:rowOff>64500</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6"/>
        <a:stretch>
          <a:fillRect/>
        </a:stretch>
      </xdr:blipFill>
      <xdr:spPr>
        <a:xfrm>
          <a:off x="6781800" y="4953000"/>
          <a:ext cx="1525500" cy="2160000"/>
        </a:xfrm>
        <a:prstGeom prst="rect">
          <a:avLst/>
        </a:prstGeom>
      </xdr:spPr>
    </xdr:pic>
    <xdr:clientData/>
  </xdr:twoCellAnchor>
  <xdr:twoCellAnchor editAs="oneCell">
    <xdr:from>
      <xdr:col>3</xdr:col>
      <xdr:colOff>392055</xdr:colOff>
      <xdr:row>38</xdr:row>
      <xdr:rowOff>0</xdr:rowOff>
    </xdr:from>
    <xdr:to>
      <xdr:col>4</xdr:col>
      <xdr:colOff>356827</xdr:colOff>
      <xdr:row>47</xdr:row>
      <xdr:rowOff>85500</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3554355" y="7239000"/>
          <a:ext cx="1298272" cy="1800000"/>
        </a:xfrm>
        <a:prstGeom prst="rect">
          <a:avLst/>
        </a:prstGeom>
      </xdr:spPr>
    </xdr:pic>
    <xdr:clientData/>
  </xdr:twoCellAnchor>
  <xdr:twoCellAnchor editAs="oneCell">
    <xdr:from>
      <xdr:col>2</xdr:col>
      <xdr:colOff>1</xdr:colOff>
      <xdr:row>38</xdr:row>
      <xdr:rowOff>0</xdr:rowOff>
    </xdr:from>
    <xdr:to>
      <xdr:col>3</xdr:col>
      <xdr:colOff>110037</xdr:colOff>
      <xdr:row>47</xdr:row>
      <xdr:rowOff>85500</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009776" y="7239000"/>
          <a:ext cx="1262561" cy="1800000"/>
        </a:xfrm>
        <a:prstGeom prst="rect">
          <a:avLst/>
        </a:prstGeom>
      </xdr:spPr>
    </xdr:pic>
    <xdr:clientData/>
  </xdr:twoCellAnchor>
  <xdr:twoCellAnchor editAs="oneCell">
    <xdr:from>
      <xdr:col>9</xdr:col>
      <xdr:colOff>409576</xdr:colOff>
      <xdr:row>50</xdr:row>
      <xdr:rowOff>19050</xdr:rowOff>
    </xdr:from>
    <xdr:to>
      <xdr:col>20</xdr:col>
      <xdr:colOff>107101</xdr:colOff>
      <xdr:row>68</xdr:row>
      <xdr:rowOff>190050</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7953376" y="9544050"/>
          <a:ext cx="6403125" cy="3600000"/>
        </a:xfrm>
        <a:prstGeom prst="rect">
          <a:avLst/>
        </a:prstGeom>
      </xdr:spPr>
    </xdr:pic>
    <xdr:clientData/>
  </xdr:twoCellAnchor>
  <xdr:twoCellAnchor editAs="oneCell">
    <xdr:from>
      <xdr:col>3</xdr:col>
      <xdr:colOff>1332939</xdr:colOff>
      <xdr:row>50</xdr:row>
      <xdr:rowOff>9530</xdr:rowOff>
    </xdr:from>
    <xdr:to>
      <xdr:col>9</xdr:col>
      <xdr:colOff>191439</xdr:colOff>
      <xdr:row>73</xdr:row>
      <xdr:rowOff>85729</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rot="5400000">
          <a:off x="3886389" y="10143380"/>
          <a:ext cx="4457699" cy="324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7</xdr:col>
      <xdr:colOff>136261</xdr:colOff>
      <xdr:row>38</xdr:row>
      <xdr:rowOff>178306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726141" y="2617694"/>
          <a:ext cx="8096920" cy="4320000"/>
        </a:xfrm>
        <a:prstGeom prst="rect">
          <a:avLst/>
        </a:prstGeom>
        <a:ln>
          <a:solidFill>
            <a:schemeClr val="tx1"/>
          </a:solidFill>
        </a:ln>
      </xdr:spPr>
    </xdr:pic>
    <xdr:clientData/>
  </xdr:twoCellAnchor>
  <xdr:twoCellAnchor editAs="oneCell">
    <xdr:from>
      <xdr:col>1</xdr:col>
      <xdr:colOff>11544</xdr:colOff>
      <xdr:row>39</xdr:row>
      <xdr:rowOff>138226</xdr:rowOff>
    </xdr:from>
    <xdr:to>
      <xdr:col>7</xdr:col>
      <xdr:colOff>151728</xdr:colOff>
      <xdr:row>63</xdr:row>
      <xdr:rowOff>155167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t="11133" r="12476" b="5891"/>
        <a:stretch/>
      </xdr:blipFill>
      <xdr:spPr>
        <a:xfrm>
          <a:off x="737685" y="7076908"/>
          <a:ext cx="8100843" cy="4320000"/>
        </a:xfrm>
        <a:prstGeom prst="rect">
          <a:avLst/>
        </a:prstGeom>
        <a:ln>
          <a:solidFill>
            <a:schemeClr val="tx1"/>
          </a:solidFill>
        </a:ln>
      </xdr:spPr>
    </xdr:pic>
    <xdr:clientData/>
  </xdr:twoCellAnchor>
  <xdr:twoCellAnchor editAs="oneCell">
    <xdr:from>
      <xdr:col>1</xdr:col>
      <xdr:colOff>0</xdr:colOff>
      <xdr:row>65</xdr:row>
      <xdr:rowOff>0</xdr:rowOff>
    </xdr:from>
    <xdr:to>
      <xdr:col>7</xdr:col>
      <xdr:colOff>23233</xdr:colOff>
      <xdr:row>89</xdr:row>
      <xdr:rowOff>16941</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t="18900" r="21141" b="5243"/>
        <a:stretch/>
      </xdr:blipFill>
      <xdr:spPr>
        <a:xfrm>
          <a:off x="726141" y="11600329"/>
          <a:ext cx="7983892" cy="4320000"/>
        </a:xfrm>
        <a:prstGeom prst="rect">
          <a:avLst/>
        </a:prstGeom>
        <a:ln>
          <a:solidFill>
            <a:schemeClr val="tx1"/>
          </a:solidFill>
        </a:ln>
      </xdr:spPr>
    </xdr:pic>
    <xdr:clientData/>
  </xdr:twoCellAnchor>
  <xdr:twoCellAnchor editAs="oneCell">
    <xdr:from>
      <xdr:col>1</xdr:col>
      <xdr:colOff>0</xdr:colOff>
      <xdr:row>90</xdr:row>
      <xdr:rowOff>0</xdr:rowOff>
    </xdr:from>
    <xdr:to>
      <xdr:col>7</xdr:col>
      <xdr:colOff>182874</xdr:colOff>
      <xdr:row>114</xdr:row>
      <xdr:rowOff>16941</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t="19547" r="19976" b="4984"/>
        <a:stretch/>
      </xdr:blipFill>
      <xdr:spPr>
        <a:xfrm>
          <a:off x="726141" y="16082682"/>
          <a:ext cx="8143533" cy="4320000"/>
        </a:xfrm>
        <a:prstGeom prst="rect">
          <a:avLst/>
        </a:prstGeom>
        <a:ln>
          <a:solidFill>
            <a:schemeClr val="tx1"/>
          </a:solidFill>
        </a:ln>
      </xdr:spPr>
    </xdr:pic>
    <xdr:clientData/>
  </xdr:twoCellAnchor>
  <xdr:twoCellAnchor editAs="oneCell">
    <xdr:from>
      <xdr:col>1</xdr:col>
      <xdr:colOff>0</xdr:colOff>
      <xdr:row>114</xdr:row>
      <xdr:rowOff>150566</xdr:rowOff>
    </xdr:from>
    <xdr:to>
      <xdr:col>7</xdr:col>
      <xdr:colOff>319892</xdr:colOff>
      <xdr:row>138</xdr:row>
      <xdr:rowOff>167507</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t="18769" r="18155" b="5321"/>
        <a:stretch/>
      </xdr:blipFill>
      <xdr:spPr>
        <a:xfrm>
          <a:off x="726141" y="20536307"/>
          <a:ext cx="8280551" cy="4320000"/>
        </a:xfrm>
        <a:prstGeom prst="rect">
          <a:avLst/>
        </a:prstGeom>
        <a:ln>
          <a:solidFill>
            <a:schemeClr val="tx1"/>
          </a:solidFill>
        </a:ln>
      </xdr:spPr>
    </xdr:pic>
    <xdr:clientData/>
  </xdr:twoCellAnchor>
  <xdr:twoCellAnchor editAs="oneCell">
    <xdr:from>
      <xdr:col>1</xdr:col>
      <xdr:colOff>0</xdr:colOff>
      <xdr:row>140</xdr:row>
      <xdr:rowOff>0</xdr:rowOff>
    </xdr:from>
    <xdr:to>
      <xdr:col>7</xdr:col>
      <xdr:colOff>391341</xdr:colOff>
      <xdr:row>164</xdr:row>
      <xdr:rowOff>16941</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726141" y="25047388"/>
          <a:ext cx="8352000" cy="432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NfARAWDPzQNwKEiN6?coh=178572&amp;entry=tt"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4"/>
  <sheetViews>
    <sheetView tabSelected="1" view="pageBreakPreview" topLeftCell="A251" zoomScaleNormal="100" zoomScaleSheetLayoutView="100" zoomScalePageLayoutView="85" workbookViewId="0">
      <selection activeCell="K254" sqref="K254"/>
    </sheetView>
  </sheetViews>
  <sheetFormatPr defaultColWidth="9.140625" defaultRowHeight="15.75" x14ac:dyDescent="0.25"/>
  <cols>
    <col min="1" max="1" width="11.42578125" style="20" customWidth="1"/>
    <col min="2" max="2" width="11.140625" style="20" customWidth="1"/>
    <col min="3" max="3" width="12.7109375" style="20" customWidth="1"/>
    <col min="4" max="4" width="12.85546875" style="20" customWidth="1"/>
    <col min="5" max="7" width="11.7109375" style="20" customWidth="1"/>
    <col min="8" max="8" width="12.42578125" style="20" customWidth="1"/>
    <col min="9" max="9" width="20.42578125" style="8" customWidth="1"/>
    <col min="10" max="10" width="9.85546875" style="8" bestFit="1" customWidth="1"/>
    <col min="11" max="11" width="10.140625" style="8" bestFit="1" customWidth="1"/>
    <col min="12" max="252" width="9.140625" style="8"/>
    <col min="253" max="253" width="8.7109375" style="8" customWidth="1"/>
    <col min="254" max="254" width="9.85546875" style="8" customWidth="1"/>
    <col min="255" max="255" width="14.42578125" style="8" customWidth="1"/>
    <col min="256" max="256" width="7.28515625" style="8" customWidth="1"/>
    <col min="257" max="257" width="5.5703125" style="8" customWidth="1"/>
    <col min="258" max="258" width="9" style="8" customWidth="1"/>
    <col min="259" max="260" width="9.85546875" style="8" customWidth="1"/>
    <col min="261" max="261" width="11.140625" style="8" customWidth="1"/>
    <col min="262" max="262" width="2.85546875" style="8" customWidth="1"/>
    <col min="263" max="263" width="3.5703125" style="8" customWidth="1"/>
    <col min="264" max="508" width="9.140625" style="8"/>
    <col min="509" max="509" width="8.7109375" style="8" customWidth="1"/>
    <col min="510" max="510" width="9.85546875" style="8" customWidth="1"/>
    <col min="511" max="511" width="14.42578125" style="8" customWidth="1"/>
    <col min="512" max="512" width="7.28515625" style="8" customWidth="1"/>
    <col min="513" max="513" width="5.5703125" style="8" customWidth="1"/>
    <col min="514" max="514" width="9" style="8" customWidth="1"/>
    <col min="515" max="516" width="9.85546875" style="8" customWidth="1"/>
    <col min="517" max="517" width="11.140625" style="8" customWidth="1"/>
    <col min="518" max="518" width="2.85546875" style="8" customWidth="1"/>
    <col min="519" max="519" width="3.5703125" style="8" customWidth="1"/>
    <col min="520" max="764" width="9.140625" style="8"/>
    <col min="765" max="765" width="8.7109375" style="8" customWidth="1"/>
    <col min="766" max="766" width="9.85546875" style="8" customWidth="1"/>
    <col min="767" max="767" width="14.42578125" style="8" customWidth="1"/>
    <col min="768" max="768" width="7.28515625" style="8" customWidth="1"/>
    <col min="769" max="769" width="5.5703125" style="8" customWidth="1"/>
    <col min="770" max="770" width="9" style="8" customWidth="1"/>
    <col min="771" max="772" width="9.85546875" style="8" customWidth="1"/>
    <col min="773" max="773" width="11.140625" style="8" customWidth="1"/>
    <col min="774" max="774" width="2.85546875" style="8" customWidth="1"/>
    <col min="775" max="775" width="3.5703125" style="8" customWidth="1"/>
    <col min="776" max="1020" width="9.140625" style="8"/>
    <col min="1021" max="1021" width="8.7109375" style="8" customWidth="1"/>
    <col min="1022" max="1022" width="9.85546875" style="8" customWidth="1"/>
    <col min="1023" max="1023" width="14.42578125" style="8" customWidth="1"/>
    <col min="1024" max="1024" width="7.28515625" style="8" customWidth="1"/>
    <col min="1025" max="1025" width="5.5703125" style="8" customWidth="1"/>
    <col min="1026" max="1026" width="9" style="8" customWidth="1"/>
    <col min="1027" max="1028" width="9.85546875" style="8" customWidth="1"/>
    <col min="1029" max="1029" width="11.140625" style="8" customWidth="1"/>
    <col min="1030" max="1030" width="2.85546875" style="8" customWidth="1"/>
    <col min="1031" max="1031" width="3.5703125" style="8" customWidth="1"/>
    <col min="1032" max="1276" width="9.140625" style="8"/>
    <col min="1277" max="1277" width="8.7109375" style="8" customWidth="1"/>
    <col min="1278" max="1278" width="9.85546875" style="8" customWidth="1"/>
    <col min="1279" max="1279" width="14.42578125" style="8" customWidth="1"/>
    <col min="1280" max="1280" width="7.28515625" style="8" customWidth="1"/>
    <col min="1281" max="1281" width="5.5703125" style="8" customWidth="1"/>
    <col min="1282" max="1282" width="9" style="8" customWidth="1"/>
    <col min="1283" max="1284" width="9.85546875" style="8" customWidth="1"/>
    <col min="1285" max="1285" width="11.140625" style="8" customWidth="1"/>
    <col min="1286" max="1286" width="2.85546875" style="8" customWidth="1"/>
    <col min="1287" max="1287" width="3.5703125" style="8" customWidth="1"/>
    <col min="1288" max="1532" width="9.140625" style="8"/>
    <col min="1533" max="1533" width="8.7109375" style="8" customWidth="1"/>
    <col min="1534" max="1534" width="9.85546875" style="8" customWidth="1"/>
    <col min="1535" max="1535" width="14.42578125" style="8" customWidth="1"/>
    <col min="1536" max="1536" width="7.28515625" style="8" customWidth="1"/>
    <col min="1537" max="1537" width="5.5703125" style="8" customWidth="1"/>
    <col min="1538" max="1538" width="9" style="8" customWidth="1"/>
    <col min="1539" max="1540" width="9.85546875" style="8" customWidth="1"/>
    <col min="1541" max="1541" width="11.140625" style="8" customWidth="1"/>
    <col min="1542" max="1542" width="2.85546875" style="8" customWidth="1"/>
    <col min="1543" max="1543" width="3.5703125" style="8" customWidth="1"/>
    <col min="1544" max="1788" width="9.140625" style="8"/>
    <col min="1789" max="1789" width="8.7109375" style="8" customWidth="1"/>
    <col min="1790" max="1790" width="9.85546875" style="8" customWidth="1"/>
    <col min="1791" max="1791" width="14.42578125" style="8" customWidth="1"/>
    <col min="1792" max="1792" width="7.28515625" style="8" customWidth="1"/>
    <col min="1793" max="1793" width="5.5703125" style="8" customWidth="1"/>
    <col min="1794" max="1794" width="9" style="8" customWidth="1"/>
    <col min="1795" max="1796" width="9.85546875" style="8" customWidth="1"/>
    <col min="1797" max="1797" width="11.140625" style="8" customWidth="1"/>
    <col min="1798" max="1798" width="2.85546875" style="8" customWidth="1"/>
    <col min="1799" max="1799" width="3.5703125" style="8" customWidth="1"/>
    <col min="1800" max="2044" width="9.140625" style="8"/>
    <col min="2045" max="2045" width="8.7109375" style="8" customWidth="1"/>
    <col min="2046" max="2046" width="9.85546875" style="8" customWidth="1"/>
    <col min="2047" max="2047" width="14.42578125" style="8" customWidth="1"/>
    <col min="2048" max="2048" width="7.28515625" style="8" customWidth="1"/>
    <col min="2049" max="2049" width="5.5703125" style="8" customWidth="1"/>
    <col min="2050" max="2050" width="9" style="8" customWidth="1"/>
    <col min="2051" max="2052" width="9.85546875" style="8" customWidth="1"/>
    <col min="2053" max="2053" width="11.140625" style="8" customWidth="1"/>
    <col min="2054" max="2054" width="2.85546875" style="8" customWidth="1"/>
    <col min="2055" max="2055" width="3.5703125" style="8" customWidth="1"/>
    <col min="2056" max="2300" width="9.140625" style="8"/>
    <col min="2301" max="2301" width="8.7109375" style="8" customWidth="1"/>
    <col min="2302" max="2302" width="9.85546875" style="8" customWidth="1"/>
    <col min="2303" max="2303" width="14.42578125" style="8" customWidth="1"/>
    <col min="2304" max="2304" width="7.28515625" style="8" customWidth="1"/>
    <col min="2305" max="2305" width="5.5703125" style="8" customWidth="1"/>
    <col min="2306" max="2306" width="9" style="8" customWidth="1"/>
    <col min="2307" max="2308" width="9.85546875" style="8" customWidth="1"/>
    <col min="2309" max="2309" width="11.140625" style="8" customWidth="1"/>
    <col min="2310" max="2310" width="2.85546875" style="8" customWidth="1"/>
    <col min="2311" max="2311" width="3.5703125" style="8" customWidth="1"/>
    <col min="2312" max="2556" width="9.140625" style="8"/>
    <col min="2557" max="2557" width="8.7109375" style="8" customWidth="1"/>
    <col min="2558" max="2558" width="9.85546875" style="8" customWidth="1"/>
    <col min="2559" max="2559" width="14.42578125" style="8" customWidth="1"/>
    <col min="2560" max="2560" width="7.28515625" style="8" customWidth="1"/>
    <col min="2561" max="2561" width="5.5703125" style="8" customWidth="1"/>
    <col min="2562" max="2562" width="9" style="8" customWidth="1"/>
    <col min="2563" max="2564" width="9.85546875" style="8" customWidth="1"/>
    <col min="2565" max="2565" width="11.140625" style="8" customWidth="1"/>
    <col min="2566" max="2566" width="2.85546875" style="8" customWidth="1"/>
    <col min="2567" max="2567" width="3.5703125" style="8" customWidth="1"/>
    <col min="2568" max="2812" width="9.140625" style="8"/>
    <col min="2813" max="2813" width="8.7109375" style="8" customWidth="1"/>
    <col min="2814" max="2814" width="9.85546875" style="8" customWidth="1"/>
    <col min="2815" max="2815" width="14.42578125" style="8" customWidth="1"/>
    <col min="2816" max="2816" width="7.28515625" style="8" customWidth="1"/>
    <col min="2817" max="2817" width="5.5703125" style="8" customWidth="1"/>
    <col min="2818" max="2818" width="9" style="8" customWidth="1"/>
    <col min="2819" max="2820" width="9.85546875" style="8" customWidth="1"/>
    <col min="2821" max="2821" width="11.140625" style="8" customWidth="1"/>
    <col min="2822" max="2822" width="2.85546875" style="8" customWidth="1"/>
    <col min="2823" max="2823" width="3.5703125" style="8" customWidth="1"/>
    <col min="2824" max="3068" width="9.140625" style="8"/>
    <col min="3069" max="3069" width="8.7109375" style="8" customWidth="1"/>
    <col min="3070" max="3070" width="9.85546875" style="8" customWidth="1"/>
    <col min="3071" max="3071" width="14.42578125" style="8" customWidth="1"/>
    <col min="3072" max="3072" width="7.28515625" style="8" customWidth="1"/>
    <col min="3073" max="3073" width="5.5703125" style="8" customWidth="1"/>
    <col min="3074" max="3074" width="9" style="8" customWidth="1"/>
    <col min="3075" max="3076" width="9.85546875" style="8" customWidth="1"/>
    <col min="3077" max="3077" width="11.140625" style="8" customWidth="1"/>
    <col min="3078" max="3078" width="2.85546875" style="8" customWidth="1"/>
    <col min="3079" max="3079" width="3.5703125" style="8" customWidth="1"/>
    <col min="3080" max="3324" width="9.140625" style="8"/>
    <col min="3325" max="3325" width="8.7109375" style="8" customWidth="1"/>
    <col min="3326" max="3326" width="9.85546875" style="8" customWidth="1"/>
    <col min="3327" max="3327" width="14.42578125" style="8" customWidth="1"/>
    <col min="3328" max="3328" width="7.28515625" style="8" customWidth="1"/>
    <col min="3329" max="3329" width="5.5703125" style="8" customWidth="1"/>
    <col min="3330" max="3330" width="9" style="8" customWidth="1"/>
    <col min="3331" max="3332" width="9.85546875" style="8" customWidth="1"/>
    <col min="3333" max="3333" width="11.140625" style="8" customWidth="1"/>
    <col min="3334" max="3334" width="2.85546875" style="8" customWidth="1"/>
    <col min="3335" max="3335" width="3.5703125" style="8" customWidth="1"/>
    <col min="3336" max="3580" width="9.140625" style="8"/>
    <col min="3581" max="3581" width="8.7109375" style="8" customWidth="1"/>
    <col min="3582" max="3582" width="9.85546875" style="8" customWidth="1"/>
    <col min="3583" max="3583" width="14.42578125" style="8" customWidth="1"/>
    <col min="3584" max="3584" width="7.28515625" style="8" customWidth="1"/>
    <col min="3585" max="3585" width="5.5703125" style="8" customWidth="1"/>
    <col min="3586" max="3586" width="9" style="8" customWidth="1"/>
    <col min="3587" max="3588" width="9.85546875" style="8" customWidth="1"/>
    <col min="3589" max="3589" width="11.140625" style="8" customWidth="1"/>
    <col min="3590" max="3590" width="2.85546875" style="8" customWidth="1"/>
    <col min="3591" max="3591" width="3.5703125" style="8" customWidth="1"/>
    <col min="3592" max="3836" width="9.140625" style="8"/>
    <col min="3837" max="3837" width="8.7109375" style="8" customWidth="1"/>
    <col min="3838" max="3838" width="9.85546875" style="8" customWidth="1"/>
    <col min="3839" max="3839" width="14.42578125" style="8" customWidth="1"/>
    <col min="3840" max="3840" width="7.28515625" style="8" customWidth="1"/>
    <col min="3841" max="3841" width="5.5703125" style="8" customWidth="1"/>
    <col min="3842" max="3842" width="9" style="8" customWidth="1"/>
    <col min="3843" max="3844" width="9.85546875" style="8" customWidth="1"/>
    <col min="3845" max="3845" width="11.140625" style="8" customWidth="1"/>
    <col min="3846" max="3846" width="2.85546875" style="8" customWidth="1"/>
    <col min="3847" max="3847" width="3.5703125" style="8" customWidth="1"/>
    <col min="3848" max="4092" width="9.140625" style="8"/>
    <col min="4093" max="4093" width="8.7109375" style="8" customWidth="1"/>
    <col min="4094" max="4094" width="9.85546875" style="8" customWidth="1"/>
    <col min="4095" max="4095" width="14.42578125" style="8" customWidth="1"/>
    <col min="4096" max="4096" width="7.28515625" style="8" customWidth="1"/>
    <col min="4097" max="4097" width="5.5703125" style="8" customWidth="1"/>
    <col min="4098" max="4098" width="9" style="8" customWidth="1"/>
    <col min="4099" max="4100" width="9.85546875" style="8" customWidth="1"/>
    <col min="4101" max="4101" width="11.140625" style="8" customWidth="1"/>
    <col min="4102" max="4102" width="2.85546875" style="8" customWidth="1"/>
    <col min="4103" max="4103" width="3.5703125" style="8" customWidth="1"/>
    <col min="4104" max="4348" width="9.140625" style="8"/>
    <col min="4349" max="4349" width="8.7109375" style="8" customWidth="1"/>
    <col min="4350" max="4350" width="9.85546875" style="8" customWidth="1"/>
    <col min="4351" max="4351" width="14.42578125" style="8" customWidth="1"/>
    <col min="4352" max="4352" width="7.28515625" style="8" customWidth="1"/>
    <col min="4353" max="4353" width="5.5703125" style="8" customWidth="1"/>
    <col min="4354" max="4354" width="9" style="8" customWidth="1"/>
    <col min="4355" max="4356" width="9.85546875" style="8" customWidth="1"/>
    <col min="4357" max="4357" width="11.140625" style="8" customWidth="1"/>
    <col min="4358" max="4358" width="2.85546875" style="8" customWidth="1"/>
    <col min="4359" max="4359" width="3.5703125" style="8" customWidth="1"/>
    <col min="4360" max="4604" width="9.140625" style="8"/>
    <col min="4605" max="4605" width="8.7109375" style="8" customWidth="1"/>
    <col min="4606" max="4606" width="9.85546875" style="8" customWidth="1"/>
    <col min="4607" max="4607" width="14.42578125" style="8" customWidth="1"/>
    <col min="4608" max="4608" width="7.28515625" style="8" customWidth="1"/>
    <col min="4609" max="4609" width="5.5703125" style="8" customWidth="1"/>
    <col min="4610" max="4610" width="9" style="8" customWidth="1"/>
    <col min="4611" max="4612" width="9.85546875" style="8" customWidth="1"/>
    <col min="4613" max="4613" width="11.140625" style="8" customWidth="1"/>
    <col min="4614" max="4614" width="2.85546875" style="8" customWidth="1"/>
    <col min="4615" max="4615" width="3.5703125" style="8" customWidth="1"/>
    <col min="4616" max="4860" width="9.140625" style="8"/>
    <col min="4861" max="4861" width="8.7109375" style="8" customWidth="1"/>
    <col min="4862" max="4862" width="9.85546875" style="8" customWidth="1"/>
    <col min="4863" max="4863" width="14.42578125" style="8" customWidth="1"/>
    <col min="4864" max="4864" width="7.28515625" style="8" customWidth="1"/>
    <col min="4865" max="4865" width="5.5703125" style="8" customWidth="1"/>
    <col min="4866" max="4866" width="9" style="8" customWidth="1"/>
    <col min="4867" max="4868" width="9.85546875" style="8" customWidth="1"/>
    <col min="4869" max="4869" width="11.140625" style="8" customWidth="1"/>
    <col min="4870" max="4870" width="2.85546875" style="8" customWidth="1"/>
    <col min="4871" max="4871" width="3.5703125" style="8" customWidth="1"/>
    <col min="4872" max="5116" width="9.140625" style="8"/>
    <col min="5117" max="5117" width="8.7109375" style="8" customWidth="1"/>
    <col min="5118" max="5118" width="9.85546875" style="8" customWidth="1"/>
    <col min="5119" max="5119" width="14.42578125" style="8" customWidth="1"/>
    <col min="5120" max="5120" width="7.28515625" style="8" customWidth="1"/>
    <col min="5121" max="5121" width="5.5703125" style="8" customWidth="1"/>
    <col min="5122" max="5122" width="9" style="8" customWidth="1"/>
    <col min="5123" max="5124" width="9.85546875" style="8" customWidth="1"/>
    <col min="5125" max="5125" width="11.140625" style="8" customWidth="1"/>
    <col min="5126" max="5126" width="2.85546875" style="8" customWidth="1"/>
    <col min="5127" max="5127" width="3.5703125" style="8" customWidth="1"/>
    <col min="5128" max="5372" width="9.140625" style="8"/>
    <col min="5373" max="5373" width="8.7109375" style="8" customWidth="1"/>
    <col min="5374" max="5374" width="9.85546875" style="8" customWidth="1"/>
    <col min="5375" max="5375" width="14.42578125" style="8" customWidth="1"/>
    <col min="5376" max="5376" width="7.28515625" style="8" customWidth="1"/>
    <col min="5377" max="5377" width="5.5703125" style="8" customWidth="1"/>
    <col min="5378" max="5378" width="9" style="8" customWidth="1"/>
    <col min="5379" max="5380" width="9.85546875" style="8" customWidth="1"/>
    <col min="5381" max="5381" width="11.140625" style="8" customWidth="1"/>
    <col min="5382" max="5382" width="2.85546875" style="8" customWidth="1"/>
    <col min="5383" max="5383" width="3.5703125" style="8" customWidth="1"/>
    <col min="5384" max="5628" width="9.140625" style="8"/>
    <col min="5629" max="5629" width="8.7109375" style="8" customWidth="1"/>
    <col min="5630" max="5630" width="9.85546875" style="8" customWidth="1"/>
    <col min="5631" max="5631" width="14.42578125" style="8" customWidth="1"/>
    <col min="5632" max="5632" width="7.28515625" style="8" customWidth="1"/>
    <col min="5633" max="5633" width="5.5703125" style="8" customWidth="1"/>
    <col min="5634" max="5634" width="9" style="8" customWidth="1"/>
    <col min="5635" max="5636" width="9.85546875" style="8" customWidth="1"/>
    <col min="5637" max="5637" width="11.140625" style="8" customWidth="1"/>
    <col min="5638" max="5638" width="2.85546875" style="8" customWidth="1"/>
    <col min="5639" max="5639" width="3.5703125" style="8" customWidth="1"/>
    <col min="5640" max="5884" width="9.140625" style="8"/>
    <col min="5885" max="5885" width="8.7109375" style="8" customWidth="1"/>
    <col min="5886" max="5886" width="9.85546875" style="8" customWidth="1"/>
    <col min="5887" max="5887" width="14.42578125" style="8" customWidth="1"/>
    <col min="5888" max="5888" width="7.28515625" style="8" customWidth="1"/>
    <col min="5889" max="5889" width="5.5703125" style="8" customWidth="1"/>
    <col min="5890" max="5890" width="9" style="8" customWidth="1"/>
    <col min="5891" max="5892" width="9.85546875" style="8" customWidth="1"/>
    <col min="5893" max="5893" width="11.140625" style="8" customWidth="1"/>
    <col min="5894" max="5894" width="2.85546875" style="8" customWidth="1"/>
    <col min="5895" max="5895" width="3.5703125" style="8" customWidth="1"/>
    <col min="5896" max="6140" width="9.140625" style="8"/>
    <col min="6141" max="6141" width="8.7109375" style="8" customWidth="1"/>
    <col min="6142" max="6142" width="9.85546875" style="8" customWidth="1"/>
    <col min="6143" max="6143" width="14.42578125" style="8" customWidth="1"/>
    <col min="6144" max="6144" width="7.28515625" style="8" customWidth="1"/>
    <col min="6145" max="6145" width="5.5703125" style="8" customWidth="1"/>
    <col min="6146" max="6146" width="9" style="8" customWidth="1"/>
    <col min="6147" max="6148" width="9.85546875" style="8" customWidth="1"/>
    <col min="6149" max="6149" width="11.140625" style="8" customWidth="1"/>
    <col min="6150" max="6150" width="2.85546875" style="8" customWidth="1"/>
    <col min="6151" max="6151" width="3.5703125" style="8" customWidth="1"/>
    <col min="6152" max="6396" width="9.140625" style="8"/>
    <col min="6397" max="6397" width="8.7109375" style="8" customWidth="1"/>
    <col min="6398" max="6398" width="9.85546875" style="8" customWidth="1"/>
    <col min="6399" max="6399" width="14.42578125" style="8" customWidth="1"/>
    <col min="6400" max="6400" width="7.28515625" style="8" customWidth="1"/>
    <col min="6401" max="6401" width="5.5703125" style="8" customWidth="1"/>
    <col min="6402" max="6402" width="9" style="8" customWidth="1"/>
    <col min="6403" max="6404" width="9.85546875" style="8" customWidth="1"/>
    <col min="6405" max="6405" width="11.140625" style="8" customWidth="1"/>
    <col min="6406" max="6406" width="2.85546875" style="8" customWidth="1"/>
    <col min="6407" max="6407" width="3.5703125" style="8" customWidth="1"/>
    <col min="6408" max="6652" width="9.140625" style="8"/>
    <col min="6653" max="6653" width="8.7109375" style="8" customWidth="1"/>
    <col min="6654" max="6654" width="9.85546875" style="8" customWidth="1"/>
    <col min="6655" max="6655" width="14.42578125" style="8" customWidth="1"/>
    <col min="6656" max="6656" width="7.28515625" style="8" customWidth="1"/>
    <col min="6657" max="6657" width="5.5703125" style="8" customWidth="1"/>
    <col min="6658" max="6658" width="9" style="8" customWidth="1"/>
    <col min="6659" max="6660" width="9.85546875" style="8" customWidth="1"/>
    <col min="6661" max="6661" width="11.140625" style="8" customWidth="1"/>
    <col min="6662" max="6662" width="2.85546875" style="8" customWidth="1"/>
    <col min="6663" max="6663" width="3.5703125" style="8" customWidth="1"/>
    <col min="6664" max="6908" width="9.140625" style="8"/>
    <col min="6909" max="6909" width="8.7109375" style="8" customWidth="1"/>
    <col min="6910" max="6910" width="9.85546875" style="8" customWidth="1"/>
    <col min="6911" max="6911" width="14.42578125" style="8" customWidth="1"/>
    <col min="6912" max="6912" width="7.28515625" style="8" customWidth="1"/>
    <col min="6913" max="6913" width="5.5703125" style="8" customWidth="1"/>
    <col min="6914" max="6914" width="9" style="8" customWidth="1"/>
    <col min="6915" max="6916" width="9.85546875" style="8" customWidth="1"/>
    <col min="6917" max="6917" width="11.140625" style="8" customWidth="1"/>
    <col min="6918" max="6918" width="2.85546875" style="8" customWidth="1"/>
    <col min="6919" max="6919" width="3.5703125" style="8" customWidth="1"/>
    <col min="6920" max="7164" width="9.140625" style="8"/>
    <col min="7165" max="7165" width="8.7109375" style="8" customWidth="1"/>
    <col min="7166" max="7166" width="9.85546875" style="8" customWidth="1"/>
    <col min="7167" max="7167" width="14.42578125" style="8" customWidth="1"/>
    <col min="7168" max="7168" width="7.28515625" style="8" customWidth="1"/>
    <col min="7169" max="7169" width="5.5703125" style="8" customWidth="1"/>
    <col min="7170" max="7170" width="9" style="8" customWidth="1"/>
    <col min="7171" max="7172" width="9.85546875" style="8" customWidth="1"/>
    <col min="7173" max="7173" width="11.140625" style="8" customWidth="1"/>
    <col min="7174" max="7174" width="2.85546875" style="8" customWidth="1"/>
    <col min="7175" max="7175" width="3.5703125" style="8" customWidth="1"/>
    <col min="7176" max="7420" width="9.140625" style="8"/>
    <col min="7421" max="7421" width="8.7109375" style="8" customWidth="1"/>
    <col min="7422" max="7422" width="9.85546875" style="8" customWidth="1"/>
    <col min="7423" max="7423" width="14.42578125" style="8" customWidth="1"/>
    <col min="7424" max="7424" width="7.28515625" style="8" customWidth="1"/>
    <col min="7425" max="7425" width="5.5703125" style="8" customWidth="1"/>
    <col min="7426" max="7426" width="9" style="8" customWidth="1"/>
    <col min="7427" max="7428" width="9.85546875" style="8" customWidth="1"/>
    <col min="7429" max="7429" width="11.140625" style="8" customWidth="1"/>
    <col min="7430" max="7430" width="2.85546875" style="8" customWidth="1"/>
    <col min="7431" max="7431" width="3.5703125" style="8" customWidth="1"/>
    <col min="7432" max="7676" width="9.140625" style="8"/>
    <col min="7677" max="7677" width="8.7109375" style="8" customWidth="1"/>
    <col min="7678" max="7678" width="9.85546875" style="8" customWidth="1"/>
    <col min="7679" max="7679" width="14.42578125" style="8" customWidth="1"/>
    <col min="7680" max="7680" width="7.28515625" style="8" customWidth="1"/>
    <col min="7681" max="7681" width="5.5703125" style="8" customWidth="1"/>
    <col min="7682" max="7682" width="9" style="8" customWidth="1"/>
    <col min="7683" max="7684" width="9.85546875" style="8" customWidth="1"/>
    <col min="7685" max="7685" width="11.140625" style="8" customWidth="1"/>
    <col min="7686" max="7686" width="2.85546875" style="8" customWidth="1"/>
    <col min="7687" max="7687" width="3.5703125" style="8" customWidth="1"/>
    <col min="7688" max="7932" width="9.140625" style="8"/>
    <col min="7933" max="7933" width="8.7109375" style="8" customWidth="1"/>
    <col min="7934" max="7934" width="9.85546875" style="8" customWidth="1"/>
    <col min="7935" max="7935" width="14.42578125" style="8" customWidth="1"/>
    <col min="7936" max="7936" width="7.28515625" style="8" customWidth="1"/>
    <col min="7937" max="7937" width="5.5703125" style="8" customWidth="1"/>
    <col min="7938" max="7938" width="9" style="8" customWidth="1"/>
    <col min="7939" max="7940" width="9.85546875" style="8" customWidth="1"/>
    <col min="7941" max="7941" width="11.140625" style="8" customWidth="1"/>
    <col min="7942" max="7942" width="2.85546875" style="8" customWidth="1"/>
    <col min="7943" max="7943" width="3.5703125" style="8" customWidth="1"/>
    <col min="7944" max="8188" width="9.140625" style="8"/>
    <col min="8189" max="8189" width="8.7109375" style="8" customWidth="1"/>
    <col min="8190" max="8190" width="9.85546875" style="8" customWidth="1"/>
    <col min="8191" max="8191" width="14.42578125" style="8" customWidth="1"/>
    <col min="8192" max="8192" width="7.28515625" style="8" customWidth="1"/>
    <col min="8193" max="8193" width="5.5703125" style="8" customWidth="1"/>
    <col min="8194" max="8194" width="9" style="8" customWidth="1"/>
    <col min="8195" max="8196" width="9.85546875" style="8" customWidth="1"/>
    <col min="8197" max="8197" width="11.140625" style="8" customWidth="1"/>
    <col min="8198" max="8198" width="2.85546875" style="8" customWidth="1"/>
    <col min="8199" max="8199" width="3.5703125" style="8" customWidth="1"/>
    <col min="8200" max="8444" width="9.140625" style="8"/>
    <col min="8445" max="8445" width="8.7109375" style="8" customWidth="1"/>
    <col min="8446" max="8446" width="9.85546875" style="8" customWidth="1"/>
    <col min="8447" max="8447" width="14.42578125" style="8" customWidth="1"/>
    <col min="8448" max="8448" width="7.28515625" style="8" customWidth="1"/>
    <col min="8449" max="8449" width="5.5703125" style="8" customWidth="1"/>
    <col min="8450" max="8450" width="9" style="8" customWidth="1"/>
    <col min="8451" max="8452" width="9.85546875" style="8" customWidth="1"/>
    <col min="8453" max="8453" width="11.140625" style="8" customWidth="1"/>
    <col min="8454" max="8454" width="2.85546875" style="8" customWidth="1"/>
    <col min="8455" max="8455" width="3.5703125" style="8" customWidth="1"/>
    <col min="8456" max="8700" width="9.140625" style="8"/>
    <col min="8701" max="8701" width="8.7109375" style="8" customWidth="1"/>
    <col min="8702" max="8702" width="9.85546875" style="8" customWidth="1"/>
    <col min="8703" max="8703" width="14.42578125" style="8" customWidth="1"/>
    <col min="8704" max="8704" width="7.28515625" style="8" customWidth="1"/>
    <col min="8705" max="8705" width="5.5703125" style="8" customWidth="1"/>
    <col min="8706" max="8706" width="9" style="8" customWidth="1"/>
    <col min="8707" max="8708" width="9.85546875" style="8" customWidth="1"/>
    <col min="8709" max="8709" width="11.140625" style="8" customWidth="1"/>
    <col min="8710" max="8710" width="2.85546875" style="8" customWidth="1"/>
    <col min="8711" max="8711" width="3.5703125" style="8" customWidth="1"/>
    <col min="8712" max="8956" width="9.140625" style="8"/>
    <col min="8957" max="8957" width="8.7109375" style="8" customWidth="1"/>
    <col min="8958" max="8958" width="9.85546875" style="8" customWidth="1"/>
    <col min="8959" max="8959" width="14.42578125" style="8" customWidth="1"/>
    <col min="8960" max="8960" width="7.28515625" style="8" customWidth="1"/>
    <col min="8961" max="8961" width="5.5703125" style="8" customWidth="1"/>
    <col min="8962" max="8962" width="9" style="8" customWidth="1"/>
    <col min="8963" max="8964" width="9.85546875" style="8" customWidth="1"/>
    <col min="8965" max="8965" width="11.140625" style="8" customWidth="1"/>
    <col min="8966" max="8966" width="2.85546875" style="8" customWidth="1"/>
    <col min="8967" max="8967" width="3.5703125" style="8" customWidth="1"/>
    <col min="8968" max="9212" width="9.140625" style="8"/>
    <col min="9213" max="9213" width="8.7109375" style="8" customWidth="1"/>
    <col min="9214" max="9214" width="9.85546875" style="8" customWidth="1"/>
    <col min="9215" max="9215" width="14.42578125" style="8" customWidth="1"/>
    <col min="9216" max="9216" width="7.28515625" style="8" customWidth="1"/>
    <col min="9217" max="9217" width="5.5703125" style="8" customWidth="1"/>
    <col min="9218" max="9218" width="9" style="8" customWidth="1"/>
    <col min="9219" max="9220" width="9.85546875" style="8" customWidth="1"/>
    <col min="9221" max="9221" width="11.140625" style="8" customWidth="1"/>
    <col min="9222" max="9222" width="2.85546875" style="8" customWidth="1"/>
    <col min="9223" max="9223" width="3.5703125" style="8" customWidth="1"/>
    <col min="9224" max="9468" width="9.140625" style="8"/>
    <col min="9469" max="9469" width="8.7109375" style="8" customWidth="1"/>
    <col min="9470" max="9470" width="9.85546875" style="8" customWidth="1"/>
    <col min="9471" max="9471" width="14.42578125" style="8" customWidth="1"/>
    <col min="9472" max="9472" width="7.28515625" style="8" customWidth="1"/>
    <col min="9473" max="9473" width="5.5703125" style="8" customWidth="1"/>
    <col min="9474" max="9474" width="9" style="8" customWidth="1"/>
    <col min="9475" max="9476" width="9.85546875" style="8" customWidth="1"/>
    <col min="9477" max="9477" width="11.140625" style="8" customWidth="1"/>
    <col min="9478" max="9478" width="2.85546875" style="8" customWidth="1"/>
    <col min="9479" max="9479" width="3.5703125" style="8" customWidth="1"/>
    <col min="9480" max="9724" width="9.140625" style="8"/>
    <col min="9725" max="9725" width="8.7109375" style="8" customWidth="1"/>
    <col min="9726" max="9726" width="9.85546875" style="8" customWidth="1"/>
    <col min="9727" max="9727" width="14.42578125" style="8" customWidth="1"/>
    <col min="9728" max="9728" width="7.28515625" style="8" customWidth="1"/>
    <col min="9729" max="9729" width="5.5703125" style="8" customWidth="1"/>
    <col min="9730" max="9730" width="9" style="8" customWidth="1"/>
    <col min="9731" max="9732" width="9.85546875" style="8" customWidth="1"/>
    <col min="9733" max="9733" width="11.140625" style="8" customWidth="1"/>
    <col min="9734" max="9734" width="2.85546875" style="8" customWidth="1"/>
    <col min="9735" max="9735" width="3.5703125" style="8" customWidth="1"/>
    <col min="9736" max="9980" width="9.140625" style="8"/>
    <col min="9981" max="9981" width="8.7109375" style="8" customWidth="1"/>
    <col min="9982" max="9982" width="9.85546875" style="8" customWidth="1"/>
    <col min="9983" max="9983" width="14.42578125" style="8" customWidth="1"/>
    <col min="9984" max="9984" width="7.28515625" style="8" customWidth="1"/>
    <col min="9985" max="9985" width="5.5703125" style="8" customWidth="1"/>
    <col min="9986" max="9986" width="9" style="8" customWidth="1"/>
    <col min="9987" max="9988" width="9.85546875" style="8" customWidth="1"/>
    <col min="9989" max="9989" width="11.140625" style="8" customWidth="1"/>
    <col min="9990" max="9990" width="2.85546875" style="8" customWidth="1"/>
    <col min="9991" max="9991" width="3.5703125" style="8" customWidth="1"/>
    <col min="9992" max="10236" width="9.140625" style="8"/>
    <col min="10237" max="10237" width="8.7109375" style="8" customWidth="1"/>
    <col min="10238" max="10238" width="9.85546875" style="8" customWidth="1"/>
    <col min="10239" max="10239" width="14.42578125" style="8" customWidth="1"/>
    <col min="10240" max="10240" width="7.28515625" style="8" customWidth="1"/>
    <col min="10241" max="10241" width="5.5703125" style="8" customWidth="1"/>
    <col min="10242" max="10242" width="9" style="8" customWidth="1"/>
    <col min="10243" max="10244" width="9.85546875" style="8" customWidth="1"/>
    <col min="10245" max="10245" width="11.140625" style="8" customWidth="1"/>
    <col min="10246" max="10246" width="2.85546875" style="8" customWidth="1"/>
    <col min="10247" max="10247" width="3.5703125" style="8" customWidth="1"/>
    <col min="10248" max="10492" width="9.140625" style="8"/>
    <col min="10493" max="10493" width="8.7109375" style="8" customWidth="1"/>
    <col min="10494" max="10494" width="9.85546875" style="8" customWidth="1"/>
    <col min="10495" max="10495" width="14.42578125" style="8" customWidth="1"/>
    <col min="10496" max="10496" width="7.28515625" style="8" customWidth="1"/>
    <col min="10497" max="10497" width="5.5703125" style="8" customWidth="1"/>
    <col min="10498" max="10498" width="9" style="8" customWidth="1"/>
    <col min="10499" max="10500" width="9.85546875" style="8" customWidth="1"/>
    <col min="10501" max="10501" width="11.140625" style="8" customWidth="1"/>
    <col min="10502" max="10502" width="2.85546875" style="8" customWidth="1"/>
    <col min="10503" max="10503" width="3.5703125" style="8" customWidth="1"/>
    <col min="10504" max="10748" width="9.140625" style="8"/>
    <col min="10749" max="10749" width="8.7109375" style="8" customWidth="1"/>
    <col min="10750" max="10750" width="9.85546875" style="8" customWidth="1"/>
    <col min="10751" max="10751" width="14.42578125" style="8" customWidth="1"/>
    <col min="10752" max="10752" width="7.28515625" style="8" customWidth="1"/>
    <col min="10753" max="10753" width="5.5703125" style="8" customWidth="1"/>
    <col min="10754" max="10754" width="9" style="8" customWidth="1"/>
    <col min="10755" max="10756" width="9.85546875" style="8" customWidth="1"/>
    <col min="10757" max="10757" width="11.140625" style="8" customWidth="1"/>
    <col min="10758" max="10758" width="2.85546875" style="8" customWidth="1"/>
    <col min="10759" max="10759" width="3.5703125" style="8" customWidth="1"/>
    <col min="10760" max="11004" width="9.140625" style="8"/>
    <col min="11005" max="11005" width="8.7109375" style="8" customWidth="1"/>
    <col min="11006" max="11006" width="9.85546875" style="8" customWidth="1"/>
    <col min="11007" max="11007" width="14.42578125" style="8" customWidth="1"/>
    <col min="11008" max="11008" width="7.28515625" style="8" customWidth="1"/>
    <col min="11009" max="11009" width="5.5703125" style="8" customWidth="1"/>
    <col min="11010" max="11010" width="9" style="8" customWidth="1"/>
    <col min="11011" max="11012" width="9.85546875" style="8" customWidth="1"/>
    <col min="11013" max="11013" width="11.140625" style="8" customWidth="1"/>
    <col min="11014" max="11014" width="2.85546875" style="8" customWidth="1"/>
    <col min="11015" max="11015" width="3.5703125" style="8" customWidth="1"/>
    <col min="11016" max="11260" width="9.140625" style="8"/>
    <col min="11261" max="11261" width="8.7109375" style="8" customWidth="1"/>
    <col min="11262" max="11262" width="9.85546875" style="8" customWidth="1"/>
    <col min="11263" max="11263" width="14.42578125" style="8" customWidth="1"/>
    <col min="11264" max="11264" width="7.28515625" style="8" customWidth="1"/>
    <col min="11265" max="11265" width="5.5703125" style="8" customWidth="1"/>
    <col min="11266" max="11266" width="9" style="8" customWidth="1"/>
    <col min="11267" max="11268" width="9.85546875" style="8" customWidth="1"/>
    <col min="11269" max="11269" width="11.140625" style="8" customWidth="1"/>
    <col min="11270" max="11270" width="2.85546875" style="8" customWidth="1"/>
    <col min="11271" max="11271" width="3.5703125" style="8" customWidth="1"/>
    <col min="11272" max="11516" width="9.140625" style="8"/>
    <col min="11517" max="11517" width="8.7109375" style="8" customWidth="1"/>
    <col min="11518" max="11518" width="9.85546875" style="8" customWidth="1"/>
    <col min="11519" max="11519" width="14.42578125" style="8" customWidth="1"/>
    <col min="11520" max="11520" width="7.28515625" style="8" customWidth="1"/>
    <col min="11521" max="11521" width="5.5703125" style="8" customWidth="1"/>
    <col min="11522" max="11522" width="9" style="8" customWidth="1"/>
    <col min="11523" max="11524" width="9.85546875" style="8" customWidth="1"/>
    <col min="11525" max="11525" width="11.140625" style="8" customWidth="1"/>
    <col min="11526" max="11526" width="2.85546875" style="8" customWidth="1"/>
    <col min="11527" max="11527" width="3.5703125" style="8" customWidth="1"/>
    <col min="11528" max="11772" width="9.140625" style="8"/>
    <col min="11773" max="11773" width="8.7109375" style="8" customWidth="1"/>
    <col min="11774" max="11774" width="9.85546875" style="8" customWidth="1"/>
    <col min="11775" max="11775" width="14.42578125" style="8" customWidth="1"/>
    <col min="11776" max="11776" width="7.28515625" style="8" customWidth="1"/>
    <col min="11777" max="11777" width="5.5703125" style="8" customWidth="1"/>
    <col min="11778" max="11778" width="9" style="8" customWidth="1"/>
    <col min="11779" max="11780" width="9.85546875" style="8" customWidth="1"/>
    <col min="11781" max="11781" width="11.140625" style="8" customWidth="1"/>
    <col min="11782" max="11782" width="2.85546875" style="8" customWidth="1"/>
    <col min="11783" max="11783" width="3.5703125" style="8" customWidth="1"/>
    <col min="11784" max="12028" width="9.140625" style="8"/>
    <col min="12029" max="12029" width="8.7109375" style="8" customWidth="1"/>
    <col min="12030" max="12030" width="9.85546875" style="8" customWidth="1"/>
    <col min="12031" max="12031" width="14.42578125" style="8" customWidth="1"/>
    <col min="12032" max="12032" width="7.28515625" style="8" customWidth="1"/>
    <col min="12033" max="12033" width="5.5703125" style="8" customWidth="1"/>
    <col min="12034" max="12034" width="9" style="8" customWidth="1"/>
    <col min="12035" max="12036" width="9.85546875" style="8" customWidth="1"/>
    <col min="12037" max="12037" width="11.140625" style="8" customWidth="1"/>
    <col min="12038" max="12038" width="2.85546875" style="8" customWidth="1"/>
    <col min="12039" max="12039" width="3.5703125" style="8" customWidth="1"/>
    <col min="12040" max="12284" width="9.140625" style="8"/>
    <col min="12285" max="12285" width="8.7109375" style="8" customWidth="1"/>
    <col min="12286" max="12286" width="9.85546875" style="8" customWidth="1"/>
    <col min="12287" max="12287" width="14.42578125" style="8" customWidth="1"/>
    <col min="12288" max="12288" width="7.28515625" style="8" customWidth="1"/>
    <col min="12289" max="12289" width="5.5703125" style="8" customWidth="1"/>
    <col min="12290" max="12290" width="9" style="8" customWidth="1"/>
    <col min="12291" max="12292" width="9.85546875" style="8" customWidth="1"/>
    <col min="12293" max="12293" width="11.140625" style="8" customWidth="1"/>
    <col min="12294" max="12294" width="2.85546875" style="8" customWidth="1"/>
    <col min="12295" max="12295" width="3.5703125" style="8" customWidth="1"/>
    <col min="12296" max="12540" width="9.140625" style="8"/>
    <col min="12541" max="12541" width="8.7109375" style="8" customWidth="1"/>
    <col min="12542" max="12542" width="9.85546875" style="8" customWidth="1"/>
    <col min="12543" max="12543" width="14.42578125" style="8" customWidth="1"/>
    <col min="12544" max="12544" width="7.28515625" style="8" customWidth="1"/>
    <col min="12545" max="12545" width="5.5703125" style="8" customWidth="1"/>
    <col min="12546" max="12546" width="9" style="8" customWidth="1"/>
    <col min="12547" max="12548" width="9.85546875" style="8" customWidth="1"/>
    <col min="12549" max="12549" width="11.140625" style="8" customWidth="1"/>
    <col min="12550" max="12550" width="2.85546875" style="8" customWidth="1"/>
    <col min="12551" max="12551" width="3.5703125" style="8" customWidth="1"/>
    <col min="12552" max="12796" width="9.140625" style="8"/>
    <col min="12797" max="12797" width="8.7109375" style="8" customWidth="1"/>
    <col min="12798" max="12798" width="9.85546875" style="8" customWidth="1"/>
    <col min="12799" max="12799" width="14.42578125" style="8" customWidth="1"/>
    <col min="12800" max="12800" width="7.28515625" style="8" customWidth="1"/>
    <col min="12801" max="12801" width="5.5703125" style="8" customWidth="1"/>
    <col min="12802" max="12802" width="9" style="8" customWidth="1"/>
    <col min="12803" max="12804" width="9.85546875" style="8" customWidth="1"/>
    <col min="12805" max="12805" width="11.140625" style="8" customWidth="1"/>
    <col min="12806" max="12806" width="2.85546875" style="8" customWidth="1"/>
    <col min="12807" max="12807" width="3.5703125" style="8" customWidth="1"/>
    <col min="12808" max="13052" width="9.140625" style="8"/>
    <col min="13053" max="13053" width="8.7109375" style="8" customWidth="1"/>
    <col min="13054" max="13054" width="9.85546875" style="8" customWidth="1"/>
    <col min="13055" max="13055" width="14.42578125" style="8" customWidth="1"/>
    <col min="13056" max="13056" width="7.28515625" style="8" customWidth="1"/>
    <col min="13057" max="13057" width="5.5703125" style="8" customWidth="1"/>
    <col min="13058" max="13058" width="9" style="8" customWidth="1"/>
    <col min="13059" max="13060" width="9.85546875" style="8" customWidth="1"/>
    <col min="13061" max="13061" width="11.140625" style="8" customWidth="1"/>
    <col min="13062" max="13062" width="2.85546875" style="8" customWidth="1"/>
    <col min="13063" max="13063" width="3.5703125" style="8" customWidth="1"/>
    <col min="13064" max="13308" width="9.140625" style="8"/>
    <col min="13309" max="13309" width="8.7109375" style="8" customWidth="1"/>
    <col min="13310" max="13310" width="9.85546875" style="8" customWidth="1"/>
    <col min="13311" max="13311" width="14.42578125" style="8" customWidth="1"/>
    <col min="13312" max="13312" width="7.28515625" style="8" customWidth="1"/>
    <col min="13313" max="13313" width="5.5703125" style="8" customWidth="1"/>
    <col min="13314" max="13314" width="9" style="8" customWidth="1"/>
    <col min="13315" max="13316" width="9.85546875" style="8" customWidth="1"/>
    <col min="13317" max="13317" width="11.140625" style="8" customWidth="1"/>
    <col min="13318" max="13318" width="2.85546875" style="8" customWidth="1"/>
    <col min="13319" max="13319" width="3.5703125" style="8" customWidth="1"/>
    <col min="13320" max="13564" width="9.140625" style="8"/>
    <col min="13565" max="13565" width="8.7109375" style="8" customWidth="1"/>
    <col min="13566" max="13566" width="9.85546875" style="8" customWidth="1"/>
    <col min="13567" max="13567" width="14.42578125" style="8" customWidth="1"/>
    <col min="13568" max="13568" width="7.28515625" style="8" customWidth="1"/>
    <col min="13569" max="13569" width="5.5703125" style="8" customWidth="1"/>
    <col min="13570" max="13570" width="9" style="8" customWidth="1"/>
    <col min="13571" max="13572" width="9.85546875" style="8" customWidth="1"/>
    <col min="13573" max="13573" width="11.140625" style="8" customWidth="1"/>
    <col min="13574" max="13574" width="2.85546875" style="8" customWidth="1"/>
    <col min="13575" max="13575" width="3.5703125" style="8" customWidth="1"/>
    <col min="13576" max="13820" width="9.140625" style="8"/>
    <col min="13821" max="13821" width="8.7109375" style="8" customWidth="1"/>
    <col min="13822" max="13822" width="9.85546875" style="8" customWidth="1"/>
    <col min="13823" max="13823" width="14.42578125" style="8" customWidth="1"/>
    <col min="13824" max="13824" width="7.28515625" style="8" customWidth="1"/>
    <col min="13825" max="13825" width="5.5703125" style="8" customWidth="1"/>
    <col min="13826" max="13826" width="9" style="8" customWidth="1"/>
    <col min="13827" max="13828" width="9.85546875" style="8" customWidth="1"/>
    <col min="13829" max="13829" width="11.140625" style="8" customWidth="1"/>
    <col min="13830" max="13830" width="2.85546875" style="8" customWidth="1"/>
    <col min="13831" max="13831" width="3.5703125" style="8" customWidth="1"/>
    <col min="13832" max="14076" width="9.140625" style="8"/>
    <col min="14077" max="14077" width="8.7109375" style="8" customWidth="1"/>
    <col min="14078" max="14078" width="9.85546875" style="8" customWidth="1"/>
    <col min="14079" max="14079" width="14.42578125" style="8" customWidth="1"/>
    <col min="14080" max="14080" width="7.28515625" style="8" customWidth="1"/>
    <col min="14081" max="14081" width="5.5703125" style="8" customWidth="1"/>
    <col min="14082" max="14082" width="9" style="8" customWidth="1"/>
    <col min="14083" max="14084" width="9.85546875" style="8" customWidth="1"/>
    <col min="14085" max="14085" width="11.140625" style="8" customWidth="1"/>
    <col min="14086" max="14086" width="2.85546875" style="8" customWidth="1"/>
    <col min="14087" max="14087" width="3.5703125" style="8" customWidth="1"/>
    <col min="14088" max="14332" width="9.140625" style="8"/>
    <col min="14333" max="14333" width="8.7109375" style="8" customWidth="1"/>
    <col min="14334" max="14334" width="9.85546875" style="8" customWidth="1"/>
    <col min="14335" max="14335" width="14.42578125" style="8" customWidth="1"/>
    <col min="14336" max="14336" width="7.28515625" style="8" customWidth="1"/>
    <col min="14337" max="14337" width="5.5703125" style="8" customWidth="1"/>
    <col min="14338" max="14338" width="9" style="8" customWidth="1"/>
    <col min="14339" max="14340" width="9.85546875" style="8" customWidth="1"/>
    <col min="14341" max="14341" width="11.140625" style="8" customWidth="1"/>
    <col min="14342" max="14342" width="2.85546875" style="8" customWidth="1"/>
    <col min="14343" max="14343" width="3.5703125" style="8" customWidth="1"/>
    <col min="14344" max="14588" width="9.140625" style="8"/>
    <col min="14589" max="14589" width="8.7109375" style="8" customWidth="1"/>
    <col min="14590" max="14590" width="9.85546875" style="8" customWidth="1"/>
    <col min="14591" max="14591" width="14.42578125" style="8" customWidth="1"/>
    <col min="14592" max="14592" width="7.28515625" style="8" customWidth="1"/>
    <col min="14593" max="14593" width="5.5703125" style="8" customWidth="1"/>
    <col min="14594" max="14594" width="9" style="8" customWidth="1"/>
    <col min="14595" max="14596" width="9.85546875" style="8" customWidth="1"/>
    <col min="14597" max="14597" width="11.140625" style="8" customWidth="1"/>
    <col min="14598" max="14598" width="2.85546875" style="8" customWidth="1"/>
    <col min="14599" max="14599" width="3.5703125" style="8" customWidth="1"/>
    <col min="14600" max="14844" width="9.140625" style="8"/>
    <col min="14845" max="14845" width="8.7109375" style="8" customWidth="1"/>
    <col min="14846" max="14846" width="9.85546875" style="8" customWidth="1"/>
    <col min="14847" max="14847" width="14.42578125" style="8" customWidth="1"/>
    <col min="14848" max="14848" width="7.28515625" style="8" customWidth="1"/>
    <col min="14849" max="14849" width="5.5703125" style="8" customWidth="1"/>
    <col min="14850" max="14850" width="9" style="8" customWidth="1"/>
    <col min="14851" max="14852" width="9.85546875" style="8" customWidth="1"/>
    <col min="14853" max="14853" width="11.140625" style="8" customWidth="1"/>
    <col min="14854" max="14854" width="2.85546875" style="8" customWidth="1"/>
    <col min="14855" max="14855" width="3.5703125" style="8" customWidth="1"/>
    <col min="14856" max="15100" width="9.140625" style="8"/>
    <col min="15101" max="15101" width="8.7109375" style="8" customWidth="1"/>
    <col min="15102" max="15102" width="9.85546875" style="8" customWidth="1"/>
    <col min="15103" max="15103" width="14.42578125" style="8" customWidth="1"/>
    <col min="15104" max="15104" width="7.28515625" style="8" customWidth="1"/>
    <col min="15105" max="15105" width="5.5703125" style="8" customWidth="1"/>
    <col min="15106" max="15106" width="9" style="8" customWidth="1"/>
    <col min="15107" max="15108" width="9.85546875" style="8" customWidth="1"/>
    <col min="15109" max="15109" width="11.140625" style="8" customWidth="1"/>
    <col min="15110" max="15110" width="2.85546875" style="8" customWidth="1"/>
    <col min="15111" max="15111" width="3.5703125" style="8" customWidth="1"/>
    <col min="15112" max="15356" width="9.140625" style="8"/>
    <col min="15357" max="15357" width="8.7109375" style="8" customWidth="1"/>
    <col min="15358" max="15358" width="9.85546875" style="8" customWidth="1"/>
    <col min="15359" max="15359" width="14.42578125" style="8" customWidth="1"/>
    <col min="15360" max="15360" width="7.28515625" style="8" customWidth="1"/>
    <col min="15361" max="15361" width="5.5703125" style="8" customWidth="1"/>
    <col min="15362" max="15362" width="9" style="8" customWidth="1"/>
    <col min="15363" max="15364" width="9.85546875" style="8" customWidth="1"/>
    <col min="15365" max="15365" width="11.140625" style="8" customWidth="1"/>
    <col min="15366" max="15366" width="2.85546875" style="8" customWidth="1"/>
    <col min="15367" max="15367" width="3.5703125" style="8" customWidth="1"/>
    <col min="15368" max="15612" width="9.140625" style="8"/>
    <col min="15613" max="15613" width="8.7109375" style="8" customWidth="1"/>
    <col min="15614" max="15614" width="9.85546875" style="8" customWidth="1"/>
    <col min="15615" max="15615" width="14.42578125" style="8" customWidth="1"/>
    <col min="15616" max="15616" width="7.28515625" style="8" customWidth="1"/>
    <col min="15617" max="15617" width="5.5703125" style="8" customWidth="1"/>
    <col min="15618" max="15618" width="9" style="8" customWidth="1"/>
    <col min="15619" max="15620" width="9.85546875" style="8" customWidth="1"/>
    <col min="15621" max="15621" width="11.140625" style="8" customWidth="1"/>
    <col min="15622" max="15622" width="2.85546875" style="8" customWidth="1"/>
    <col min="15623" max="15623" width="3.5703125" style="8" customWidth="1"/>
    <col min="15624" max="15868" width="9.140625" style="8"/>
    <col min="15869" max="15869" width="8.7109375" style="8" customWidth="1"/>
    <col min="15870" max="15870" width="9.85546875" style="8" customWidth="1"/>
    <col min="15871" max="15871" width="14.42578125" style="8" customWidth="1"/>
    <col min="15872" max="15872" width="7.28515625" style="8" customWidth="1"/>
    <col min="15873" max="15873" width="5.5703125" style="8" customWidth="1"/>
    <col min="15874" max="15874" width="9" style="8" customWidth="1"/>
    <col min="15875" max="15876" width="9.85546875" style="8" customWidth="1"/>
    <col min="15877" max="15877" width="11.140625" style="8" customWidth="1"/>
    <col min="15878" max="15878" width="2.85546875" style="8" customWidth="1"/>
    <col min="15879" max="15879" width="3.5703125" style="8" customWidth="1"/>
    <col min="15880" max="16124" width="9.140625" style="8"/>
    <col min="16125" max="16125" width="8.7109375" style="8" customWidth="1"/>
    <col min="16126" max="16126" width="9.85546875" style="8" customWidth="1"/>
    <col min="16127" max="16127" width="14.42578125" style="8" customWidth="1"/>
    <col min="16128" max="16128" width="7.28515625" style="8" customWidth="1"/>
    <col min="16129" max="16129" width="5.5703125" style="8" customWidth="1"/>
    <col min="16130" max="16130" width="9" style="8" customWidth="1"/>
    <col min="16131" max="16132" width="9.85546875" style="8" customWidth="1"/>
    <col min="16133" max="16133" width="11.140625" style="8" customWidth="1"/>
    <col min="16134" max="16134" width="2.85546875" style="8" customWidth="1"/>
    <col min="16135" max="16135" width="3.5703125" style="8" customWidth="1"/>
    <col min="16136" max="16384" width="9.140625" style="8"/>
  </cols>
  <sheetData>
    <row r="1" spans="1:8" ht="46.5" customHeight="1" x14ac:dyDescent="0.25">
      <c r="A1" s="171" t="s">
        <v>228</v>
      </c>
      <c r="B1" s="171"/>
      <c r="C1" s="171"/>
      <c r="D1" s="171"/>
      <c r="E1" s="171"/>
      <c r="F1" s="171"/>
      <c r="G1" s="171"/>
      <c r="H1" s="171"/>
    </row>
    <row r="2" spans="1:8" ht="16.5" customHeight="1" x14ac:dyDescent="0.25">
      <c r="A2" s="163" t="s">
        <v>0</v>
      </c>
      <c r="B2" s="163"/>
      <c r="C2" s="163"/>
      <c r="D2" s="163"/>
      <c r="E2" s="163"/>
      <c r="F2" s="163"/>
      <c r="G2" s="163"/>
      <c r="H2" s="163"/>
    </row>
    <row r="3" spans="1:8" x14ac:dyDescent="0.25">
      <c r="A3" s="104" t="s">
        <v>1</v>
      </c>
      <c r="B3" s="104"/>
      <c r="C3" s="104"/>
      <c r="D3" s="104"/>
      <c r="E3" s="172" t="str">
        <f ca="1">TEXT(TODAY(),"DD/MM/YYYY")</f>
        <v>18/08/2025</v>
      </c>
      <c r="F3" s="172"/>
      <c r="G3" s="172"/>
      <c r="H3" s="172"/>
    </row>
    <row r="4" spans="1:8" ht="15" customHeight="1" x14ac:dyDescent="0.25">
      <c r="A4" s="104" t="s">
        <v>2</v>
      </c>
      <c r="B4" s="104"/>
      <c r="C4" s="104"/>
      <c r="D4" s="104"/>
      <c r="E4" s="169" t="s">
        <v>182</v>
      </c>
      <c r="F4" s="169"/>
      <c r="G4" s="169"/>
      <c r="H4" s="169"/>
    </row>
    <row r="5" spans="1:8" x14ac:dyDescent="0.25">
      <c r="A5" s="104" t="s">
        <v>3</v>
      </c>
      <c r="B5" s="104"/>
      <c r="C5" s="104"/>
      <c r="D5" s="104"/>
      <c r="E5" s="157">
        <v>45881</v>
      </c>
      <c r="F5" s="157"/>
      <c r="G5" s="157"/>
      <c r="H5" s="157"/>
    </row>
    <row r="6" spans="1:8" ht="16.5" customHeight="1" x14ac:dyDescent="0.25">
      <c r="A6" s="104" t="s">
        <v>4</v>
      </c>
      <c r="B6" s="104"/>
      <c r="C6" s="104"/>
      <c r="D6" s="104"/>
      <c r="E6" s="115" t="s">
        <v>152</v>
      </c>
      <c r="F6" s="115"/>
      <c r="G6" s="115"/>
      <c r="H6" s="115"/>
    </row>
    <row r="7" spans="1:8" ht="15" customHeight="1" x14ac:dyDescent="0.25">
      <c r="A7" s="104" t="s">
        <v>5</v>
      </c>
      <c r="B7" s="104"/>
      <c r="C7" s="104"/>
      <c r="D7" s="104"/>
      <c r="E7" s="115" t="str">
        <f>E6</f>
        <v>M/s.Shubham Infra</v>
      </c>
      <c r="F7" s="115"/>
      <c r="G7" s="115"/>
      <c r="H7" s="115"/>
    </row>
    <row r="8" spans="1:8" x14ac:dyDescent="0.25">
      <c r="A8" s="104" t="s">
        <v>6</v>
      </c>
      <c r="B8" s="104"/>
      <c r="C8" s="104"/>
      <c r="D8" s="104"/>
      <c r="E8" s="136" t="s">
        <v>221</v>
      </c>
      <c r="F8" s="136"/>
      <c r="G8" s="136"/>
      <c r="H8" s="136"/>
    </row>
    <row r="9" spans="1:8" x14ac:dyDescent="0.25">
      <c r="A9" s="104" t="s">
        <v>227</v>
      </c>
      <c r="B9" s="104"/>
      <c r="C9" s="104"/>
      <c r="D9" s="104"/>
      <c r="E9" s="104">
        <v>7021803360</v>
      </c>
      <c r="F9" s="104"/>
      <c r="G9" s="104"/>
      <c r="H9" s="104"/>
    </row>
    <row r="10" spans="1:8" x14ac:dyDescent="0.25">
      <c r="A10" s="104" t="s">
        <v>226</v>
      </c>
      <c r="B10" s="104"/>
      <c r="C10" s="104"/>
      <c r="D10" s="104"/>
      <c r="E10" s="104" t="s">
        <v>262</v>
      </c>
      <c r="F10" s="104"/>
      <c r="G10" s="104"/>
      <c r="H10" s="104"/>
    </row>
    <row r="11" spans="1:8" ht="50.45" customHeight="1" x14ac:dyDescent="0.25">
      <c r="A11" s="158" t="s">
        <v>7</v>
      </c>
      <c r="B11" s="158"/>
      <c r="C11" s="158"/>
      <c r="D11" s="158"/>
      <c r="E11" s="155" t="s">
        <v>154</v>
      </c>
      <c r="F11" s="158"/>
      <c r="G11" s="158"/>
      <c r="H11" s="158"/>
    </row>
    <row r="12" spans="1:8" x14ac:dyDescent="0.25">
      <c r="A12" s="104" t="s">
        <v>8</v>
      </c>
      <c r="B12" s="104"/>
      <c r="C12" s="104"/>
      <c r="D12" s="104"/>
      <c r="E12" s="155" t="s">
        <v>185</v>
      </c>
      <c r="F12" s="155"/>
      <c r="G12" s="155"/>
      <c r="H12" s="155"/>
    </row>
    <row r="13" spans="1:8" x14ac:dyDescent="0.25">
      <c r="A13" s="104" t="s">
        <v>9</v>
      </c>
      <c r="B13" s="104"/>
      <c r="C13" s="104"/>
      <c r="D13" s="104"/>
      <c r="E13" s="155" t="s">
        <v>155</v>
      </c>
      <c r="F13" s="158"/>
      <c r="G13" s="158"/>
      <c r="H13" s="158"/>
    </row>
    <row r="14" spans="1:8" ht="34.5" customHeight="1" x14ac:dyDescent="0.25">
      <c r="A14" s="115" t="s">
        <v>10</v>
      </c>
      <c r="B14" s="115"/>
      <c r="C14" s="115" t="str">
        <f>CONCATENATE((IF(OR(E8="",E8="NA"),"",E8)),", ",(IF(OR(A15="",A15="NA"),"",A15)),".",(IF(OR(C15="",C15="NA"),"",C15)),", ",(IF(OR(C16="",C16="NA"),"",C16)),", ",(IF(OR(G16="",G16="NA"),"",G16)),", ",(IF(OR(C17="",C17="NA"),"",C17)),", ",(IF(OR(C18="",C18="NA"),"",C18)),", ",(IF(OR(G17="",G17="NA"),"",G17)),".")</f>
        <v>Jijai Angan, Survey No.66 &amp; H.No.8, 10, 11 &amp; 12, Taloja Phase 1 Road, Ghot, Taloja Panchnand, Panvel, Raigad.</v>
      </c>
      <c r="D14" s="115"/>
      <c r="E14" s="115"/>
      <c r="F14" s="115"/>
      <c r="G14" s="115"/>
      <c r="H14" s="115"/>
    </row>
    <row r="15" spans="1:8" ht="15.75" customHeight="1" x14ac:dyDescent="0.25">
      <c r="A15" s="155" t="s">
        <v>163</v>
      </c>
      <c r="B15" s="155"/>
      <c r="C15" s="155" t="s">
        <v>156</v>
      </c>
      <c r="D15" s="155"/>
      <c r="E15" s="155"/>
      <c r="F15" s="155"/>
      <c r="G15" s="155"/>
      <c r="H15" s="155"/>
    </row>
    <row r="16" spans="1:8" ht="15.75" customHeight="1" x14ac:dyDescent="0.25">
      <c r="A16" s="115" t="s">
        <v>11</v>
      </c>
      <c r="B16" s="115"/>
      <c r="C16" s="158" t="s">
        <v>162</v>
      </c>
      <c r="D16" s="158"/>
      <c r="E16" s="115" t="s">
        <v>104</v>
      </c>
      <c r="F16" s="115"/>
      <c r="G16" s="155" t="s">
        <v>157</v>
      </c>
      <c r="H16" s="155"/>
    </row>
    <row r="17" spans="1:8" x14ac:dyDescent="0.25">
      <c r="A17" s="104" t="s">
        <v>13</v>
      </c>
      <c r="B17" s="104"/>
      <c r="C17" s="155" t="s">
        <v>161</v>
      </c>
      <c r="D17" s="155"/>
      <c r="E17" s="115" t="s">
        <v>12</v>
      </c>
      <c r="F17" s="115"/>
      <c r="G17" s="159" t="s">
        <v>159</v>
      </c>
      <c r="H17" s="159"/>
    </row>
    <row r="18" spans="1:8" x14ac:dyDescent="0.25">
      <c r="A18" s="104" t="s">
        <v>105</v>
      </c>
      <c r="B18" s="104"/>
      <c r="C18" s="155" t="s">
        <v>158</v>
      </c>
      <c r="D18" s="155"/>
      <c r="E18" s="115" t="s">
        <v>14</v>
      </c>
      <c r="F18" s="115"/>
      <c r="G18" s="155">
        <v>410208</v>
      </c>
      <c r="H18" s="155"/>
    </row>
    <row r="19" spans="1:8" ht="32.25" customHeight="1" x14ac:dyDescent="0.25">
      <c r="A19" s="104" t="s">
        <v>15</v>
      </c>
      <c r="B19" s="104"/>
      <c r="C19" s="173" t="s">
        <v>187</v>
      </c>
      <c r="D19" s="173"/>
      <c r="E19" s="115" t="s">
        <v>16</v>
      </c>
      <c r="F19" s="115"/>
      <c r="G19" s="155" t="s">
        <v>160</v>
      </c>
      <c r="H19" s="155"/>
    </row>
    <row r="20" spans="1:8" ht="15" customHeight="1" x14ac:dyDescent="0.25">
      <c r="A20" s="115" t="s">
        <v>109</v>
      </c>
      <c r="B20" s="115"/>
      <c r="C20" s="115"/>
      <c r="D20" s="115"/>
      <c r="E20" s="158" t="s">
        <v>17</v>
      </c>
      <c r="F20" s="158"/>
      <c r="G20" s="158"/>
      <c r="H20" s="158"/>
    </row>
    <row r="21" spans="1:8" ht="18.75" customHeight="1" x14ac:dyDescent="0.25">
      <c r="A21" s="115"/>
      <c r="B21" s="115"/>
      <c r="C21" s="115"/>
      <c r="D21" s="115"/>
      <c r="E21" s="158"/>
      <c r="F21" s="158"/>
      <c r="G21" s="158"/>
      <c r="H21" s="158"/>
    </row>
    <row r="22" spans="1:8" ht="15" customHeight="1" x14ac:dyDescent="0.25">
      <c r="A22" s="115" t="s">
        <v>18</v>
      </c>
      <c r="B22" s="115"/>
      <c r="C22" s="115"/>
      <c r="D22" s="115"/>
      <c r="E22" s="155" t="s">
        <v>19</v>
      </c>
      <c r="F22" s="155"/>
      <c r="G22" s="155"/>
      <c r="H22" s="155"/>
    </row>
    <row r="23" spans="1:8" ht="15" customHeight="1" x14ac:dyDescent="0.25">
      <c r="A23" s="104" t="s">
        <v>20</v>
      </c>
      <c r="B23" s="104"/>
      <c r="C23" s="104"/>
      <c r="D23" s="104"/>
      <c r="E23" s="155" t="s">
        <v>164</v>
      </c>
      <c r="F23" s="155"/>
      <c r="G23" s="155"/>
      <c r="H23" s="155"/>
    </row>
    <row r="24" spans="1:8" x14ac:dyDescent="0.25">
      <c r="A24" s="104" t="s">
        <v>21</v>
      </c>
      <c r="B24" s="104"/>
      <c r="C24" s="104"/>
      <c r="D24" s="104"/>
      <c r="E24" s="155" t="s">
        <v>22</v>
      </c>
      <c r="F24" s="155"/>
      <c r="G24" s="155"/>
      <c r="H24" s="155"/>
    </row>
    <row r="25" spans="1:8" x14ac:dyDescent="0.25">
      <c r="A25" s="104" t="s">
        <v>23</v>
      </c>
      <c r="B25" s="104"/>
      <c r="C25" s="104"/>
      <c r="D25" s="104"/>
      <c r="E25" s="155" t="s">
        <v>165</v>
      </c>
      <c r="F25" s="155"/>
      <c r="G25" s="155"/>
      <c r="H25" s="155"/>
    </row>
    <row r="26" spans="1:8" x14ac:dyDescent="0.25">
      <c r="A26" s="104" t="s">
        <v>24</v>
      </c>
      <c r="B26" s="104"/>
      <c r="C26" s="104"/>
      <c r="D26" s="104"/>
      <c r="E26" s="155" t="s">
        <v>25</v>
      </c>
      <c r="F26" s="155"/>
      <c r="G26" s="155"/>
      <c r="H26" s="155"/>
    </row>
    <row r="27" spans="1:8" x14ac:dyDescent="0.25">
      <c r="A27" s="104" t="s">
        <v>114</v>
      </c>
      <c r="B27" s="104"/>
      <c r="C27" s="104"/>
      <c r="D27" s="104"/>
      <c r="E27" s="155" t="s">
        <v>115</v>
      </c>
      <c r="F27" s="155"/>
      <c r="G27" s="155"/>
      <c r="H27" s="155"/>
    </row>
    <row r="28" spans="1:8" ht="15" customHeight="1" x14ac:dyDescent="0.25">
      <c r="A28" s="115" t="s">
        <v>34</v>
      </c>
      <c r="B28" s="115"/>
      <c r="C28" s="115"/>
      <c r="D28" s="115"/>
      <c r="E28" s="169" t="s">
        <v>181</v>
      </c>
      <c r="F28" s="169"/>
      <c r="G28" s="169"/>
      <c r="H28" s="169"/>
    </row>
    <row r="29" spans="1:8" x14ac:dyDescent="0.25">
      <c r="A29" s="115" t="s">
        <v>127</v>
      </c>
      <c r="B29" s="115"/>
      <c r="C29" s="115"/>
      <c r="D29" s="115"/>
      <c r="E29" s="115" t="s">
        <v>35</v>
      </c>
      <c r="F29" s="115"/>
      <c r="G29" s="115"/>
      <c r="H29" s="115"/>
    </row>
    <row r="30" spans="1:8" s="12" customFormat="1" x14ac:dyDescent="0.25">
      <c r="A30" s="161" t="s">
        <v>128</v>
      </c>
      <c r="B30" s="161"/>
      <c r="C30" s="160" t="s">
        <v>30</v>
      </c>
      <c r="D30" s="160"/>
      <c r="E30" s="160"/>
      <c r="F30" s="160" t="s">
        <v>32</v>
      </c>
      <c r="G30" s="160"/>
      <c r="H30" s="160"/>
    </row>
    <row r="31" spans="1:8" s="12" customFormat="1" x14ac:dyDescent="0.25">
      <c r="A31" s="162" t="s">
        <v>26</v>
      </c>
      <c r="B31" s="162" t="s">
        <v>31</v>
      </c>
      <c r="C31" s="142" t="s">
        <v>242</v>
      </c>
      <c r="D31" s="142"/>
      <c r="E31" s="142"/>
      <c r="F31" s="142" t="s">
        <v>245</v>
      </c>
      <c r="G31" s="142"/>
      <c r="H31" s="142"/>
    </row>
    <row r="32" spans="1:8" x14ac:dyDescent="0.25">
      <c r="A32" s="162" t="s">
        <v>27</v>
      </c>
      <c r="B32" s="162" t="s">
        <v>31</v>
      </c>
      <c r="C32" s="142" t="s">
        <v>243</v>
      </c>
      <c r="D32" s="142"/>
      <c r="E32" s="142"/>
      <c r="F32" s="142" t="s">
        <v>11</v>
      </c>
      <c r="G32" s="142"/>
      <c r="H32" s="142"/>
    </row>
    <row r="33" spans="1:9" s="12" customFormat="1" x14ac:dyDescent="0.25">
      <c r="A33" s="162" t="s">
        <v>29</v>
      </c>
      <c r="B33" s="162" t="s">
        <v>31</v>
      </c>
      <c r="C33" s="142" t="s">
        <v>241</v>
      </c>
      <c r="D33" s="142"/>
      <c r="E33" s="142"/>
      <c r="F33" s="142" t="s">
        <v>245</v>
      </c>
      <c r="G33" s="142"/>
      <c r="H33" s="142"/>
    </row>
    <row r="34" spans="1:9" x14ac:dyDescent="0.25">
      <c r="A34" s="162" t="s">
        <v>28</v>
      </c>
      <c r="B34" s="162" t="s">
        <v>31</v>
      </c>
      <c r="C34" s="142" t="s">
        <v>244</v>
      </c>
      <c r="D34" s="142"/>
      <c r="E34" s="142"/>
      <c r="F34" s="142" t="s">
        <v>246</v>
      </c>
      <c r="G34" s="142"/>
      <c r="H34" s="142"/>
    </row>
    <row r="35" spans="1:9" x14ac:dyDescent="0.25">
      <c r="A35" s="104" t="s">
        <v>33</v>
      </c>
      <c r="B35" s="104"/>
      <c r="C35" s="104"/>
      <c r="D35" s="104"/>
      <c r="E35" s="104"/>
      <c r="F35" s="104"/>
      <c r="G35" s="104"/>
      <c r="H35" s="104"/>
    </row>
    <row r="36" spans="1:9" ht="15.75" customHeight="1" x14ac:dyDescent="0.25">
      <c r="A36" s="163" t="s">
        <v>229</v>
      </c>
      <c r="B36" s="163"/>
      <c r="C36" s="164" t="s">
        <v>240</v>
      </c>
      <c r="D36" s="165"/>
      <c r="E36" s="165"/>
      <c r="F36" s="165"/>
      <c r="G36" s="165"/>
      <c r="H36" s="166"/>
    </row>
    <row r="37" spans="1:9" ht="15.75" customHeight="1" x14ac:dyDescent="0.25">
      <c r="A37" s="163" t="s">
        <v>230</v>
      </c>
      <c r="B37" s="163"/>
      <c r="C37" s="167" t="s">
        <v>231</v>
      </c>
      <c r="D37" s="165"/>
      <c r="E37" s="165"/>
      <c r="F37" s="165"/>
      <c r="G37" s="165"/>
      <c r="H37" s="166"/>
    </row>
    <row r="38" spans="1:9" x14ac:dyDescent="0.25">
      <c r="A38" s="136" t="s">
        <v>36</v>
      </c>
      <c r="B38" s="136"/>
      <c r="C38" s="136"/>
      <c r="D38" s="136"/>
      <c r="E38" s="136"/>
      <c r="F38" s="136"/>
      <c r="G38" s="136"/>
      <c r="H38" s="136"/>
    </row>
    <row r="39" spans="1:9" x14ac:dyDescent="0.25">
      <c r="A39" s="104" t="s">
        <v>37</v>
      </c>
      <c r="B39" s="104"/>
      <c r="C39" s="104"/>
      <c r="D39" s="104"/>
      <c r="E39" s="176">
        <v>6363.665</v>
      </c>
      <c r="F39" s="176"/>
      <c r="G39" s="176"/>
      <c r="H39" s="176"/>
    </row>
    <row r="40" spans="1:9" x14ac:dyDescent="0.25">
      <c r="A40" s="104" t="s">
        <v>38</v>
      </c>
      <c r="B40" s="104"/>
      <c r="C40" s="104"/>
      <c r="D40" s="104"/>
      <c r="E40" s="168">
        <f>7000.031/E39</f>
        <v>1.0999999214289249</v>
      </c>
      <c r="F40" s="168"/>
      <c r="G40" s="168"/>
      <c r="H40" s="168"/>
    </row>
    <row r="41" spans="1:9" x14ac:dyDescent="0.25">
      <c r="A41" s="104" t="s">
        <v>39</v>
      </c>
      <c r="B41" s="104"/>
      <c r="C41" s="104"/>
      <c r="D41" s="104"/>
      <c r="E41" s="168">
        <f>E43/E39-E40</f>
        <v>1.0750484194249699</v>
      </c>
      <c r="F41" s="168"/>
      <c r="G41" s="168"/>
      <c r="H41" s="168"/>
    </row>
    <row r="42" spans="1:9" x14ac:dyDescent="0.25">
      <c r="A42" s="104" t="s">
        <v>40</v>
      </c>
      <c r="B42" s="104"/>
      <c r="C42" s="104"/>
      <c r="D42" s="104"/>
      <c r="E42" s="168">
        <f>E40+E41</f>
        <v>2.1750483408538948</v>
      </c>
      <c r="F42" s="168"/>
      <c r="G42" s="168"/>
      <c r="H42" s="168"/>
    </row>
    <row r="43" spans="1:9" x14ac:dyDescent="0.25">
      <c r="A43" s="104" t="s">
        <v>126</v>
      </c>
      <c r="B43" s="104"/>
      <c r="C43" s="104"/>
      <c r="D43" s="104"/>
      <c r="E43" s="170">
        <v>13841.279</v>
      </c>
      <c r="F43" s="170"/>
      <c r="G43" s="170"/>
      <c r="H43" s="170"/>
    </row>
    <row r="44" spans="1:9" x14ac:dyDescent="0.25">
      <c r="A44" s="158" t="s">
        <v>41</v>
      </c>
      <c r="B44" s="158"/>
      <c r="C44" s="158"/>
      <c r="D44" s="158"/>
      <c r="E44" s="158" t="s">
        <v>186</v>
      </c>
      <c r="F44" s="158"/>
      <c r="G44" s="158"/>
      <c r="H44" s="158"/>
    </row>
    <row r="45" spans="1:9" x14ac:dyDescent="0.25">
      <c r="A45" s="136" t="s">
        <v>42</v>
      </c>
      <c r="B45" s="136"/>
      <c r="C45" s="136"/>
      <c r="D45" s="136"/>
      <c r="E45" s="136"/>
      <c r="F45" s="136"/>
      <c r="G45" s="136"/>
      <c r="H45" s="136"/>
    </row>
    <row r="46" spans="1:9" ht="15.75" customHeight="1" x14ac:dyDescent="0.25">
      <c r="A46" s="115" t="s">
        <v>43</v>
      </c>
      <c r="B46" s="115"/>
      <c r="C46" s="135" t="s">
        <v>247</v>
      </c>
      <c r="D46" s="135"/>
      <c r="E46" s="135"/>
      <c r="F46" s="41" t="s">
        <v>44</v>
      </c>
      <c r="G46" s="156">
        <v>44999</v>
      </c>
      <c r="H46" s="106"/>
      <c r="I46" s="71"/>
    </row>
    <row r="47" spans="1:9" ht="31.5" customHeight="1" x14ac:dyDescent="0.25">
      <c r="A47" s="115" t="s">
        <v>257</v>
      </c>
      <c r="B47" s="115"/>
      <c r="C47" s="155" t="str">
        <f>C46</f>
        <v>PMC/NRV/16091/JK.579/2023</v>
      </c>
      <c r="D47" s="155"/>
      <c r="E47" s="155"/>
      <c r="F47" s="75" t="s">
        <v>44</v>
      </c>
      <c r="G47" s="157">
        <f>G46</f>
        <v>44999</v>
      </c>
      <c r="H47" s="158"/>
    </row>
    <row r="48" spans="1:9" ht="33.75" customHeight="1" x14ac:dyDescent="0.25">
      <c r="A48" s="115" t="s">
        <v>256</v>
      </c>
      <c r="B48" s="115"/>
      <c r="C48" s="155" t="s">
        <v>214</v>
      </c>
      <c r="D48" s="155"/>
      <c r="E48" s="155"/>
      <c r="F48" s="75" t="s">
        <v>44</v>
      </c>
      <c r="G48" s="157">
        <v>44447</v>
      </c>
      <c r="H48" s="158"/>
    </row>
    <row r="49" spans="1:11" s="11" customFormat="1" ht="34.5" customHeight="1" x14ac:dyDescent="0.25">
      <c r="A49" s="155" t="s">
        <v>237</v>
      </c>
      <c r="B49" s="155"/>
      <c r="C49" s="135" t="s">
        <v>248</v>
      </c>
      <c r="D49" s="106"/>
      <c r="E49" s="106"/>
      <c r="F49" s="14" t="s">
        <v>44</v>
      </c>
      <c r="G49" s="156">
        <v>44999</v>
      </c>
      <c r="H49" s="106"/>
    </row>
    <row r="50" spans="1:11" s="11" customFormat="1" ht="82.5" customHeight="1" x14ac:dyDescent="0.25">
      <c r="A50" s="155"/>
      <c r="B50" s="155"/>
      <c r="C50" s="152" t="s">
        <v>249</v>
      </c>
      <c r="D50" s="153"/>
      <c r="E50" s="153"/>
      <c r="F50" s="153"/>
      <c r="G50" s="153"/>
      <c r="H50" s="154"/>
    </row>
    <row r="51" spans="1:11" ht="51" customHeight="1" x14ac:dyDescent="0.25">
      <c r="A51" s="109" t="s">
        <v>45</v>
      </c>
      <c r="B51" s="109"/>
      <c r="C51" s="110" t="s">
        <v>264</v>
      </c>
      <c r="D51" s="111"/>
      <c r="E51" s="111" t="s">
        <v>46</v>
      </c>
      <c r="F51" s="42" t="s">
        <v>44</v>
      </c>
      <c r="G51" s="107">
        <v>45415</v>
      </c>
      <c r="H51" s="108"/>
    </row>
    <row r="52" spans="1:11" x14ac:dyDescent="0.25">
      <c r="A52" s="112" t="s">
        <v>48</v>
      </c>
      <c r="B52" s="112"/>
      <c r="C52" s="112"/>
      <c r="D52" s="112"/>
      <c r="E52" s="112"/>
      <c r="F52" s="112"/>
      <c r="G52" s="112"/>
      <c r="H52" s="112"/>
    </row>
    <row r="53" spans="1:11" x14ac:dyDescent="0.25">
      <c r="A53" s="115" t="s">
        <v>125</v>
      </c>
      <c r="B53" s="115"/>
      <c r="C53" s="115"/>
      <c r="D53" s="104">
        <f>E43</f>
        <v>13841.279</v>
      </c>
      <c r="E53" s="104"/>
      <c r="F53" s="104"/>
      <c r="G53" s="104"/>
      <c r="H53" s="104"/>
    </row>
    <row r="54" spans="1:11" x14ac:dyDescent="0.25">
      <c r="A54" s="155" t="s">
        <v>49</v>
      </c>
      <c r="B54" s="158"/>
      <c r="C54" s="158"/>
      <c r="D54" s="158" t="s">
        <v>259</v>
      </c>
      <c r="E54" s="158"/>
      <c r="F54" s="158"/>
      <c r="G54" s="158"/>
      <c r="H54" s="158"/>
    </row>
    <row r="55" spans="1:11" ht="48.75" customHeight="1" x14ac:dyDescent="0.25">
      <c r="A55" s="155" t="s">
        <v>50</v>
      </c>
      <c r="B55" s="158"/>
      <c r="C55" s="158"/>
      <c r="D55" s="155" t="s">
        <v>213</v>
      </c>
      <c r="E55" s="158"/>
      <c r="F55" s="158"/>
      <c r="G55" s="158"/>
      <c r="H55" s="158"/>
    </row>
    <row r="56" spans="1:11" ht="49.5" customHeight="1" x14ac:dyDescent="0.25">
      <c r="A56" s="155" t="s">
        <v>123</v>
      </c>
      <c r="B56" s="158"/>
      <c r="C56" s="158"/>
      <c r="D56" s="155" t="s">
        <v>213</v>
      </c>
      <c r="E56" s="158"/>
      <c r="F56" s="158"/>
      <c r="G56" s="158"/>
      <c r="H56" s="158"/>
    </row>
    <row r="57" spans="1:11" ht="15.75" customHeight="1" x14ac:dyDescent="0.25">
      <c r="A57" s="104" t="s">
        <v>47</v>
      </c>
      <c r="B57" s="104"/>
      <c r="C57" s="104"/>
      <c r="D57" s="115" t="s">
        <v>250</v>
      </c>
      <c r="E57" s="115"/>
      <c r="F57" s="115"/>
      <c r="G57" s="115"/>
      <c r="H57" s="115"/>
    </row>
    <row r="58" spans="1:11" ht="15.75" customHeight="1" x14ac:dyDescent="0.25">
      <c r="A58" s="104" t="s">
        <v>120</v>
      </c>
      <c r="B58" s="104"/>
      <c r="C58" s="104"/>
      <c r="D58" s="115" t="s">
        <v>121</v>
      </c>
      <c r="E58" s="115"/>
      <c r="F58" s="115"/>
      <c r="G58" s="115"/>
      <c r="H58" s="115"/>
    </row>
    <row r="59" spans="1:11" ht="15.75" customHeight="1" x14ac:dyDescent="0.25">
      <c r="A59" s="104" t="s">
        <v>122</v>
      </c>
      <c r="B59" s="104"/>
      <c r="C59" s="104"/>
      <c r="D59" s="115" t="s">
        <v>25</v>
      </c>
      <c r="E59" s="115"/>
      <c r="F59" s="115"/>
      <c r="G59" s="115"/>
      <c r="H59" s="115"/>
      <c r="J59" s="22"/>
      <c r="K59" s="22"/>
    </row>
    <row r="60" spans="1:11" ht="15.75" customHeight="1" thickBot="1" x14ac:dyDescent="0.3">
      <c r="A60" s="151" t="s">
        <v>119</v>
      </c>
      <c r="B60" s="151"/>
      <c r="C60" s="151"/>
      <c r="D60" s="150" t="s">
        <v>179</v>
      </c>
      <c r="E60" s="150"/>
      <c r="F60" s="150"/>
      <c r="G60" s="150"/>
      <c r="H60" s="150"/>
      <c r="J60" s="22"/>
      <c r="K60" s="22"/>
    </row>
    <row r="61" spans="1:11" ht="15.75" customHeight="1" x14ac:dyDescent="0.25">
      <c r="A61" s="113" t="s">
        <v>194</v>
      </c>
      <c r="B61" s="114"/>
      <c r="C61" s="114" t="s">
        <v>216</v>
      </c>
      <c r="D61" s="114"/>
      <c r="E61" s="114"/>
      <c r="F61" s="114"/>
      <c r="G61" s="114"/>
      <c r="H61" s="132"/>
      <c r="I61" s="55" t="str">
        <f ca="1">(IF(E65&gt;99%,"All work completed. Please provide OC.",IF(E65&gt;89.8%,"Plinth, RCC, Brick, Plaster, Flooring, Painting work Completed. Finishing work is in process.",IF(E65&lt;94%,(IF(C65=0,"Work not yet Started.",IF(D65=25%,"Piling work in process",IF(D65=50%,"Excavation work in process",IF(D65=100%,"Excavation work Completed. ","0")))&amp;(IF(C66=0%,"",IF(C66=J67,"Footing work is process",IF(C66=J68,"Footing work Completed",IF(C66=J69,"1st Basement Completed",IF(C66=J70,"1st &amp; 2nd Basement Completed",IF(C66=J71,"1st to 3rd Basement Completed",IF(C66=J72,"1st to 4th Basement Completed",IF(C66=J73,"Plinth work is process",IF(C66=J74,"Plinth work completed","0")))))))))))&amp;(IF(C67=(D62+F62+H62),", RCC Slab",IF(C67&gt;0,", RCC upto "&amp;C67&amp;" Slab",""))&amp;(IF(C68=H62,", Brickwork",IF(C68&gt;0,", Brickwork upto "&amp;C68&amp;" Floor",""))&amp;(IF(C69=H62,", Internal Plaster",IF(C69&gt;0,", Internal Plaster upto "&amp;C69&amp;" Floor",""))&amp;(IF(C70=H62,", External Plaster",IF(C70&gt;0,", External Plaster upto "&amp;C70&amp;" Floor",""))&amp;(IF(C71=H62,", Flooring",IF(C71&gt;0,", Flooring upto "&amp;C71&amp;" Floor",""))&amp;(IF(C72=H62,", Painting",IF(C72&gt;0,", Painting upto "&amp;C72&amp;" Floor",""))&amp;(IF(C73&gt;0,", Finishing upto "&amp;C73&amp;" Floor","")&amp;(IF(C67&gt;0.5," Completed",""))))))))))))))</f>
        <v>Plinth, RCC, Brick, Plaster, Flooring, Painting work Completed. Finishing work is in process.</v>
      </c>
      <c r="J61" s="24"/>
      <c r="K61" s="24"/>
    </row>
    <row r="62" spans="1:11" x14ac:dyDescent="0.25">
      <c r="A62" s="23" t="s">
        <v>101</v>
      </c>
      <c r="B62" s="54">
        <v>0</v>
      </c>
      <c r="C62" s="54" t="s">
        <v>103</v>
      </c>
      <c r="D62" s="54">
        <v>1</v>
      </c>
      <c r="E62" s="54" t="s">
        <v>102</v>
      </c>
      <c r="F62" s="54">
        <v>0</v>
      </c>
      <c r="G62" s="54" t="s">
        <v>113</v>
      </c>
      <c r="H62" s="43">
        <f ca="1">--TRIM(RIGHT(SUBSTITUTE(LEFT(C61,_xlfn.AGGREGATE(16,6,FIND({0,1,2,3,4,5,6,7,8,9},C61,ROW(INDIRECT("1:"&amp;LEN(C61)))),1))," ",REPT(" ",LEN(C61))),LEN(C61)))</f>
        <v>14</v>
      </c>
      <c r="I62" s="22"/>
      <c r="J62" s="25"/>
      <c r="K62" s="25"/>
    </row>
    <row r="63" spans="1:11" ht="34.9" customHeight="1" x14ac:dyDescent="0.25">
      <c r="A63" s="146" t="s">
        <v>124</v>
      </c>
      <c r="B63" s="145"/>
      <c r="C63" s="179" t="str">
        <f ca="1">I61</f>
        <v>Plinth, RCC, Brick, Plaster, Flooring, Painting work Completed. Finishing work is in process.</v>
      </c>
      <c r="D63" s="179"/>
      <c r="E63" s="179"/>
      <c r="F63" s="179"/>
      <c r="G63" s="179"/>
      <c r="H63" s="180"/>
      <c r="I63" s="22" t="s">
        <v>137</v>
      </c>
      <c r="J63" s="25"/>
      <c r="K63" s="25"/>
    </row>
    <row r="64" spans="1:11" x14ac:dyDescent="0.25">
      <c r="A64" s="140" t="s">
        <v>51</v>
      </c>
      <c r="B64" s="130"/>
      <c r="C64" s="44" t="s">
        <v>195</v>
      </c>
      <c r="D64" s="44" t="s">
        <v>116</v>
      </c>
      <c r="E64" s="130" t="s">
        <v>118</v>
      </c>
      <c r="F64" s="130"/>
      <c r="G64" s="130" t="s">
        <v>117</v>
      </c>
      <c r="H64" s="131"/>
      <c r="I64" s="56" t="s">
        <v>196</v>
      </c>
      <c r="J64" s="26">
        <f ca="1">H62*25%</f>
        <v>3.5</v>
      </c>
      <c r="K64" s="26"/>
    </row>
    <row r="65" spans="1:11" x14ac:dyDescent="0.25">
      <c r="A65" s="140" t="s">
        <v>197</v>
      </c>
      <c r="B65" s="130"/>
      <c r="C65" s="45">
        <f ca="1">J66</f>
        <v>14</v>
      </c>
      <c r="D65" s="52">
        <f ca="1">((100/H62)*C65)/100</f>
        <v>1</v>
      </c>
      <c r="E65" s="148">
        <f ca="1">(((C66/H62*10)+(40/(D62+F62+H62)*C67)+(7.5/(H62)*C68)+(7.5/(H62)*C69)+(10/H62*C70)+(10/H62*C71)+(5/H62*C72)+(5/H62*C73)+(5/H62*C74))/100)</f>
        <v>0.93928571428571428</v>
      </c>
      <c r="F65" s="148"/>
      <c r="G65" s="148">
        <f ca="1">((((C65/H62)*20)+((C66/H62)*25)+(30/(H62+F62+D62)*C67)+(5/H62*C68)+(5/H62*C69)+(5/H62*C70)+(5/H62*C71)+(0/H62*C72)+(0/H62*C73)+(5/H62*C74))/100)</f>
        <v>0.95</v>
      </c>
      <c r="H65" s="177"/>
      <c r="I65" s="56" t="s">
        <v>131</v>
      </c>
      <c r="J65" s="57">
        <f ca="1">H62*50%</f>
        <v>7</v>
      </c>
      <c r="K65" s="26"/>
    </row>
    <row r="66" spans="1:11" x14ac:dyDescent="0.25">
      <c r="A66" s="140" t="s">
        <v>52</v>
      </c>
      <c r="B66" s="130"/>
      <c r="C66" s="46">
        <v>14</v>
      </c>
      <c r="D66" s="52">
        <f ca="1">((100/H62)*C66)/100</f>
        <v>1</v>
      </c>
      <c r="E66" s="148"/>
      <c r="F66" s="148"/>
      <c r="G66" s="148"/>
      <c r="H66" s="177"/>
      <c r="I66" s="56" t="s">
        <v>132</v>
      </c>
      <c r="J66" s="57">
        <f ca="1">H62</f>
        <v>14</v>
      </c>
      <c r="K66" s="27"/>
    </row>
    <row r="67" spans="1:11" x14ac:dyDescent="0.25">
      <c r="A67" s="140" t="s">
        <v>211</v>
      </c>
      <c r="B67" s="130"/>
      <c r="C67" s="46">
        <v>15</v>
      </c>
      <c r="D67" s="52">
        <f ca="1">((100/(D62+F62+H62))*C67)/100</f>
        <v>1</v>
      </c>
      <c r="E67" s="148"/>
      <c r="F67" s="148"/>
      <c r="G67" s="148"/>
      <c r="H67" s="177"/>
      <c r="I67" s="56" t="s">
        <v>133</v>
      </c>
      <c r="J67" s="58">
        <f ca="1">(IF(B62&gt;1,(H62/(B62+2)),H62/4))</f>
        <v>3.5</v>
      </c>
      <c r="K67" s="27"/>
    </row>
    <row r="68" spans="1:11" x14ac:dyDescent="0.25">
      <c r="A68" s="140" t="s">
        <v>198</v>
      </c>
      <c r="B68" s="130" t="s">
        <v>199</v>
      </c>
      <c r="C68" s="45">
        <v>14</v>
      </c>
      <c r="D68" s="52">
        <f ca="1">((100/H62)*C68)/100</f>
        <v>1</v>
      </c>
      <c r="E68" s="148"/>
      <c r="F68" s="148"/>
      <c r="G68" s="148"/>
      <c r="H68" s="177"/>
      <c r="I68" s="56" t="s">
        <v>134</v>
      </c>
      <c r="J68" s="58">
        <f ca="1">(IF(B62&gt;1,(H62/(B62+2)+J67),H62/4+J67))</f>
        <v>7</v>
      </c>
      <c r="K68" s="27"/>
    </row>
    <row r="69" spans="1:11" x14ac:dyDescent="0.25">
      <c r="A69" s="140" t="s">
        <v>200</v>
      </c>
      <c r="B69" s="130" t="s">
        <v>199</v>
      </c>
      <c r="C69" s="45">
        <v>14</v>
      </c>
      <c r="D69" s="52">
        <f ca="1">((100/H62)*C69)/100</f>
        <v>1</v>
      </c>
      <c r="E69" s="148"/>
      <c r="F69" s="148"/>
      <c r="G69" s="148"/>
      <c r="H69" s="177"/>
      <c r="I69" s="56" t="s">
        <v>201</v>
      </c>
      <c r="J69" s="58">
        <f>(IF(B62&gt;1,(H62/(B62+2)+J68),0))</f>
        <v>0</v>
      </c>
      <c r="K69" s="27"/>
    </row>
    <row r="70" spans="1:11" ht="15" customHeight="1" x14ac:dyDescent="0.25">
      <c r="A70" s="141" t="s">
        <v>202</v>
      </c>
      <c r="B70" s="142" t="s">
        <v>203</v>
      </c>
      <c r="C70" s="45">
        <v>14</v>
      </c>
      <c r="D70" s="52">
        <f ca="1">((100/(H62))*C70)/100</f>
        <v>1</v>
      </c>
      <c r="E70" s="148"/>
      <c r="F70" s="148"/>
      <c r="G70" s="148"/>
      <c r="H70" s="177"/>
      <c r="I70" s="56" t="s">
        <v>204</v>
      </c>
      <c r="J70" s="58">
        <f>(IF(B62&gt;2,(H62/(B62+2)+J69),0))</f>
        <v>0</v>
      </c>
      <c r="K70" s="27"/>
    </row>
    <row r="71" spans="1:11" x14ac:dyDescent="0.25">
      <c r="A71" s="140" t="s">
        <v>205</v>
      </c>
      <c r="B71" s="130" t="s">
        <v>205</v>
      </c>
      <c r="C71" s="45">
        <v>14</v>
      </c>
      <c r="D71" s="52">
        <f ca="1">((100/H62)*C71)/100</f>
        <v>1</v>
      </c>
      <c r="E71" s="148"/>
      <c r="F71" s="148"/>
      <c r="G71" s="148"/>
      <c r="H71" s="177"/>
      <c r="I71" s="56" t="s">
        <v>206</v>
      </c>
      <c r="J71" s="59">
        <f>(IF(B62&gt;3,(H62/(B62+2)+J70),0))</f>
        <v>0</v>
      </c>
      <c r="K71" s="27"/>
    </row>
    <row r="72" spans="1:11" x14ac:dyDescent="0.25">
      <c r="A72" s="140" t="s">
        <v>207</v>
      </c>
      <c r="B72" s="130"/>
      <c r="C72" s="45">
        <v>13</v>
      </c>
      <c r="D72" s="52">
        <f ca="1">((100/H62)*C72)/100</f>
        <v>0.9285714285714286</v>
      </c>
      <c r="E72" s="148"/>
      <c r="F72" s="148"/>
      <c r="G72" s="148"/>
      <c r="H72" s="177"/>
      <c r="I72" s="56" t="s">
        <v>208</v>
      </c>
      <c r="J72" s="58">
        <f>(IF(B62&gt;4,(H62/(B62+2)+J71),0))</f>
        <v>0</v>
      </c>
      <c r="K72" s="27"/>
    </row>
    <row r="73" spans="1:11" ht="15" customHeight="1" x14ac:dyDescent="0.25">
      <c r="A73" s="140" t="s">
        <v>209</v>
      </c>
      <c r="B73" s="130" t="s">
        <v>209</v>
      </c>
      <c r="C73" s="45">
        <v>12</v>
      </c>
      <c r="D73" s="52">
        <f ca="1">((100/(H62))*C73)/100</f>
        <v>0.85714285714285721</v>
      </c>
      <c r="E73" s="148"/>
      <c r="F73" s="148"/>
      <c r="G73" s="148"/>
      <c r="H73" s="177"/>
      <c r="I73" s="56" t="s">
        <v>135</v>
      </c>
      <c r="J73" s="58">
        <f ca="1">(IF(B62=1,(H62/(B62+3)+J68),IF(B62=0,(H62/4+J68),IF(B62&gt;1,0))))</f>
        <v>10.5</v>
      </c>
      <c r="K73" s="27"/>
    </row>
    <row r="74" spans="1:11" ht="16.5" thickBot="1" x14ac:dyDescent="0.3">
      <c r="A74" s="143" t="s">
        <v>210</v>
      </c>
      <c r="B74" s="144"/>
      <c r="C74" s="47">
        <v>0</v>
      </c>
      <c r="D74" s="53">
        <f ca="1">((100/(H62))*C74)/100</f>
        <v>0</v>
      </c>
      <c r="E74" s="149"/>
      <c r="F74" s="149"/>
      <c r="G74" s="149"/>
      <c r="H74" s="178"/>
      <c r="I74" s="60" t="s">
        <v>136</v>
      </c>
      <c r="J74" s="61">
        <f ca="1">(IF(B62&gt;1.5,(H62/(B62+2)+J68+MAX(0,J69-J68)+MAX(0,J70-J69)+MAX(0,J71-J70)+MAX(0,J72-J71)+MAX(0,J73-J72)),IF(B62=1,(H62/(B62+3)+J73),IF(B62=0,H62/4+J73))))</f>
        <v>14</v>
      </c>
      <c r="K74" s="28"/>
    </row>
    <row r="75" spans="1:11" ht="33.75" customHeight="1" x14ac:dyDescent="0.25">
      <c r="A75" s="113" t="s">
        <v>194</v>
      </c>
      <c r="B75" s="114"/>
      <c r="C75" s="114" t="s">
        <v>233</v>
      </c>
      <c r="D75" s="114"/>
      <c r="E75" s="114"/>
      <c r="F75" s="114"/>
      <c r="G75" s="114"/>
      <c r="H75" s="132"/>
      <c r="I75" s="55" t="str">
        <f ca="1">(IF(E81&gt;99%,"All work completed. Please provide OC.",IF(E81&gt;89.8%,"Plinth, RCC, Brick, Plaster, Flooring, Painting work Completed. Finishing work is in process.",IF(E81&lt;94%,(IF(C81=0,"Work not yet Started.",IF(D81=25%,"Piling work in process",IF(D81=50%,"Excavation work in process",IF(D81=100%,"Excavation work Completed. ","0")))&amp;(IF(C82=0%,"",IF(C82=J83,"Footing work is process",IF(C82=J84,"Footing work Completed",IF(C82=J85,"1st Basement Completed",IF(C82=J86,"1st &amp; 2nd Basement Completed",IF(C82=J87,"1st to 3rd Basement Completed",IF(C82=J88,"1st to 4th Basement Completed",IF(C82=J89,"Plinth work is process",IF(C82=J90,"Plinth work completed","0")))))))))))&amp;(IF(C83=(D76+F76+H76),", RCC Slab",IF(C83&gt;0,", RCC upto "&amp;C83&amp;" Slab",""))&amp;(IF(C84=H76,", Brickwork",IF(C84&gt;0,", Brickwork upto "&amp;C84&amp;" Floor",""))&amp;(IF(C85=H76,", Internal Plaster",IF(C85&gt;0,", Internal Plaster upto "&amp;C85&amp;" Floor",""))&amp;(IF(C86=H76,", External Plaster",IF(C86&gt;0,", External Plaster upto "&amp;C86&amp;" Floor",""))&amp;(IF(C87=H76,", Flooring",IF(C87&gt;0,", Flooring upto "&amp;C87&amp;" Floor",""))&amp;(IF(C88=H76,", Painting",IF(C88&gt;0,", Painting upto "&amp;C88&amp;" Floor",""))&amp;(IF(C89&gt;0,", Finishing upto "&amp;C89&amp;" Floor","")&amp;(IF(C83&gt;0.5," Completed",""))))))))))))))</f>
        <v>All work completed. Please provide OC.</v>
      </c>
      <c r="J75" s="24"/>
      <c r="K75" s="24"/>
    </row>
    <row r="76" spans="1:11" x14ac:dyDescent="0.25">
      <c r="A76" s="23" t="s">
        <v>101</v>
      </c>
      <c r="B76" s="54">
        <v>0</v>
      </c>
      <c r="C76" s="54" t="s">
        <v>103</v>
      </c>
      <c r="D76" s="54">
        <v>1</v>
      </c>
      <c r="E76" s="54" t="s">
        <v>102</v>
      </c>
      <c r="F76" s="54">
        <v>0</v>
      </c>
      <c r="G76" s="54" t="s">
        <v>113</v>
      </c>
      <c r="H76" s="43">
        <f ca="1">--TRIM(RIGHT(SUBSTITUTE(LEFT(C75,_xlfn.AGGREGATE(16,6,FIND({0,1,2,3,4,5,6,7,8,9},C75,ROW(INDIRECT("1:"&amp;LEN(C75)))),1))," ",REPT(" ",LEN(C75))),LEN(C75)))</f>
        <v>7</v>
      </c>
      <c r="I76" s="22"/>
      <c r="J76" s="25"/>
      <c r="K76" s="25"/>
    </row>
    <row r="77" spans="1:11" x14ac:dyDescent="0.25">
      <c r="A77" s="146" t="s">
        <v>124</v>
      </c>
      <c r="B77" s="145"/>
      <c r="C77" s="179" t="str">
        <f>I77</f>
        <v>All work Completed. OC Received.</v>
      </c>
      <c r="D77" s="179"/>
      <c r="E77" s="179"/>
      <c r="F77" s="179"/>
      <c r="G77" s="179"/>
      <c r="H77" s="180"/>
      <c r="I77" s="22" t="s">
        <v>137</v>
      </c>
      <c r="J77" s="25"/>
      <c r="K77" s="25"/>
    </row>
    <row r="78" spans="1:11" s="2" customFormat="1" x14ac:dyDescent="0.25">
      <c r="A78" s="116" t="s">
        <v>118</v>
      </c>
      <c r="B78" s="117"/>
      <c r="C78" s="120">
        <v>1</v>
      </c>
      <c r="D78" s="121"/>
      <c r="E78" s="124" t="s">
        <v>117</v>
      </c>
      <c r="F78" s="121"/>
      <c r="G78" s="120">
        <v>1</v>
      </c>
      <c r="H78" s="125"/>
      <c r="I78" s="67"/>
      <c r="J78" s="68"/>
      <c r="K78" s="68"/>
    </row>
    <row r="79" spans="1:11" s="2" customFormat="1" ht="16.5" thickBot="1" x14ac:dyDescent="0.3">
      <c r="A79" s="118"/>
      <c r="B79" s="119"/>
      <c r="C79" s="122"/>
      <c r="D79" s="123"/>
      <c r="E79" s="122"/>
      <c r="F79" s="123"/>
      <c r="G79" s="122"/>
      <c r="H79" s="126"/>
      <c r="I79" s="67"/>
      <c r="J79" s="68"/>
      <c r="K79" s="68"/>
    </row>
    <row r="80" spans="1:11" ht="31.5" hidden="1" x14ac:dyDescent="0.25">
      <c r="A80" s="127" t="s">
        <v>51</v>
      </c>
      <c r="B80" s="128"/>
      <c r="C80" s="69" t="s">
        <v>195</v>
      </c>
      <c r="D80" s="69" t="s">
        <v>116</v>
      </c>
      <c r="E80" s="128" t="s">
        <v>118</v>
      </c>
      <c r="F80" s="128"/>
      <c r="G80" s="128" t="s">
        <v>117</v>
      </c>
      <c r="H80" s="129"/>
      <c r="I80" s="56" t="s">
        <v>196</v>
      </c>
      <c r="J80" s="26">
        <f ca="1">H76*25%</f>
        <v>1.75</v>
      </c>
      <c r="K80" s="26"/>
    </row>
    <row r="81" spans="1:11" hidden="1" x14ac:dyDescent="0.25">
      <c r="A81" s="140" t="s">
        <v>197</v>
      </c>
      <c r="B81" s="130"/>
      <c r="C81" s="45">
        <v>7</v>
      </c>
      <c r="D81" s="52">
        <f ca="1">((100/H76)*C81)/100</f>
        <v>1</v>
      </c>
      <c r="E81" s="148">
        <f ca="1">(((C82/H76*10)+(40/(D76+F76+H76)*C83)+(7.5/(H76)*C84)+(7.5/(H76)*C85)+(10/H76*C86)+(10/H76*C87)+(5/H76*C88)+(5/H76*C89)+(5/H76*C90))/100)</f>
        <v>1</v>
      </c>
      <c r="F81" s="148"/>
      <c r="G81" s="148">
        <f ca="1">((((C81/H76)*20)+((C82/H76)*25)+(30/(H76+F76+D76)*C83)+(5/H76*C84)+(5/H76*C85)+(5/H76*C86)+(5/H76*C87)+(0/H76*C88)+(0/H76*C89)+(5/H76*C90))/100)</f>
        <v>1</v>
      </c>
      <c r="H81" s="177"/>
      <c r="I81" s="56" t="s">
        <v>131</v>
      </c>
      <c r="J81" s="57">
        <f ca="1">H76*50%</f>
        <v>3.5</v>
      </c>
      <c r="K81" s="26"/>
    </row>
    <row r="82" spans="1:11" hidden="1" x14ac:dyDescent="0.25">
      <c r="A82" s="140" t="s">
        <v>52</v>
      </c>
      <c r="B82" s="130"/>
      <c r="C82" s="46">
        <v>7</v>
      </c>
      <c r="D82" s="52">
        <f ca="1">((100/H76)*C82)/100</f>
        <v>1</v>
      </c>
      <c r="E82" s="148"/>
      <c r="F82" s="148"/>
      <c r="G82" s="148"/>
      <c r="H82" s="177"/>
      <c r="I82" s="56" t="s">
        <v>132</v>
      </c>
      <c r="J82" s="57">
        <f ca="1">H76</f>
        <v>7</v>
      </c>
      <c r="K82" s="27"/>
    </row>
    <row r="83" spans="1:11" hidden="1" x14ac:dyDescent="0.25">
      <c r="A83" s="140" t="s">
        <v>211</v>
      </c>
      <c r="B83" s="130"/>
      <c r="C83" s="46">
        <v>8</v>
      </c>
      <c r="D83" s="52">
        <f ca="1">((100/(D76+F76+H76))*C83)/100</f>
        <v>1</v>
      </c>
      <c r="E83" s="148"/>
      <c r="F83" s="148"/>
      <c r="G83" s="148"/>
      <c r="H83" s="177"/>
      <c r="I83" s="56" t="s">
        <v>133</v>
      </c>
      <c r="J83" s="58">
        <f ca="1">(IF(B76&gt;1,(H76/(B76+2)),H76/4))</f>
        <v>1.75</v>
      </c>
      <c r="K83" s="27"/>
    </row>
    <row r="84" spans="1:11" hidden="1" x14ac:dyDescent="0.25">
      <c r="A84" s="140" t="s">
        <v>198</v>
      </c>
      <c r="B84" s="130" t="s">
        <v>199</v>
      </c>
      <c r="C84" s="45">
        <v>7</v>
      </c>
      <c r="D84" s="52">
        <f ca="1">((100/H76)*C84)/100</f>
        <v>1</v>
      </c>
      <c r="E84" s="148"/>
      <c r="F84" s="148"/>
      <c r="G84" s="148"/>
      <c r="H84" s="177"/>
      <c r="I84" s="56" t="s">
        <v>134</v>
      </c>
      <c r="J84" s="58">
        <f ca="1">(IF(B76&gt;1,(H76/(B76+2)+J83),H76/4+J83))</f>
        <v>3.5</v>
      </c>
      <c r="K84" s="27"/>
    </row>
    <row r="85" spans="1:11" hidden="1" x14ac:dyDescent="0.25">
      <c r="A85" s="140" t="s">
        <v>200</v>
      </c>
      <c r="B85" s="130" t="s">
        <v>199</v>
      </c>
      <c r="C85" s="45">
        <v>7</v>
      </c>
      <c r="D85" s="52">
        <f ca="1">((100/H76)*C85)/100</f>
        <v>1</v>
      </c>
      <c r="E85" s="148"/>
      <c r="F85" s="148"/>
      <c r="G85" s="148"/>
      <c r="H85" s="177"/>
      <c r="I85" s="56" t="s">
        <v>201</v>
      </c>
      <c r="J85" s="58">
        <f>(IF(B76&gt;1,(H76/(B76+2)+J84),0))</f>
        <v>0</v>
      </c>
      <c r="K85" s="27"/>
    </row>
    <row r="86" spans="1:11" ht="15" hidden="1" customHeight="1" x14ac:dyDescent="0.25">
      <c r="A86" s="141" t="s">
        <v>202</v>
      </c>
      <c r="B86" s="142" t="s">
        <v>203</v>
      </c>
      <c r="C86" s="45">
        <v>7</v>
      </c>
      <c r="D86" s="52">
        <f ca="1">((100/(H76))*C86)/100</f>
        <v>1</v>
      </c>
      <c r="E86" s="148"/>
      <c r="F86" s="148"/>
      <c r="G86" s="148"/>
      <c r="H86" s="177"/>
      <c r="I86" s="56" t="s">
        <v>204</v>
      </c>
      <c r="J86" s="58">
        <f>(IF(B76&gt;2,(H76/(B76+2)+J85),0))</f>
        <v>0</v>
      </c>
      <c r="K86" s="27"/>
    </row>
    <row r="87" spans="1:11" hidden="1" x14ac:dyDescent="0.25">
      <c r="A87" s="140" t="s">
        <v>205</v>
      </c>
      <c r="B87" s="130" t="s">
        <v>205</v>
      </c>
      <c r="C87" s="45">
        <v>7</v>
      </c>
      <c r="D87" s="52">
        <f ca="1">((100/H76)*C87)/100</f>
        <v>1</v>
      </c>
      <c r="E87" s="148"/>
      <c r="F87" s="148"/>
      <c r="G87" s="148"/>
      <c r="H87" s="177"/>
      <c r="I87" s="56" t="s">
        <v>206</v>
      </c>
      <c r="J87" s="59">
        <f>(IF(B76&gt;3,(H76/(B76+2)+J86),0))</f>
        <v>0</v>
      </c>
      <c r="K87" s="27"/>
    </row>
    <row r="88" spans="1:11" hidden="1" x14ac:dyDescent="0.25">
      <c r="A88" s="140" t="s">
        <v>207</v>
      </c>
      <c r="B88" s="130"/>
      <c r="C88" s="45">
        <v>7</v>
      </c>
      <c r="D88" s="52">
        <f ca="1">((100/H76)*C88)/100</f>
        <v>1</v>
      </c>
      <c r="E88" s="148"/>
      <c r="F88" s="148"/>
      <c r="G88" s="148"/>
      <c r="H88" s="177"/>
      <c r="I88" s="56" t="s">
        <v>208</v>
      </c>
      <c r="J88" s="58">
        <f>(IF(B76&gt;4,(H76/(B76+2)+J87),0))</f>
        <v>0</v>
      </c>
      <c r="K88" s="27"/>
    </row>
    <row r="89" spans="1:11" ht="15" hidden="1" customHeight="1" x14ac:dyDescent="0.25">
      <c r="A89" s="140" t="s">
        <v>209</v>
      </c>
      <c r="B89" s="130" t="s">
        <v>209</v>
      </c>
      <c r="C89" s="45">
        <v>7</v>
      </c>
      <c r="D89" s="52">
        <f ca="1">((100/(H76))*C89)/100</f>
        <v>1</v>
      </c>
      <c r="E89" s="148"/>
      <c r="F89" s="148"/>
      <c r="G89" s="148"/>
      <c r="H89" s="177"/>
      <c r="I89" s="56" t="s">
        <v>135</v>
      </c>
      <c r="J89" s="58">
        <f ca="1">(IF(B76=1,(H76/(B76+3)+J84),IF(B76=0,(H76/4+J84),IF(B76&gt;1,0))))</f>
        <v>5.25</v>
      </c>
      <c r="K89" s="27"/>
    </row>
    <row r="90" spans="1:11" ht="16.5" hidden="1" thickBot="1" x14ac:dyDescent="0.3">
      <c r="A90" s="143" t="s">
        <v>210</v>
      </c>
      <c r="B90" s="144"/>
      <c r="C90" s="47">
        <v>7</v>
      </c>
      <c r="D90" s="53">
        <f ca="1">((100/(H76))*C90)/100</f>
        <v>1</v>
      </c>
      <c r="E90" s="149"/>
      <c r="F90" s="149"/>
      <c r="G90" s="149"/>
      <c r="H90" s="178"/>
      <c r="I90" s="60" t="s">
        <v>136</v>
      </c>
      <c r="J90" s="61">
        <f ca="1">(IF(B76&gt;1.5,(H76/(B76+2)+J84+MAX(0,J85-J84)+MAX(0,J86-J85)+MAX(0,J87-J86)+MAX(0,J88-J87)+MAX(0,J89-J88)),IF(B76=1,(H76/(B76+3)+J89),IF(B76=0,H76/4+J89))))</f>
        <v>7</v>
      </c>
      <c r="K90" s="28"/>
    </row>
    <row r="91" spans="1:11" x14ac:dyDescent="0.25">
      <c r="A91" s="147" t="s">
        <v>180</v>
      </c>
      <c r="B91" s="147"/>
      <c r="C91" s="147"/>
      <c r="D91" s="147"/>
      <c r="E91" s="147"/>
      <c r="F91" s="147"/>
      <c r="G91" s="147"/>
      <c r="H91" s="147"/>
    </row>
    <row r="92" spans="1:11" x14ac:dyDescent="0.25">
      <c r="A92" s="104" t="s">
        <v>53</v>
      </c>
      <c r="B92" s="104"/>
      <c r="C92" s="104"/>
      <c r="D92" s="104"/>
      <c r="E92" s="104"/>
      <c r="F92" s="104"/>
      <c r="G92" s="104"/>
      <c r="H92" s="104"/>
    </row>
    <row r="93" spans="1:11" ht="15" customHeight="1" x14ac:dyDescent="0.25">
      <c r="A93" s="145" t="s">
        <v>106</v>
      </c>
      <c r="B93" s="145"/>
      <c r="C93" s="179" t="s">
        <v>107</v>
      </c>
      <c r="D93" s="179"/>
      <c r="E93" s="179"/>
      <c r="F93" s="179"/>
      <c r="G93" s="179"/>
      <c r="H93" s="179"/>
    </row>
    <row r="94" spans="1:11" x14ac:dyDescent="0.25">
      <c r="A94" s="136" t="s">
        <v>54</v>
      </c>
      <c r="B94" s="136"/>
      <c r="C94" s="136"/>
      <c r="D94" s="136"/>
      <c r="E94" s="136"/>
      <c r="F94" s="136"/>
      <c r="G94" s="136"/>
      <c r="H94" s="136"/>
    </row>
    <row r="95" spans="1:11" x14ac:dyDescent="0.25">
      <c r="A95" s="104" t="s">
        <v>235</v>
      </c>
      <c r="B95" s="104"/>
      <c r="C95" s="104"/>
      <c r="D95" s="104"/>
      <c r="E95" s="104"/>
      <c r="F95" s="106">
        <v>5000</v>
      </c>
      <c r="G95" s="106"/>
      <c r="H95" s="106"/>
    </row>
    <row r="96" spans="1:11" s="13" customFormat="1" x14ac:dyDescent="0.25">
      <c r="A96" s="104" t="s">
        <v>234</v>
      </c>
      <c r="B96" s="104"/>
      <c r="C96" s="104"/>
      <c r="D96" s="104"/>
      <c r="E96" s="104"/>
      <c r="F96" s="106">
        <v>11000</v>
      </c>
      <c r="G96" s="106"/>
      <c r="H96" s="106"/>
      <c r="I96" s="13" t="s">
        <v>238</v>
      </c>
      <c r="J96" s="13" t="s">
        <v>239</v>
      </c>
      <c r="K96" s="70">
        <v>45475</v>
      </c>
    </row>
    <row r="97" spans="1:10" s="13" customFormat="1" x14ac:dyDescent="0.25">
      <c r="A97" s="104" t="s">
        <v>189</v>
      </c>
      <c r="B97" s="104"/>
      <c r="C97" s="104"/>
      <c r="D97" s="104"/>
      <c r="E97" s="104"/>
      <c r="F97" s="105">
        <v>100000</v>
      </c>
      <c r="G97" s="106"/>
      <c r="H97" s="106"/>
    </row>
    <row r="98" spans="1:10" s="13" customFormat="1" x14ac:dyDescent="0.25">
      <c r="A98" s="104" t="s">
        <v>188</v>
      </c>
      <c r="B98" s="104"/>
      <c r="C98" s="104"/>
      <c r="D98" s="104"/>
      <c r="E98" s="104"/>
      <c r="F98" s="105">
        <v>35000</v>
      </c>
      <c r="G98" s="106"/>
      <c r="H98" s="106"/>
    </row>
    <row r="99" spans="1:10" s="13" customFormat="1" x14ac:dyDescent="0.25">
      <c r="A99" s="104" t="s">
        <v>212</v>
      </c>
      <c r="B99" s="104"/>
      <c r="C99" s="104"/>
      <c r="D99" s="104"/>
      <c r="E99" s="104"/>
      <c r="F99" s="105">
        <v>36000</v>
      </c>
      <c r="G99" s="106"/>
      <c r="H99" s="106"/>
      <c r="I99" s="13">
        <f>36/12</f>
        <v>3</v>
      </c>
    </row>
    <row r="100" spans="1:10" s="13" customFormat="1" x14ac:dyDescent="0.25">
      <c r="A100" s="104" t="s">
        <v>130</v>
      </c>
      <c r="B100" s="104"/>
      <c r="C100" s="104"/>
      <c r="D100" s="104"/>
      <c r="E100" s="104"/>
      <c r="F100" s="106">
        <v>50000</v>
      </c>
      <c r="G100" s="106"/>
      <c r="H100" s="106"/>
      <c r="I100" s="13">
        <f>35000/12</f>
        <v>2916.6666666666665</v>
      </c>
      <c r="J100" s="13">
        <f>36000/12</f>
        <v>3000</v>
      </c>
    </row>
    <row r="101" spans="1:10" s="13" customFormat="1" x14ac:dyDescent="0.25">
      <c r="A101" s="104" t="s">
        <v>129</v>
      </c>
      <c r="B101" s="104"/>
      <c r="C101" s="104"/>
      <c r="D101" s="104"/>
      <c r="E101" s="104"/>
      <c r="F101" s="105">
        <v>100000</v>
      </c>
      <c r="G101" s="106"/>
      <c r="H101" s="106"/>
      <c r="I101" s="66" t="s">
        <v>236</v>
      </c>
      <c r="J101" s="66"/>
    </row>
    <row r="102" spans="1:10" x14ac:dyDescent="0.25">
      <c r="A102" s="104" t="s">
        <v>55</v>
      </c>
      <c r="B102" s="104"/>
      <c r="C102" s="104"/>
      <c r="D102" s="104"/>
      <c r="E102" s="104"/>
      <c r="F102" s="134">
        <v>150000</v>
      </c>
      <c r="G102" s="135"/>
      <c r="H102" s="135"/>
    </row>
    <row r="103" spans="1:10" s="9" customFormat="1" x14ac:dyDescent="0.25">
      <c r="A103" s="136" t="s">
        <v>56</v>
      </c>
      <c r="B103" s="136"/>
      <c r="C103" s="136"/>
      <c r="D103" s="136"/>
      <c r="E103" s="136"/>
      <c r="F103" s="106">
        <f>F95*0.8</f>
        <v>4000</v>
      </c>
      <c r="G103" s="106"/>
      <c r="H103" s="106"/>
    </row>
    <row r="104" spans="1:10" s="1" customFormat="1" x14ac:dyDescent="0.25">
      <c r="A104" s="137" t="s">
        <v>219</v>
      </c>
      <c r="B104" s="137"/>
      <c r="C104" s="137"/>
      <c r="D104" s="137"/>
      <c r="E104" s="137"/>
      <c r="F104" s="137"/>
      <c r="G104" s="137"/>
      <c r="H104" s="137"/>
    </row>
    <row r="105" spans="1:10" s="1" customFormat="1" x14ac:dyDescent="0.25">
      <c r="A105" s="83" t="s">
        <v>57</v>
      </c>
      <c r="B105" s="83"/>
      <c r="C105" s="15" t="s">
        <v>111</v>
      </c>
      <c r="D105" s="175" t="s">
        <v>58</v>
      </c>
      <c r="E105" s="175"/>
      <c r="F105" s="83" t="s">
        <v>59</v>
      </c>
      <c r="G105" s="83"/>
      <c r="H105" s="83"/>
    </row>
    <row r="106" spans="1:10" s="1" customFormat="1" x14ac:dyDescent="0.25">
      <c r="A106" s="102" t="s">
        <v>166</v>
      </c>
      <c r="B106" s="102"/>
      <c r="C106" s="16">
        <f>COUNT(D121:D135)</f>
        <v>15</v>
      </c>
      <c r="D106" s="103">
        <f>SUM(D121:D135)</f>
        <v>4197.0773519999984</v>
      </c>
      <c r="E106" s="103"/>
      <c r="F106" s="79">
        <f>SUM(F121:F135)</f>
        <v>6715.3237632</v>
      </c>
      <c r="G106" s="79"/>
      <c r="H106" s="79"/>
    </row>
    <row r="107" spans="1:10" s="1" customFormat="1" x14ac:dyDescent="0.25">
      <c r="A107" s="137" t="s">
        <v>100</v>
      </c>
      <c r="B107" s="137"/>
      <c r="C107" s="137"/>
      <c r="D107" s="137"/>
      <c r="E107" s="137"/>
      <c r="F107" s="137"/>
      <c r="G107" s="137"/>
      <c r="H107" s="137"/>
    </row>
    <row r="108" spans="1:10" s="1" customFormat="1" x14ac:dyDescent="0.25">
      <c r="A108" s="83" t="s">
        <v>57</v>
      </c>
      <c r="B108" s="83"/>
      <c r="C108" s="15" t="s">
        <v>111</v>
      </c>
      <c r="D108" s="175" t="s">
        <v>58</v>
      </c>
      <c r="E108" s="175"/>
      <c r="F108" s="83" t="s">
        <v>59</v>
      </c>
      <c r="G108" s="83"/>
      <c r="H108" s="83"/>
    </row>
    <row r="109" spans="1:10" s="1" customFormat="1" x14ac:dyDescent="0.25">
      <c r="A109" s="102" t="s">
        <v>166</v>
      </c>
      <c r="B109" s="102"/>
      <c r="C109" s="16">
        <f>COUNT(D140:D148)+COUNT(D150:D158)+COUNT(D160:D168)*10+COUNT(D170:D178)*2</f>
        <v>126</v>
      </c>
      <c r="D109" s="103">
        <f>SUM(D140:D148)+SUM(D150:D158)+SUM(D160:D168)*10+SUM(D170:D178)*2</f>
        <v>67364.970893999998</v>
      </c>
      <c r="E109" s="103"/>
      <c r="F109" s="79">
        <f>SUM(F140:F148)+SUM(F150:F158)+SUM(F160:F168)*10+SUM(F170:F178)*2</f>
        <v>118331.20710450002</v>
      </c>
      <c r="G109" s="79"/>
      <c r="H109" s="79"/>
    </row>
    <row r="110" spans="1:10" s="1" customFormat="1" x14ac:dyDescent="0.25">
      <c r="A110" s="102" t="s">
        <v>172</v>
      </c>
      <c r="B110" s="102"/>
      <c r="C110" s="16">
        <f>COUNT(D182:D189)*4+COUNT(D191:D198)*3</f>
        <v>56</v>
      </c>
      <c r="D110" s="103">
        <f>SUM(D182:D189)*4+SUM(D191:D198)*3</f>
        <v>27468.942227999996</v>
      </c>
      <c r="E110" s="103"/>
      <c r="F110" s="79">
        <f>SUM(F182:F189)*4+SUM(F191:F198)*3</f>
        <v>50370</v>
      </c>
      <c r="G110" s="79"/>
      <c r="H110" s="79"/>
      <c r="J110" s="1">
        <f>56+56+28</f>
        <v>140</v>
      </c>
    </row>
    <row r="111" spans="1:10" s="1" customFormat="1" x14ac:dyDescent="0.25">
      <c r="A111" s="102" t="s">
        <v>183</v>
      </c>
      <c r="B111" s="102"/>
      <c r="C111" s="16">
        <f>COUNT(D203:D210)*3+COUNT(D212:D219)*3+COUNT(D221:D228)</f>
        <v>56</v>
      </c>
      <c r="D111" s="103">
        <f>SUM(D203:D210)*3+SUM(D212:D219)*3+SUM(D221:D228)</f>
        <v>27189.605663999999</v>
      </c>
      <c r="E111" s="103"/>
      <c r="F111" s="79">
        <f>SUM(F203:F210)*3+SUM(F212:F219)*3+SUM(F221:F228)</f>
        <v>49570</v>
      </c>
      <c r="G111" s="79"/>
      <c r="H111" s="79"/>
    </row>
    <row r="112" spans="1:10" s="1" customFormat="1" x14ac:dyDescent="0.25">
      <c r="A112" s="102" t="s">
        <v>184</v>
      </c>
      <c r="B112" s="102"/>
      <c r="C112" s="16">
        <f>COUNT(D232:D235)*3+COUNT(D237:D240)*3+COUNT(D242:D245)</f>
        <v>28</v>
      </c>
      <c r="D112" s="103">
        <f>SUM(D232:D235)*3+SUM(D237:D240)*3+SUM(D242:D245)</f>
        <v>9940.9307399999998</v>
      </c>
      <c r="E112" s="103"/>
      <c r="F112" s="79">
        <f>SUM(F232:F235)*3+SUM(F237:F240)*3+SUM(F242:F245)</f>
        <v>18790</v>
      </c>
      <c r="G112" s="79"/>
      <c r="H112" s="79"/>
    </row>
    <row r="113" spans="1:10" s="50" customFormat="1" ht="16.5" thickBot="1" x14ac:dyDescent="0.3">
      <c r="A113" s="80" t="s">
        <v>61</v>
      </c>
      <c r="B113" s="80"/>
      <c r="C113" s="64">
        <f>SUM(C109:C112)</f>
        <v>266</v>
      </c>
      <c r="D113" s="81">
        <f>SUM(D109:E112)</f>
        <v>131964.44952600001</v>
      </c>
      <c r="E113" s="81"/>
      <c r="F113" s="82">
        <f>SUM(F109:H112)</f>
        <v>237061.20710450003</v>
      </c>
      <c r="G113" s="82"/>
      <c r="H113" s="82"/>
    </row>
    <row r="114" spans="1:10" s="50" customFormat="1" ht="16.5" thickBot="1" x14ac:dyDescent="0.3">
      <c r="A114" s="85" t="s">
        <v>232</v>
      </c>
      <c r="B114" s="86"/>
      <c r="C114" s="65">
        <f>C106+C113</f>
        <v>281</v>
      </c>
      <c r="D114" s="87">
        <f>D106+D113</f>
        <v>136161.526878</v>
      </c>
      <c r="E114" s="87"/>
      <c r="F114" s="88">
        <f>F106+F113</f>
        <v>243776.53086770003</v>
      </c>
      <c r="G114" s="88"/>
      <c r="H114" s="89"/>
      <c r="J114" s="74">
        <f>10.764</f>
        <v>10.763999999999999</v>
      </c>
    </row>
    <row r="115" spans="1:10" s="9" customFormat="1" x14ac:dyDescent="0.25">
      <c r="A115" s="174" t="s">
        <v>62</v>
      </c>
      <c r="B115" s="174"/>
      <c r="C115" s="174"/>
      <c r="D115" s="174"/>
      <c r="E115" s="174"/>
      <c r="F115" s="174"/>
      <c r="G115" s="174"/>
      <c r="H115" s="174"/>
    </row>
    <row r="116" spans="1:10" x14ac:dyDescent="0.25">
      <c r="A116" s="163" t="s">
        <v>63</v>
      </c>
      <c r="B116" s="163"/>
      <c r="C116" s="163"/>
      <c r="D116" s="163"/>
      <c r="E116" s="163"/>
      <c r="F116" s="163"/>
      <c r="G116" s="163"/>
      <c r="H116" s="163"/>
    </row>
    <row r="117" spans="1:10" ht="47.25" customHeight="1" x14ac:dyDescent="0.25">
      <c r="A117" s="90" t="s">
        <v>108</v>
      </c>
      <c r="B117" s="91"/>
      <c r="C117" s="94" t="s">
        <v>64</v>
      </c>
      <c r="D117" s="94" t="s">
        <v>65</v>
      </c>
      <c r="E117" s="183" t="s">
        <v>66</v>
      </c>
      <c r="F117" s="94" t="s">
        <v>220</v>
      </c>
      <c r="G117" s="90" t="s">
        <v>67</v>
      </c>
      <c r="H117" s="91"/>
    </row>
    <row r="118" spans="1:10" s="2" customFormat="1" ht="15.75" customHeight="1" x14ac:dyDescent="0.25">
      <c r="A118" s="92"/>
      <c r="B118" s="93"/>
      <c r="C118" s="95"/>
      <c r="D118" s="95"/>
      <c r="E118" s="184"/>
      <c r="F118" s="95"/>
      <c r="G118" s="92"/>
      <c r="H118" s="93"/>
    </row>
    <row r="119" spans="1:10" s="2" customFormat="1" x14ac:dyDescent="0.25">
      <c r="A119" s="84" t="s">
        <v>166</v>
      </c>
      <c r="B119" s="84"/>
      <c r="C119" s="84"/>
      <c r="D119" s="84"/>
      <c r="E119" s="84"/>
      <c r="F119" s="84"/>
      <c r="G119" s="84"/>
      <c r="H119" s="84"/>
    </row>
    <row r="120" spans="1:10" s="2" customFormat="1" x14ac:dyDescent="0.25">
      <c r="A120" s="84" t="s">
        <v>251</v>
      </c>
      <c r="B120" s="84"/>
      <c r="C120" s="84"/>
      <c r="D120" s="84"/>
      <c r="E120" s="84"/>
      <c r="F120" s="84"/>
      <c r="G120" s="84"/>
      <c r="H120" s="84"/>
    </row>
    <row r="121" spans="1:10" s="2" customFormat="1" ht="15.75" customHeight="1" x14ac:dyDescent="0.25">
      <c r="A121" s="78">
        <v>1</v>
      </c>
      <c r="B121" s="78"/>
      <c r="C121" s="62" t="s">
        <v>215</v>
      </c>
      <c r="D121" s="74">
        <f>(27.397+2.5*3.65)*(10.764)</f>
        <v>393.12280799999996</v>
      </c>
      <c r="E121" s="62">
        <v>0</v>
      </c>
      <c r="F121" s="62">
        <f>D121*1.6+E121</f>
        <v>628.99649279999994</v>
      </c>
      <c r="G121" s="96" t="str">
        <f>A120</f>
        <v xml:space="preserve">Ground Floor For Commercial, Fitness Center, Drivers Room &amp; Parking </v>
      </c>
      <c r="H121" s="97"/>
      <c r="J121" s="2">
        <f>2.65+2.95+3.1*1.15</f>
        <v>9.1649999999999991</v>
      </c>
    </row>
    <row r="122" spans="1:10" s="2" customFormat="1" x14ac:dyDescent="0.25">
      <c r="A122" s="78">
        <v>2</v>
      </c>
      <c r="B122" s="78"/>
      <c r="C122" s="62" t="s">
        <v>215</v>
      </c>
      <c r="D122" s="74">
        <f>(23.752+2.5*3.1)*(10.764)</f>
        <v>339.08752799999996</v>
      </c>
      <c r="E122" s="62">
        <v>0</v>
      </c>
      <c r="F122" s="62">
        <f t="shared" ref="F122:F129" si="0">D122*1.6+E122</f>
        <v>542.54004479999992</v>
      </c>
      <c r="G122" s="98"/>
      <c r="H122" s="99"/>
      <c r="I122" s="72">
        <f>8.35*2.3+5.35*0.85</f>
        <v>23.752499999999998</v>
      </c>
      <c r="J122" s="2">
        <f>(3+2.3)*0.75</f>
        <v>3.9749999999999996</v>
      </c>
    </row>
    <row r="123" spans="1:10" s="2" customFormat="1" ht="15.75" customHeight="1" x14ac:dyDescent="0.25">
      <c r="A123" s="78">
        <v>3</v>
      </c>
      <c r="B123" s="78"/>
      <c r="C123" s="62" t="s">
        <v>215</v>
      </c>
      <c r="D123" s="74">
        <f>(28.796+2.5*2.1+0.7*0.9)*(10.764)</f>
        <v>373.25246399999997</v>
      </c>
      <c r="E123" s="62">
        <v>0</v>
      </c>
      <c r="F123" s="62">
        <f t="shared" si="0"/>
        <v>597.20394239999996</v>
      </c>
      <c r="G123" s="98"/>
      <c r="H123" s="99"/>
    </row>
    <row r="124" spans="1:10" s="2" customFormat="1" ht="15.75" customHeight="1" x14ac:dyDescent="0.25">
      <c r="A124" s="78">
        <v>4</v>
      </c>
      <c r="B124" s="78"/>
      <c r="C124" s="62" t="s">
        <v>215</v>
      </c>
      <c r="D124" s="74">
        <f>(16.794+2.19*2.3)*(10.764)</f>
        <v>234.98888399999998</v>
      </c>
      <c r="E124" s="62">
        <v>0</v>
      </c>
      <c r="F124" s="62">
        <f t="shared" si="0"/>
        <v>375.98221439999998</v>
      </c>
      <c r="G124" s="98"/>
      <c r="H124" s="99"/>
    </row>
    <row r="125" spans="1:10" s="2" customFormat="1" ht="15.75" customHeight="1" x14ac:dyDescent="0.25">
      <c r="A125" s="78">
        <v>5</v>
      </c>
      <c r="B125" s="78"/>
      <c r="C125" s="62" t="s">
        <v>215</v>
      </c>
      <c r="D125" s="74">
        <f>(18.3+1.83*3)*(10.764)</f>
        <v>256.07556</v>
      </c>
      <c r="E125" s="62">
        <v>0</v>
      </c>
      <c r="F125" s="62">
        <f t="shared" si="0"/>
        <v>409.72089600000004</v>
      </c>
      <c r="G125" s="98"/>
      <c r="H125" s="99"/>
    </row>
    <row r="126" spans="1:10" s="2" customFormat="1" ht="15.75" customHeight="1" x14ac:dyDescent="0.25">
      <c r="A126" s="78">
        <v>6</v>
      </c>
      <c r="B126" s="78"/>
      <c r="C126" s="62" t="s">
        <v>215</v>
      </c>
      <c r="D126" s="74">
        <f>(16.775+1.83*2.75)*(10.764)</f>
        <v>234.73592999999997</v>
      </c>
      <c r="E126" s="62">
        <v>0</v>
      </c>
      <c r="F126" s="62">
        <f t="shared" si="0"/>
        <v>375.57748799999996</v>
      </c>
      <c r="G126" s="98"/>
      <c r="H126" s="99"/>
      <c r="I126" s="72">
        <f>(6.1*2.75)</f>
        <v>16.774999999999999</v>
      </c>
    </row>
    <row r="127" spans="1:10" s="2" customFormat="1" ht="15.75" customHeight="1" x14ac:dyDescent="0.25">
      <c r="A127" s="78">
        <v>7</v>
      </c>
      <c r="B127" s="78"/>
      <c r="C127" s="62" t="s">
        <v>215</v>
      </c>
      <c r="D127" s="74">
        <f>(16.775+1.83*2.75)*(10.764)</f>
        <v>234.73592999999997</v>
      </c>
      <c r="E127" s="62">
        <v>0</v>
      </c>
      <c r="F127" s="62">
        <f t="shared" si="0"/>
        <v>375.57748799999996</v>
      </c>
      <c r="G127" s="98"/>
      <c r="H127" s="99"/>
    </row>
    <row r="128" spans="1:10" s="2" customFormat="1" ht="15.75" customHeight="1" x14ac:dyDescent="0.25">
      <c r="A128" s="78">
        <v>8</v>
      </c>
      <c r="B128" s="78"/>
      <c r="C128" s="62" t="s">
        <v>215</v>
      </c>
      <c r="D128" s="74">
        <f>(12.81+1.83*2.1)*(10.764)</f>
        <v>179.252892</v>
      </c>
      <c r="E128" s="62">
        <v>0</v>
      </c>
      <c r="F128" s="62">
        <f t="shared" si="0"/>
        <v>286.80462720000003</v>
      </c>
      <c r="G128" s="98"/>
      <c r="H128" s="99"/>
    </row>
    <row r="129" spans="1:11" s="2" customFormat="1" ht="15.75" customHeight="1" x14ac:dyDescent="0.25">
      <c r="A129" s="78">
        <v>9</v>
      </c>
      <c r="B129" s="78"/>
      <c r="C129" s="62" t="s">
        <v>215</v>
      </c>
      <c r="D129" s="74">
        <f>(16.47+1.83*2.7)*(10.764)</f>
        <v>230.46800400000001</v>
      </c>
      <c r="E129" s="62">
        <v>0</v>
      </c>
      <c r="F129" s="62">
        <f t="shared" si="0"/>
        <v>368.74880640000003</v>
      </c>
      <c r="G129" s="98"/>
      <c r="H129" s="99"/>
    </row>
    <row r="130" spans="1:11" s="2" customFormat="1" ht="15.75" customHeight="1" x14ac:dyDescent="0.25">
      <c r="A130" s="78">
        <v>10</v>
      </c>
      <c r="B130" s="78"/>
      <c r="C130" s="62" t="s">
        <v>215</v>
      </c>
      <c r="D130" s="74">
        <f>(16.47+1.83*2.7)*(10.764)</f>
        <v>230.46800400000001</v>
      </c>
      <c r="E130" s="62">
        <v>0</v>
      </c>
      <c r="F130" s="62">
        <f t="shared" ref="F130:F134" si="1">D130*1.6+E130</f>
        <v>368.74880640000003</v>
      </c>
      <c r="G130" s="98"/>
      <c r="H130" s="99"/>
    </row>
    <row r="131" spans="1:11" s="2" customFormat="1" ht="15.75" customHeight="1" x14ac:dyDescent="0.25">
      <c r="A131" s="78">
        <v>11</v>
      </c>
      <c r="B131" s="78"/>
      <c r="C131" s="62" t="s">
        <v>215</v>
      </c>
      <c r="D131" s="74">
        <f>(12.81+1.83*2.1)*(10.764)</f>
        <v>179.252892</v>
      </c>
      <c r="E131" s="62">
        <v>0</v>
      </c>
      <c r="F131" s="62">
        <f t="shared" si="1"/>
        <v>286.80462720000003</v>
      </c>
      <c r="G131" s="98"/>
      <c r="H131" s="99"/>
    </row>
    <row r="132" spans="1:11" s="2" customFormat="1" ht="15.75" customHeight="1" x14ac:dyDescent="0.25">
      <c r="A132" s="78">
        <v>12</v>
      </c>
      <c r="B132" s="78"/>
      <c r="C132" s="62" t="s">
        <v>215</v>
      </c>
      <c r="D132" s="74">
        <f>(16.775+1.83*2.75)*(10.764)</f>
        <v>234.73592999999997</v>
      </c>
      <c r="E132" s="62">
        <v>0</v>
      </c>
      <c r="F132" s="62">
        <f t="shared" si="1"/>
        <v>375.57748799999996</v>
      </c>
      <c r="G132" s="98"/>
      <c r="H132" s="99"/>
    </row>
    <row r="133" spans="1:11" s="2" customFormat="1" ht="15.75" customHeight="1" x14ac:dyDescent="0.25">
      <c r="A133" s="78">
        <v>13</v>
      </c>
      <c r="B133" s="78"/>
      <c r="C133" s="62" t="s">
        <v>215</v>
      </c>
      <c r="D133" s="74">
        <f>(16.775+1.83*2.75)*(10.764)</f>
        <v>234.73592999999997</v>
      </c>
      <c r="E133" s="62">
        <v>0</v>
      </c>
      <c r="F133" s="62">
        <f t="shared" si="1"/>
        <v>375.57748799999996</v>
      </c>
      <c r="G133" s="98"/>
      <c r="H133" s="99"/>
    </row>
    <row r="134" spans="1:11" s="2" customFormat="1" ht="15.75" customHeight="1" x14ac:dyDescent="0.25">
      <c r="A134" s="78">
        <v>14</v>
      </c>
      <c r="B134" s="78"/>
      <c r="C134" s="62" t="s">
        <v>215</v>
      </c>
      <c r="D134" s="74">
        <f>(26.123+4.05*6.45)*(10.764)</f>
        <v>562.37056199999995</v>
      </c>
      <c r="E134" s="62">
        <v>0</v>
      </c>
      <c r="F134" s="62">
        <f t="shared" si="1"/>
        <v>899.79289919999997</v>
      </c>
      <c r="G134" s="98"/>
      <c r="H134" s="99"/>
    </row>
    <row r="135" spans="1:11" s="2" customFormat="1" ht="15.75" customHeight="1" x14ac:dyDescent="0.25">
      <c r="A135" s="78">
        <v>15</v>
      </c>
      <c r="B135" s="78"/>
      <c r="C135" s="62" t="s">
        <v>215</v>
      </c>
      <c r="D135" s="74">
        <f>(19.995+3.1*1.935)*(10.764)</f>
        <v>279.79403400000001</v>
      </c>
      <c r="E135" s="62">
        <v>0</v>
      </c>
      <c r="F135" s="62">
        <f t="shared" ref="F135" si="2">D135*1.6+E135</f>
        <v>447.67045440000004</v>
      </c>
      <c r="G135" s="100"/>
      <c r="H135" s="101"/>
    </row>
    <row r="136" spans="1:11" s="2" customFormat="1" x14ac:dyDescent="0.25">
      <c r="A136" s="84"/>
      <c r="B136" s="84"/>
      <c r="C136" s="84"/>
      <c r="D136" s="84"/>
      <c r="E136" s="84"/>
      <c r="F136" s="84"/>
      <c r="G136" s="84"/>
      <c r="H136" s="84"/>
    </row>
    <row r="137" spans="1:11" ht="65.25" customHeight="1" x14ac:dyDescent="0.25">
      <c r="A137" s="139" t="s">
        <v>108</v>
      </c>
      <c r="B137" s="139"/>
      <c r="C137" s="63" t="s">
        <v>64</v>
      </c>
      <c r="D137" s="63" t="s">
        <v>65</v>
      </c>
      <c r="E137" s="17" t="s">
        <v>66</v>
      </c>
      <c r="F137" s="63" t="s">
        <v>261</v>
      </c>
      <c r="G137" s="139" t="s">
        <v>67</v>
      </c>
      <c r="H137" s="139"/>
    </row>
    <row r="138" spans="1:11" s="2" customFormat="1" x14ac:dyDescent="0.25">
      <c r="A138" s="84" t="s">
        <v>166</v>
      </c>
      <c r="B138" s="84"/>
      <c r="C138" s="84"/>
      <c r="D138" s="84"/>
      <c r="E138" s="84"/>
      <c r="F138" s="84"/>
      <c r="G138" s="84"/>
      <c r="H138" s="84"/>
    </row>
    <row r="139" spans="1:11" s="2" customFormat="1" x14ac:dyDescent="0.25">
      <c r="A139" s="84" t="s">
        <v>254</v>
      </c>
      <c r="B139" s="84"/>
      <c r="C139" s="84"/>
      <c r="D139" s="84"/>
      <c r="E139" s="84"/>
      <c r="F139" s="84"/>
      <c r="G139" s="84"/>
      <c r="H139" s="84"/>
    </row>
    <row r="140" spans="1:11" s="2" customFormat="1" x14ac:dyDescent="0.25">
      <c r="A140" s="78">
        <v>1</v>
      </c>
      <c r="B140" s="78"/>
      <c r="C140" s="62" t="s">
        <v>169</v>
      </c>
      <c r="D140" s="62">
        <f>(52.52+(0.75*(2.75+3.1+2.1+1.7)))*10.764</f>
        <v>643.22973000000002</v>
      </c>
      <c r="E140" s="62">
        <v>0</v>
      </c>
      <c r="F140" s="62">
        <f>D140*1.75+E140</f>
        <v>1125.6520275</v>
      </c>
      <c r="G140" s="78" t="str">
        <f>A139</f>
        <v>1st Floor For Residentail</v>
      </c>
      <c r="H140" s="78"/>
      <c r="I140" s="2">
        <f>4.8*3+2.45*1.6+2.75*2.4+3*2.65+2.1*1.2*2+2.2*1</f>
        <v>40.110000000000007</v>
      </c>
      <c r="J140" s="2">
        <f>2.65+2.95+3.1*1.15</f>
        <v>9.1649999999999991</v>
      </c>
      <c r="K140" s="2">
        <f>3*5.35+3*2.75+2*2.5+2.1*2.5+3.1*3.55+2.1*1.2+2.1*1.2</f>
        <v>50.594999999999999</v>
      </c>
    </row>
    <row r="141" spans="1:11" s="2" customFormat="1" ht="15.75" customHeight="1" x14ac:dyDescent="0.25">
      <c r="A141" s="78">
        <v>2</v>
      </c>
      <c r="B141" s="78"/>
      <c r="C141" s="62" t="s">
        <v>169</v>
      </c>
      <c r="D141" s="62">
        <f>(49.85+(0.75*(2.75+2.75+2.1)))*10.764</f>
        <v>597.94019999999989</v>
      </c>
      <c r="E141" s="62">
        <f>(2.6*2.6)*10.764</f>
        <v>72.76464</v>
      </c>
      <c r="F141" s="62">
        <f t="shared" ref="F141:F148" si="3">D141*1.75+E141</f>
        <v>1119.1599899999999</v>
      </c>
      <c r="G141" s="78"/>
      <c r="H141" s="78"/>
      <c r="I141" s="2">
        <f>4.25*3+2.1*1.6+2.9*2.4+1.5*0.9+1.2*1.5+1.2*0.9</f>
        <v>27.300000000000004</v>
      </c>
      <c r="J141" s="2">
        <f>(3+2.3)*0.75</f>
        <v>3.9749999999999996</v>
      </c>
    </row>
    <row r="142" spans="1:11" s="2" customFormat="1" ht="15.75" customHeight="1" x14ac:dyDescent="0.25">
      <c r="A142" s="78">
        <v>3</v>
      </c>
      <c r="B142" s="78"/>
      <c r="C142" s="62" t="s">
        <v>169</v>
      </c>
      <c r="D142" s="62">
        <f>(49.85+(0.75*(2.75+2.75+2.1)))*10.764</f>
        <v>597.94019999999989</v>
      </c>
      <c r="E142" s="62">
        <f>(2.6*2.6)*10.764</f>
        <v>72.76464</v>
      </c>
      <c r="F142" s="62">
        <f t="shared" si="3"/>
        <v>1119.1599899999999</v>
      </c>
      <c r="G142" s="78"/>
      <c r="H142" s="78"/>
    </row>
    <row r="143" spans="1:11" s="2" customFormat="1" ht="15.75" customHeight="1" x14ac:dyDescent="0.25">
      <c r="A143" s="78">
        <v>4</v>
      </c>
      <c r="B143" s="78"/>
      <c r="C143" s="62" t="s">
        <v>170</v>
      </c>
      <c r="D143" s="62">
        <f>(33.925+(0.75*(3+2.1)))*10.764</f>
        <v>406.34099999999995</v>
      </c>
      <c r="E143" s="62">
        <f>2.75*2*10.764</f>
        <v>59.201999999999998</v>
      </c>
      <c r="F143" s="62">
        <f t="shared" si="3"/>
        <v>770.29874999999993</v>
      </c>
      <c r="G143" s="78"/>
      <c r="H143" s="78"/>
    </row>
    <row r="144" spans="1:11" s="2" customFormat="1" ht="15.75" customHeight="1" x14ac:dyDescent="0.25">
      <c r="A144" s="78">
        <v>5</v>
      </c>
      <c r="B144" s="78"/>
      <c r="C144" s="62" t="s">
        <v>217</v>
      </c>
      <c r="D144" s="62">
        <f>(54.1+(0.75*(3.1+2.1+2.75+3.15)))*10.764</f>
        <v>671.94269999999995</v>
      </c>
      <c r="E144" s="62">
        <f>2.75*2*10.764</f>
        <v>59.201999999999998</v>
      </c>
      <c r="F144" s="62">
        <f t="shared" si="3"/>
        <v>1235.101725</v>
      </c>
      <c r="G144" s="78"/>
      <c r="H144" s="78"/>
    </row>
    <row r="145" spans="1:12" s="2" customFormat="1" ht="15.75" customHeight="1" x14ac:dyDescent="0.25">
      <c r="A145" s="78">
        <v>6</v>
      </c>
      <c r="B145" s="78"/>
      <c r="C145" s="62" t="s">
        <v>170</v>
      </c>
      <c r="D145" s="62">
        <f>(33.2+(0.75*(2.75+2.1+2)))*10.764</f>
        <v>412.66485000000006</v>
      </c>
      <c r="E145" s="62">
        <v>0</v>
      </c>
      <c r="F145" s="62">
        <f t="shared" si="3"/>
        <v>722.16348750000009</v>
      </c>
      <c r="G145" s="78"/>
      <c r="H145" s="78"/>
    </row>
    <row r="146" spans="1:12" s="2" customFormat="1" ht="15.75" customHeight="1" x14ac:dyDescent="0.25">
      <c r="A146" s="78">
        <v>7</v>
      </c>
      <c r="B146" s="78"/>
      <c r="C146" s="62" t="s">
        <v>217</v>
      </c>
      <c r="D146" s="62">
        <f>(55.055+(0.75*(2.7+2.1+2.75+3+2.1)))*10.764</f>
        <v>694.73546999999996</v>
      </c>
      <c r="E146" s="62">
        <v>0</v>
      </c>
      <c r="F146" s="62">
        <f t="shared" si="3"/>
        <v>1215.7870725</v>
      </c>
      <c r="G146" s="78"/>
      <c r="H146" s="78"/>
    </row>
    <row r="147" spans="1:12" s="2" customFormat="1" ht="15.75" customHeight="1" x14ac:dyDescent="0.25">
      <c r="A147" s="78">
        <v>8</v>
      </c>
      <c r="B147" s="78"/>
      <c r="C147" s="62" t="s">
        <v>218</v>
      </c>
      <c r="D147" s="62">
        <f>(38.405+(0.75*(2.75+2.1+2.15+2.1)))*10.764</f>
        <v>486.85572000000002</v>
      </c>
      <c r="E147" s="62">
        <v>0</v>
      </c>
      <c r="F147" s="62">
        <f t="shared" si="3"/>
        <v>851.99751000000003</v>
      </c>
      <c r="G147" s="78"/>
      <c r="H147" s="78"/>
    </row>
    <row r="148" spans="1:12" s="2" customFormat="1" ht="15.75" customHeight="1" x14ac:dyDescent="0.25">
      <c r="A148" s="78">
        <v>9</v>
      </c>
      <c r="B148" s="78"/>
      <c r="C148" s="62" t="s">
        <v>170</v>
      </c>
      <c r="D148" s="62">
        <f>(32.08+(0.75*(2.75+2.1+2.15)))*10.764</f>
        <v>401.82011999999997</v>
      </c>
      <c r="E148" s="62">
        <v>0</v>
      </c>
      <c r="F148" s="62">
        <f t="shared" si="3"/>
        <v>703.18520999999998</v>
      </c>
      <c r="G148" s="78"/>
      <c r="H148" s="78"/>
    </row>
    <row r="149" spans="1:12" s="2" customFormat="1" x14ac:dyDescent="0.25">
      <c r="A149" s="84" t="s">
        <v>252</v>
      </c>
      <c r="B149" s="84"/>
      <c r="C149" s="84"/>
      <c r="D149" s="84"/>
      <c r="E149" s="84"/>
      <c r="F149" s="84"/>
      <c r="G149" s="84"/>
      <c r="H149" s="84"/>
    </row>
    <row r="150" spans="1:12" s="2" customFormat="1" x14ac:dyDescent="0.25">
      <c r="A150" s="78">
        <v>1</v>
      </c>
      <c r="B150" s="78"/>
      <c r="C150" s="62" t="s">
        <v>169</v>
      </c>
      <c r="D150" s="62">
        <f>(52.52+(0.75*(2.75+3.1+2.1+1.7)))*10.764</f>
        <v>643.22973000000002</v>
      </c>
      <c r="E150" s="62">
        <v>0</v>
      </c>
      <c r="F150" s="62">
        <f>D150*1.75+E150</f>
        <v>1125.6520275</v>
      </c>
      <c r="G150" s="78" t="str">
        <f>A149</f>
        <v>2nd Floor</v>
      </c>
      <c r="H150" s="78"/>
    </row>
    <row r="151" spans="1:12" s="2" customFormat="1" ht="15.75" customHeight="1" x14ac:dyDescent="0.25">
      <c r="A151" s="78">
        <v>2</v>
      </c>
      <c r="B151" s="78"/>
      <c r="C151" s="62" t="s">
        <v>169</v>
      </c>
      <c r="D151" s="62">
        <f>(49.85+(0.75*(2.75+2.75+2.1+2.65)))*10.764</f>
        <v>619.33365000000003</v>
      </c>
      <c r="E151" s="62">
        <v>0</v>
      </c>
      <c r="F151" s="62">
        <f t="shared" ref="F151:F158" si="4">D151*1.75+E151</f>
        <v>1083.8338874999999</v>
      </c>
      <c r="G151" s="78"/>
      <c r="H151" s="78"/>
    </row>
    <row r="152" spans="1:12" s="2" customFormat="1" ht="15.75" customHeight="1" x14ac:dyDescent="0.25">
      <c r="A152" s="78">
        <v>3</v>
      </c>
      <c r="B152" s="78"/>
      <c r="C152" s="62" t="s">
        <v>169</v>
      </c>
      <c r="D152" s="62">
        <f>(49.85+(0.75*(2.75+2.75+2.1+2.65)))*10.764</f>
        <v>619.33365000000003</v>
      </c>
      <c r="E152" s="62">
        <v>0</v>
      </c>
      <c r="F152" s="62">
        <f t="shared" si="4"/>
        <v>1083.8338874999999</v>
      </c>
      <c r="G152" s="78"/>
      <c r="H152" s="78"/>
    </row>
    <row r="153" spans="1:12" s="2" customFormat="1" ht="15.75" customHeight="1" x14ac:dyDescent="0.25">
      <c r="A153" s="78">
        <v>4</v>
      </c>
      <c r="B153" s="78"/>
      <c r="C153" s="62" t="s">
        <v>170</v>
      </c>
      <c r="D153" s="62">
        <f>(33.925+(0.75*(3+2.1+2)))*10.764</f>
        <v>422.48699999999997</v>
      </c>
      <c r="E153" s="62">
        <v>0</v>
      </c>
      <c r="F153" s="62">
        <f t="shared" si="4"/>
        <v>739.35224999999991</v>
      </c>
      <c r="G153" s="78"/>
      <c r="H153" s="78"/>
    </row>
    <row r="154" spans="1:12" s="2" customFormat="1" ht="15.75" customHeight="1" x14ac:dyDescent="0.25">
      <c r="A154" s="78">
        <v>5</v>
      </c>
      <c r="B154" s="78"/>
      <c r="C154" s="62" t="s">
        <v>169</v>
      </c>
      <c r="D154" s="62">
        <f>(46.915+(0.75*(2.75+3.1+2.1+2)))*10.764</f>
        <v>585.31940999999995</v>
      </c>
      <c r="E154" s="62">
        <f>3*3.15*10.764</f>
        <v>101.71979999999999</v>
      </c>
      <c r="F154" s="62">
        <f>D154*1.75+E154</f>
        <v>1126.0287675</v>
      </c>
      <c r="G154" s="78"/>
      <c r="H154" s="78"/>
      <c r="I154" s="72">
        <f>(3.1*4.25+2.75*2.1+2.75*3.1+2.75*3.65+0.9*2.7+1.2*2.1*2)</f>
        <v>44.982500000000002</v>
      </c>
    </row>
    <row r="155" spans="1:12" s="2" customFormat="1" ht="15.75" customHeight="1" x14ac:dyDescent="0.25">
      <c r="A155" s="78">
        <v>6</v>
      </c>
      <c r="B155" s="78"/>
      <c r="C155" s="62" t="s">
        <v>170</v>
      </c>
      <c r="D155" s="62">
        <f>(33.2+(0.75*(2.75+2.1+2)))*10.764</f>
        <v>412.66485000000006</v>
      </c>
      <c r="E155" s="62">
        <v>0</v>
      </c>
      <c r="F155" s="62">
        <f t="shared" si="4"/>
        <v>722.16348750000009</v>
      </c>
      <c r="G155" s="78"/>
      <c r="H155" s="78"/>
    </row>
    <row r="156" spans="1:12" s="2" customFormat="1" ht="15.75" customHeight="1" x14ac:dyDescent="0.25">
      <c r="A156" s="78">
        <v>7</v>
      </c>
      <c r="B156" s="78"/>
      <c r="C156" s="62" t="s">
        <v>169</v>
      </c>
      <c r="D156" s="62">
        <f>(49.352+(0.75*(2.7+2.1+2.75+3)))*10.764</f>
        <v>616.3950779999999</v>
      </c>
      <c r="E156" s="62">
        <f>3.4*2.1*10.764</f>
        <v>76.854959999999991</v>
      </c>
      <c r="F156" s="62">
        <f t="shared" si="4"/>
        <v>1155.5463464999998</v>
      </c>
      <c r="G156" s="78"/>
      <c r="H156" s="78"/>
    </row>
    <row r="157" spans="1:12" s="2" customFormat="1" ht="15.75" customHeight="1" x14ac:dyDescent="0.25">
      <c r="A157" s="78">
        <v>8</v>
      </c>
      <c r="B157" s="78"/>
      <c r="C157" s="62" t="s">
        <v>218</v>
      </c>
      <c r="D157" s="62">
        <f>(38.405+(0.75*(2.75+2.1+2.15+2.1)))*10.764</f>
        <v>486.85572000000002</v>
      </c>
      <c r="E157" s="62">
        <v>0</v>
      </c>
      <c r="F157" s="62">
        <f t="shared" si="4"/>
        <v>851.99751000000003</v>
      </c>
      <c r="G157" s="78"/>
      <c r="H157" s="78"/>
    </row>
    <row r="158" spans="1:12" s="2" customFormat="1" ht="15.75" customHeight="1" x14ac:dyDescent="0.25">
      <c r="A158" s="78">
        <v>9</v>
      </c>
      <c r="B158" s="78"/>
      <c r="C158" s="62" t="s">
        <v>170</v>
      </c>
      <c r="D158" s="62">
        <f>(32.08+(0.75*(2.75+2.1+2.15)))*10.764</f>
        <v>401.82011999999997</v>
      </c>
      <c r="E158" s="62">
        <v>0</v>
      </c>
      <c r="F158" s="62">
        <f t="shared" si="4"/>
        <v>703.18520999999998</v>
      </c>
      <c r="G158" s="78"/>
      <c r="H158" s="78"/>
    </row>
    <row r="159" spans="1:12" s="2" customFormat="1" x14ac:dyDescent="0.25">
      <c r="A159" s="84" t="s">
        <v>253</v>
      </c>
      <c r="B159" s="84"/>
      <c r="C159" s="84"/>
      <c r="D159" s="84"/>
      <c r="E159" s="84"/>
      <c r="F159" s="84"/>
      <c r="G159" s="84"/>
      <c r="H159" s="84"/>
    </row>
    <row r="160" spans="1:12" s="2" customFormat="1" ht="15.75" customHeight="1" x14ac:dyDescent="0.25">
      <c r="A160" s="78">
        <v>1</v>
      </c>
      <c r="B160" s="78"/>
      <c r="C160" s="62" t="s">
        <v>169</v>
      </c>
      <c r="D160" s="62">
        <f>(52.52+(0.75*(2.75+3.1+2.1+1.7)))*10.764</f>
        <v>643.22973000000002</v>
      </c>
      <c r="E160" s="62">
        <v>0</v>
      </c>
      <c r="F160" s="62">
        <f t="shared" ref="F160:F168" si="5">D160*1.75+E160</f>
        <v>1125.6520275</v>
      </c>
      <c r="G160" s="78" t="str">
        <f>A159</f>
        <v>3rd, 4th, 5th, 6th, 7th, 9th, 10th, 11th, 12th &amp; 14th Floor</v>
      </c>
      <c r="H160" s="78"/>
      <c r="L160" s="2">
        <f>F160*3750</f>
        <v>4221195.1031250004</v>
      </c>
    </row>
    <row r="161" spans="1:17" s="2" customFormat="1" ht="15.75" customHeight="1" x14ac:dyDescent="0.25">
      <c r="A161" s="78">
        <v>2</v>
      </c>
      <c r="B161" s="78"/>
      <c r="C161" s="62" t="s">
        <v>169</v>
      </c>
      <c r="D161" s="62">
        <f>(49.85+(0.75*(2.75+2.75+2.1+2.6)))*10.764</f>
        <v>618.92999999999995</v>
      </c>
      <c r="E161" s="62">
        <v>0</v>
      </c>
      <c r="F161" s="62">
        <f t="shared" si="5"/>
        <v>1083.1274999999998</v>
      </c>
      <c r="G161" s="78"/>
      <c r="H161" s="78"/>
    </row>
    <row r="162" spans="1:17" s="2" customFormat="1" ht="15.75" customHeight="1" x14ac:dyDescent="0.25">
      <c r="A162" s="78">
        <v>3</v>
      </c>
      <c r="B162" s="78"/>
      <c r="C162" s="62" t="s">
        <v>169</v>
      </c>
      <c r="D162" s="62">
        <f>(49.85+(0.75*(2.75+2.75+2.1+2.6)))*10.764</f>
        <v>618.92999999999995</v>
      </c>
      <c r="E162" s="62">
        <v>0</v>
      </c>
      <c r="F162" s="62">
        <f t="shared" si="5"/>
        <v>1083.1274999999998</v>
      </c>
      <c r="G162" s="78"/>
      <c r="H162" s="78"/>
    </row>
    <row r="163" spans="1:17" s="2" customFormat="1" ht="15.75" customHeight="1" x14ac:dyDescent="0.25">
      <c r="A163" s="78">
        <v>4</v>
      </c>
      <c r="B163" s="78"/>
      <c r="C163" s="62" t="s">
        <v>170</v>
      </c>
      <c r="D163" s="62">
        <f>(33.925+(0.75*(3+2.1+2)))*10.764</f>
        <v>422.48699999999997</v>
      </c>
      <c r="E163" s="62">
        <v>0</v>
      </c>
      <c r="F163" s="62">
        <f t="shared" si="5"/>
        <v>739.35224999999991</v>
      </c>
      <c r="G163" s="78"/>
      <c r="H163" s="78"/>
    </row>
    <row r="164" spans="1:17" s="2" customFormat="1" ht="15.75" customHeight="1" x14ac:dyDescent="0.25">
      <c r="A164" s="78">
        <v>5</v>
      </c>
      <c r="B164" s="78"/>
      <c r="C164" s="62" t="s">
        <v>169</v>
      </c>
      <c r="D164" s="73">
        <f>(46.787+(0.75*(2.75+3.1+2.1+2)))*10.764</f>
        <v>583.94161799999995</v>
      </c>
      <c r="E164" s="62">
        <v>0</v>
      </c>
      <c r="F164" s="62">
        <f t="shared" si="5"/>
        <v>1021.8978314999999</v>
      </c>
      <c r="G164" s="78"/>
      <c r="H164" s="78"/>
    </row>
    <row r="165" spans="1:17" s="2" customFormat="1" ht="15.75" customHeight="1" x14ac:dyDescent="0.25">
      <c r="A165" s="78">
        <v>6</v>
      </c>
      <c r="B165" s="78"/>
      <c r="C165" s="62" t="s">
        <v>170</v>
      </c>
      <c r="D165" s="62">
        <f>(33.2+(0.75*(2.75+2.1+2)))*10.764</f>
        <v>412.66485000000006</v>
      </c>
      <c r="E165" s="62">
        <v>0</v>
      </c>
      <c r="F165" s="62">
        <f t="shared" si="5"/>
        <v>722.16348750000009</v>
      </c>
      <c r="G165" s="78"/>
      <c r="H165" s="78"/>
    </row>
    <row r="166" spans="1:17" s="2" customFormat="1" ht="15.75" customHeight="1" x14ac:dyDescent="0.25">
      <c r="A166" s="78">
        <v>7</v>
      </c>
      <c r="B166" s="78"/>
      <c r="C166" s="62" t="s">
        <v>169</v>
      </c>
      <c r="D166" s="73">
        <f>(49.225+(0.75*(2.8+2.1+2.75+3)))*10.764</f>
        <v>615.83535000000006</v>
      </c>
      <c r="E166" s="62">
        <v>0</v>
      </c>
      <c r="F166" s="62">
        <f t="shared" si="5"/>
        <v>1077.7118625000001</v>
      </c>
      <c r="G166" s="78"/>
      <c r="H166" s="78"/>
    </row>
    <row r="167" spans="1:17" s="2" customFormat="1" ht="15.75" customHeight="1" x14ac:dyDescent="0.25">
      <c r="A167" s="78">
        <v>8</v>
      </c>
      <c r="B167" s="78"/>
      <c r="C167" s="62" t="s">
        <v>218</v>
      </c>
      <c r="D167" s="62">
        <f>(38.405+(0.75*(2.75+2.1+2.15+2)))*10.764</f>
        <v>486.04841999999996</v>
      </c>
      <c r="E167" s="62">
        <v>0</v>
      </c>
      <c r="F167" s="62">
        <f t="shared" si="5"/>
        <v>850.58473499999991</v>
      </c>
      <c r="G167" s="78"/>
      <c r="H167" s="78"/>
      <c r="L167" s="2">
        <f>4298250/F167</f>
        <v>5053.2884298705412</v>
      </c>
      <c r="M167" s="2">
        <f>300*1025</f>
        <v>307500</v>
      </c>
      <c r="N167" s="2">
        <f>100000+35000+36000+50000+300000</f>
        <v>521000</v>
      </c>
      <c r="O167" s="2">
        <f>N167/F167</f>
        <v>612.51980968127771</v>
      </c>
      <c r="P167" s="2">
        <f>8*25</f>
        <v>200</v>
      </c>
      <c r="Q167" s="2">
        <f>F167*4850+P167*F167</f>
        <v>4295452.911749999</v>
      </c>
    </row>
    <row r="168" spans="1:17" s="2" customFormat="1" ht="15.75" customHeight="1" x14ac:dyDescent="0.25">
      <c r="A168" s="78">
        <v>9</v>
      </c>
      <c r="B168" s="78"/>
      <c r="C168" s="62" t="s">
        <v>170</v>
      </c>
      <c r="D168" s="62">
        <f>(32.06+(0.75*(2.75+2.1+2.15)))*10.764</f>
        <v>401.60484000000002</v>
      </c>
      <c r="E168" s="62">
        <v>0</v>
      </c>
      <c r="F168" s="62">
        <f t="shared" si="5"/>
        <v>702.80847000000006</v>
      </c>
      <c r="G168" s="78"/>
      <c r="H168" s="78"/>
      <c r="L168" s="2">
        <f>36*1025</f>
        <v>36900</v>
      </c>
      <c r="M168" s="2">
        <f>300*1025</f>
        <v>307500</v>
      </c>
    </row>
    <row r="169" spans="1:17" s="2" customFormat="1" x14ac:dyDescent="0.25">
      <c r="A169" s="84" t="s">
        <v>255</v>
      </c>
      <c r="B169" s="84"/>
      <c r="C169" s="84"/>
      <c r="D169" s="84"/>
      <c r="E169" s="84"/>
      <c r="F169" s="84"/>
      <c r="G169" s="84"/>
      <c r="H169" s="84"/>
    </row>
    <row r="170" spans="1:17" s="2" customFormat="1" ht="15.75" customHeight="1" x14ac:dyDescent="0.25">
      <c r="A170" s="78">
        <v>1</v>
      </c>
      <c r="B170" s="78"/>
      <c r="C170" s="62" t="s">
        <v>169</v>
      </c>
      <c r="D170" s="62">
        <f>(52.52+(0.75*(2.75+3.1+2.1+1.7)))*10.764</f>
        <v>643.22973000000002</v>
      </c>
      <c r="E170" s="62">
        <v>0</v>
      </c>
      <c r="F170" s="62">
        <f t="shared" ref="F170:F178" si="6">D170*1.75+E170</f>
        <v>1125.6520275</v>
      </c>
      <c r="G170" s="78" t="str">
        <f>A169</f>
        <v>8th &amp; 13th Floor (Fire Escape Terrace Area At Midlanding )</v>
      </c>
      <c r="H170" s="78"/>
    </row>
    <row r="171" spans="1:17" s="2" customFormat="1" ht="15.75" customHeight="1" x14ac:dyDescent="0.25">
      <c r="A171" s="78">
        <v>2</v>
      </c>
      <c r="B171" s="78"/>
      <c r="C171" s="62" t="s">
        <v>169</v>
      </c>
      <c r="D171" s="62">
        <f>(49.85+(0.75*(2.75+2.75+2.1+2.6)))*10.764</f>
        <v>618.92999999999995</v>
      </c>
      <c r="E171" s="62">
        <v>0</v>
      </c>
      <c r="F171" s="62">
        <f t="shared" si="6"/>
        <v>1083.1274999999998</v>
      </c>
      <c r="G171" s="78"/>
      <c r="H171" s="78"/>
      <c r="L171" s="2">
        <f>F171/D171</f>
        <v>1.7499999999999998</v>
      </c>
    </row>
    <row r="172" spans="1:17" s="2" customFormat="1" ht="15.75" customHeight="1" x14ac:dyDescent="0.25">
      <c r="A172" s="78">
        <v>3</v>
      </c>
      <c r="B172" s="78"/>
      <c r="C172" s="62" t="s">
        <v>169</v>
      </c>
      <c r="D172" s="62">
        <f>(49.85+(0.75*(2.75+2.75+2.1+2.6)))*10.764</f>
        <v>618.92999999999995</v>
      </c>
      <c r="E172" s="62">
        <v>0</v>
      </c>
      <c r="F172" s="62">
        <f t="shared" si="6"/>
        <v>1083.1274999999998</v>
      </c>
      <c r="G172" s="78"/>
      <c r="H172" s="78"/>
      <c r="L172" s="2">
        <f t="shared" ref="L172:L178" si="7">F172/D172</f>
        <v>1.7499999999999998</v>
      </c>
    </row>
    <row r="173" spans="1:17" s="2" customFormat="1" ht="15.75" customHeight="1" x14ac:dyDescent="0.25">
      <c r="A173" s="78">
        <v>4</v>
      </c>
      <c r="B173" s="78"/>
      <c r="C173" s="62" t="s">
        <v>170</v>
      </c>
      <c r="D173" s="62">
        <f>(33.925+(0.75*(3+2.1+2)))*10.764</f>
        <v>422.48699999999997</v>
      </c>
      <c r="E173" s="62">
        <v>0</v>
      </c>
      <c r="F173" s="62">
        <f t="shared" si="6"/>
        <v>739.35224999999991</v>
      </c>
      <c r="G173" s="78"/>
      <c r="H173" s="78"/>
      <c r="L173" s="2">
        <f t="shared" si="7"/>
        <v>1.75</v>
      </c>
    </row>
    <row r="174" spans="1:17" s="2" customFormat="1" ht="15.75" customHeight="1" x14ac:dyDescent="0.25">
      <c r="A174" s="78">
        <v>5</v>
      </c>
      <c r="B174" s="78"/>
      <c r="C174" s="62" t="s">
        <v>169</v>
      </c>
      <c r="D174" s="73">
        <f>(46.787+(0.75*(2.75+3.1+2.1+2)))*10.764</f>
        <v>583.94161799999995</v>
      </c>
      <c r="E174" s="62">
        <v>0</v>
      </c>
      <c r="F174" s="62">
        <f t="shared" si="6"/>
        <v>1021.8978314999999</v>
      </c>
      <c r="G174" s="78"/>
      <c r="H174" s="78"/>
      <c r="L174" s="2">
        <f t="shared" si="7"/>
        <v>1.75</v>
      </c>
    </row>
    <row r="175" spans="1:17" s="2" customFormat="1" ht="15.75" customHeight="1" x14ac:dyDescent="0.25">
      <c r="A175" s="78">
        <v>6</v>
      </c>
      <c r="B175" s="78"/>
      <c r="C175" s="62" t="s">
        <v>170</v>
      </c>
      <c r="D175" s="62">
        <f>(33.2+(0.75*(2.75+2.1+2)))*10.764</f>
        <v>412.66485000000006</v>
      </c>
      <c r="E175" s="62">
        <v>0</v>
      </c>
      <c r="F175" s="62">
        <f t="shared" si="6"/>
        <v>722.16348750000009</v>
      </c>
      <c r="G175" s="78"/>
      <c r="H175" s="78"/>
      <c r="L175" s="2">
        <f t="shared" si="7"/>
        <v>1.75</v>
      </c>
    </row>
    <row r="176" spans="1:17" s="2" customFormat="1" ht="15.75" customHeight="1" x14ac:dyDescent="0.25">
      <c r="A176" s="78">
        <v>7</v>
      </c>
      <c r="B176" s="78"/>
      <c r="C176" s="62" t="s">
        <v>169</v>
      </c>
      <c r="D176" s="73">
        <f>(49.225+(0.75*(2.8+2.1+2.75+3)))*10.764</f>
        <v>615.83535000000006</v>
      </c>
      <c r="E176" s="62">
        <v>0</v>
      </c>
      <c r="F176" s="62">
        <f t="shared" si="6"/>
        <v>1077.7118625000001</v>
      </c>
      <c r="G176" s="78"/>
      <c r="H176" s="78"/>
      <c r="L176" s="2">
        <f t="shared" si="7"/>
        <v>1.75</v>
      </c>
    </row>
    <row r="177" spans="1:12" s="2" customFormat="1" ht="15.75" customHeight="1" x14ac:dyDescent="0.25">
      <c r="A177" s="78">
        <v>8</v>
      </c>
      <c r="B177" s="78"/>
      <c r="C177" s="62" t="s">
        <v>218</v>
      </c>
      <c r="D177" s="62">
        <f>(38.405+(0.75*(2.75+2.1+2.15+2)))*10.764</f>
        <v>486.04841999999996</v>
      </c>
      <c r="E177" s="62">
        <v>0</v>
      </c>
      <c r="F177" s="62">
        <f t="shared" si="6"/>
        <v>850.58473499999991</v>
      </c>
      <c r="G177" s="78"/>
      <c r="H177" s="78"/>
      <c r="L177" s="2">
        <f t="shared" si="7"/>
        <v>1.75</v>
      </c>
    </row>
    <row r="178" spans="1:12" s="2" customFormat="1" ht="15.75" customHeight="1" x14ac:dyDescent="0.25">
      <c r="A178" s="78">
        <v>9</v>
      </c>
      <c r="B178" s="78"/>
      <c r="C178" s="62" t="s">
        <v>170</v>
      </c>
      <c r="D178" s="62">
        <f>(32.06+(0.75*(2.75+2.1+2.15)))*10.764</f>
        <v>401.60484000000002</v>
      </c>
      <c r="E178" s="62">
        <v>0</v>
      </c>
      <c r="F178" s="62">
        <f t="shared" si="6"/>
        <v>702.80847000000006</v>
      </c>
      <c r="G178" s="78"/>
      <c r="H178" s="78"/>
      <c r="L178" s="2">
        <f t="shared" si="7"/>
        <v>1.75</v>
      </c>
    </row>
    <row r="179" spans="1:12" s="2" customFormat="1" x14ac:dyDescent="0.25">
      <c r="A179" s="84" t="s">
        <v>172</v>
      </c>
      <c r="B179" s="84"/>
      <c r="C179" s="84"/>
      <c r="D179" s="84"/>
      <c r="E179" s="84"/>
      <c r="F179" s="84"/>
      <c r="G179" s="84"/>
      <c r="H179" s="84"/>
    </row>
    <row r="180" spans="1:12" s="2" customFormat="1" x14ac:dyDescent="0.25">
      <c r="A180" s="84" t="s">
        <v>167</v>
      </c>
      <c r="B180" s="84"/>
      <c r="C180" s="84"/>
      <c r="D180" s="84"/>
      <c r="E180" s="84"/>
      <c r="F180" s="84"/>
      <c r="G180" s="84"/>
      <c r="H180" s="84"/>
    </row>
    <row r="181" spans="1:12" s="2" customFormat="1" x14ac:dyDescent="0.25">
      <c r="A181" s="84" t="s">
        <v>173</v>
      </c>
      <c r="B181" s="84"/>
      <c r="C181" s="84"/>
      <c r="D181" s="84"/>
      <c r="E181" s="84"/>
      <c r="F181" s="84"/>
      <c r="G181" s="84"/>
      <c r="H181" s="84"/>
    </row>
    <row r="182" spans="1:12" s="2" customFormat="1" x14ac:dyDescent="0.25">
      <c r="A182" s="78">
        <v>1</v>
      </c>
      <c r="B182" s="78"/>
      <c r="C182" s="62" t="s">
        <v>170</v>
      </c>
      <c r="D182" s="62">
        <f>(30.753+2.1*0.75+2.8*0.75)*10.764</f>
        <v>370.58299200000005</v>
      </c>
      <c r="E182" s="62">
        <f>(1.95*2.55)*10.764</f>
        <v>53.523989999999991</v>
      </c>
      <c r="F182" s="62">
        <v>730</v>
      </c>
      <c r="G182" s="78" t="str">
        <f>A181</f>
        <v>1st, 3rd, 5th &amp; 7th Floor</v>
      </c>
      <c r="H182" s="78"/>
      <c r="I182" s="2">
        <f>4.25*2.8+2.1*2.35+2.75*2.4+0.9*1.35+1.5*1.2+0.9*1.3</f>
        <v>27.620000000000005</v>
      </c>
      <c r="J182" s="2">
        <f>2.8*1.1</f>
        <v>3.08</v>
      </c>
      <c r="L182" s="76">
        <f>(F182-E182)/D182</f>
        <v>1.8254372828853405</v>
      </c>
    </row>
    <row r="183" spans="1:12" s="2" customFormat="1" ht="15.75" customHeight="1" x14ac:dyDescent="0.25">
      <c r="A183" s="78">
        <v>2</v>
      </c>
      <c r="B183" s="78"/>
      <c r="C183" s="62" t="s">
        <v>170</v>
      </c>
      <c r="D183" s="62">
        <f>(30.753+2.8*0.75+2.1*0.75)*10.764</f>
        <v>370.58299200000005</v>
      </c>
      <c r="E183" s="62">
        <f>(1.95*2.55)*10.764</f>
        <v>53.523989999999991</v>
      </c>
      <c r="F183" s="62">
        <v>730</v>
      </c>
      <c r="G183" s="78"/>
      <c r="H183" s="78"/>
    </row>
    <row r="184" spans="1:12" s="2" customFormat="1" ht="15.75" customHeight="1" x14ac:dyDescent="0.25">
      <c r="A184" s="78">
        <v>3</v>
      </c>
      <c r="B184" s="78"/>
      <c r="C184" s="62" t="s">
        <v>170</v>
      </c>
      <c r="D184" s="62">
        <f>(30.753+2.1*0.75+2.9*0.75)*10.764</f>
        <v>371.39029199999999</v>
      </c>
      <c r="E184" s="62">
        <f>(1.95*2.55)*10.764</f>
        <v>53.523989999999991</v>
      </c>
      <c r="F184" s="62">
        <v>730</v>
      </c>
      <c r="G184" s="78"/>
      <c r="H184" s="78"/>
    </row>
    <row r="185" spans="1:12" s="2" customFormat="1" ht="15.75" customHeight="1" x14ac:dyDescent="0.25">
      <c r="A185" s="78">
        <v>4</v>
      </c>
      <c r="B185" s="78"/>
      <c r="C185" s="62" t="s">
        <v>169</v>
      </c>
      <c r="D185" s="62">
        <f>(48.64+2.7*0.75+2.9*0.75+3*0.75)*10.764</f>
        <v>592.98875999999996</v>
      </c>
      <c r="E185" s="62">
        <f>(2.3*2.55)*10.764</f>
        <v>63.130859999999991</v>
      </c>
      <c r="F185" s="62">
        <v>1120</v>
      </c>
      <c r="G185" s="78"/>
      <c r="H185" s="78"/>
    </row>
    <row r="186" spans="1:12" s="2" customFormat="1" ht="15.75" customHeight="1" x14ac:dyDescent="0.25">
      <c r="A186" s="78">
        <v>5</v>
      </c>
      <c r="B186" s="78"/>
      <c r="C186" s="62" t="s">
        <v>169</v>
      </c>
      <c r="D186" s="62">
        <f>(49.072+2.7*0.75+2.8*0.75+3.15*0.75)*10.764</f>
        <v>598.04245800000001</v>
      </c>
      <c r="E186" s="62">
        <f>(2.3*2.55)*10.764</f>
        <v>63.130859999999991</v>
      </c>
      <c r="F186" s="62">
        <v>1125</v>
      </c>
      <c r="G186" s="78"/>
      <c r="H186" s="78"/>
    </row>
    <row r="187" spans="1:12" s="2" customFormat="1" ht="15.75" customHeight="1" x14ac:dyDescent="0.25">
      <c r="A187" s="78">
        <v>6</v>
      </c>
      <c r="B187" s="78"/>
      <c r="C187" s="62" t="s">
        <v>169</v>
      </c>
      <c r="D187" s="62">
        <f>(49.072+2.7*0.75+2.8*0.75+3.15*0.75)*10.764</f>
        <v>598.04245800000001</v>
      </c>
      <c r="E187" s="62">
        <f>(2.3*2.55)*10.764</f>
        <v>63.130859999999991</v>
      </c>
      <c r="F187" s="62">
        <v>1125</v>
      </c>
      <c r="G187" s="78"/>
      <c r="H187" s="78"/>
    </row>
    <row r="188" spans="1:12" s="2" customFormat="1" ht="15.75" customHeight="1" x14ac:dyDescent="0.25">
      <c r="A188" s="78">
        <v>7</v>
      </c>
      <c r="B188" s="78"/>
      <c r="C188" s="62" t="s">
        <v>169</v>
      </c>
      <c r="D188" s="62">
        <f>(48.64+2.7*0.75+2.9*0.75+3*0.75)*10.764</f>
        <v>592.98875999999996</v>
      </c>
      <c r="E188" s="62">
        <f>(2.3*2.55)*10.764</f>
        <v>63.130859999999991</v>
      </c>
      <c r="F188" s="62">
        <v>1120</v>
      </c>
      <c r="G188" s="78"/>
      <c r="H188" s="78"/>
    </row>
    <row r="189" spans="1:12" s="2" customFormat="1" ht="15.75" customHeight="1" x14ac:dyDescent="0.25">
      <c r="A189" s="78">
        <v>8</v>
      </c>
      <c r="B189" s="78"/>
      <c r="C189" s="62" t="s">
        <v>170</v>
      </c>
      <c r="D189" s="62">
        <f>(30.753+2.1*0.75+2.9*0.75)*10.764</f>
        <v>371.39029199999999</v>
      </c>
      <c r="E189" s="62">
        <f>(1.95*2.55)*10.764</f>
        <v>53.523989999999991</v>
      </c>
      <c r="F189" s="62">
        <v>730</v>
      </c>
      <c r="G189" s="78"/>
      <c r="H189" s="78"/>
    </row>
    <row r="190" spans="1:12" s="2" customFormat="1" x14ac:dyDescent="0.25">
      <c r="A190" s="84" t="s">
        <v>171</v>
      </c>
      <c r="B190" s="84"/>
      <c r="C190" s="84"/>
      <c r="D190" s="84"/>
      <c r="E190" s="84"/>
      <c r="F190" s="84"/>
      <c r="G190" s="84"/>
      <c r="H190" s="84"/>
    </row>
    <row r="191" spans="1:12" s="2" customFormat="1" ht="15.6" customHeight="1" x14ac:dyDescent="0.25">
      <c r="A191" s="78">
        <v>1</v>
      </c>
      <c r="B191" s="78"/>
      <c r="C191" s="62" t="s">
        <v>170</v>
      </c>
      <c r="D191" s="62">
        <f>(30.753+2.1*0.75+2.8*0.75+1.95*0.75)*10.764</f>
        <v>386.32534200000003</v>
      </c>
      <c r="E191" s="62">
        <v>0</v>
      </c>
      <c r="F191" s="62">
        <v>675</v>
      </c>
      <c r="G191" s="78" t="str">
        <f>A190</f>
        <v>2nd, 4th &amp; 6th Floor</v>
      </c>
      <c r="H191" s="78"/>
      <c r="I191" s="2">
        <f>F191/D191</f>
        <v>1.7472320001207686</v>
      </c>
    </row>
    <row r="192" spans="1:12" s="2" customFormat="1" ht="15.6" customHeight="1" x14ac:dyDescent="0.25">
      <c r="A192" s="78">
        <v>2</v>
      </c>
      <c r="B192" s="78"/>
      <c r="C192" s="62" t="s">
        <v>170</v>
      </c>
      <c r="D192" s="62">
        <f>(30.753+2.8*0.75+2.1*0.75+1.95*0.75)*10.764</f>
        <v>386.32534200000003</v>
      </c>
      <c r="E192" s="62">
        <v>0</v>
      </c>
      <c r="F192" s="62">
        <v>675</v>
      </c>
      <c r="G192" s="78"/>
      <c r="H192" s="78"/>
      <c r="I192" s="2">
        <f t="shared" ref="I192:I198" si="8">F192/D192</f>
        <v>1.7472320001207686</v>
      </c>
    </row>
    <row r="193" spans="1:10" s="2" customFormat="1" ht="15.6" customHeight="1" x14ac:dyDescent="0.25">
      <c r="A193" s="78">
        <v>3</v>
      </c>
      <c r="B193" s="78"/>
      <c r="C193" s="62" t="s">
        <v>170</v>
      </c>
      <c r="D193" s="62">
        <f>(30.753+2.8*0.75+2.1*0.75+1.95*0.75)*10.764</f>
        <v>386.32534200000003</v>
      </c>
      <c r="E193" s="62">
        <v>0</v>
      </c>
      <c r="F193" s="62">
        <v>675</v>
      </c>
      <c r="G193" s="78"/>
      <c r="H193" s="78"/>
      <c r="I193" s="2">
        <f t="shared" si="8"/>
        <v>1.7472320001207686</v>
      </c>
    </row>
    <row r="194" spans="1:10" s="2" customFormat="1" ht="15.6" customHeight="1" x14ac:dyDescent="0.25">
      <c r="A194" s="78">
        <v>4</v>
      </c>
      <c r="B194" s="78"/>
      <c r="C194" s="62" t="s">
        <v>169</v>
      </c>
      <c r="D194" s="62">
        <f>(48.64+2.7*0.75+2.9*0.75+3*0.75+2.3*0.75)*10.764</f>
        <v>611.55665999999997</v>
      </c>
      <c r="E194" s="62">
        <v>0</v>
      </c>
      <c r="F194" s="62">
        <v>1050</v>
      </c>
      <c r="G194" s="78"/>
      <c r="H194" s="78"/>
      <c r="I194" s="2">
        <f t="shared" si="8"/>
        <v>1.7169300388291087</v>
      </c>
    </row>
    <row r="195" spans="1:10" s="2" customFormat="1" ht="15.6" customHeight="1" x14ac:dyDescent="0.25">
      <c r="A195" s="78">
        <v>5</v>
      </c>
      <c r="B195" s="78"/>
      <c r="C195" s="62" t="s">
        <v>169</v>
      </c>
      <c r="D195" s="62">
        <f>(49.072+2.7*0.75+2.8*0.75+3.15*0.75+2.3*0.75)*10.764</f>
        <v>616.61035800000002</v>
      </c>
      <c r="E195" s="62">
        <v>0</v>
      </c>
      <c r="F195" s="62">
        <v>1055</v>
      </c>
      <c r="G195" s="78"/>
      <c r="H195" s="78"/>
      <c r="I195" s="2">
        <f t="shared" si="8"/>
        <v>1.7109670415234899</v>
      </c>
    </row>
    <row r="196" spans="1:10" s="2" customFormat="1" ht="15.6" customHeight="1" x14ac:dyDescent="0.25">
      <c r="A196" s="78">
        <v>6</v>
      </c>
      <c r="B196" s="78"/>
      <c r="C196" s="62" t="s">
        <v>169</v>
      </c>
      <c r="D196" s="62">
        <f>(49.072+2.7*0.75+2.8*0.75+3.15*0.75+2.3*0.75)*10.764</f>
        <v>616.61035800000002</v>
      </c>
      <c r="E196" s="62">
        <v>0</v>
      </c>
      <c r="F196" s="62">
        <v>1055</v>
      </c>
      <c r="G196" s="78"/>
      <c r="H196" s="78"/>
      <c r="I196" s="2">
        <f t="shared" si="8"/>
        <v>1.7109670415234899</v>
      </c>
    </row>
    <row r="197" spans="1:10" s="2" customFormat="1" ht="15.6" customHeight="1" x14ac:dyDescent="0.25">
      <c r="A197" s="78">
        <v>7</v>
      </c>
      <c r="B197" s="78"/>
      <c r="C197" s="62" t="s">
        <v>169</v>
      </c>
      <c r="D197" s="62">
        <f>(48.64+2.7*0.75+2.9*0.75+3*0.75+2.3*0.75)*10.764</f>
        <v>611.55665999999997</v>
      </c>
      <c r="E197" s="62">
        <v>0</v>
      </c>
      <c r="F197" s="62">
        <v>1050</v>
      </c>
      <c r="G197" s="78"/>
      <c r="H197" s="78"/>
      <c r="I197" s="2">
        <f t="shared" si="8"/>
        <v>1.7169300388291087</v>
      </c>
    </row>
    <row r="198" spans="1:10" s="2" customFormat="1" ht="15.6" customHeight="1" x14ac:dyDescent="0.25">
      <c r="A198" s="78">
        <v>8</v>
      </c>
      <c r="B198" s="78"/>
      <c r="C198" s="62" t="s">
        <v>170</v>
      </c>
      <c r="D198" s="62">
        <f>(30.753+2.8*0.75+2.1*0.75+1.95*0.75)*10.764</f>
        <v>386.32534200000003</v>
      </c>
      <c r="E198" s="62">
        <v>0</v>
      </c>
      <c r="F198" s="62">
        <v>675</v>
      </c>
      <c r="G198" s="78"/>
      <c r="H198" s="78"/>
      <c r="I198" s="2">
        <f t="shared" si="8"/>
        <v>1.7472320001207686</v>
      </c>
    </row>
    <row r="199" spans="1:10" s="2" customFormat="1" x14ac:dyDescent="0.25">
      <c r="A199" s="84" t="s">
        <v>174</v>
      </c>
      <c r="B199" s="84"/>
      <c r="C199" s="84"/>
      <c r="D199" s="84"/>
      <c r="E199" s="84"/>
      <c r="F199" s="84"/>
      <c r="G199" s="84"/>
      <c r="H199" s="84"/>
    </row>
    <row r="200" spans="1:10" s="2" customFormat="1" x14ac:dyDescent="0.25">
      <c r="A200" s="84" t="s">
        <v>175</v>
      </c>
      <c r="B200" s="84"/>
      <c r="C200" s="84"/>
      <c r="D200" s="84"/>
      <c r="E200" s="84"/>
      <c r="F200" s="84"/>
      <c r="G200" s="84"/>
      <c r="H200" s="84"/>
    </row>
    <row r="201" spans="1:10" s="2" customFormat="1" x14ac:dyDescent="0.25">
      <c r="A201" s="84" t="s">
        <v>167</v>
      </c>
      <c r="B201" s="84"/>
      <c r="C201" s="84"/>
      <c r="D201" s="84"/>
      <c r="E201" s="84"/>
      <c r="F201" s="84"/>
      <c r="G201" s="84"/>
      <c r="H201" s="84"/>
    </row>
    <row r="202" spans="1:10" s="2" customFormat="1" x14ac:dyDescent="0.25">
      <c r="A202" s="84" t="s">
        <v>168</v>
      </c>
      <c r="B202" s="84"/>
      <c r="C202" s="84"/>
      <c r="D202" s="84"/>
      <c r="E202" s="84"/>
      <c r="F202" s="84"/>
      <c r="G202" s="84"/>
      <c r="H202" s="84"/>
    </row>
    <row r="203" spans="1:10" s="2" customFormat="1" ht="15.75" customHeight="1" x14ac:dyDescent="0.25">
      <c r="A203" s="78">
        <v>1</v>
      </c>
      <c r="B203" s="78"/>
      <c r="C203" s="62" t="s">
        <v>169</v>
      </c>
      <c r="D203" s="62">
        <f>(48.15+2.65*0.75+2.95*0.75+3.1*0.75)*10.764</f>
        <v>588.5216999999999</v>
      </c>
      <c r="E203" s="62">
        <f>(2.3*2.55)*10.764</f>
        <v>63.130859999999991</v>
      </c>
      <c r="F203" s="62">
        <v>1090</v>
      </c>
      <c r="G203" s="78" t="str">
        <f>A202</f>
        <v>1st, 3rd &amp; 5th Floor</v>
      </c>
      <c r="H203" s="78"/>
      <c r="I203" s="2">
        <f>4.8*3+2.45*1.8+2.75*2.4+3*2.52+2.1*1.2*2+2.75*0.9</f>
        <v>40.484999999999999</v>
      </c>
      <c r="J203" s="2">
        <f>2.65+2.95+3.1</f>
        <v>8.6999999999999993</v>
      </c>
    </row>
    <row r="204" spans="1:10" s="2" customFormat="1" ht="15.75" customHeight="1" x14ac:dyDescent="0.25">
      <c r="A204" s="78">
        <v>2</v>
      </c>
      <c r="B204" s="78"/>
      <c r="C204" s="62" t="s">
        <v>169</v>
      </c>
      <c r="D204" s="62">
        <f>(48.15+2.65*0.75+2.95*0.75+3.1*0.75)*10.764</f>
        <v>588.5216999999999</v>
      </c>
      <c r="E204" s="62">
        <f>(2.3*2.55)*10.764</f>
        <v>63.130859999999991</v>
      </c>
      <c r="F204" s="62">
        <v>1090</v>
      </c>
      <c r="G204" s="78"/>
      <c r="H204" s="78"/>
    </row>
    <row r="205" spans="1:10" s="2" customFormat="1" ht="15.75" customHeight="1" x14ac:dyDescent="0.25">
      <c r="A205" s="78">
        <v>3</v>
      </c>
      <c r="B205" s="78"/>
      <c r="C205" s="62" t="s">
        <v>170</v>
      </c>
      <c r="D205" s="62">
        <f>(31.603+2.1*0.75+2.8*0.75)*10.764</f>
        <v>379.73239200000006</v>
      </c>
      <c r="E205" s="62">
        <f>(2.15*2.45)*10.764</f>
        <v>56.699369999999995</v>
      </c>
      <c r="F205" s="62">
        <v>750</v>
      </c>
      <c r="G205" s="78"/>
      <c r="H205" s="78"/>
    </row>
    <row r="206" spans="1:10" s="2" customFormat="1" ht="15.75" customHeight="1" x14ac:dyDescent="0.25">
      <c r="A206" s="78">
        <v>4</v>
      </c>
      <c r="B206" s="78"/>
      <c r="C206" s="62" t="s">
        <v>170</v>
      </c>
      <c r="D206" s="62">
        <f>(31.603+2.1*0.75+2.8*0.75)*10.764</f>
        <v>379.73239200000006</v>
      </c>
      <c r="E206" s="62">
        <f>(2.15*2.45)*10.764</f>
        <v>56.699369999999995</v>
      </c>
      <c r="F206" s="62">
        <v>750</v>
      </c>
      <c r="G206" s="78"/>
      <c r="H206" s="78"/>
      <c r="I206" s="2">
        <f>F206/D206</f>
        <v>1.9750751207971742</v>
      </c>
    </row>
    <row r="207" spans="1:10" s="2" customFormat="1" ht="15.75" customHeight="1" x14ac:dyDescent="0.25">
      <c r="A207" s="78">
        <v>5</v>
      </c>
      <c r="B207" s="78"/>
      <c r="C207" s="62" t="s">
        <v>169</v>
      </c>
      <c r="D207" s="62">
        <f>(48.15+2.65*0.75+2.95*0.75+3.1*0.75)*10.764</f>
        <v>588.5216999999999</v>
      </c>
      <c r="E207" s="62">
        <f>(2.3*2.55)*10.764</f>
        <v>63.130859999999991</v>
      </c>
      <c r="F207" s="62">
        <v>1090</v>
      </c>
      <c r="G207" s="78"/>
      <c r="H207" s="78"/>
      <c r="I207" s="2">
        <f t="shared" ref="I207:I209" si="9">F207/D207</f>
        <v>1.8520982318918744</v>
      </c>
    </row>
    <row r="208" spans="1:10" s="2" customFormat="1" ht="15.75" customHeight="1" x14ac:dyDescent="0.25">
      <c r="A208" s="78">
        <v>6</v>
      </c>
      <c r="B208" s="78"/>
      <c r="C208" s="62" t="s">
        <v>169</v>
      </c>
      <c r="D208" s="62">
        <f>(48.15+2.65*0.75+2.95*0.75+3.1*0.75)*10.764</f>
        <v>588.5216999999999</v>
      </c>
      <c r="E208" s="62">
        <f>(2.3*2.55)*10.764</f>
        <v>63.130859999999991</v>
      </c>
      <c r="F208" s="62">
        <v>1090</v>
      </c>
      <c r="G208" s="78"/>
      <c r="H208" s="78"/>
      <c r="I208" s="2">
        <f t="shared" si="9"/>
        <v>1.8520982318918744</v>
      </c>
    </row>
    <row r="209" spans="1:9" s="2" customFormat="1" ht="15.75" customHeight="1" x14ac:dyDescent="0.25">
      <c r="A209" s="78">
        <v>7</v>
      </c>
      <c r="B209" s="78"/>
      <c r="C209" s="62" t="s">
        <v>170</v>
      </c>
      <c r="D209" s="62">
        <f>(32.16+2.3*0.75+3*0.75)*10.764</f>
        <v>388.95713999999998</v>
      </c>
      <c r="E209" s="62">
        <f>(2.1*2.55)*10.764</f>
        <v>57.64121999999999</v>
      </c>
      <c r="F209" s="62">
        <v>750</v>
      </c>
      <c r="G209" s="78"/>
      <c r="H209" s="78"/>
      <c r="I209" s="2">
        <f t="shared" si="9"/>
        <v>1.9282330181675031</v>
      </c>
    </row>
    <row r="210" spans="1:9" s="2" customFormat="1" ht="15.75" customHeight="1" x14ac:dyDescent="0.25">
      <c r="A210" s="78">
        <v>8</v>
      </c>
      <c r="B210" s="78"/>
      <c r="C210" s="62" t="s">
        <v>170</v>
      </c>
      <c r="D210" s="62">
        <f>(32.16+2.3*0.75+3*0.75)*10.764</f>
        <v>388.95713999999998</v>
      </c>
      <c r="E210" s="62">
        <f>(2.1*2.55)*10.764</f>
        <v>57.64121999999999</v>
      </c>
      <c r="F210" s="62">
        <v>750</v>
      </c>
      <c r="G210" s="78"/>
      <c r="H210" s="78"/>
    </row>
    <row r="211" spans="1:9" s="2" customFormat="1" ht="15.6" customHeight="1" x14ac:dyDescent="0.25">
      <c r="A211" s="84" t="s">
        <v>171</v>
      </c>
      <c r="B211" s="84"/>
      <c r="C211" s="84"/>
      <c r="D211" s="84"/>
      <c r="E211" s="84"/>
      <c r="F211" s="84"/>
      <c r="G211" s="84"/>
      <c r="H211" s="84"/>
    </row>
    <row r="212" spans="1:9" s="2" customFormat="1" ht="15.6" customHeight="1" x14ac:dyDescent="0.25">
      <c r="A212" s="78">
        <v>1</v>
      </c>
      <c r="B212" s="78"/>
      <c r="C212" s="62" t="s">
        <v>169</v>
      </c>
      <c r="D212" s="62">
        <f>(48.15+2.65*0.75+2.95*0.75+3.1*0.75+2.2*0.75)*10.764</f>
        <v>606.28229999999996</v>
      </c>
      <c r="E212" s="62">
        <v>0</v>
      </c>
      <c r="F212" s="62">
        <v>1020</v>
      </c>
      <c r="G212" s="78" t="str">
        <f>A211</f>
        <v>2nd, 4th &amp; 6th Floor</v>
      </c>
      <c r="H212" s="78"/>
      <c r="I212" s="2">
        <f>F212/D212</f>
        <v>1.6823845921281226</v>
      </c>
    </row>
    <row r="213" spans="1:9" s="2" customFormat="1" ht="15.6" customHeight="1" x14ac:dyDescent="0.25">
      <c r="A213" s="78">
        <v>2</v>
      </c>
      <c r="B213" s="78"/>
      <c r="C213" s="62" t="s">
        <v>169</v>
      </c>
      <c r="D213" s="62">
        <f>(48.15+2.65*0.75+2.95*0.75+3.1*0.75+2.25*0.75)*10.764</f>
        <v>606.68594999999993</v>
      </c>
      <c r="E213" s="62">
        <v>0</v>
      </c>
      <c r="F213" s="62">
        <v>1020</v>
      </c>
      <c r="G213" s="78"/>
      <c r="H213" s="78"/>
    </row>
    <row r="214" spans="1:9" s="2" customFormat="1" ht="15.6" customHeight="1" x14ac:dyDescent="0.25">
      <c r="A214" s="78">
        <v>3</v>
      </c>
      <c r="B214" s="78"/>
      <c r="C214" s="62" t="s">
        <v>170</v>
      </c>
      <c r="D214" s="62">
        <f>(31.603+2.1*0.75+2.8*0.75+2.15*0.75)*10.764</f>
        <v>397.08934199999999</v>
      </c>
      <c r="E214" s="62">
        <v>0</v>
      </c>
      <c r="F214" s="62">
        <v>700</v>
      </c>
      <c r="G214" s="78"/>
      <c r="H214" s="78"/>
    </row>
    <row r="215" spans="1:9" s="2" customFormat="1" ht="15.6" customHeight="1" x14ac:dyDescent="0.25">
      <c r="A215" s="78">
        <v>4</v>
      </c>
      <c r="B215" s="78"/>
      <c r="C215" s="62" t="s">
        <v>170</v>
      </c>
      <c r="D215" s="62">
        <f>(31.603+2.1*0.75+2.8*0.75+2.15*0.75)*10.764</f>
        <v>397.08934199999999</v>
      </c>
      <c r="E215" s="62">
        <v>0</v>
      </c>
      <c r="F215" s="62">
        <v>700</v>
      </c>
      <c r="G215" s="78"/>
      <c r="H215" s="78"/>
    </row>
    <row r="216" spans="1:9" s="2" customFormat="1" ht="15.6" customHeight="1" x14ac:dyDescent="0.25">
      <c r="A216" s="78">
        <v>5</v>
      </c>
      <c r="B216" s="78"/>
      <c r="C216" s="62" t="s">
        <v>169</v>
      </c>
      <c r="D216" s="62">
        <f>(48.15+2.65*0.75+2.95*0.75+3.1*0.75+2.3*0.75)*10.764</f>
        <v>607.0895999999999</v>
      </c>
      <c r="E216" s="62">
        <v>0</v>
      </c>
      <c r="F216" s="62">
        <v>1020</v>
      </c>
      <c r="G216" s="78"/>
      <c r="H216" s="78"/>
    </row>
    <row r="217" spans="1:9" s="2" customFormat="1" ht="15.6" customHeight="1" x14ac:dyDescent="0.25">
      <c r="A217" s="78">
        <v>6</v>
      </c>
      <c r="B217" s="78"/>
      <c r="C217" s="62" t="s">
        <v>169</v>
      </c>
      <c r="D217" s="62">
        <f>(48.15+2.65*0.75+2.95*0.75+3.1*0.75+2.3*0.75)*10.764</f>
        <v>607.0895999999999</v>
      </c>
      <c r="E217" s="62">
        <v>0</v>
      </c>
      <c r="F217" s="62">
        <v>1020</v>
      </c>
      <c r="G217" s="78"/>
      <c r="H217" s="78"/>
    </row>
    <row r="218" spans="1:9" s="2" customFormat="1" ht="15.6" customHeight="1" x14ac:dyDescent="0.25">
      <c r="A218" s="78">
        <v>7</v>
      </c>
      <c r="B218" s="78"/>
      <c r="C218" s="62" t="s">
        <v>170</v>
      </c>
      <c r="D218" s="62">
        <f>(32.16+2.3*0.75+3*0.75+2.1*0.75)*10.764</f>
        <v>405.91043999999999</v>
      </c>
      <c r="E218" s="62">
        <v>0</v>
      </c>
      <c r="F218" s="62">
        <v>700</v>
      </c>
      <c r="G218" s="78"/>
      <c r="H218" s="78"/>
    </row>
    <row r="219" spans="1:9" s="2" customFormat="1" ht="15.6" customHeight="1" x14ac:dyDescent="0.25">
      <c r="A219" s="78">
        <v>8</v>
      </c>
      <c r="B219" s="78"/>
      <c r="C219" s="62" t="s">
        <v>170</v>
      </c>
      <c r="D219" s="62">
        <f>(32.16+2.3*0.75+3*0.75+2.1*0.75)*10.764</f>
        <v>405.91043999999999</v>
      </c>
      <c r="E219" s="62">
        <v>0</v>
      </c>
      <c r="F219" s="62">
        <v>700</v>
      </c>
      <c r="G219" s="78"/>
      <c r="H219" s="78"/>
    </row>
    <row r="220" spans="1:9" s="2" customFormat="1" ht="15.6" customHeight="1" x14ac:dyDescent="0.25">
      <c r="A220" s="84" t="s">
        <v>177</v>
      </c>
      <c r="B220" s="84"/>
      <c r="C220" s="84"/>
      <c r="D220" s="84"/>
      <c r="E220" s="84"/>
      <c r="F220" s="84"/>
      <c r="G220" s="84"/>
      <c r="H220" s="84"/>
    </row>
    <row r="221" spans="1:9" s="2" customFormat="1" x14ac:dyDescent="0.25">
      <c r="A221" s="78">
        <v>1</v>
      </c>
      <c r="B221" s="78"/>
      <c r="C221" s="62" t="s">
        <v>169</v>
      </c>
      <c r="D221" s="62">
        <f>(48.15+2.65*0.75+2.95*0.75+3.1*0.75)*10.764</f>
        <v>588.5216999999999</v>
      </c>
      <c r="E221" s="62">
        <f>(2.3*2.55)*10.764</f>
        <v>63.130859999999991</v>
      </c>
      <c r="F221" s="62">
        <v>1090</v>
      </c>
      <c r="G221" s="78" t="str">
        <f>A220</f>
        <v>7th Floor</v>
      </c>
      <c r="H221" s="78"/>
    </row>
    <row r="222" spans="1:9" s="2" customFormat="1" ht="15.6" customHeight="1" x14ac:dyDescent="0.25">
      <c r="A222" s="78">
        <v>2</v>
      </c>
      <c r="B222" s="78"/>
      <c r="C222" s="62" t="s">
        <v>170</v>
      </c>
      <c r="D222" s="62">
        <f>(39.515+2.5*0.75+3.3*0.75)*10.764</f>
        <v>472.16285999999997</v>
      </c>
      <c r="E222" s="62">
        <f>(2.1*2.45+4.1*2.65)*10.764</f>
        <v>172.33163999999996</v>
      </c>
      <c r="F222" s="62">
        <v>960</v>
      </c>
      <c r="G222" s="78"/>
      <c r="H222" s="78"/>
    </row>
    <row r="223" spans="1:9" s="2" customFormat="1" ht="15.6" customHeight="1" x14ac:dyDescent="0.25">
      <c r="A223" s="78">
        <v>3</v>
      </c>
      <c r="B223" s="78"/>
      <c r="C223" s="62" t="s">
        <v>178</v>
      </c>
      <c r="D223" s="62">
        <f>(22.435+2.1*0.75)*10.764</f>
        <v>258.44363999999996</v>
      </c>
      <c r="E223" s="62">
        <f>(2.1*2.45+4.2*2.75)*10.764</f>
        <v>179.70498000000001</v>
      </c>
      <c r="F223" s="62">
        <v>625</v>
      </c>
      <c r="G223" s="78"/>
      <c r="H223" s="78"/>
    </row>
    <row r="224" spans="1:9" s="2" customFormat="1" ht="15.6" customHeight="1" x14ac:dyDescent="0.25">
      <c r="A224" s="78">
        <v>4</v>
      </c>
      <c r="B224" s="78"/>
      <c r="C224" s="62" t="s">
        <v>178</v>
      </c>
      <c r="D224" s="62">
        <f>(22.435+2.1*0.75)*10.764</f>
        <v>258.44363999999996</v>
      </c>
      <c r="E224" s="62">
        <f>(2.1*2.45+4.2*2.75)*10.764</f>
        <v>179.70498000000001</v>
      </c>
      <c r="F224" s="62">
        <v>625</v>
      </c>
      <c r="G224" s="78"/>
      <c r="H224" s="78"/>
    </row>
    <row r="225" spans="1:8" s="2" customFormat="1" ht="15.6" customHeight="1" x14ac:dyDescent="0.25">
      <c r="A225" s="78">
        <v>5</v>
      </c>
      <c r="B225" s="78"/>
      <c r="C225" s="62" t="s">
        <v>170</v>
      </c>
      <c r="D225" s="62">
        <f>(39.515+2.45*0.75+3.3*0.75)*10.764</f>
        <v>471.75921</v>
      </c>
      <c r="E225" s="62">
        <f>(2.3*2.55+4.1*2.65)*10.764</f>
        <v>180.08171999999996</v>
      </c>
      <c r="F225" s="62">
        <v>960</v>
      </c>
      <c r="G225" s="78"/>
      <c r="H225" s="78"/>
    </row>
    <row r="226" spans="1:8" s="2" customFormat="1" ht="15.6" customHeight="1" x14ac:dyDescent="0.25">
      <c r="A226" s="78">
        <v>6</v>
      </c>
      <c r="B226" s="78"/>
      <c r="C226" s="62" t="s">
        <v>169</v>
      </c>
      <c r="D226" s="62">
        <f>(48.15+2.65*0.75+2.95*0.75+3.1*0.75)*10.764</f>
        <v>588.5216999999999</v>
      </c>
      <c r="E226" s="62">
        <f>(2.3*2.55)*10.764</f>
        <v>63.130859999999991</v>
      </c>
      <c r="F226" s="62">
        <v>1090</v>
      </c>
      <c r="G226" s="78"/>
      <c r="H226" s="78"/>
    </row>
    <row r="227" spans="1:8" s="2" customFormat="1" ht="15.6" customHeight="1" x14ac:dyDescent="0.25">
      <c r="A227" s="78">
        <v>7</v>
      </c>
      <c r="B227" s="78"/>
      <c r="C227" s="62" t="s">
        <v>170</v>
      </c>
      <c r="D227" s="62">
        <f>(32.16+2.3*0.75+3*0.75)*10.764</f>
        <v>388.95713999999998</v>
      </c>
      <c r="E227" s="62">
        <f>(2.1*2.55)*10.764</f>
        <v>57.64121999999999</v>
      </c>
      <c r="F227" s="62">
        <v>750</v>
      </c>
      <c r="G227" s="78"/>
      <c r="H227" s="78"/>
    </row>
    <row r="228" spans="1:8" s="2" customFormat="1" ht="15.6" customHeight="1" x14ac:dyDescent="0.25">
      <c r="A228" s="78">
        <v>8</v>
      </c>
      <c r="B228" s="78"/>
      <c r="C228" s="62" t="s">
        <v>170</v>
      </c>
      <c r="D228" s="62">
        <f>(32.16+2.3*0.75+3*0.75)*10.764</f>
        <v>388.95713999999998</v>
      </c>
      <c r="E228" s="62">
        <f>(2.1*2.55)*10.764</f>
        <v>57.64121999999999</v>
      </c>
      <c r="F228" s="62">
        <v>750</v>
      </c>
      <c r="G228" s="78"/>
      <c r="H228" s="78"/>
    </row>
    <row r="229" spans="1:8" s="2" customFormat="1" x14ac:dyDescent="0.25">
      <c r="A229" s="84" t="s">
        <v>176</v>
      </c>
      <c r="B229" s="84"/>
      <c r="C229" s="84"/>
      <c r="D229" s="84"/>
      <c r="E229" s="84"/>
      <c r="F229" s="84"/>
      <c r="G229" s="84"/>
      <c r="H229" s="84"/>
    </row>
    <row r="230" spans="1:8" s="2" customFormat="1" x14ac:dyDescent="0.25">
      <c r="A230" s="84" t="s">
        <v>167</v>
      </c>
      <c r="B230" s="84"/>
      <c r="C230" s="84"/>
      <c r="D230" s="84"/>
      <c r="E230" s="84"/>
      <c r="F230" s="84"/>
      <c r="G230" s="84"/>
      <c r="H230" s="84"/>
    </row>
    <row r="231" spans="1:8" s="2" customFormat="1" x14ac:dyDescent="0.25">
      <c r="A231" s="84" t="s">
        <v>168</v>
      </c>
      <c r="B231" s="84"/>
      <c r="C231" s="84"/>
      <c r="D231" s="84"/>
      <c r="E231" s="84"/>
      <c r="F231" s="84"/>
      <c r="G231" s="84"/>
      <c r="H231" s="84"/>
    </row>
    <row r="232" spans="1:8" s="2" customFormat="1" x14ac:dyDescent="0.25">
      <c r="A232" s="78">
        <v>1</v>
      </c>
      <c r="B232" s="78"/>
      <c r="C232" s="62" t="s">
        <v>170</v>
      </c>
      <c r="D232" s="62">
        <f>(29.32+2.3*0.75+2.95*0.75)*10.764</f>
        <v>357.98372999999998</v>
      </c>
      <c r="E232" s="62">
        <f>(1.65*2.8)*10.764</f>
        <v>49.729679999999988</v>
      </c>
      <c r="F232" s="62">
        <v>700</v>
      </c>
      <c r="G232" s="78" t="str">
        <f>A231</f>
        <v>1st, 3rd &amp; 5th Floor</v>
      </c>
      <c r="H232" s="78"/>
    </row>
    <row r="233" spans="1:8" s="2" customFormat="1" ht="15.75" customHeight="1" x14ac:dyDescent="0.25">
      <c r="A233" s="78">
        <v>2</v>
      </c>
      <c r="B233" s="78"/>
      <c r="C233" s="62" t="s">
        <v>170</v>
      </c>
      <c r="D233" s="62">
        <f t="shared" ref="D233:D235" si="10">(29.32+2.3*0.75+2.95*0.75)*10.764</f>
        <v>357.98372999999998</v>
      </c>
      <c r="E233" s="62">
        <f t="shared" ref="E233:E235" si="11">(1.65*2.8)*10.764</f>
        <v>49.729679999999988</v>
      </c>
      <c r="F233" s="62">
        <v>700</v>
      </c>
      <c r="G233" s="78"/>
      <c r="H233" s="78"/>
    </row>
    <row r="234" spans="1:8" s="2" customFormat="1" ht="15.75" customHeight="1" x14ac:dyDescent="0.25">
      <c r="A234" s="78">
        <v>3</v>
      </c>
      <c r="B234" s="78"/>
      <c r="C234" s="62" t="s">
        <v>170</v>
      </c>
      <c r="D234" s="62">
        <f t="shared" si="10"/>
        <v>357.98372999999998</v>
      </c>
      <c r="E234" s="62">
        <f t="shared" si="11"/>
        <v>49.729679999999988</v>
      </c>
      <c r="F234" s="62">
        <v>720</v>
      </c>
      <c r="G234" s="78"/>
      <c r="H234" s="78"/>
    </row>
    <row r="235" spans="1:8" s="2" customFormat="1" ht="15.75" customHeight="1" x14ac:dyDescent="0.25">
      <c r="A235" s="78">
        <v>4</v>
      </c>
      <c r="B235" s="78"/>
      <c r="C235" s="62" t="s">
        <v>170</v>
      </c>
      <c r="D235" s="62">
        <f t="shared" si="10"/>
        <v>357.98372999999998</v>
      </c>
      <c r="E235" s="62">
        <f t="shared" si="11"/>
        <v>49.729679999999988</v>
      </c>
      <c r="F235" s="62">
        <v>720</v>
      </c>
      <c r="G235" s="78"/>
      <c r="H235" s="78"/>
    </row>
    <row r="236" spans="1:8" s="2" customFormat="1" ht="15.6" customHeight="1" x14ac:dyDescent="0.25">
      <c r="A236" s="84" t="s">
        <v>171</v>
      </c>
      <c r="B236" s="84"/>
      <c r="C236" s="84"/>
      <c r="D236" s="84"/>
      <c r="E236" s="84"/>
      <c r="F236" s="84"/>
      <c r="G236" s="84"/>
      <c r="H236" s="84"/>
    </row>
    <row r="237" spans="1:8" s="2" customFormat="1" ht="15.6" customHeight="1" x14ac:dyDescent="0.25">
      <c r="A237" s="78">
        <v>1</v>
      </c>
      <c r="B237" s="78"/>
      <c r="C237" s="62" t="s">
        <v>170</v>
      </c>
      <c r="D237" s="62">
        <f>(29.32+2.3*0.75+2.95*0.75+1.65*0.75)*10.764</f>
        <v>371.30417999999997</v>
      </c>
      <c r="E237" s="62">
        <v>0</v>
      </c>
      <c r="F237" s="62">
        <v>650</v>
      </c>
      <c r="G237" s="78" t="str">
        <f>A236</f>
        <v>2nd, 4th &amp; 6th Floor</v>
      </c>
      <c r="H237" s="78"/>
    </row>
    <row r="238" spans="1:8" s="2" customFormat="1" ht="15.6" customHeight="1" x14ac:dyDescent="0.25">
      <c r="A238" s="78">
        <v>2</v>
      </c>
      <c r="B238" s="78"/>
      <c r="C238" s="62" t="s">
        <v>170</v>
      </c>
      <c r="D238" s="62">
        <f t="shared" ref="D238:D240" si="12">(29.32+2.3*0.75+2.95*0.75+1.65*0.75)*10.764</f>
        <v>371.30417999999997</v>
      </c>
      <c r="E238" s="62">
        <v>0</v>
      </c>
      <c r="F238" s="62">
        <v>650</v>
      </c>
      <c r="G238" s="78"/>
      <c r="H238" s="78"/>
    </row>
    <row r="239" spans="1:8" s="2" customFormat="1" ht="15.6" customHeight="1" x14ac:dyDescent="0.25">
      <c r="A239" s="78">
        <v>3</v>
      </c>
      <c r="B239" s="78"/>
      <c r="C239" s="62" t="s">
        <v>170</v>
      </c>
      <c r="D239" s="62">
        <f t="shared" si="12"/>
        <v>371.30417999999997</v>
      </c>
      <c r="E239" s="62">
        <v>0</v>
      </c>
      <c r="F239" s="62">
        <v>650</v>
      </c>
      <c r="G239" s="78"/>
      <c r="H239" s="78"/>
    </row>
    <row r="240" spans="1:8" s="2" customFormat="1" ht="15.6" customHeight="1" x14ac:dyDescent="0.25">
      <c r="A240" s="78">
        <v>4</v>
      </c>
      <c r="B240" s="78"/>
      <c r="C240" s="62" t="s">
        <v>170</v>
      </c>
      <c r="D240" s="62">
        <f t="shared" si="12"/>
        <v>371.30417999999997</v>
      </c>
      <c r="E240" s="62">
        <v>0</v>
      </c>
      <c r="F240" s="62">
        <v>650</v>
      </c>
      <c r="G240" s="78"/>
      <c r="H240" s="78"/>
    </row>
    <row r="241" spans="1:10" s="2" customFormat="1" ht="15.6" customHeight="1" x14ac:dyDescent="0.25">
      <c r="A241" s="84" t="s">
        <v>177</v>
      </c>
      <c r="B241" s="84"/>
      <c r="C241" s="84"/>
      <c r="D241" s="84"/>
      <c r="E241" s="84"/>
      <c r="F241" s="84"/>
      <c r="G241" s="84"/>
      <c r="H241" s="84"/>
    </row>
    <row r="242" spans="1:10" s="2" customFormat="1" ht="15.6" customHeight="1" x14ac:dyDescent="0.25">
      <c r="A242" s="78">
        <v>1</v>
      </c>
      <c r="B242" s="78"/>
      <c r="C242" s="62" t="s">
        <v>178</v>
      </c>
      <c r="D242" s="62">
        <f>(20.42+2.1*0.75)*10.764</f>
        <v>236.75417999999999</v>
      </c>
      <c r="E242" s="62">
        <f>(1.65*2.8+4.15*2.85)*10.764</f>
        <v>177.04088999999996</v>
      </c>
      <c r="F242" s="62">
        <v>520</v>
      </c>
      <c r="G242" s="78" t="str">
        <f>A241</f>
        <v>7th Floor</v>
      </c>
      <c r="H242" s="78"/>
    </row>
    <row r="243" spans="1:10" s="2" customFormat="1" ht="15.6" customHeight="1" x14ac:dyDescent="0.25">
      <c r="A243" s="78">
        <v>2</v>
      </c>
      <c r="B243" s="78"/>
      <c r="C243" s="62" t="s">
        <v>170</v>
      </c>
      <c r="D243" s="62">
        <f>(29.32+2.3*0.75+2.95*0.75)*10.764</f>
        <v>357.98372999999998</v>
      </c>
      <c r="E243" s="62">
        <f t="shared" ref="E243:E244" si="13">(1.65*2.8)*10.764</f>
        <v>49.729679999999988</v>
      </c>
      <c r="F243" s="62">
        <v>700</v>
      </c>
      <c r="G243" s="78"/>
      <c r="H243" s="78"/>
    </row>
    <row r="244" spans="1:10" s="2" customFormat="1" ht="15.6" customHeight="1" x14ac:dyDescent="0.25">
      <c r="A244" s="78">
        <v>3</v>
      </c>
      <c r="B244" s="78"/>
      <c r="C244" s="62" t="s">
        <v>170</v>
      </c>
      <c r="D244" s="62">
        <f>(29.32+2.3*0.75+2.95*0.75)*10.764</f>
        <v>357.98372999999998</v>
      </c>
      <c r="E244" s="62">
        <f t="shared" si="13"/>
        <v>49.729679999999988</v>
      </c>
      <c r="F244" s="62">
        <v>720</v>
      </c>
      <c r="G244" s="78"/>
      <c r="H244" s="78"/>
    </row>
    <row r="245" spans="1:10" s="2" customFormat="1" ht="15.6" customHeight="1" x14ac:dyDescent="0.25">
      <c r="A245" s="78">
        <v>4</v>
      </c>
      <c r="B245" s="78"/>
      <c r="C245" s="62" t="s">
        <v>178</v>
      </c>
      <c r="D245" s="62">
        <f>(20.42+2.1*0.75)*10.764</f>
        <v>236.75417999999999</v>
      </c>
      <c r="E245" s="62">
        <f>(1.65*2.8+4.15*2.85)*10.764</f>
        <v>177.04088999999996</v>
      </c>
      <c r="F245" s="62">
        <v>530</v>
      </c>
      <c r="G245" s="78"/>
      <c r="H245" s="78"/>
    </row>
    <row r="246" spans="1:10" s="1" customFormat="1" x14ac:dyDescent="0.25">
      <c r="A246" s="181" t="s">
        <v>77</v>
      </c>
      <c r="B246" s="181"/>
      <c r="C246" s="181"/>
      <c r="D246" s="181"/>
      <c r="E246" s="181"/>
      <c r="F246" s="181"/>
      <c r="G246" s="181"/>
      <c r="H246" s="181"/>
    </row>
    <row r="247" spans="1:10" s="10" customFormat="1" ht="273" customHeight="1" x14ac:dyDescent="0.25">
      <c r="A247" s="182" t="s">
        <v>267</v>
      </c>
      <c r="B247" s="182"/>
      <c r="C247" s="182"/>
      <c r="D247" s="182"/>
      <c r="E247" s="182"/>
      <c r="F247" s="182"/>
      <c r="G247" s="182"/>
      <c r="H247" s="182"/>
    </row>
    <row r="248" spans="1:10" x14ac:dyDescent="0.25">
      <c r="A248" s="138" t="s">
        <v>68</v>
      </c>
      <c r="B248" s="138"/>
      <c r="C248" s="138"/>
      <c r="D248" s="138"/>
      <c r="E248" s="138"/>
      <c r="F248" s="138"/>
      <c r="G248" s="138"/>
      <c r="H248" s="138"/>
    </row>
    <row r="249" spans="1:10" x14ac:dyDescent="0.25">
      <c r="A249" s="104" t="s">
        <v>69</v>
      </c>
      <c r="B249" s="104"/>
      <c r="C249" s="104"/>
      <c r="D249" s="104"/>
      <c r="E249" s="104"/>
      <c r="F249" s="104"/>
      <c r="G249" s="104"/>
      <c r="H249" s="104"/>
    </row>
    <row r="250" spans="1:10" ht="15.75" customHeight="1" x14ac:dyDescent="0.25">
      <c r="A250" s="138" t="s">
        <v>70</v>
      </c>
      <c r="B250" s="138"/>
      <c r="C250" s="138"/>
      <c r="D250" s="138"/>
      <c r="E250" s="138"/>
      <c r="F250" s="138"/>
      <c r="G250" s="138"/>
      <c r="H250" s="138"/>
    </row>
    <row r="251" spans="1:10" x14ac:dyDescent="0.25">
      <c r="A251" s="104" t="s">
        <v>71</v>
      </c>
      <c r="B251" s="104"/>
      <c r="C251" s="104"/>
      <c r="D251" s="104"/>
      <c r="E251" s="104"/>
      <c r="F251" s="104"/>
      <c r="G251" s="104"/>
      <c r="H251" s="104"/>
    </row>
    <row r="252" spans="1:10" x14ac:dyDescent="0.25">
      <c r="A252" s="104" t="s">
        <v>72</v>
      </c>
      <c r="B252" s="104"/>
      <c r="C252" s="104"/>
      <c r="D252" s="104"/>
      <c r="E252" s="104"/>
      <c r="F252" s="104"/>
      <c r="G252" s="104"/>
      <c r="H252" s="104"/>
    </row>
    <row r="253" spans="1:10" x14ac:dyDescent="0.25">
      <c r="A253" s="104" t="s">
        <v>73</v>
      </c>
      <c r="B253" s="104"/>
      <c r="C253" s="104"/>
      <c r="D253" s="104"/>
      <c r="E253" s="104"/>
      <c r="F253" s="104"/>
      <c r="G253" s="104"/>
      <c r="H253" s="104"/>
    </row>
    <row r="254" spans="1:10" ht="35.25" customHeight="1" x14ac:dyDescent="0.25">
      <c r="A254" s="115" t="s">
        <v>74</v>
      </c>
      <c r="B254" s="115"/>
      <c r="C254" s="115"/>
      <c r="D254" s="115"/>
      <c r="E254" s="115"/>
      <c r="F254" s="115"/>
      <c r="G254" s="115"/>
      <c r="H254" s="115"/>
      <c r="I254" s="8" t="s">
        <v>266</v>
      </c>
    </row>
    <row r="255" spans="1:10" x14ac:dyDescent="0.25">
      <c r="A255" s="77" t="s">
        <v>110</v>
      </c>
      <c r="B255" s="77"/>
      <c r="C255" s="77" t="s">
        <v>266</v>
      </c>
      <c r="D255" s="77"/>
      <c r="E255" s="77" t="s">
        <v>138</v>
      </c>
      <c r="F255" s="77"/>
      <c r="G255" s="77" t="s">
        <v>265</v>
      </c>
      <c r="H255" s="77"/>
      <c r="I255" s="77" t="s">
        <v>263</v>
      </c>
      <c r="J255" s="77"/>
    </row>
    <row r="256" spans="1:10" x14ac:dyDescent="0.25">
      <c r="A256" s="133" t="s">
        <v>112</v>
      </c>
      <c r="B256" s="133"/>
      <c r="C256" s="133"/>
      <c r="D256" s="133"/>
      <c r="E256" s="133"/>
      <c r="F256" s="133"/>
      <c r="G256" s="133"/>
      <c r="H256" s="133"/>
    </row>
    <row r="257" spans="1:8" x14ac:dyDescent="0.25">
      <c r="A257" s="133"/>
      <c r="B257" s="133"/>
      <c r="C257" s="133"/>
      <c r="D257" s="133"/>
      <c r="E257" s="133"/>
      <c r="F257" s="133"/>
      <c r="G257" s="133"/>
      <c r="H257" s="133"/>
    </row>
    <row r="258" spans="1:8" x14ac:dyDescent="0.25">
      <c r="A258" s="133"/>
      <c r="B258" s="133"/>
      <c r="C258" s="133"/>
      <c r="D258" s="133"/>
      <c r="E258" s="133"/>
      <c r="F258" s="133"/>
      <c r="G258" s="133"/>
      <c r="H258" s="133"/>
    </row>
    <row r="259" spans="1:8" x14ac:dyDescent="0.25">
      <c r="A259" s="133"/>
      <c r="B259" s="133"/>
      <c r="C259" s="133"/>
      <c r="D259" s="133"/>
      <c r="E259" s="133"/>
      <c r="F259" s="133"/>
      <c r="G259" s="133"/>
      <c r="H259" s="133"/>
    </row>
    <row r="260" spans="1:8" x14ac:dyDescent="0.25">
      <c r="A260" s="18" t="s">
        <v>75</v>
      </c>
      <c r="B260" s="19"/>
      <c r="C260" s="19"/>
      <c r="D260" s="18" t="str">
        <f>E8</f>
        <v>Jijai Angan</v>
      </c>
      <c r="F260" s="19"/>
      <c r="G260" s="19"/>
      <c r="H260" s="19"/>
    </row>
    <row r="261" spans="1:8" x14ac:dyDescent="0.25">
      <c r="A261" s="19"/>
      <c r="B261" s="19"/>
      <c r="C261" s="19"/>
      <c r="D261" s="19"/>
      <c r="E261" s="19"/>
      <c r="F261" s="19"/>
      <c r="G261" s="19"/>
      <c r="H261" s="19"/>
    </row>
    <row r="262" spans="1:8" x14ac:dyDescent="0.25">
      <c r="A262" s="19"/>
      <c r="B262" s="19"/>
      <c r="C262" s="19"/>
      <c r="D262" s="19"/>
      <c r="E262" s="19"/>
      <c r="F262" s="19"/>
      <c r="G262" s="19"/>
      <c r="H262" s="19"/>
    </row>
    <row r="263" spans="1:8" ht="15" customHeight="1" x14ac:dyDescent="0.25"/>
    <row r="300" spans="1:1" x14ac:dyDescent="0.25">
      <c r="A300" s="21" t="s">
        <v>260</v>
      </c>
    </row>
    <row r="342" spans="1:1" x14ac:dyDescent="0.25">
      <c r="A342" s="21" t="s">
        <v>258</v>
      </c>
    </row>
    <row r="373" spans="1:1" hidden="1" x14ac:dyDescent="0.25"/>
    <row r="374" spans="1:1" hidden="1" x14ac:dyDescent="0.25"/>
    <row r="375" spans="1:1" hidden="1" x14ac:dyDescent="0.25"/>
    <row r="376" spans="1:1" hidden="1" x14ac:dyDescent="0.25"/>
    <row r="377" spans="1:1" hidden="1" x14ac:dyDescent="0.25"/>
    <row r="378" spans="1:1" hidden="1" x14ac:dyDescent="0.25"/>
    <row r="379" spans="1:1" hidden="1" x14ac:dyDescent="0.25"/>
    <row r="380" spans="1:1" hidden="1" x14ac:dyDescent="0.25"/>
    <row r="381" spans="1:1" hidden="1" x14ac:dyDescent="0.25"/>
    <row r="382" spans="1:1" hidden="1" x14ac:dyDescent="0.25"/>
    <row r="384" spans="1:1" x14ac:dyDescent="0.25">
      <c r="A384" s="21" t="s">
        <v>76</v>
      </c>
    </row>
  </sheetData>
  <mergeCells count="387">
    <mergeCell ref="A64:B64"/>
    <mergeCell ref="A81:B81"/>
    <mergeCell ref="G140:H148"/>
    <mergeCell ref="A59:C59"/>
    <mergeCell ref="A74:B74"/>
    <mergeCell ref="E65:F74"/>
    <mergeCell ref="A98:E98"/>
    <mergeCell ref="F98:H98"/>
    <mergeCell ref="A96:E96"/>
    <mergeCell ref="F96:H96"/>
    <mergeCell ref="C93:H93"/>
    <mergeCell ref="A104:H104"/>
    <mergeCell ref="A75:B75"/>
    <mergeCell ref="C75:H75"/>
    <mergeCell ref="A77:B77"/>
    <mergeCell ref="C77:H77"/>
    <mergeCell ref="G65:H74"/>
    <mergeCell ref="A71:B71"/>
    <mergeCell ref="A72:B72"/>
    <mergeCell ref="A73:B73"/>
    <mergeCell ref="A69:B69"/>
    <mergeCell ref="A70:B70"/>
    <mergeCell ref="A66:B66"/>
    <mergeCell ref="A67:B67"/>
    <mergeCell ref="A233:B233"/>
    <mergeCell ref="A209:B209"/>
    <mergeCell ref="A210:B210"/>
    <mergeCell ref="A211:H211"/>
    <mergeCell ref="A212:B212"/>
    <mergeCell ref="A245:B245"/>
    <mergeCell ref="A234:B234"/>
    <mergeCell ref="A235:B235"/>
    <mergeCell ref="A236:H236"/>
    <mergeCell ref="A237:B237"/>
    <mergeCell ref="A238:B238"/>
    <mergeCell ref="A229:H229"/>
    <mergeCell ref="A214:B214"/>
    <mergeCell ref="A215:B215"/>
    <mergeCell ref="A216:B216"/>
    <mergeCell ref="A217:B217"/>
    <mergeCell ref="G242:H245"/>
    <mergeCell ref="G237:H240"/>
    <mergeCell ref="G232:H235"/>
    <mergeCell ref="G221:H228"/>
    <mergeCell ref="G212:H219"/>
    <mergeCell ref="G203:H210"/>
    <mergeCell ref="A240:B240"/>
    <mergeCell ref="A220:H220"/>
    <mergeCell ref="A232:B232"/>
    <mergeCell ref="A218:B218"/>
    <mergeCell ref="A219:B219"/>
    <mergeCell ref="A231:H231"/>
    <mergeCell ref="A213:B213"/>
    <mergeCell ref="A208:B208"/>
    <mergeCell ref="A190:H190"/>
    <mergeCell ref="A191:B191"/>
    <mergeCell ref="A222:B222"/>
    <mergeCell ref="A223:B223"/>
    <mergeCell ref="A224:B224"/>
    <mergeCell ref="A225:B225"/>
    <mergeCell ref="A226:B226"/>
    <mergeCell ref="A194:B194"/>
    <mergeCell ref="A195:B195"/>
    <mergeCell ref="A196:B196"/>
    <mergeCell ref="G191:H198"/>
    <mergeCell ref="A221:B221"/>
    <mergeCell ref="A206:B206"/>
    <mergeCell ref="A207:B207"/>
    <mergeCell ref="A205:B205"/>
    <mergeCell ref="A133:B133"/>
    <mergeCell ref="A134:B134"/>
    <mergeCell ref="A135:B135"/>
    <mergeCell ref="A176:B176"/>
    <mergeCell ref="A182:B182"/>
    <mergeCell ref="A183:B183"/>
    <mergeCell ref="A204:B204"/>
    <mergeCell ref="A179:H179"/>
    <mergeCell ref="A180:H180"/>
    <mergeCell ref="A168:B168"/>
    <mergeCell ref="G160:H168"/>
    <mergeCell ref="A203:B203"/>
    <mergeCell ref="A192:B192"/>
    <mergeCell ref="A193:B193"/>
    <mergeCell ref="A160:B160"/>
    <mergeCell ref="A197:B197"/>
    <mergeCell ref="A189:B189"/>
    <mergeCell ref="A186:B186"/>
    <mergeCell ref="A187:B187"/>
    <mergeCell ref="A188:B188"/>
    <mergeCell ref="A170:B170"/>
    <mergeCell ref="G170:H178"/>
    <mergeCell ref="A171:B171"/>
    <mergeCell ref="A172:B172"/>
    <mergeCell ref="A175:B175"/>
    <mergeCell ref="A181:H181"/>
    <mergeCell ref="A146:B146"/>
    <mergeCell ref="A147:B147"/>
    <mergeCell ref="A164:B164"/>
    <mergeCell ref="A165:B165"/>
    <mergeCell ref="A166:B166"/>
    <mergeCell ref="A167:B167"/>
    <mergeCell ref="A178:B178"/>
    <mergeCell ref="A173:B173"/>
    <mergeCell ref="A174:B174"/>
    <mergeCell ref="A177:B177"/>
    <mergeCell ref="A149:H149"/>
    <mergeCell ref="A150:B150"/>
    <mergeCell ref="G150:H158"/>
    <mergeCell ref="A151:B151"/>
    <mergeCell ref="A152:B152"/>
    <mergeCell ref="A153:B153"/>
    <mergeCell ref="A154:B154"/>
    <mergeCell ref="A155:B155"/>
    <mergeCell ref="A156:B156"/>
    <mergeCell ref="A157:B157"/>
    <mergeCell ref="A158:B158"/>
    <mergeCell ref="E64:F64"/>
    <mergeCell ref="C63:H63"/>
    <mergeCell ref="A246:H246"/>
    <mergeCell ref="A247:H247"/>
    <mergeCell ref="A248:H248"/>
    <mergeCell ref="A94:H94"/>
    <mergeCell ref="A95:E95"/>
    <mergeCell ref="F95:H95"/>
    <mergeCell ref="F97:H97"/>
    <mergeCell ref="A82:B82"/>
    <mergeCell ref="A83:B83"/>
    <mergeCell ref="E117:E118"/>
    <mergeCell ref="G117:H118"/>
    <mergeCell ref="A128:B128"/>
    <mergeCell ref="A129:B129"/>
    <mergeCell ref="A162:B162"/>
    <mergeCell ref="A161:B161"/>
    <mergeCell ref="A148:B148"/>
    <mergeCell ref="A105:B105"/>
    <mergeCell ref="D105:E105"/>
    <mergeCell ref="D110:E110"/>
    <mergeCell ref="A159:H159"/>
    <mergeCell ref="A122:B122"/>
    <mergeCell ref="A123:B123"/>
    <mergeCell ref="G19:H19"/>
    <mergeCell ref="A25:D25"/>
    <mergeCell ref="E25:H25"/>
    <mergeCell ref="E24:H24"/>
    <mergeCell ref="F111:H111"/>
    <mergeCell ref="A163:B163"/>
    <mergeCell ref="A38:H38"/>
    <mergeCell ref="A39:D39"/>
    <mergeCell ref="E39:H39"/>
    <mergeCell ref="F31:H31"/>
    <mergeCell ref="A31:B31"/>
    <mergeCell ref="D55:H55"/>
    <mergeCell ref="A55:C55"/>
    <mergeCell ref="A56:C56"/>
    <mergeCell ref="D56:H56"/>
    <mergeCell ref="A54:C54"/>
    <mergeCell ref="D54:H54"/>
    <mergeCell ref="D53:H53"/>
    <mergeCell ref="G46:H46"/>
    <mergeCell ref="G48:H48"/>
    <mergeCell ref="A48:B48"/>
    <mergeCell ref="G81:H90"/>
    <mergeCell ref="A65:B65"/>
    <mergeCell ref="A68:B68"/>
    <mergeCell ref="A249:H249"/>
    <mergeCell ref="A116:H116"/>
    <mergeCell ref="A140:B140"/>
    <mergeCell ref="A115:H115"/>
    <mergeCell ref="A108:B108"/>
    <mergeCell ref="D108:E108"/>
    <mergeCell ref="A241:H241"/>
    <mergeCell ref="A242:B242"/>
    <mergeCell ref="A243:B243"/>
    <mergeCell ref="A244:B244"/>
    <mergeCell ref="A198:B198"/>
    <mergeCell ref="A199:H199"/>
    <mergeCell ref="A201:H201"/>
    <mergeCell ref="A200:H200"/>
    <mergeCell ref="A227:B227"/>
    <mergeCell ref="A228:B228"/>
    <mergeCell ref="A230:H230"/>
    <mergeCell ref="A202:H202"/>
    <mergeCell ref="A169:H169"/>
    <mergeCell ref="A119:H119"/>
    <mergeCell ref="F117:F118"/>
    <mergeCell ref="A142:B142"/>
    <mergeCell ref="A143:B143"/>
    <mergeCell ref="A144:B144"/>
    <mergeCell ref="E10:H10"/>
    <mergeCell ref="A12:D12"/>
    <mergeCell ref="A16:B16"/>
    <mergeCell ref="C16:D16"/>
    <mergeCell ref="D117:D118"/>
    <mergeCell ref="E12:H12"/>
    <mergeCell ref="A13:D13"/>
    <mergeCell ref="E13:H13"/>
    <mergeCell ref="A15:B15"/>
    <mergeCell ref="A26:D26"/>
    <mergeCell ref="E26:H26"/>
    <mergeCell ref="A23:D23"/>
    <mergeCell ref="E23:H23"/>
    <mergeCell ref="A18:B18"/>
    <mergeCell ref="C18:D18"/>
    <mergeCell ref="E18:F18"/>
    <mergeCell ref="G18:H18"/>
    <mergeCell ref="A19:B19"/>
    <mergeCell ref="A20:D21"/>
    <mergeCell ref="E20:H21"/>
    <mergeCell ref="A22:D22"/>
    <mergeCell ref="E22:H22"/>
    <mergeCell ref="C19:D19"/>
    <mergeCell ref="E19:F19"/>
    <mergeCell ref="A17:B17"/>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A11:D11"/>
    <mergeCell ref="E11:H11"/>
    <mergeCell ref="A10:D10"/>
    <mergeCell ref="E16:F16"/>
    <mergeCell ref="G16:H16"/>
    <mergeCell ref="A14:B14"/>
    <mergeCell ref="C14:H14"/>
    <mergeCell ref="A40:D40"/>
    <mergeCell ref="E40:H40"/>
    <mergeCell ref="A28:D28"/>
    <mergeCell ref="E28:H28"/>
    <mergeCell ref="A35:H35"/>
    <mergeCell ref="A34:B34"/>
    <mergeCell ref="A29:D29"/>
    <mergeCell ref="E29:H29"/>
    <mergeCell ref="C48:E48"/>
    <mergeCell ref="A46:B46"/>
    <mergeCell ref="C46:E46"/>
    <mergeCell ref="A44:D44"/>
    <mergeCell ref="E41:H41"/>
    <mergeCell ref="E42:H42"/>
    <mergeCell ref="E43:H43"/>
    <mergeCell ref="E44:H44"/>
    <mergeCell ref="A42:D42"/>
    <mergeCell ref="C15:H15"/>
    <mergeCell ref="A24:D24"/>
    <mergeCell ref="A41:D41"/>
    <mergeCell ref="C17:D17"/>
    <mergeCell ref="E17:F17"/>
    <mergeCell ref="G17:H17"/>
    <mergeCell ref="F32:H32"/>
    <mergeCell ref="C30:E30"/>
    <mergeCell ref="F34:H34"/>
    <mergeCell ref="F30:H30"/>
    <mergeCell ref="A30:B30"/>
    <mergeCell ref="C31:E31"/>
    <mergeCell ref="A32:B32"/>
    <mergeCell ref="C32:E32"/>
    <mergeCell ref="F33:H33"/>
    <mergeCell ref="A33:B33"/>
    <mergeCell ref="C33:E33"/>
    <mergeCell ref="C34:E34"/>
    <mergeCell ref="A36:B36"/>
    <mergeCell ref="C36:H36"/>
    <mergeCell ref="A37:B37"/>
    <mergeCell ref="C37:H37"/>
    <mergeCell ref="A27:D27"/>
    <mergeCell ref="E27:H27"/>
    <mergeCell ref="D59:H59"/>
    <mergeCell ref="A57:C57"/>
    <mergeCell ref="A58:C58"/>
    <mergeCell ref="A60:C60"/>
    <mergeCell ref="A43:D43"/>
    <mergeCell ref="A45:H45"/>
    <mergeCell ref="C50:H50"/>
    <mergeCell ref="A49:B50"/>
    <mergeCell ref="G49:H49"/>
    <mergeCell ref="A47:B47"/>
    <mergeCell ref="C47:E47"/>
    <mergeCell ref="G47:H47"/>
    <mergeCell ref="A53:C53"/>
    <mergeCell ref="C49:E49"/>
    <mergeCell ref="G182:H189"/>
    <mergeCell ref="A251:H251"/>
    <mergeCell ref="A252:H252"/>
    <mergeCell ref="A253:H253"/>
    <mergeCell ref="A254:H254"/>
    <mergeCell ref="A239:B239"/>
    <mergeCell ref="A141:B141"/>
    <mergeCell ref="D58:H58"/>
    <mergeCell ref="A100:E100"/>
    <mergeCell ref="F100:H100"/>
    <mergeCell ref="A97:E97"/>
    <mergeCell ref="A84:B84"/>
    <mergeCell ref="A85:B85"/>
    <mergeCell ref="A86:B86"/>
    <mergeCell ref="A87:B87"/>
    <mergeCell ref="A88:B88"/>
    <mergeCell ref="A89:B89"/>
    <mergeCell ref="A90:B90"/>
    <mergeCell ref="A92:H92"/>
    <mergeCell ref="A93:B93"/>
    <mergeCell ref="A63:B63"/>
    <mergeCell ref="A91:H91"/>
    <mergeCell ref="E81:F90"/>
    <mergeCell ref="D60:H60"/>
    <mergeCell ref="C61:H61"/>
    <mergeCell ref="A256:H259"/>
    <mergeCell ref="A255:B255"/>
    <mergeCell ref="E255:F255"/>
    <mergeCell ref="C255:D255"/>
    <mergeCell ref="G255:H255"/>
    <mergeCell ref="A102:E102"/>
    <mergeCell ref="F102:H102"/>
    <mergeCell ref="A103:E103"/>
    <mergeCell ref="F103:H103"/>
    <mergeCell ref="D109:E109"/>
    <mergeCell ref="F109:H109"/>
    <mergeCell ref="A109:B109"/>
    <mergeCell ref="A184:B184"/>
    <mergeCell ref="A185:B185"/>
    <mergeCell ref="A107:H107"/>
    <mergeCell ref="A250:H250"/>
    <mergeCell ref="A112:B112"/>
    <mergeCell ref="D112:E112"/>
    <mergeCell ref="A139:H139"/>
    <mergeCell ref="A121:B121"/>
    <mergeCell ref="A137:B137"/>
    <mergeCell ref="G137:H137"/>
    <mergeCell ref="A138:H138"/>
    <mergeCell ref="A132:B132"/>
    <mergeCell ref="A99:E99"/>
    <mergeCell ref="F99:H99"/>
    <mergeCell ref="A110:B110"/>
    <mergeCell ref="G51:H51"/>
    <mergeCell ref="A51:B51"/>
    <mergeCell ref="C51:E51"/>
    <mergeCell ref="A52:H52"/>
    <mergeCell ref="F106:H106"/>
    <mergeCell ref="A61:B61"/>
    <mergeCell ref="D57:H57"/>
    <mergeCell ref="F105:H105"/>
    <mergeCell ref="A78:B79"/>
    <mergeCell ref="C78:D79"/>
    <mergeCell ref="E78:F79"/>
    <mergeCell ref="G78:H79"/>
    <mergeCell ref="A80:B80"/>
    <mergeCell ref="E80:F80"/>
    <mergeCell ref="G80:H80"/>
    <mergeCell ref="A101:E101"/>
    <mergeCell ref="F101:H101"/>
    <mergeCell ref="G64:H64"/>
    <mergeCell ref="A106:B106"/>
    <mergeCell ref="D106:E106"/>
    <mergeCell ref="I255:J255"/>
    <mergeCell ref="A145:B145"/>
    <mergeCell ref="F112:H112"/>
    <mergeCell ref="A113:B113"/>
    <mergeCell ref="D113:E113"/>
    <mergeCell ref="F113:H113"/>
    <mergeCell ref="F108:H108"/>
    <mergeCell ref="A120:H120"/>
    <mergeCell ref="A136:H136"/>
    <mergeCell ref="A114:B114"/>
    <mergeCell ref="D114:E114"/>
    <mergeCell ref="F114:H114"/>
    <mergeCell ref="A117:B118"/>
    <mergeCell ref="C117:C118"/>
    <mergeCell ref="G121:H135"/>
    <mergeCell ref="F110:H110"/>
    <mergeCell ref="A111:B111"/>
    <mergeCell ref="D111:E111"/>
    <mergeCell ref="A124:B124"/>
    <mergeCell ref="A125:B125"/>
    <mergeCell ref="A126:B126"/>
    <mergeCell ref="A127:B127"/>
    <mergeCell ref="A130:B130"/>
    <mergeCell ref="A131:B131"/>
  </mergeCells>
  <phoneticPr fontId="23" type="noConversion"/>
  <hyperlinks>
    <hyperlink ref="C37" r:id="rId1"/>
  </hyperlinks>
  <printOptions horizontalCentered="1"/>
  <pageMargins left="0.19685039370078741" right="0.19685039370078741" top="0.78740157480314965" bottom="0.78740157480314965" header="0.19685039370078741" footer="0.19685039370078741"/>
  <pageSetup paperSize="2" fitToHeight="0" orientation="portrait" r:id="rId2"/>
  <headerFooter>
    <oddHeader>&amp;C&amp;G</oddHeader>
    <oddFooter>&amp;L&amp;"Times New Roman,Bold"&amp;12Ref No: &amp;F&amp;C&amp;G&amp;R&amp;"Times New Roman,Bold"&amp;12                                                               &amp;P</oddFooter>
  </headerFooter>
  <rowBreaks count="6" manualBreakCount="6">
    <brk id="34" max="16383" man="1"/>
    <brk id="60" max="16383" man="1"/>
    <brk id="259" max="16383" man="1"/>
    <brk id="299" max="7" man="1"/>
    <brk id="341" max="7" man="1"/>
    <brk id="38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4" workbookViewId="0">
      <selection activeCell="C6" sqref="C6"/>
    </sheetView>
  </sheetViews>
  <sheetFormatPr defaultRowHeight="15" x14ac:dyDescent="0.25"/>
  <cols>
    <col min="2" max="2" width="12.28515625" customWidth="1"/>
  </cols>
  <sheetData>
    <row r="2" spans="1:12" x14ac:dyDescent="0.25">
      <c r="B2" s="3" t="s">
        <v>78</v>
      </c>
      <c r="C2" s="185"/>
      <c r="D2" s="185"/>
    </row>
    <row r="3" spans="1:12" x14ac:dyDescent="0.25">
      <c r="D3" s="4"/>
      <c r="E3" s="4"/>
      <c r="F3" s="4"/>
      <c r="G3" s="4"/>
      <c r="H3" s="4"/>
      <c r="I3" s="4"/>
    </row>
    <row r="4" spans="1:12" x14ac:dyDescent="0.25">
      <c r="A4" s="3" t="s">
        <v>79</v>
      </c>
      <c r="B4" s="5" t="s">
        <v>80</v>
      </c>
      <c r="C4" s="186" t="s">
        <v>81</v>
      </c>
      <c r="D4" s="186"/>
      <c r="E4" s="186"/>
      <c r="F4" s="6"/>
      <c r="G4" s="186" t="s">
        <v>82</v>
      </c>
      <c r="H4" s="186"/>
      <c r="I4" s="186"/>
      <c r="J4" s="186" t="s">
        <v>83</v>
      </c>
      <c r="K4" s="186"/>
      <c r="L4" s="186"/>
    </row>
    <row r="5" spans="1:12" x14ac:dyDescent="0.25">
      <c r="A5" s="3">
        <v>202</v>
      </c>
      <c r="B5" s="5"/>
      <c r="C5" s="5" t="s">
        <v>84</v>
      </c>
      <c r="D5" s="5" t="s">
        <v>85</v>
      </c>
      <c r="E5" s="5" t="s">
        <v>60</v>
      </c>
      <c r="F5" s="5"/>
      <c r="G5" s="5" t="s">
        <v>84</v>
      </c>
      <c r="H5" s="5" t="s">
        <v>85</v>
      </c>
      <c r="I5" s="5" t="s">
        <v>60</v>
      </c>
      <c r="J5" s="5" t="s">
        <v>84</v>
      </c>
      <c r="K5" s="5" t="s">
        <v>85</v>
      </c>
      <c r="L5" s="5" t="s">
        <v>60</v>
      </c>
    </row>
    <row r="6" spans="1:12" x14ac:dyDescent="0.25">
      <c r="B6" s="7" t="s">
        <v>86</v>
      </c>
      <c r="C6" s="7"/>
      <c r="D6" s="7"/>
      <c r="E6" s="7">
        <f>C6*D6</f>
        <v>0</v>
      </c>
      <c r="F6" s="7" t="s">
        <v>87</v>
      </c>
      <c r="G6" s="7"/>
      <c r="H6" s="7"/>
      <c r="I6" s="7">
        <f>G6*H6</f>
        <v>0</v>
      </c>
      <c r="J6" s="7"/>
      <c r="K6" s="7"/>
      <c r="L6" s="7">
        <f>J6*K6</f>
        <v>0</v>
      </c>
    </row>
    <row r="7" spans="1:12" x14ac:dyDescent="0.25">
      <c r="B7" s="7"/>
      <c r="C7" s="7"/>
      <c r="D7" s="7"/>
      <c r="E7" s="7">
        <f t="shared" ref="E7:E33" si="0">C7*D7</f>
        <v>0</v>
      </c>
      <c r="F7" s="7" t="s">
        <v>88</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89</v>
      </c>
      <c r="C9" s="7"/>
      <c r="D9" s="7"/>
      <c r="E9" s="7">
        <f t="shared" si="0"/>
        <v>0</v>
      </c>
      <c r="F9" s="7" t="s">
        <v>87</v>
      </c>
      <c r="G9" s="7"/>
      <c r="H9" s="7"/>
      <c r="I9" s="7">
        <f t="shared" si="1"/>
        <v>0</v>
      </c>
      <c r="J9" s="7"/>
      <c r="K9" s="7"/>
      <c r="L9" s="7">
        <f t="shared" si="2"/>
        <v>0</v>
      </c>
    </row>
    <row r="10" spans="1:12" x14ac:dyDescent="0.25">
      <c r="B10" s="7"/>
      <c r="C10" s="7"/>
      <c r="D10" s="7"/>
      <c r="E10" s="7">
        <f t="shared" si="0"/>
        <v>0</v>
      </c>
      <c r="F10" s="7" t="s">
        <v>88</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90</v>
      </c>
      <c r="C13" s="7"/>
      <c r="D13" s="7"/>
      <c r="E13" s="7">
        <f t="shared" si="0"/>
        <v>0</v>
      </c>
      <c r="F13" s="7" t="s">
        <v>87</v>
      </c>
      <c r="G13" s="7"/>
      <c r="H13" s="7"/>
      <c r="I13" s="7">
        <f t="shared" si="1"/>
        <v>0</v>
      </c>
      <c r="J13" s="7"/>
      <c r="K13" s="7"/>
      <c r="L13" s="7">
        <f t="shared" si="2"/>
        <v>0</v>
      </c>
    </row>
    <row r="14" spans="1:12" x14ac:dyDescent="0.25">
      <c r="B14" s="7"/>
      <c r="C14" s="7"/>
      <c r="D14" s="7"/>
      <c r="E14" s="7">
        <f t="shared" si="0"/>
        <v>0</v>
      </c>
      <c r="F14" s="7" t="s">
        <v>88</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91</v>
      </c>
      <c r="C17" s="7"/>
      <c r="D17" s="7"/>
      <c r="E17" s="7">
        <f t="shared" si="0"/>
        <v>0</v>
      </c>
      <c r="F17" s="7" t="s">
        <v>87</v>
      </c>
      <c r="G17" s="7"/>
      <c r="H17" s="7"/>
      <c r="I17" s="7">
        <f t="shared" si="1"/>
        <v>0</v>
      </c>
      <c r="J17" s="7"/>
      <c r="K17" s="7"/>
      <c r="L17" s="7">
        <f t="shared" si="2"/>
        <v>0</v>
      </c>
    </row>
    <row r="18" spans="2:12" x14ac:dyDescent="0.25">
      <c r="B18" s="7"/>
      <c r="C18" s="7"/>
      <c r="D18" s="7"/>
      <c r="E18" s="7">
        <f t="shared" si="0"/>
        <v>0</v>
      </c>
      <c r="F18" s="7" t="s">
        <v>88</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91</v>
      </c>
      <c r="C20" s="7"/>
      <c r="D20" s="7"/>
      <c r="E20" s="7">
        <f t="shared" si="0"/>
        <v>0</v>
      </c>
      <c r="F20" s="7" t="s">
        <v>87</v>
      </c>
      <c r="G20" s="7"/>
      <c r="H20" s="7"/>
      <c r="I20" s="7">
        <f t="shared" si="1"/>
        <v>0</v>
      </c>
      <c r="J20" s="7"/>
      <c r="K20" s="7"/>
      <c r="L20" s="7">
        <f t="shared" si="2"/>
        <v>0</v>
      </c>
    </row>
    <row r="21" spans="2:12" x14ac:dyDescent="0.25">
      <c r="B21" s="7"/>
      <c r="C21" s="7"/>
      <c r="D21" s="7"/>
      <c r="E21" s="7">
        <f t="shared" si="0"/>
        <v>0</v>
      </c>
      <c r="F21" s="7" t="s">
        <v>88</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92</v>
      </c>
      <c r="C23" s="7"/>
      <c r="D23" s="7"/>
      <c r="E23" s="7">
        <f t="shared" si="0"/>
        <v>0</v>
      </c>
      <c r="F23" s="7" t="s">
        <v>93</v>
      </c>
      <c r="G23" s="7"/>
      <c r="H23" s="7"/>
      <c r="I23" s="7">
        <f t="shared" si="1"/>
        <v>0</v>
      </c>
      <c r="J23" s="7"/>
      <c r="K23" s="7"/>
      <c r="L23" s="7">
        <f t="shared" si="2"/>
        <v>0</v>
      </c>
    </row>
    <row r="24" spans="2:12" x14ac:dyDescent="0.25">
      <c r="B24" s="7" t="s">
        <v>94</v>
      </c>
      <c r="C24" s="7"/>
      <c r="D24" s="7"/>
      <c r="E24" s="7">
        <f t="shared" si="0"/>
        <v>0</v>
      </c>
      <c r="F24" s="7" t="s">
        <v>93</v>
      </c>
      <c r="G24" s="7"/>
      <c r="H24" s="7"/>
      <c r="I24" s="7">
        <f t="shared" si="1"/>
        <v>0</v>
      </c>
      <c r="J24" s="7"/>
      <c r="K24" s="7"/>
      <c r="L24" s="7">
        <f t="shared" si="2"/>
        <v>0</v>
      </c>
    </row>
    <row r="25" spans="2:12" x14ac:dyDescent="0.25">
      <c r="B25" s="7" t="s">
        <v>95</v>
      </c>
      <c r="C25" s="7"/>
      <c r="D25" s="7"/>
      <c r="E25" s="7">
        <f t="shared" si="0"/>
        <v>0</v>
      </c>
      <c r="F25" s="7" t="s">
        <v>93</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96</v>
      </c>
      <c r="C27" s="7"/>
      <c r="D27" s="7"/>
      <c r="E27" s="7">
        <f t="shared" si="0"/>
        <v>0</v>
      </c>
      <c r="F27" s="7"/>
      <c r="G27" s="7"/>
      <c r="H27" s="7"/>
      <c r="I27" s="7">
        <f t="shared" si="1"/>
        <v>0</v>
      </c>
      <c r="J27" s="7"/>
      <c r="K27" s="7"/>
      <c r="L27" s="7">
        <f t="shared" si="2"/>
        <v>0</v>
      </c>
    </row>
    <row r="28" spans="2:12" x14ac:dyDescent="0.25">
      <c r="B28" s="7" t="s">
        <v>97</v>
      </c>
      <c r="C28" s="7"/>
      <c r="D28" s="7"/>
      <c r="E28" s="7">
        <f t="shared" si="0"/>
        <v>0</v>
      </c>
      <c r="F28" s="7"/>
      <c r="G28" s="7"/>
      <c r="H28" s="7"/>
      <c r="I28" s="7">
        <f t="shared" si="1"/>
        <v>0</v>
      </c>
      <c r="J28" s="7"/>
      <c r="K28" s="7"/>
      <c r="L28" s="7">
        <f t="shared" si="2"/>
        <v>0</v>
      </c>
    </row>
    <row r="29" spans="2:12" x14ac:dyDescent="0.25">
      <c r="B29" s="7" t="s">
        <v>98</v>
      </c>
      <c r="C29" s="7"/>
      <c r="D29" s="7"/>
      <c r="E29" s="7">
        <f t="shared" si="0"/>
        <v>0</v>
      </c>
      <c r="F29" s="7"/>
      <c r="G29" s="7"/>
      <c r="H29" s="7"/>
      <c r="I29" s="7">
        <f t="shared" si="1"/>
        <v>0</v>
      </c>
      <c r="J29" s="7"/>
      <c r="K29" s="7"/>
      <c r="L29" s="7">
        <f t="shared" si="2"/>
        <v>0</v>
      </c>
    </row>
    <row r="30" spans="2:12" x14ac:dyDescent="0.25">
      <c r="B30" s="7" t="s">
        <v>99</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61</v>
      </c>
      <c r="C34" s="7"/>
      <c r="D34" s="7">
        <f>E34*10.764</f>
        <v>0</v>
      </c>
      <c r="E34" s="7">
        <f>SUM(E6:E33)</f>
        <v>0</v>
      </c>
      <c r="F34" s="7"/>
      <c r="G34" s="7"/>
      <c r="H34" s="7">
        <f>I34*10.764</f>
        <v>0</v>
      </c>
      <c r="I34" s="7">
        <f>SUM(I6:I33)</f>
        <v>0</v>
      </c>
      <c r="J34" s="7"/>
      <c r="K34" s="7">
        <f>L34*10.764</f>
        <v>0</v>
      </c>
      <c r="L34" s="7">
        <f>SUM(L6:L33)</f>
        <v>0</v>
      </c>
    </row>
    <row r="36" spans="2:12" x14ac:dyDescent="0.25">
      <c r="D36">
        <f>D34+H34</f>
        <v>0</v>
      </c>
      <c r="E36">
        <f>E34+I34</f>
        <v>0</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topLeftCell="A49" workbookViewId="0">
      <selection activeCell="B56" sqref="B56"/>
    </sheetView>
  </sheetViews>
  <sheetFormatPr defaultRowHeight="15" x14ac:dyDescent="0.25"/>
  <cols>
    <col min="1" max="1" width="10.7109375" bestFit="1" customWidth="1"/>
    <col min="2" max="2" width="19.42578125" customWidth="1"/>
    <col min="3" max="3" width="17.28515625" customWidth="1"/>
    <col min="4" max="4" width="20" customWidth="1"/>
  </cols>
  <sheetData>
    <row r="1" spans="1:2" x14ac:dyDescent="0.25">
      <c r="A1" s="40">
        <v>44174</v>
      </c>
      <c r="B1" s="29" t="s">
        <v>151</v>
      </c>
    </row>
    <row r="27" spans="1:3" x14ac:dyDescent="0.25">
      <c r="A27" t="s">
        <v>190</v>
      </c>
      <c r="B27" t="s">
        <v>191</v>
      </c>
      <c r="C27" t="s">
        <v>192</v>
      </c>
    </row>
    <row r="28" spans="1:3" x14ac:dyDescent="0.25">
      <c r="C28" t="s">
        <v>222</v>
      </c>
    </row>
    <row r="29" spans="1:3" x14ac:dyDescent="0.25">
      <c r="C29" t="s">
        <v>193</v>
      </c>
    </row>
    <row r="39" spans="1:2" x14ac:dyDescent="0.25">
      <c r="A39" s="51">
        <v>44259</v>
      </c>
      <c r="B39" t="s">
        <v>151</v>
      </c>
    </row>
    <row r="51" spans="1:3" x14ac:dyDescent="0.25">
      <c r="A51" s="51">
        <v>44802</v>
      </c>
      <c r="B51" t="s">
        <v>223</v>
      </c>
      <c r="C51" t="s">
        <v>224</v>
      </c>
    </row>
    <row r="52" spans="1:3" x14ac:dyDescent="0.25">
      <c r="C52" t="s">
        <v>225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85" zoomScaleNormal="85" workbookViewId="0">
      <selection activeCell="K15" sqref="K15"/>
    </sheetView>
  </sheetViews>
  <sheetFormatPr defaultColWidth="8.7109375" defaultRowHeight="15" x14ac:dyDescent="0.25"/>
  <cols>
    <col min="1" max="1" width="10.5703125" style="29" bestFit="1" customWidth="1"/>
    <col min="2" max="2" width="22.140625" style="29" customWidth="1"/>
    <col min="3" max="3" width="37" style="29" customWidth="1"/>
    <col min="4" max="5" width="11.42578125" style="29" customWidth="1"/>
    <col min="6" max="6" width="14" style="29" customWidth="1"/>
    <col min="7" max="7" width="20" style="29" customWidth="1"/>
    <col min="8" max="8" width="16.42578125" style="29" customWidth="1"/>
    <col min="9" max="16384" width="8.7109375" style="29"/>
  </cols>
  <sheetData>
    <row r="1" spans="1:9" ht="15" customHeight="1" x14ac:dyDescent="0.25">
      <c r="A1" s="40">
        <v>44174</v>
      </c>
      <c r="B1" s="29" t="s">
        <v>151</v>
      </c>
    </row>
    <row r="2" spans="1:9" ht="15" customHeight="1" x14ac:dyDescent="0.25">
      <c r="A2" s="30"/>
      <c r="B2" s="30"/>
      <c r="C2" s="30"/>
      <c r="D2" s="30"/>
      <c r="E2" s="30"/>
      <c r="F2" s="30"/>
      <c r="G2" s="30"/>
      <c r="H2" s="30"/>
    </row>
    <row r="3" spans="1:9" ht="15.75" customHeight="1" x14ac:dyDescent="0.25">
      <c r="A3" s="30"/>
      <c r="B3" s="187" t="s">
        <v>139</v>
      </c>
      <c r="C3" s="187"/>
      <c r="D3" s="187"/>
      <c r="E3" s="187"/>
      <c r="F3" s="187"/>
      <c r="G3" s="187"/>
      <c r="H3" s="187"/>
    </row>
    <row r="4" spans="1:9" x14ac:dyDescent="0.25">
      <c r="A4" s="30"/>
      <c r="B4" s="31" t="s">
        <v>140</v>
      </c>
      <c r="C4" s="31" t="s">
        <v>141</v>
      </c>
      <c r="D4" s="31" t="s">
        <v>79</v>
      </c>
      <c r="E4" s="31" t="s">
        <v>142</v>
      </c>
      <c r="F4" s="31" t="s">
        <v>147</v>
      </c>
      <c r="G4" s="31" t="s">
        <v>148</v>
      </c>
      <c r="H4" s="31" t="s">
        <v>143</v>
      </c>
    </row>
    <row r="5" spans="1:9" ht="15" customHeight="1" x14ac:dyDescent="0.25">
      <c r="A5" s="30"/>
      <c r="B5" s="39" t="s">
        <v>149</v>
      </c>
      <c r="C5" s="48" t="s">
        <v>153</v>
      </c>
      <c r="D5" s="49" t="s">
        <v>178</v>
      </c>
      <c r="E5" s="33">
        <v>290</v>
      </c>
      <c r="F5" s="34">
        <f>E5*1.45</f>
        <v>420.5</v>
      </c>
      <c r="G5" s="34">
        <f>H5/F5</f>
        <v>5707.4910820451842</v>
      </c>
      <c r="H5" s="35">
        <v>2400000</v>
      </c>
    </row>
    <row r="6" spans="1:9" x14ac:dyDescent="0.25">
      <c r="A6" s="30"/>
      <c r="B6" s="39" t="s">
        <v>149</v>
      </c>
      <c r="C6" s="48" t="s">
        <v>153</v>
      </c>
      <c r="D6" s="49" t="s">
        <v>170</v>
      </c>
      <c r="E6" s="33">
        <v>315</v>
      </c>
      <c r="F6" s="34">
        <f t="shared" ref="F6:F12" si="0">E6*1.45</f>
        <v>456.75</v>
      </c>
      <c r="G6" s="34">
        <f t="shared" ref="G6:G11" si="1">H6/F6</f>
        <v>6349.2063492063489</v>
      </c>
      <c r="H6" s="35">
        <v>2900000</v>
      </c>
    </row>
    <row r="7" spans="1:9" ht="15" customHeight="1" x14ac:dyDescent="0.25">
      <c r="A7" s="30"/>
      <c r="B7" s="39" t="s">
        <v>149</v>
      </c>
      <c r="C7" s="48" t="s">
        <v>153</v>
      </c>
      <c r="D7" s="49" t="s">
        <v>169</v>
      </c>
      <c r="E7" s="33">
        <v>528</v>
      </c>
      <c r="F7" s="34">
        <f t="shared" si="0"/>
        <v>765.6</v>
      </c>
      <c r="G7" s="34">
        <f t="shared" si="1"/>
        <v>6269.5924764890278</v>
      </c>
      <c r="H7" s="35">
        <v>4800000</v>
      </c>
    </row>
    <row r="8" spans="1:9" x14ac:dyDescent="0.25">
      <c r="A8" s="30"/>
      <c r="B8" s="33" t="s">
        <v>144</v>
      </c>
      <c r="C8" s="48" t="s">
        <v>153</v>
      </c>
      <c r="D8" s="49" t="s">
        <v>178</v>
      </c>
      <c r="E8" s="33">
        <v>390</v>
      </c>
      <c r="F8" s="34">
        <f t="shared" si="0"/>
        <v>565.5</v>
      </c>
      <c r="G8" s="34">
        <f t="shared" si="1"/>
        <v>4774.5358090185673</v>
      </c>
      <c r="H8" s="35">
        <v>2700000</v>
      </c>
    </row>
    <row r="9" spans="1:9" ht="15" customHeight="1" x14ac:dyDescent="0.25">
      <c r="A9" s="30"/>
      <c r="B9" s="33" t="s">
        <v>144</v>
      </c>
      <c r="C9" s="48" t="s">
        <v>153</v>
      </c>
      <c r="D9" s="49" t="s">
        <v>170</v>
      </c>
      <c r="E9" s="33">
        <v>455</v>
      </c>
      <c r="F9" s="34">
        <f t="shared" si="0"/>
        <v>659.75</v>
      </c>
      <c r="G9" s="34">
        <f t="shared" si="1"/>
        <v>5001.8946570670705</v>
      </c>
      <c r="H9" s="35">
        <v>3300000</v>
      </c>
    </row>
    <row r="10" spans="1:9" ht="15" customHeight="1" x14ac:dyDescent="0.25">
      <c r="A10" s="30"/>
      <c r="B10" s="33" t="s">
        <v>144</v>
      </c>
      <c r="C10" s="48" t="s">
        <v>153</v>
      </c>
      <c r="D10" s="49" t="s">
        <v>169</v>
      </c>
      <c r="E10" s="33">
        <v>605</v>
      </c>
      <c r="F10" s="34">
        <f t="shared" si="0"/>
        <v>877.25</v>
      </c>
      <c r="G10" s="34">
        <f t="shared" si="1"/>
        <v>5471.6443431176976</v>
      </c>
      <c r="H10" s="35">
        <v>4800000</v>
      </c>
    </row>
    <row r="11" spans="1:9" ht="15" customHeight="1" x14ac:dyDescent="0.25">
      <c r="A11" s="30"/>
      <c r="B11" s="49" t="s">
        <v>150</v>
      </c>
      <c r="C11" s="48" t="s">
        <v>153</v>
      </c>
      <c r="D11" s="49" t="s">
        <v>170</v>
      </c>
      <c r="E11" s="33">
        <v>220</v>
      </c>
      <c r="F11" s="34">
        <f t="shared" si="0"/>
        <v>319</v>
      </c>
      <c r="G11" s="34">
        <f t="shared" si="1"/>
        <v>7523.5109717868336</v>
      </c>
      <c r="H11" s="35">
        <v>2400000</v>
      </c>
    </row>
    <row r="12" spans="1:9" ht="15" customHeight="1" x14ac:dyDescent="0.25">
      <c r="A12" s="30"/>
      <c r="B12" s="49" t="s">
        <v>150</v>
      </c>
      <c r="C12" s="48" t="s">
        <v>153</v>
      </c>
      <c r="D12" s="49" t="s">
        <v>169</v>
      </c>
      <c r="E12" s="33">
        <v>528</v>
      </c>
      <c r="F12" s="34">
        <f t="shared" si="0"/>
        <v>765.6</v>
      </c>
      <c r="G12" s="34">
        <f t="shared" ref="G12" si="2">H12/F12</f>
        <v>6269.5924764890278</v>
      </c>
      <c r="H12" s="35">
        <v>4800000</v>
      </c>
    </row>
    <row r="13" spans="1:9" ht="15" customHeight="1" x14ac:dyDescent="0.25">
      <c r="A13" s="30"/>
      <c r="B13" s="36" t="s">
        <v>145</v>
      </c>
      <c r="C13" s="33"/>
      <c r="D13" s="33"/>
      <c r="E13" s="33"/>
      <c r="F13" s="33"/>
      <c r="G13" s="37">
        <f>AVERAGE(G5:G11)</f>
        <v>5871.1250983901045</v>
      </c>
      <c r="H13" s="33"/>
    </row>
    <row r="14" spans="1:9" ht="15" customHeight="1" x14ac:dyDescent="0.25">
      <c r="B14" s="36" t="s">
        <v>146</v>
      </c>
      <c r="C14" s="33"/>
      <c r="D14" s="33"/>
      <c r="E14" s="33"/>
      <c r="F14" s="38"/>
      <c r="G14" s="36">
        <v>5900</v>
      </c>
      <c r="H14" s="36"/>
      <c r="I14" s="32"/>
    </row>
    <row r="15" spans="1:9" ht="15" customHeight="1" x14ac:dyDescent="0.25"/>
    <row r="16" spans="1:9" ht="15" customHeight="1" x14ac:dyDescent="0.25"/>
    <row r="17" ht="15" customHeight="1" x14ac:dyDescent="0.25"/>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2025-08-18T06:57:12Z</cp:lastPrinted>
  <dcterms:created xsi:type="dcterms:W3CDTF">2019-07-16T09:29:46Z</dcterms:created>
  <dcterms:modified xsi:type="dcterms:W3CDTF">2025-08-18T07:00:47Z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1283801</vt:lpwstr>
  </property>
  <property fmtid="{D5CDD505-2E9C-101B-9397-08002B2CF9AE}" pid="3" name="NXPowerLiteSettings">
    <vt:lpwstr>C7000400038000</vt:lpwstr>
  </property>
  <property fmtid="{D5CDD505-2E9C-101B-9397-08002B2CF9AE}" pid="4" name="NXPowerLiteVersion">
    <vt:lpwstr>S9.0.3</vt:lpwstr>
  </property>
</Properties>
</file>