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36B2C0E7-0962-40FF-97B7-D36208C337A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1" l="1"/>
  <c r="D177" i="1" l="1"/>
  <c r="F177" i="1" s="1"/>
  <c r="D176" i="1"/>
  <c r="F176" i="1" s="1"/>
  <c r="D175" i="1"/>
  <c r="F175" i="1" s="1"/>
  <c r="D174" i="1"/>
  <c r="F174" i="1" s="1"/>
  <c r="I174" i="1" s="1"/>
  <c r="D173" i="1"/>
  <c r="F173" i="1" s="1"/>
  <c r="D172" i="1"/>
  <c r="F172" i="1" s="1"/>
  <c r="D167" i="1"/>
  <c r="F167" i="1" s="1"/>
  <c r="D166" i="1"/>
  <c r="F166" i="1" s="1"/>
  <c r="D165" i="1"/>
  <c r="F165" i="1" s="1"/>
  <c r="D164" i="1"/>
  <c r="F164" i="1" s="1"/>
  <c r="D162" i="1"/>
  <c r="F162" i="1" s="1"/>
  <c r="D161" i="1"/>
  <c r="F161" i="1" s="1"/>
  <c r="D160" i="1"/>
  <c r="F160" i="1" s="1"/>
  <c r="D159" i="1"/>
  <c r="F159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G135" i="1"/>
  <c r="G136" i="1" s="1"/>
  <c r="G137" i="1" s="1"/>
  <c r="G138" i="1" s="1"/>
  <c r="G139" i="1" s="1"/>
  <c r="G140" i="1" s="1"/>
  <c r="A136" i="1"/>
  <c r="A137" i="1" s="1"/>
  <c r="A138" i="1" s="1"/>
  <c r="D133" i="1"/>
  <c r="D132" i="1"/>
  <c r="D131" i="1"/>
  <c r="D130" i="1"/>
  <c r="D129" i="1"/>
  <c r="D128" i="1"/>
  <c r="G169" i="1"/>
  <c r="G170" i="1" s="1"/>
  <c r="G171" i="1" s="1"/>
  <c r="G159" i="1"/>
  <c r="G160" i="1" s="1"/>
  <c r="G161" i="1" s="1"/>
  <c r="G149" i="1"/>
  <c r="G150" i="1" s="1"/>
  <c r="G151" i="1" s="1"/>
  <c r="G155" i="1" s="1"/>
  <c r="G156" i="1" s="1"/>
  <c r="G157" i="1" s="1"/>
  <c r="A143" i="1"/>
  <c r="A144" i="1" s="1"/>
  <c r="A145" i="1" s="1"/>
  <c r="G142" i="1"/>
  <c r="G143" i="1" s="1"/>
  <c r="G144" i="1" s="1"/>
  <c r="G145" i="1" s="1"/>
  <c r="G146" i="1" s="1"/>
  <c r="G147" i="1" s="1"/>
  <c r="I129" i="1"/>
  <c r="J131" i="1"/>
  <c r="J132" i="1"/>
  <c r="J133" i="1"/>
  <c r="J130" i="1"/>
  <c r="I131" i="1"/>
  <c r="I132" i="1"/>
  <c r="I133" i="1"/>
  <c r="I130" i="1"/>
  <c r="J128" i="1"/>
  <c r="I128" i="1"/>
  <c r="A129" i="1"/>
  <c r="A130" i="1" s="1"/>
  <c r="A131" i="1" s="1"/>
  <c r="D123" i="1"/>
  <c r="D122" i="1"/>
  <c r="D121" i="1"/>
  <c r="D120" i="1"/>
  <c r="D118" i="1"/>
  <c r="D117" i="1"/>
  <c r="D116" i="1"/>
  <c r="D114" i="1"/>
  <c r="D113" i="1"/>
  <c r="F113" i="1" s="1"/>
  <c r="D112" i="1"/>
  <c r="D111" i="1"/>
  <c r="D110" i="1"/>
  <c r="D109" i="1"/>
  <c r="D108" i="1"/>
  <c r="I118" i="1"/>
  <c r="I117" i="1"/>
  <c r="I116" i="1"/>
  <c r="I114" i="1"/>
  <c r="I113" i="1"/>
  <c r="I115" i="1"/>
  <c r="I112" i="1"/>
  <c r="I109" i="1"/>
  <c r="I108" i="1"/>
  <c r="I111" i="1"/>
  <c r="I110" i="1"/>
  <c r="C100" i="1" l="1"/>
  <c r="C96" i="1"/>
  <c r="C95" i="1"/>
  <c r="K131" i="1"/>
  <c r="E95" i="1"/>
  <c r="E96" i="1"/>
  <c r="K133" i="1"/>
  <c r="K132" i="1"/>
  <c r="E100" i="1"/>
  <c r="K129" i="1"/>
  <c r="K130" i="1"/>
  <c r="K128" i="1"/>
  <c r="G175" i="1"/>
  <c r="G176" i="1" s="1"/>
  <c r="G177" i="1" s="1"/>
  <c r="G172" i="1"/>
  <c r="G173" i="1" s="1"/>
  <c r="G174" i="1" s="1"/>
  <c r="G165" i="1"/>
  <c r="G166" i="1" s="1"/>
  <c r="G167" i="1" s="1"/>
  <c r="G162" i="1"/>
  <c r="G163" i="1" s="1"/>
  <c r="G164" i="1" s="1"/>
  <c r="G152" i="1"/>
  <c r="G153" i="1" s="1"/>
  <c r="G154" i="1" s="1"/>
  <c r="F133" i="1"/>
  <c r="F132" i="1"/>
  <c r="F122" i="1"/>
  <c r="F121" i="1"/>
  <c r="F123" i="1"/>
  <c r="A121" i="1"/>
  <c r="A122" i="1" s="1"/>
  <c r="A123" i="1" s="1"/>
  <c r="G120" i="1"/>
  <c r="G121" i="1" s="1"/>
  <c r="G122" i="1" s="1"/>
  <c r="G123" i="1" s="1"/>
  <c r="F120" i="1"/>
  <c r="F117" i="1"/>
  <c r="F116" i="1"/>
  <c r="F118" i="1"/>
  <c r="A117" i="1"/>
  <c r="A118" i="1" s="1"/>
  <c r="G116" i="1"/>
  <c r="G117" i="1" s="1"/>
  <c r="G118" i="1" s="1"/>
  <c r="F114" i="1"/>
  <c r="F112" i="1"/>
  <c r="C97" i="1" l="1"/>
  <c r="E97" i="1"/>
  <c r="G96" i="1"/>
  <c r="C50" i="1"/>
  <c r="G50" i="1"/>
  <c r="E42" i="1" l="1"/>
  <c r="E43" i="1" s="1"/>
  <c r="C14" i="1" l="1"/>
  <c r="E29" i="1" l="1"/>
  <c r="F129" i="1" l="1"/>
  <c r="F130" i="1"/>
  <c r="F131" i="1"/>
  <c r="F128" i="1"/>
  <c r="G128" i="1"/>
  <c r="G129" i="1" s="1"/>
  <c r="G130" i="1" s="1"/>
  <c r="G131" i="1" s="1"/>
  <c r="G132" i="1" s="1"/>
  <c r="G100" i="1" l="1"/>
  <c r="G133" i="1"/>
  <c r="F92" i="1"/>
  <c r="F109" i="1" l="1"/>
  <c r="F110" i="1"/>
  <c r="F111" i="1"/>
  <c r="F108" i="1"/>
  <c r="G95" i="1" l="1"/>
  <c r="G97" i="1" s="1"/>
  <c r="B180" i="1"/>
  <c r="B18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1" i="1"/>
  <c r="G108" i="1"/>
  <c r="G109" i="1" s="1"/>
  <c r="G110" i="1" s="1"/>
  <c r="G111" i="1" s="1"/>
  <c r="J76" i="1"/>
  <c r="J75" i="1"/>
  <c r="J74" i="1"/>
  <c r="J73" i="1"/>
  <c r="C65" i="1"/>
  <c r="D54" i="1"/>
  <c r="E26" i="1"/>
  <c r="E24" i="1"/>
  <c r="E7" i="1"/>
  <c r="E3" i="1"/>
  <c r="H66" i="1"/>
  <c r="G112" i="1" l="1"/>
  <c r="G114" i="1" s="1"/>
  <c r="G113" i="1"/>
  <c r="D5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C70" i="1" s="1"/>
  <c r="E69" i="1" s="1"/>
  <c r="D71" i="1"/>
  <c r="J67" i="1"/>
  <c r="D69" i="1"/>
  <c r="D70" i="1" l="1"/>
  <c r="I66" i="1" s="1"/>
  <c r="G69" i="1"/>
  <c r="D63" i="1" s="1"/>
  <c r="D64" i="1" s="1"/>
  <c r="J66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<sst xmlns="http://schemas.openxmlformats.org/spreadsheetml/2006/main" count="322" uniqueCount="226">
  <si>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</si>
  <si>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</si>
  <si>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</si>
  <si>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</si>
  <si>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</si>
  <si>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</si>
  <si>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</si>
  <si>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</si>
  <si>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</si>
  <si>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</si>
  <si>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</si>
  <si>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</si>
  <si>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</si>
  <si>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</si>
  <si>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</si>
  <si>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</si>
  <si>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</si>
  <si>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</si>
  <si>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</si>
  <si>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</si>
  <si>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</si>
  <si>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</si>
  <si>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</si>
  <si>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</si>
  <si>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</si>
  <si>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</si>
  <si>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</si>
  <si>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</si>
  <si>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</si>
  <si>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</si>
  <si>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</si>
  <si>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</si>
  <si>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</si>
  <si>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</si>
  <si>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</si>
  <si>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</si>
  <si>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</si>
  <si>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</si>
  <si>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</si>
  <si>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</si>
  <si>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</si>
  <si>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</si>
  <si>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</si>
  <si>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</si>
  <si>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</si>
  <si>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</si>
  <si>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</si>
  <si>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</si>
  <si>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</si>
  <si>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</si>
  <si>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</si>
  <si>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</si>
  <si>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</si>
  <si>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</si>
  <si>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</si>
  <si>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</si>
  <si>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</si>
  <si>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</si>
  <si>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</si>
  <si>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</si>
  <si>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</si>
  <si>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</si>
  <si>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</si>
  <si>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</si>
  <si>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</si>
  <si>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</si>
  <si>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</si>
  <si>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</si>
  <si>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</si>
  <si>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</si>
  <si>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</si>
  <si>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</si>
  <si>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</si>
  <si>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</si>
  <si>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</si>
  <si>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</si>
  <si>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</si>
  <si>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</si>
  <si>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</si>
  <si>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</si>
  <si>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</si>
  <si>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</si>
  <si>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</si>
  <si>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</si>
  <si>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</si>
  <si>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</si>
  <si>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</si>
  <si>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</si>
  <si>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</si>
  <si>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</si>
  <si>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</si>
  <si>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</si>
  <si>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</si>
  <si>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</si>
  <si>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</si>
  <si>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</si>
  <si>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</si>
  <si>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</si>
  <si>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</si>
  <si>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</si>
  <si>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</si>
  <si>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</si>
  <si>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</si>
  <si>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</si>
  <si>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</si>
  <si>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</si>
  <si>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</si>
  <si>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</si>
  <si>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</si>
  <si>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</si>
  <si>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</si>
  <si>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</si>
  <si>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</si>
  <si>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</si>
  <si>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</si>
  <si>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</si>
  <si>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</si>
  <si>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</si>
  <si>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</si>
  <si>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</si>
  <si>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</si>
  <si>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</si>
  <si>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</si>
  <si>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</si>
  <si>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</si>
  <si>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</si>
  <si>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</si>
  <si>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</si>
  <si>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</si>
  <si>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</si>
  <si>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</si>
  <si>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</si>
  <si>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</si>
  <si>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</si>
  <si>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</si>
  <si>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</si>
  <si>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</si>
  <si>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</si>
  <si>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</si>
  <si>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</si>
  <si>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</si>
  <si>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</si>
  <si>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</si>
  <si>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</si>
  <si>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</si>
  <si>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</si>
  <si>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</si>
  <si>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</si>
  <si>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</si>
  <si>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</si>
  <si>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</si>
  <si>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</si>
  <si>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</si>
  <si>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</si>
  <si>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</si>
  <si>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</si>
  <si>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</si>
  <si>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</si>
  <si>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</si>
  <si>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</si>
  <si>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</si>
  <si>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</si>
  <si>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</si>
  <si>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</si>
  <si>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</si>
  <si>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</si>
  <si>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</si>
  <si>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</si>
  <si>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</si>
  <si>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</si>
  <si>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</si>
  <si>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</si>
  <si>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</si>
  <si>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</si>
  <si>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</si>
  <si>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</si>
  <si>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</si>
  <si>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</si>
  <si>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</si>
  <si>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Larkins Nest</t>
  </si>
  <si>
    <t>As per RERA - 31/12/2025</t>
  </si>
  <si>
    <t>Pride Property Developers</t>
  </si>
  <si>
    <t>P51700046980</t>
  </si>
  <si>
    <t>Layout plan, Cost sheet, RERA Certificate, CC</t>
  </si>
  <si>
    <t>Thane Municipal Corporation</t>
  </si>
  <si>
    <t>G + 1st to 18th + 19th Part Floor</t>
  </si>
  <si>
    <t>Survey No</t>
  </si>
  <si>
    <t>68 H.No.13/3F, 13/3G</t>
  </si>
  <si>
    <t>Wadavali</t>
  </si>
  <si>
    <t>Ghodbunder Road</t>
  </si>
  <si>
    <t>Thane</t>
  </si>
  <si>
    <t>Purushottam Plaza</t>
  </si>
  <si>
    <t>Parshwanath Galaxy</t>
  </si>
  <si>
    <t>Kasarvadavali Road</t>
  </si>
  <si>
    <t>Krishna Greenland park</t>
  </si>
  <si>
    <t>Yashraj Park</t>
  </si>
  <si>
    <t>12.2KM from Thane Railway Station</t>
  </si>
  <si>
    <t>https://goo.gl/maps/yBBFvnELFSBCpBMt8</t>
  </si>
  <si>
    <t>We received a draft sale agreement, cost sheet, RERA certificate, CC &amp; Others Documents. Please provide a sale plan, approved layout plan &amp; approved floor plan.
Hence we are releasing Nil report on the basis of site visit.</t>
  </si>
  <si>
    <t xml:space="preserve">Rain Water Harvesting, Landscape Garden, Lift, Car Parking, Garbage Disposal, Internal Street Lights, Fire Fighting Systems, Waste Management
</t>
  </si>
  <si>
    <t>Kasarvadavali</t>
  </si>
  <si>
    <t>Thane West</t>
  </si>
  <si>
    <t>Shop</t>
  </si>
  <si>
    <t>1st Floor For Commercial</t>
  </si>
  <si>
    <t>Office</t>
  </si>
  <si>
    <t>2nd &amp; 3rd Floor For Commercial</t>
  </si>
  <si>
    <t>1st Floor For Residential</t>
  </si>
  <si>
    <t>Ground Floor For Commercial, Society Office, Meter Room, Driver Room &amp; Parking</t>
  </si>
  <si>
    <t>1BHK</t>
  </si>
  <si>
    <t>2BHK</t>
  </si>
  <si>
    <t>2nd &amp; 3rd Floor</t>
  </si>
  <si>
    <t>4th Floor</t>
  </si>
  <si>
    <t>5th to 6th, 8th to 11th, 13th to 16th &amp; 18th Floor</t>
  </si>
  <si>
    <t>7th, 12th &amp; 17th Floor (Part Refuge Area)</t>
  </si>
  <si>
    <t>Refuge Area</t>
  </si>
  <si>
    <t>19th Floor (Part Terrace Area)</t>
  </si>
  <si>
    <t>Terrace Area</t>
  </si>
  <si>
    <t xml:space="preserve">Office  </t>
  </si>
  <si>
    <t>Flats</t>
  </si>
  <si>
    <t>Ajay Songare</t>
  </si>
  <si>
    <t>V.P506/0066/10TMC/TDD/4035/22</t>
  </si>
  <si>
    <t>Mr. Shekhar</t>
  </si>
  <si>
    <t>We considered Gross carpet area = Net carpet + Balcony + A.P Area.</t>
  </si>
  <si>
    <t>Flats -153, Shops - 07, Offices - 11</t>
  </si>
  <si>
    <t>Pranita Mhatre</t>
  </si>
  <si>
    <t>Construction work is in process at the time of Visit. (Internal photos was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</si>
</sst>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>
      <alignment horizontal="center" vertical="center"/>
    </xf>
    <xf numFmtId="1" fontId="10" fillId="0" borderId="20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414613</xdr:colOff>
      <xdr:row>286</xdr:row>
      <xdr:rowOff>0</xdr:rowOff>
    </xdr:from>
    <xdr:to>
      <xdr:col>7</xdr:col>
      <xdr:colOff>473424</xdr:colOff>
      <xdr:row>306</xdr:row>
      <xdr:rowOff>22257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613" y="38962853"/>
          <a:ext cx="6188429" cy="40563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414614</xdr:colOff>
      <xdr:row>307</xdr:row>
      <xdr:rowOff>2907</xdr:rowOff>
    </xdr:from>
    <xdr:to>
      <xdr:col>7</xdr:col>
      <xdr:colOff>473425</xdr:colOff>
      <xdr:row>324</xdr:row>
      <xdr:rowOff>173908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614" y="43201583"/>
          <a:ext cx="618842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366505</xdr:colOff>
      <xdr:row>264</xdr:row>
      <xdr:rowOff>144917</xdr:rowOff>
    </xdr:from>
    <xdr:to>
      <xdr:col>5</xdr:col>
      <xdr:colOff>493381</xdr:colOff>
      <xdr:row>283</xdr:row>
      <xdr:rowOff>114301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4805" y="52913417"/>
          <a:ext cx="2825626" cy="3709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358592</xdr:colOff>
      <xdr:row>243</xdr:row>
      <xdr:rowOff>44824</xdr:rowOff>
    </xdr:from>
    <xdr:to>
      <xdr:col>7</xdr:col>
      <xdr:colOff>501295</xdr:colOff>
      <xdr:row>264</xdr:row>
      <xdr:rowOff>70449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8592" y="29930912"/>
          <a:ext cx="6272321" cy="42614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853440</xdr:colOff>
      <xdr:row>203</xdr:row>
      <xdr:rowOff>83820</xdr:rowOff>
    </xdr:from>
    <xdr:to>
      <xdr:col>15</xdr:col>
      <xdr:colOff>213859</xdr:colOff>
      <xdr:row>232</xdr:row>
      <xdr:rowOff>57286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B9F40B7-E8BE-45C5-87ED-099A144FF912}"/>
            </a:ext>
          </a:extLst>
        </xdr:cNvPr>
        <xdr:cNvGrpSpPr/>
      </xdr:nvGrpSpPr>
      <xdr:grpSpPr>
        <a:xfrm>
          <a:off x="7551420" y="41056560"/>
          <a:ext cx="5143999" cy="5711326"/>
          <a:chOff x="689373" y="611031"/>
          <a:chExt cx="5018269" cy="5764666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4829A9F-5DCF-404F-8007-92CF9F2789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373" y="6110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9D25D60C-0A72-4DDC-8E25-B47F343FC8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0173" y="6110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E3C6BA8-F479-4706-B022-9A122C238F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373" y="4035697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2E9A739-29FD-4D58-B197-2CD2FACF76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54470" y="4035697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236220</xdr:colOff>
      <xdr:row>201</xdr:row>
      <xdr:rowOff>182880</xdr:rowOff>
    </xdr:from>
    <xdr:to>
      <xdr:col>7</xdr:col>
      <xdr:colOff>632460</xdr:colOff>
      <xdr:row>239</xdr:row>
      <xdr:rowOff>53340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B8559FE-D247-16AD-5FB9-574F3BACE254}"/>
            </a:ext>
          </a:extLst>
        </xdr:cNvPr>
        <xdr:cNvGrpSpPr/>
      </xdr:nvGrpSpPr>
      <xdr:grpSpPr>
        <a:xfrm>
          <a:off x="236220" y="40759380"/>
          <a:ext cx="6240780" cy="7391400"/>
          <a:chOff x="258052" y="314562"/>
          <a:chExt cx="6391848" cy="722021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5337DE9-5153-83B0-EB62-A09D54A50A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31400" y="537478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D352865-C034-861D-E65A-CB81F04A4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74144" y="537478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8AF0F81-B091-7AF3-F3C9-C0D300183D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8559" y="314562"/>
            <a:ext cx="3638667" cy="48560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85C1254-3966-B604-0C77-447E212852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8052" y="5357642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BBFvnELFSBCpBMt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5"/>
  <sheetViews>
    <sheetView tabSelected="1" view="pageBreakPreview" topLeftCell="A70" zoomScaleNormal="100" zoomScaleSheetLayoutView="100" zoomScalePageLayoutView="85" workbookViewId="0">
      <selection activeCell="I81" sqref="I81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32" t="s">
        <v>178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x14ac:dyDescent="0.3">
      <c r="A3" s="133" t="s">
        <v>1</v>
      </c>
      <c r="B3" s="133"/>
      <c r="C3" s="133"/>
      <c r="D3" s="133"/>
      <c r="E3" s="133" t="str">
        <f ca="1">TEXT(TODAY(),"DD/MM/YYYY")</f>
        <v>19/08/2025</v>
      </c>
      <c r="F3" s="133"/>
      <c r="G3" s="133"/>
      <c r="H3" s="133"/>
    </row>
    <row r="4" spans="1:8" ht="15" customHeight="1" x14ac:dyDescent="0.3">
      <c r="A4" s="133" t="s">
        <v>2</v>
      </c>
      <c r="B4" s="133"/>
      <c r="C4" s="133"/>
      <c r="D4" s="133"/>
      <c r="E4" s="133" t="s">
        <v>177</v>
      </c>
      <c r="F4" s="133"/>
      <c r="G4" s="133"/>
      <c r="H4" s="133"/>
    </row>
    <row r="5" spans="1:8" x14ac:dyDescent="0.3">
      <c r="A5" s="133" t="s">
        <v>3</v>
      </c>
      <c r="B5" s="133"/>
      <c r="C5" s="133"/>
      <c r="D5" s="133"/>
      <c r="E5" s="134">
        <v>45882</v>
      </c>
      <c r="F5" s="133"/>
      <c r="G5" s="133"/>
      <c r="H5" s="133"/>
    </row>
    <row r="6" spans="1:8" ht="16.5" customHeight="1" x14ac:dyDescent="0.3">
      <c r="A6" s="133" t="s">
        <v>4</v>
      </c>
      <c r="B6" s="133"/>
      <c r="C6" s="133"/>
      <c r="D6" s="133"/>
      <c r="E6" s="133" t="s">
        <v>181</v>
      </c>
      <c r="F6" s="133"/>
      <c r="G6" s="133"/>
      <c r="H6" s="133"/>
    </row>
    <row r="7" spans="1:8" ht="15" customHeight="1" x14ac:dyDescent="0.3">
      <c r="A7" s="133" t="s">
        <v>5</v>
      </c>
      <c r="B7" s="133"/>
      <c r="C7" s="133"/>
      <c r="D7" s="133"/>
      <c r="E7" s="133" t="str">
        <f>E6</f>
        <v>Pride Property Developers</v>
      </c>
      <c r="F7" s="133"/>
      <c r="G7" s="133"/>
      <c r="H7" s="133"/>
    </row>
    <row r="8" spans="1:8" x14ac:dyDescent="0.3">
      <c r="A8" s="133" t="s">
        <v>6</v>
      </c>
      <c r="B8" s="133"/>
      <c r="C8" s="133"/>
      <c r="D8" s="133"/>
      <c r="E8" s="115" t="s">
        <v>179</v>
      </c>
      <c r="F8" s="115"/>
      <c r="G8" s="115"/>
      <c r="H8" s="115"/>
    </row>
    <row r="9" spans="1:8" x14ac:dyDescent="0.3">
      <c r="A9" s="133" t="s">
        <v>174</v>
      </c>
      <c r="B9" s="133"/>
      <c r="C9" s="133"/>
      <c r="D9" s="133"/>
      <c r="E9" s="133">
        <v>8080480804</v>
      </c>
      <c r="F9" s="133"/>
      <c r="G9" s="133"/>
      <c r="H9" s="133"/>
    </row>
    <row r="10" spans="1:8" hidden="1" x14ac:dyDescent="0.3">
      <c r="A10" s="133" t="s">
        <v>175</v>
      </c>
      <c r="B10" s="133"/>
      <c r="C10" s="133"/>
      <c r="D10" s="133"/>
      <c r="E10" s="133" t="s">
        <v>221</v>
      </c>
      <c r="F10" s="133"/>
      <c r="G10" s="133"/>
      <c r="H10" s="133"/>
    </row>
    <row r="11" spans="1:8" x14ac:dyDescent="0.3">
      <c r="A11" s="133" t="s">
        <v>7</v>
      </c>
      <c r="B11" s="133"/>
      <c r="C11" s="133"/>
      <c r="D11" s="133"/>
      <c r="E11" s="133" t="s">
        <v>129</v>
      </c>
      <c r="F11" s="133"/>
      <c r="G11" s="133"/>
      <c r="H11" s="133"/>
    </row>
    <row r="12" spans="1:8" x14ac:dyDescent="0.3">
      <c r="A12" s="78" t="s">
        <v>8</v>
      </c>
      <c r="B12" s="78"/>
      <c r="C12" s="78"/>
      <c r="D12" s="78"/>
      <c r="E12" s="79" t="s">
        <v>183</v>
      </c>
      <c r="F12" s="79"/>
      <c r="G12" s="79"/>
      <c r="H12" s="79"/>
    </row>
    <row r="13" spans="1:8" x14ac:dyDescent="0.3">
      <c r="A13" s="78" t="s">
        <v>9</v>
      </c>
      <c r="B13" s="78"/>
      <c r="C13" s="78"/>
      <c r="D13" s="78"/>
      <c r="E13" s="79" t="s">
        <v>182</v>
      </c>
      <c r="F13" s="133"/>
      <c r="G13" s="133"/>
      <c r="H13" s="133"/>
    </row>
    <row r="14" spans="1:8" ht="33" customHeight="1" x14ac:dyDescent="0.3">
      <c r="A14" s="102" t="s">
        <v>10</v>
      </c>
      <c r="B14" s="102"/>
      <c r="C14" s="10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Larkins Nest, Survey No.68 H.No.13/3F, 13/3G, near Purushottam Plaza, Ghodbunder Road, Kasarvadavali, Wadavali, Thane West, Thane, Thane - 400615.</v>
      </c>
      <c r="D14" s="102"/>
      <c r="E14" s="102"/>
      <c r="F14" s="102"/>
      <c r="G14" s="102"/>
      <c r="H14" s="102"/>
    </row>
    <row r="15" spans="1:8" x14ac:dyDescent="0.3">
      <c r="A15" s="79" t="s">
        <v>186</v>
      </c>
      <c r="B15" s="79"/>
      <c r="C15" s="79" t="s">
        <v>187</v>
      </c>
      <c r="D15" s="79"/>
      <c r="E15" s="79"/>
      <c r="F15" s="79"/>
      <c r="G15" s="79"/>
      <c r="H15" s="79"/>
    </row>
    <row r="16" spans="1:8" ht="15.75" customHeight="1" x14ac:dyDescent="0.3">
      <c r="A16" s="79" t="s">
        <v>173</v>
      </c>
      <c r="B16" s="79"/>
      <c r="C16" s="79" t="s">
        <v>200</v>
      </c>
      <c r="D16" s="79"/>
      <c r="E16" s="79"/>
      <c r="F16" s="79"/>
      <c r="G16" s="79"/>
      <c r="H16" s="79"/>
    </row>
    <row r="17" spans="1:8" ht="15.75" customHeight="1" x14ac:dyDescent="0.3">
      <c r="A17" s="102" t="s">
        <v>11</v>
      </c>
      <c r="B17" s="102"/>
      <c r="C17" s="133" t="s">
        <v>189</v>
      </c>
      <c r="D17" s="133"/>
      <c r="E17" s="102" t="s">
        <v>77</v>
      </c>
      <c r="F17" s="102"/>
      <c r="G17" s="79" t="s">
        <v>188</v>
      </c>
      <c r="H17" s="79"/>
    </row>
    <row r="18" spans="1:8" x14ac:dyDescent="0.3">
      <c r="A18" s="78" t="s">
        <v>13</v>
      </c>
      <c r="B18" s="78"/>
      <c r="C18" s="79" t="s">
        <v>201</v>
      </c>
      <c r="D18" s="79"/>
      <c r="E18" s="102" t="s">
        <v>12</v>
      </c>
      <c r="F18" s="102"/>
      <c r="G18" s="135" t="s">
        <v>190</v>
      </c>
      <c r="H18" s="135"/>
    </row>
    <row r="19" spans="1:8" x14ac:dyDescent="0.3">
      <c r="A19" s="78" t="s">
        <v>78</v>
      </c>
      <c r="B19" s="78"/>
      <c r="C19" s="79" t="s">
        <v>190</v>
      </c>
      <c r="D19" s="79"/>
      <c r="E19" s="102" t="s">
        <v>14</v>
      </c>
      <c r="F19" s="102"/>
      <c r="G19" s="79">
        <v>400615</v>
      </c>
      <c r="H19" s="79"/>
    </row>
    <row r="20" spans="1:8" ht="32.25" customHeight="1" x14ac:dyDescent="0.3">
      <c r="A20" s="78" t="s">
        <v>130</v>
      </c>
      <c r="B20" s="78"/>
      <c r="C20" s="79" t="s">
        <v>191</v>
      </c>
      <c r="D20" s="79"/>
      <c r="E20" s="102" t="s">
        <v>15</v>
      </c>
      <c r="F20" s="102"/>
      <c r="G20" s="79" t="s">
        <v>196</v>
      </c>
      <c r="H20" s="79"/>
    </row>
    <row r="21" spans="1:8" ht="15" customHeight="1" x14ac:dyDescent="0.3">
      <c r="A21" s="102" t="s">
        <v>81</v>
      </c>
      <c r="B21" s="102"/>
      <c r="C21" s="102"/>
      <c r="D21" s="102"/>
      <c r="E21" s="133" t="s">
        <v>16</v>
      </c>
      <c r="F21" s="133"/>
      <c r="G21" s="133"/>
      <c r="H21" s="133"/>
    </row>
    <row r="22" spans="1:8" ht="18.75" customHeight="1" x14ac:dyDescent="0.3">
      <c r="A22" s="102"/>
      <c r="B22" s="102"/>
      <c r="C22" s="102"/>
      <c r="D22" s="102"/>
      <c r="E22" s="133"/>
      <c r="F22" s="133"/>
      <c r="G22" s="133"/>
      <c r="H22" s="133"/>
    </row>
    <row r="23" spans="1:8" ht="15" customHeight="1" x14ac:dyDescent="0.3">
      <c r="A23" s="102" t="s">
        <v>17</v>
      </c>
      <c r="B23" s="102"/>
      <c r="C23" s="102"/>
      <c r="D23" s="102"/>
      <c r="E23" s="79" t="s">
        <v>18</v>
      </c>
      <c r="F23" s="79"/>
      <c r="G23" s="79"/>
      <c r="H23" s="79"/>
    </row>
    <row r="24" spans="1:8" ht="15" customHeight="1" x14ac:dyDescent="0.3">
      <c r="A24" s="78" t="s">
        <v>19</v>
      </c>
      <c r="B24" s="78"/>
      <c r="C24" s="78"/>
      <c r="D24" s="78"/>
      <c r="E24" s="79" t="str">
        <f>IF(AND(G18="Mumbai"),"Upper Class","Middle Class")</f>
        <v>Middle Class</v>
      </c>
      <c r="F24" s="79"/>
      <c r="G24" s="79"/>
      <c r="H24" s="79"/>
    </row>
    <row r="25" spans="1:8" x14ac:dyDescent="0.3">
      <c r="A25" s="78" t="s">
        <v>20</v>
      </c>
      <c r="B25" s="78"/>
      <c r="C25" s="78"/>
      <c r="D25" s="78"/>
      <c r="E25" s="79" t="s">
        <v>21</v>
      </c>
      <c r="F25" s="79"/>
      <c r="G25" s="79"/>
      <c r="H25" s="79"/>
    </row>
    <row r="26" spans="1:8" ht="15.75" customHeight="1" x14ac:dyDescent="0.3">
      <c r="A26" s="78" t="s">
        <v>22</v>
      </c>
      <c r="B26" s="78"/>
      <c r="C26" s="78"/>
      <c r="D26" s="78"/>
      <c r="E26" s="79" t="str">
        <f>IF(AND(G18="Mumbai"),"Developed","Developing")</f>
        <v>Developing</v>
      </c>
      <c r="F26" s="79"/>
      <c r="G26" s="79"/>
      <c r="H26" s="79"/>
    </row>
    <row r="27" spans="1:8" x14ac:dyDescent="0.3">
      <c r="A27" s="78" t="s">
        <v>23</v>
      </c>
      <c r="B27" s="78"/>
      <c r="C27" s="78"/>
      <c r="D27" s="78"/>
      <c r="E27" s="79" t="s">
        <v>24</v>
      </c>
      <c r="F27" s="79"/>
      <c r="G27" s="79"/>
      <c r="H27" s="79"/>
    </row>
    <row r="28" spans="1:8" ht="15.75" customHeight="1" x14ac:dyDescent="0.3">
      <c r="A28" s="78" t="s">
        <v>86</v>
      </c>
      <c r="B28" s="78"/>
      <c r="C28" s="78"/>
      <c r="D28" s="78"/>
      <c r="E28" s="79" t="s">
        <v>87</v>
      </c>
      <c r="F28" s="79"/>
      <c r="G28" s="79"/>
      <c r="H28" s="79"/>
    </row>
    <row r="29" spans="1:8" ht="15" customHeight="1" x14ac:dyDescent="0.3">
      <c r="A29" s="78" t="s">
        <v>35</v>
      </c>
      <c r="B29" s="78"/>
      <c r="C29" s="78"/>
      <c r="D29" s="78"/>
      <c r="E29" s="7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9"/>
      <c r="G29" s="79"/>
      <c r="H29" s="79"/>
    </row>
    <row r="30" spans="1:8" ht="15.75" customHeight="1" x14ac:dyDescent="0.3">
      <c r="A30" s="78" t="s">
        <v>98</v>
      </c>
      <c r="B30" s="78"/>
      <c r="C30" s="78"/>
      <c r="D30" s="78"/>
      <c r="E30" s="79" t="s">
        <v>36</v>
      </c>
      <c r="F30" s="79"/>
      <c r="G30" s="79"/>
      <c r="H30" s="79"/>
    </row>
    <row r="31" spans="1:8" s="22" customFormat="1" x14ac:dyDescent="0.3">
      <c r="A31" s="139" t="s">
        <v>99</v>
      </c>
      <c r="B31" s="139"/>
      <c r="C31" s="138" t="s">
        <v>29</v>
      </c>
      <c r="D31" s="138"/>
      <c r="E31" s="138"/>
      <c r="F31" s="138" t="s">
        <v>31</v>
      </c>
      <c r="G31" s="138"/>
      <c r="H31" s="138"/>
    </row>
    <row r="32" spans="1:8" s="22" customFormat="1" x14ac:dyDescent="0.3">
      <c r="A32" s="136" t="s">
        <v>25</v>
      </c>
      <c r="B32" s="136" t="s">
        <v>30</v>
      </c>
      <c r="C32" s="137" t="s">
        <v>30</v>
      </c>
      <c r="D32" s="137"/>
      <c r="E32" s="137"/>
      <c r="F32" s="137" t="s">
        <v>195</v>
      </c>
      <c r="G32" s="137"/>
      <c r="H32" s="137"/>
    </row>
    <row r="33" spans="1:8" x14ac:dyDescent="0.3">
      <c r="A33" s="136" t="s">
        <v>26</v>
      </c>
      <c r="B33" s="136" t="s">
        <v>30</v>
      </c>
      <c r="C33" s="137" t="s">
        <v>30</v>
      </c>
      <c r="D33" s="137"/>
      <c r="E33" s="137"/>
      <c r="F33" s="137" t="s">
        <v>192</v>
      </c>
      <c r="G33" s="137"/>
      <c r="H33" s="137"/>
    </row>
    <row r="34" spans="1:8" s="22" customFormat="1" x14ac:dyDescent="0.3">
      <c r="A34" s="136" t="s">
        <v>28</v>
      </c>
      <c r="B34" s="136" t="s">
        <v>30</v>
      </c>
      <c r="C34" s="137" t="s">
        <v>30</v>
      </c>
      <c r="D34" s="137"/>
      <c r="E34" s="137"/>
      <c r="F34" s="137" t="s">
        <v>194</v>
      </c>
      <c r="G34" s="137"/>
      <c r="H34" s="137"/>
    </row>
    <row r="35" spans="1:8" x14ac:dyDescent="0.3">
      <c r="A35" s="136" t="s">
        <v>27</v>
      </c>
      <c r="B35" s="136" t="s">
        <v>30</v>
      </c>
      <c r="C35" s="137" t="s">
        <v>30</v>
      </c>
      <c r="D35" s="137"/>
      <c r="E35" s="137"/>
      <c r="F35" s="137" t="s">
        <v>193</v>
      </c>
      <c r="G35" s="137"/>
      <c r="H35" s="137"/>
    </row>
    <row r="36" spans="1:8" x14ac:dyDescent="0.3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8" ht="15.75" customHeight="1" x14ac:dyDescent="0.3">
      <c r="A37" s="113" t="s">
        <v>33</v>
      </c>
      <c r="B37" s="113"/>
      <c r="C37" s="142">
        <v>19.270720000000001</v>
      </c>
      <c r="D37" s="142"/>
      <c r="E37" s="113" t="s">
        <v>34</v>
      </c>
      <c r="F37" s="113"/>
      <c r="G37" s="143">
        <v>72.965647000000004</v>
      </c>
      <c r="H37" s="143"/>
    </row>
    <row r="38" spans="1:8" x14ac:dyDescent="0.3">
      <c r="A38" s="113" t="s">
        <v>172</v>
      </c>
      <c r="B38" s="113"/>
      <c r="C38" s="144" t="s">
        <v>197</v>
      </c>
      <c r="D38" s="79"/>
      <c r="E38" s="79"/>
      <c r="F38" s="79"/>
      <c r="G38" s="79"/>
      <c r="H38" s="79"/>
    </row>
    <row r="39" spans="1:8" x14ac:dyDescent="0.3">
      <c r="A39" s="120" t="s">
        <v>37</v>
      </c>
      <c r="B39" s="120"/>
      <c r="C39" s="120"/>
      <c r="D39" s="120"/>
      <c r="E39" s="120"/>
      <c r="F39" s="120"/>
      <c r="G39" s="120"/>
      <c r="H39" s="120"/>
    </row>
    <row r="40" spans="1:8" x14ac:dyDescent="0.3">
      <c r="A40" s="78" t="s">
        <v>38</v>
      </c>
      <c r="B40" s="78"/>
      <c r="C40" s="78"/>
      <c r="D40" s="78"/>
      <c r="E40" s="140">
        <v>1813.95</v>
      </c>
      <c r="F40" s="140"/>
      <c r="G40" s="140"/>
      <c r="H40" s="140"/>
    </row>
    <row r="41" spans="1:8" x14ac:dyDescent="0.3">
      <c r="A41" s="78" t="s">
        <v>39</v>
      </c>
      <c r="B41" s="78"/>
      <c r="C41" s="78"/>
      <c r="D41" s="78"/>
      <c r="E41" s="80">
        <v>1.1000000000000001</v>
      </c>
      <c r="F41" s="80"/>
      <c r="G41" s="80"/>
      <c r="H41" s="80"/>
    </row>
    <row r="42" spans="1:8" x14ac:dyDescent="0.3">
      <c r="A42" s="78" t="s">
        <v>40</v>
      </c>
      <c r="B42" s="78"/>
      <c r="C42" s="78"/>
      <c r="D42" s="78"/>
      <c r="E42" s="80">
        <f>E44/E40-E41</f>
        <v>4.5273105653408301</v>
      </c>
      <c r="F42" s="80"/>
      <c r="G42" s="80"/>
      <c r="H42" s="80"/>
    </row>
    <row r="43" spans="1:8" x14ac:dyDescent="0.3">
      <c r="A43" s="78" t="s">
        <v>41</v>
      </c>
      <c r="B43" s="78"/>
      <c r="C43" s="78"/>
      <c r="D43" s="78"/>
      <c r="E43" s="80">
        <f>E41+E42</f>
        <v>5.6273105653408297</v>
      </c>
      <c r="F43" s="80"/>
      <c r="G43" s="80"/>
      <c r="H43" s="80"/>
    </row>
    <row r="44" spans="1:8" x14ac:dyDescent="0.3">
      <c r="A44" s="78" t="s">
        <v>97</v>
      </c>
      <c r="B44" s="78"/>
      <c r="C44" s="78"/>
      <c r="D44" s="78"/>
      <c r="E44" s="154">
        <v>10207.66</v>
      </c>
      <c r="F44" s="154"/>
      <c r="G44" s="154"/>
      <c r="H44" s="154"/>
    </row>
    <row r="45" spans="1:8" x14ac:dyDescent="0.3">
      <c r="A45" s="133" t="s">
        <v>42</v>
      </c>
      <c r="B45" s="133"/>
      <c r="C45" s="133"/>
      <c r="D45" s="133"/>
      <c r="E45" s="133" t="s">
        <v>129</v>
      </c>
      <c r="F45" s="133"/>
      <c r="G45" s="133"/>
      <c r="H45" s="133"/>
    </row>
    <row r="46" spans="1:8" x14ac:dyDescent="0.3">
      <c r="A46" s="120" t="s">
        <v>43</v>
      </c>
      <c r="B46" s="120"/>
      <c r="C46" s="120"/>
      <c r="D46" s="120"/>
      <c r="E46" s="120"/>
      <c r="F46" s="120"/>
      <c r="G46" s="120"/>
      <c r="H46" s="120"/>
    </row>
    <row r="47" spans="1:8" ht="33.75" customHeight="1" x14ac:dyDescent="0.3">
      <c r="A47" s="94" t="s">
        <v>159</v>
      </c>
      <c r="B47" s="95"/>
      <c r="C47" s="155" t="s">
        <v>184</v>
      </c>
      <c r="D47" s="156"/>
      <c r="E47" s="156"/>
      <c r="F47" s="156"/>
      <c r="G47" s="156"/>
      <c r="H47" s="157"/>
    </row>
    <row r="48" spans="1:8" ht="15.75" customHeight="1" x14ac:dyDescent="0.3">
      <c r="A48" s="94" t="s">
        <v>44</v>
      </c>
      <c r="B48" s="95"/>
      <c r="C48" s="94" t="s">
        <v>220</v>
      </c>
      <c r="D48" s="96"/>
      <c r="E48" s="95"/>
      <c r="F48" s="18" t="s">
        <v>45</v>
      </c>
      <c r="G48" s="101">
        <v>44673</v>
      </c>
      <c r="H48" s="95"/>
    </row>
    <row r="49" spans="1:14" x14ac:dyDescent="0.3">
      <c r="A49" s="94" t="s">
        <v>46</v>
      </c>
      <c r="B49" s="95"/>
      <c r="C49" s="94" t="s">
        <v>220</v>
      </c>
      <c r="D49" s="96"/>
      <c r="E49" s="95"/>
      <c r="F49" s="18" t="s">
        <v>45</v>
      </c>
      <c r="G49" s="101">
        <v>44673</v>
      </c>
      <c r="H49" s="95"/>
    </row>
    <row r="50" spans="1:14" s="23" customFormat="1" ht="15.75" customHeight="1" x14ac:dyDescent="0.3">
      <c r="A50" s="149" t="s">
        <v>163</v>
      </c>
      <c r="B50" s="150"/>
      <c r="C50" s="94" t="str">
        <f>C48</f>
        <v>V.P506/0066/10TMC/TDD/4035/22</v>
      </c>
      <c r="D50" s="96"/>
      <c r="E50" s="95"/>
      <c r="F50" s="18" t="s">
        <v>45</v>
      </c>
      <c r="G50" s="101">
        <f>G48</f>
        <v>44673</v>
      </c>
      <c r="H50" s="95"/>
    </row>
    <row r="51" spans="1:14" s="23" customFormat="1" x14ac:dyDescent="0.3">
      <c r="A51" s="151"/>
      <c r="B51" s="152"/>
      <c r="C51" s="94" t="s">
        <v>185</v>
      </c>
      <c r="D51" s="96"/>
      <c r="E51" s="96"/>
      <c r="F51" s="96"/>
      <c r="G51" s="96"/>
      <c r="H51" s="95"/>
    </row>
    <row r="52" spans="1:14" x14ac:dyDescent="0.3">
      <c r="A52" s="161" t="s">
        <v>47</v>
      </c>
      <c r="B52" s="162"/>
      <c r="C52" s="161" t="s">
        <v>111</v>
      </c>
      <c r="D52" s="163"/>
      <c r="E52" s="162"/>
      <c r="F52" s="46" t="s">
        <v>45</v>
      </c>
      <c r="G52" s="164" t="s">
        <v>30</v>
      </c>
      <c r="H52" s="165"/>
    </row>
    <row r="53" spans="1:14" x14ac:dyDescent="0.3">
      <c r="A53" s="111" t="s">
        <v>49</v>
      </c>
      <c r="B53" s="111"/>
      <c r="C53" s="111"/>
      <c r="D53" s="111"/>
      <c r="E53" s="111"/>
      <c r="F53" s="111"/>
      <c r="G53" s="111"/>
      <c r="H53" s="111"/>
    </row>
    <row r="54" spans="1:14" x14ac:dyDescent="0.3">
      <c r="A54" s="102" t="s">
        <v>96</v>
      </c>
      <c r="B54" s="102"/>
      <c r="C54" s="102"/>
      <c r="D54" s="133">
        <f>E44</f>
        <v>10207.66</v>
      </c>
      <c r="E54" s="133"/>
      <c r="F54" s="133"/>
      <c r="G54" s="133"/>
      <c r="H54" s="133"/>
    </row>
    <row r="55" spans="1:14" x14ac:dyDescent="0.3">
      <c r="A55" s="79" t="s">
        <v>50</v>
      </c>
      <c r="B55" s="133"/>
      <c r="C55" s="133"/>
      <c r="D55" s="133" t="s">
        <v>223</v>
      </c>
      <c r="E55" s="133"/>
      <c r="F55" s="133"/>
      <c r="G55" s="133"/>
      <c r="H55" s="133"/>
      <c r="I55" s="24"/>
    </row>
    <row r="56" spans="1:14" x14ac:dyDescent="0.3">
      <c r="A56" s="146" t="s">
        <v>51</v>
      </c>
      <c r="B56" s="147"/>
      <c r="C56" s="148"/>
      <c r="D56" s="104" t="s">
        <v>185</v>
      </c>
      <c r="E56" s="145"/>
      <c r="F56" s="145"/>
      <c r="G56" s="145"/>
      <c r="H56" s="145"/>
    </row>
    <row r="57" spans="1:14" ht="15.75" customHeight="1" x14ac:dyDescent="0.3">
      <c r="A57" s="146" t="s">
        <v>94</v>
      </c>
      <c r="B57" s="147"/>
      <c r="C57" s="147"/>
      <c r="D57" s="158" t="s">
        <v>185</v>
      </c>
      <c r="E57" s="159"/>
      <c r="F57" s="159"/>
      <c r="G57" s="159"/>
      <c r="H57" s="160"/>
    </row>
    <row r="58" spans="1:14" ht="15.75" customHeight="1" x14ac:dyDescent="0.3">
      <c r="A58" s="78" t="s">
        <v>48</v>
      </c>
      <c r="B58" s="78"/>
      <c r="C58" s="78"/>
      <c r="D58" s="141" t="s">
        <v>180</v>
      </c>
      <c r="E58" s="141"/>
      <c r="F58" s="141"/>
      <c r="G58" s="141"/>
      <c r="H58" s="141"/>
      <c r="J58" s="25"/>
      <c r="K58" s="24"/>
      <c r="N58" s="24"/>
    </row>
    <row r="59" spans="1:14" ht="15.75" customHeight="1" x14ac:dyDescent="0.3">
      <c r="A59" s="78" t="s">
        <v>92</v>
      </c>
      <c r="B59" s="78"/>
      <c r="C59" s="78"/>
      <c r="D59" s="153" t="str">
        <f>(IF(G52="NA","60 Years After Completion",IF(G52&lt;&gt;"NA",""&amp;60-ROUNDDOWN((E3-G52)/360,0)&amp;" Years"," ")))</f>
        <v>60 Years After Completion</v>
      </c>
      <c r="E59" s="153"/>
      <c r="F59" s="153"/>
      <c r="G59" s="153"/>
      <c r="H59" s="153"/>
      <c r="N59" s="24"/>
    </row>
    <row r="60" spans="1:14" ht="15.75" customHeight="1" x14ac:dyDescent="0.3">
      <c r="A60" s="78" t="s">
        <v>93</v>
      </c>
      <c r="B60" s="78"/>
      <c r="C60" s="78"/>
      <c r="D60" s="102" t="s">
        <v>24</v>
      </c>
      <c r="E60" s="102"/>
      <c r="F60" s="102"/>
      <c r="G60" s="102"/>
      <c r="H60" s="102"/>
      <c r="J60" s="26"/>
      <c r="K60" s="26"/>
    </row>
    <row r="61" spans="1:14" ht="46.5" customHeight="1" x14ac:dyDescent="0.3">
      <c r="A61" s="78" t="s">
        <v>79</v>
      </c>
      <c r="B61" s="78"/>
      <c r="C61" s="78"/>
      <c r="D61" s="79" t="s">
        <v>199</v>
      </c>
      <c r="E61" s="102"/>
      <c r="F61" s="102"/>
      <c r="G61" s="102"/>
      <c r="H61" s="102"/>
    </row>
    <row r="62" spans="1:14" x14ac:dyDescent="0.3">
      <c r="A62" s="102" t="s">
        <v>156</v>
      </c>
      <c r="B62" s="102"/>
      <c r="C62" s="102"/>
      <c r="D62" s="102" t="s">
        <v>30</v>
      </c>
      <c r="E62" s="102"/>
      <c r="F62" s="102"/>
      <c r="G62" s="102"/>
      <c r="H62" s="102"/>
      <c r="I62" s="27"/>
      <c r="J62" s="27"/>
      <c r="K62" s="27"/>
      <c r="L62" s="27"/>
      <c r="M62" s="27"/>
      <c r="N62" s="27"/>
    </row>
    <row r="63" spans="1:14" ht="15.75" customHeight="1" x14ac:dyDescent="0.3">
      <c r="A63" s="103" t="s">
        <v>91</v>
      </c>
      <c r="B63" s="103"/>
      <c r="C63" s="103"/>
      <c r="D63" s="104" t="str">
        <f ca="1">(IF(G69&gt;95%,"Nothing",IF(G69&gt;0%,"Cement, Aggregate, Steel, etc",IF(G69=0%,"Work not yet Started"))))</f>
        <v>Cement, Aggregate, Steel, etc</v>
      </c>
      <c r="E63" s="104"/>
      <c r="F63" s="104"/>
      <c r="G63" s="104"/>
      <c r="H63" s="104"/>
      <c r="J63" s="26"/>
    </row>
    <row r="64" spans="1:14" ht="33.75" customHeight="1" thickBot="1" x14ac:dyDescent="0.35">
      <c r="A64" s="116" t="s">
        <v>124</v>
      </c>
      <c r="B64" s="116"/>
      <c r="C64" s="116"/>
      <c r="D64" s="104" t="str">
        <f ca="1">(IF(D63="Nothing","Yes",IF(D63="Cement, Aggregate, Steel, etc","Under Construction",IF(D63="Work not yet Started","Work not yet Started"))))</f>
        <v>Under Construction</v>
      </c>
      <c r="E64" s="104"/>
      <c r="F64" s="104" t="str">
        <f ca="1">(IF(D63="Nothing","Yes",IF(D63="Cement, Aggregate, Steel, etc","Under Construction",IF(D63="Work not yet Started","Work not yet Started"))))</f>
        <v>Under Construction</v>
      </c>
      <c r="G64" s="104"/>
      <c r="H64" s="104"/>
    </row>
    <row r="65" spans="1:10" ht="15.75" customHeight="1" x14ac:dyDescent="0.3">
      <c r="A65" s="166" t="s">
        <v>148</v>
      </c>
      <c r="B65" s="167"/>
      <c r="C65" s="168" t="str">
        <f>D57</f>
        <v>G + 1st to 18th + 19th Part Floor</v>
      </c>
      <c r="D65" s="169"/>
      <c r="E65" s="169"/>
      <c r="F65" s="169"/>
      <c r="G65" s="169"/>
      <c r="H65" s="170"/>
      <c r="I65" s="48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16 Floor, External Plaster upto 14 Floor, Flooring upto 8 Floor, Painting upto 3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16 Floor, External Plaster upto 14 Floor, Flooring upto 8 Floor, Painting upto 3 Floor</v>
      </c>
    </row>
    <row r="66" spans="1:10" x14ac:dyDescent="0.3">
      <c r="A66" s="16" t="s">
        <v>150</v>
      </c>
      <c r="B66" s="52">
        <v>0</v>
      </c>
      <c r="C66" s="52" t="s">
        <v>76</v>
      </c>
      <c r="D66" s="52">
        <v>1</v>
      </c>
      <c r="E66" s="52" t="s">
        <v>75</v>
      </c>
      <c r="F66" s="52">
        <v>0</v>
      </c>
      <c r="G66" s="52" t="s">
        <v>85</v>
      </c>
      <c r="H66" s="17">
        <f ca="1">--TRIM(RIGHT(SUBSTITUTE(LEFT(C65,_xlfn.AGGREGATE(16,6,FIND({0,1,2,3,4,5,6,7,8,9},C65,ROW(INDIRECT("1:"&amp;LEN(C65)))),1))," ",REPT(" ",LEN(C65))),LEN(C65)))</f>
        <v>19</v>
      </c>
      <c r="I66" s="5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9.8" customHeight="1" x14ac:dyDescent="0.3">
      <c r="A67" s="114" t="s">
        <v>95</v>
      </c>
      <c r="B67" s="115"/>
      <c r="C67" s="171" t="str">
        <f ca="1">I65</f>
        <v>Excavation, Plinth, RCC Slab, Brickwork Completed, Internal Plaster upto 16 Floor, External Plaster upto 14 Floor, Flooring upto 8 Floor, Painting upto 3 Floor Completed</v>
      </c>
      <c r="D67" s="171"/>
      <c r="E67" s="171"/>
      <c r="F67" s="171"/>
      <c r="G67" s="171"/>
      <c r="H67" s="172"/>
      <c r="I67" s="50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0" ht="15.75" customHeight="1" x14ac:dyDescent="0.3">
      <c r="A68" s="75" t="s">
        <v>52</v>
      </c>
      <c r="B68" s="76"/>
      <c r="C68" s="44" t="s">
        <v>147</v>
      </c>
      <c r="D68" s="44" t="s">
        <v>88</v>
      </c>
      <c r="E68" s="76" t="s">
        <v>90</v>
      </c>
      <c r="F68" s="76"/>
      <c r="G68" s="76" t="s">
        <v>89</v>
      </c>
      <c r="H68" s="77"/>
      <c r="I68" s="14" t="s">
        <v>149</v>
      </c>
      <c r="J68" s="28">
        <f ca="1">H66*25%</f>
        <v>4.75</v>
      </c>
    </row>
    <row r="69" spans="1:10" x14ac:dyDescent="0.3">
      <c r="A69" s="75" t="s">
        <v>136</v>
      </c>
      <c r="B69" s="76"/>
      <c r="C69" s="44">
        <f ca="1">J70</f>
        <v>19</v>
      </c>
      <c r="D69" s="19">
        <f ca="1">((100/H66)*C69)/100</f>
        <v>1</v>
      </c>
      <c r="E69" s="121">
        <f ca="1">(((C70/H66*10)+(40/(D66+F66+H66)*C71)+(7.5/(H66)*C72)+(7.5/(H66)*C73)+(10/H66*C74)+(10/H66*C75)+(5/H66*C76)+(5/H66*C77)+(5/H66*C78))/100)</f>
        <v>0.76184210526315799</v>
      </c>
      <c r="F69" s="122"/>
      <c r="G69" s="121">
        <f ca="1">((((C69/H66)*20)+((C70/H66)*25)+(30/(H66+F66+D66)*C71)+(5/H66*C72)+(5/H66*C73)+(5/H66*C74)+(5/H66*C75)+(0/H66*C76)+(0/H66*C77)+(5/H66*C78))/100)</f>
        <v>0.90000000000000013</v>
      </c>
      <c r="H69" s="127"/>
      <c r="I69" s="14" t="s">
        <v>106</v>
      </c>
      <c r="J69" s="29">
        <f ca="1">H66*50%</f>
        <v>9.5</v>
      </c>
    </row>
    <row r="70" spans="1:10" x14ac:dyDescent="0.3">
      <c r="A70" s="75" t="s">
        <v>53</v>
      </c>
      <c r="B70" s="76"/>
      <c r="C70" s="53">
        <f ca="1">J78</f>
        <v>19</v>
      </c>
      <c r="D70" s="19">
        <f ca="1">((100/H66)*C70)/100</f>
        <v>1</v>
      </c>
      <c r="E70" s="123"/>
      <c r="F70" s="124"/>
      <c r="G70" s="123"/>
      <c r="H70" s="128"/>
      <c r="I70" s="14" t="s">
        <v>107</v>
      </c>
      <c r="J70" s="29">
        <f ca="1">H66</f>
        <v>19</v>
      </c>
    </row>
    <row r="71" spans="1:10" ht="15.75" customHeight="1" x14ac:dyDescent="0.3">
      <c r="A71" s="75" t="s">
        <v>137</v>
      </c>
      <c r="B71" s="76"/>
      <c r="C71" s="44">
        <v>20</v>
      </c>
      <c r="D71" s="19">
        <f ca="1">((100/(D66+F66+H66))*C71)/100</f>
        <v>1</v>
      </c>
      <c r="E71" s="123"/>
      <c r="F71" s="124"/>
      <c r="G71" s="123"/>
      <c r="H71" s="128"/>
      <c r="I71" s="14" t="s">
        <v>108</v>
      </c>
      <c r="J71" s="30">
        <f ca="1">(IF(B66&gt;1,(H66/(B66+2)),H66/4))</f>
        <v>4.75</v>
      </c>
    </row>
    <row r="72" spans="1:10" ht="15.75" customHeight="1" x14ac:dyDescent="0.3">
      <c r="A72" s="75" t="s">
        <v>144</v>
      </c>
      <c r="B72" s="76" t="s">
        <v>138</v>
      </c>
      <c r="C72" s="44">
        <v>19</v>
      </c>
      <c r="D72" s="19">
        <f ca="1">((100/H66)*C72)/100</f>
        <v>1</v>
      </c>
      <c r="E72" s="123"/>
      <c r="F72" s="124"/>
      <c r="G72" s="123"/>
      <c r="H72" s="128"/>
      <c r="I72" s="14" t="s">
        <v>109</v>
      </c>
      <c r="J72" s="30">
        <f ca="1">(IF(B66&gt;1,(H66/(B66+2)+J71),H66/4+J71))</f>
        <v>9.5</v>
      </c>
    </row>
    <row r="73" spans="1:10" ht="15.75" customHeight="1" x14ac:dyDescent="0.3">
      <c r="A73" s="75" t="s">
        <v>145</v>
      </c>
      <c r="B73" s="76" t="s">
        <v>138</v>
      </c>
      <c r="C73" s="44">
        <v>16</v>
      </c>
      <c r="D73" s="19">
        <f ca="1">((100/H66)*C73)/100</f>
        <v>0.8421052631578948</v>
      </c>
      <c r="E73" s="123"/>
      <c r="F73" s="124"/>
      <c r="G73" s="123"/>
      <c r="H73" s="128"/>
      <c r="I73" s="14" t="s">
        <v>154</v>
      </c>
      <c r="J73" s="30">
        <f>(IF(B66&gt;1,(H66/(B66+2)+J72),0))</f>
        <v>0</v>
      </c>
    </row>
    <row r="74" spans="1:10" ht="15" customHeight="1" x14ac:dyDescent="0.3">
      <c r="A74" s="75" t="s">
        <v>143</v>
      </c>
      <c r="B74" s="76" t="s">
        <v>140</v>
      </c>
      <c r="C74" s="44">
        <v>14</v>
      </c>
      <c r="D74" s="19">
        <f ca="1">((100/(H66))*C74)/100</f>
        <v>0.73684210526315796</v>
      </c>
      <c r="E74" s="123"/>
      <c r="F74" s="124"/>
      <c r="G74" s="123"/>
      <c r="H74" s="128"/>
      <c r="I74" s="14" t="s">
        <v>151</v>
      </c>
      <c r="J74" s="30">
        <f>(IF(B66&gt;2,(H66/(B66+2)+J73),0))</f>
        <v>0</v>
      </c>
    </row>
    <row r="75" spans="1:10" ht="15.75" customHeight="1" x14ac:dyDescent="0.3">
      <c r="A75" s="75" t="s">
        <v>139</v>
      </c>
      <c r="B75" s="76" t="s">
        <v>139</v>
      </c>
      <c r="C75" s="44">
        <v>8</v>
      </c>
      <c r="D75" s="19">
        <f ca="1">((100/H66)*C75)/100</f>
        <v>0.4210526315789474</v>
      </c>
      <c r="E75" s="123"/>
      <c r="F75" s="124"/>
      <c r="G75" s="123"/>
      <c r="H75" s="128"/>
      <c r="I75" s="14" t="s">
        <v>152</v>
      </c>
      <c r="J75" s="31">
        <f>(IF(B66&gt;3,(H66/(B66+2)+J74),0))</f>
        <v>0</v>
      </c>
    </row>
    <row r="76" spans="1:10" ht="15.75" customHeight="1" x14ac:dyDescent="0.3">
      <c r="A76" s="75" t="s">
        <v>146</v>
      </c>
      <c r="B76" s="76"/>
      <c r="C76" s="44">
        <v>3</v>
      </c>
      <c r="D76" s="19">
        <f ca="1">((100/H66)*C76)/100</f>
        <v>0.15789473684210528</v>
      </c>
      <c r="E76" s="123"/>
      <c r="F76" s="124"/>
      <c r="G76" s="123"/>
      <c r="H76" s="128"/>
      <c r="I76" s="14" t="s">
        <v>153</v>
      </c>
      <c r="J76" s="30">
        <f>(IF(B66&gt;4,(H66/(B66+2)+J75),0))</f>
        <v>0</v>
      </c>
    </row>
    <row r="77" spans="1:10" ht="15.75" customHeight="1" x14ac:dyDescent="0.3">
      <c r="A77" s="75" t="s">
        <v>141</v>
      </c>
      <c r="B77" s="76" t="s">
        <v>141</v>
      </c>
      <c r="C77" s="44">
        <v>0</v>
      </c>
      <c r="D77" s="19">
        <f ca="1">((100/(H66))*C77)/100</f>
        <v>0</v>
      </c>
      <c r="E77" s="123"/>
      <c r="F77" s="124"/>
      <c r="G77" s="123"/>
      <c r="H77" s="128"/>
      <c r="I77" s="14" t="s">
        <v>155</v>
      </c>
      <c r="J77" s="30">
        <f ca="1">(IF(B66=1,(H66/(B66+3)+J72),IF(B66=0,(H66/4+J72),IF(B66&gt;1,0))))</f>
        <v>14.25</v>
      </c>
    </row>
    <row r="78" spans="1:10" ht="16.2" thickBot="1" x14ac:dyDescent="0.35">
      <c r="A78" s="130" t="s">
        <v>142</v>
      </c>
      <c r="B78" s="131"/>
      <c r="C78" s="45">
        <v>0</v>
      </c>
      <c r="D78" s="20">
        <f ca="1">((100/(H66))*C78)/100</f>
        <v>0</v>
      </c>
      <c r="E78" s="125"/>
      <c r="F78" s="126"/>
      <c r="G78" s="125"/>
      <c r="H78" s="129"/>
      <c r="I78" s="15" t="s">
        <v>110</v>
      </c>
      <c r="J78" s="32">
        <f ca="1">(IF(B66&gt;1.5,(H66/(B66+2)+J72+MAX(0,J73-J72)+MAX(0,J74-J73)+MAX(0,J75-J74)+MAX(0,J76-J75)+MAX(0,J77-J76)),IF(B66=1,(H66/(B66+3)+J77),IF(B66=0,H66/4+J77))))</f>
        <v>19</v>
      </c>
    </row>
    <row r="79" spans="1:10" x14ac:dyDescent="0.3">
      <c r="A79" s="178" t="s">
        <v>165</v>
      </c>
      <c r="B79" s="178"/>
      <c r="C79" s="178"/>
      <c r="D79" s="178"/>
      <c r="E79" s="178"/>
      <c r="F79" s="174" t="s">
        <v>170</v>
      </c>
      <c r="G79" s="174"/>
      <c r="H79" s="174"/>
    </row>
    <row r="80" spans="1:10" x14ac:dyDescent="0.3">
      <c r="A80" s="78" t="s">
        <v>168</v>
      </c>
      <c r="B80" s="78"/>
      <c r="C80" s="78"/>
      <c r="D80" s="78"/>
      <c r="E80" s="78"/>
      <c r="F80" s="91">
        <v>10000</v>
      </c>
      <c r="G80" s="91"/>
      <c r="H80" s="91"/>
    </row>
    <row r="81" spans="1:8" x14ac:dyDescent="0.3">
      <c r="A81" s="78" t="s">
        <v>167</v>
      </c>
      <c r="B81" s="78"/>
      <c r="C81" s="78"/>
      <c r="D81" s="78"/>
      <c r="E81" s="78"/>
      <c r="F81" s="91">
        <v>21000</v>
      </c>
      <c r="G81" s="91"/>
      <c r="H81" s="91"/>
    </row>
    <row r="82" spans="1:8" x14ac:dyDescent="0.3">
      <c r="A82" s="78" t="s">
        <v>169</v>
      </c>
      <c r="B82" s="78"/>
      <c r="C82" s="78"/>
      <c r="D82" s="78"/>
      <c r="E82" s="78"/>
      <c r="F82" s="91">
        <v>17000</v>
      </c>
      <c r="G82" s="91"/>
      <c r="H82" s="91"/>
    </row>
    <row r="83" spans="1:8" s="33" customFormat="1" hidden="1" x14ac:dyDescent="0.25">
      <c r="A83" s="78" t="s">
        <v>166</v>
      </c>
      <c r="B83" s="78"/>
      <c r="C83" s="78"/>
      <c r="D83" s="78"/>
      <c r="E83" s="78"/>
      <c r="F83" s="91"/>
      <c r="G83" s="91"/>
      <c r="H83" s="91"/>
    </row>
    <row r="84" spans="1:8" s="33" customFormat="1" hidden="1" x14ac:dyDescent="0.25">
      <c r="A84" s="78" t="s">
        <v>100</v>
      </c>
      <c r="B84" s="78"/>
      <c r="C84" s="78"/>
      <c r="D84" s="78"/>
      <c r="E84" s="78"/>
      <c r="F84" s="91"/>
      <c r="G84" s="91"/>
      <c r="H84" s="91"/>
    </row>
    <row r="85" spans="1:8" s="33" customFormat="1" hidden="1" x14ac:dyDescent="0.25">
      <c r="A85" s="78" t="s">
        <v>101</v>
      </c>
      <c r="B85" s="78"/>
      <c r="C85" s="78"/>
      <c r="D85" s="78"/>
      <c r="E85" s="78"/>
      <c r="F85" s="91"/>
      <c r="G85" s="91"/>
      <c r="H85" s="91"/>
    </row>
    <row r="86" spans="1:8" s="33" customFormat="1" hidden="1" x14ac:dyDescent="0.25">
      <c r="A86" s="78" t="s">
        <v>171</v>
      </c>
      <c r="B86" s="78"/>
      <c r="C86" s="78"/>
      <c r="D86" s="78"/>
      <c r="E86" s="78"/>
      <c r="F86" s="91"/>
      <c r="G86" s="91"/>
      <c r="H86" s="91"/>
    </row>
    <row r="87" spans="1:8" s="33" customFormat="1" hidden="1" x14ac:dyDescent="0.25">
      <c r="A87" s="78" t="s">
        <v>102</v>
      </c>
      <c r="B87" s="78"/>
      <c r="C87" s="78"/>
      <c r="D87" s="78"/>
      <c r="E87" s="78"/>
      <c r="F87" s="91"/>
      <c r="G87" s="91"/>
      <c r="H87" s="91"/>
    </row>
    <row r="88" spans="1:8" s="33" customFormat="1" hidden="1" x14ac:dyDescent="0.25">
      <c r="A88" s="78" t="s">
        <v>103</v>
      </c>
      <c r="B88" s="78"/>
      <c r="C88" s="78"/>
      <c r="D88" s="78"/>
      <c r="E88" s="78"/>
      <c r="F88" s="91"/>
      <c r="G88" s="91"/>
      <c r="H88" s="91"/>
    </row>
    <row r="89" spans="1:8" s="33" customFormat="1" hidden="1" x14ac:dyDescent="0.25">
      <c r="A89" s="78" t="s">
        <v>104</v>
      </c>
      <c r="B89" s="78"/>
      <c r="C89" s="78"/>
      <c r="D89" s="78"/>
      <c r="E89" s="78"/>
      <c r="F89" s="91"/>
      <c r="G89" s="91"/>
      <c r="H89" s="91"/>
    </row>
    <row r="90" spans="1:8" s="33" customFormat="1" hidden="1" x14ac:dyDescent="0.25">
      <c r="A90" s="78" t="s">
        <v>105</v>
      </c>
      <c r="B90" s="78"/>
      <c r="C90" s="78"/>
      <c r="D90" s="78"/>
      <c r="E90" s="78"/>
      <c r="F90" s="91"/>
      <c r="G90" s="91"/>
      <c r="H90" s="91"/>
    </row>
    <row r="91" spans="1:8" x14ac:dyDescent="0.3">
      <c r="A91" s="78" t="s">
        <v>54</v>
      </c>
      <c r="B91" s="78"/>
      <c r="C91" s="78"/>
      <c r="D91" s="78"/>
      <c r="E91" s="78"/>
      <c r="F91" s="91">
        <v>600000</v>
      </c>
      <c r="G91" s="91"/>
      <c r="H91" s="91"/>
    </row>
    <row r="92" spans="1:8" s="34" customFormat="1" x14ac:dyDescent="0.3">
      <c r="A92" s="120" t="s">
        <v>55</v>
      </c>
      <c r="B92" s="120"/>
      <c r="C92" s="120"/>
      <c r="D92" s="120"/>
      <c r="E92" s="120"/>
      <c r="F92" s="91">
        <f>F80*0.8</f>
        <v>8000</v>
      </c>
      <c r="G92" s="91"/>
      <c r="H92" s="91"/>
    </row>
    <row r="93" spans="1:8" s="35" customFormat="1" ht="15.75" customHeight="1" x14ac:dyDescent="0.3">
      <c r="A93" s="119" t="s">
        <v>80</v>
      </c>
      <c r="B93" s="119"/>
      <c r="C93" s="119"/>
      <c r="D93" s="119"/>
      <c r="E93" s="119"/>
      <c r="F93" s="119"/>
      <c r="G93" s="119"/>
      <c r="H93" s="119"/>
    </row>
    <row r="94" spans="1:8" s="35" customFormat="1" ht="15.75" customHeight="1" x14ac:dyDescent="0.3">
      <c r="A94" s="82" t="s">
        <v>56</v>
      </c>
      <c r="B94" s="82"/>
      <c r="C94" s="175" t="s">
        <v>83</v>
      </c>
      <c r="D94" s="175"/>
      <c r="E94" s="112" t="s">
        <v>57</v>
      </c>
      <c r="F94" s="112"/>
      <c r="G94" s="82" t="s">
        <v>58</v>
      </c>
      <c r="H94" s="82"/>
    </row>
    <row r="95" spans="1:8" s="35" customFormat="1" x14ac:dyDescent="0.3">
      <c r="A95" s="100" t="s">
        <v>202</v>
      </c>
      <c r="B95" s="100"/>
      <c r="C95" s="173">
        <f>COUNT(D108:D114)</f>
        <v>7</v>
      </c>
      <c r="D95" s="176"/>
      <c r="E95" s="92">
        <f>SUM(D108:D114)</f>
        <v>1054.9032155999998</v>
      </c>
      <c r="F95" s="93"/>
      <c r="G95" s="92">
        <f>SUM(F108:F114)</f>
        <v>1687.8451449600002</v>
      </c>
      <c r="H95" s="93"/>
    </row>
    <row r="96" spans="1:8" s="35" customFormat="1" x14ac:dyDescent="0.3">
      <c r="A96" s="100" t="s">
        <v>217</v>
      </c>
      <c r="B96" s="100"/>
      <c r="C96" s="173">
        <f>COUNT(D116:D118)+COUNT(D120:D123)*2</f>
        <v>11</v>
      </c>
      <c r="D96" s="173"/>
      <c r="E96" s="92">
        <f>SUM(D116:D118)+SUM(D120:D123)*2</f>
        <v>3653.4388409999992</v>
      </c>
      <c r="F96" s="92"/>
      <c r="G96" s="92">
        <f>SUM(F116:F118)+SUM(F120:F123)*2</f>
        <v>5845.5021455999995</v>
      </c>
      <c r="H96" s="92"/>
    </row>
    <row r="97" spans="1:14" s="35" customFormat="1" x14ac:dyDescent="0.3">
      <c r="A97" s="119" t="s">
        <v>158</v>
      </c>
      <c r="B97" s="119"/>
      <c r="C97" s="180">
        <f>SUM(C95:C96)</f>
        <v>18</v>
      </c>
      <c r="D97" s="175"/>
      <c r="E97" s="181">
        <f>SUM(E95:E96)</f>
        <v>4708.3420565999986</v>
      </c>
      <c r="F97" s="112"/>
      <c r="G97" s="82">
        <f>SUM(G95:G96)</f>
        <v>7533.3472905599992</v>
      </c>
      <c r="H97" s="82"/>
    </row>
    <row r="98" spans="1:14" s="35" customFormat="1" x14ac:dyDescent="0.3">
      <c r="A98" s="119" t="s">
        <v>74</v>
      </c>
      <c r="B98" s="119"/>
      <c r="C98" s="119"/>
      <c r="D98" s="119"/>
      <c r="E98" s="119"/>
      <c r="F98" s="119"/>
      <c r="G98" s="119"/>
      <c r="H98" s="119"/>
    </row>
    <row r="99" spans="1:14" s="35" customFormat="1" ht="15.75" customHeight="1" x14ac:dyDescent="0.3">
      <c r="A99" s="82" t="s">
        <v>56</v>
      </c>
      <c r="B99" s="82"/>
      <c r="C99" s="175" t="s">
        <v>83</v>
      </c>
      <c r="D99" s="175"/>
      <c r="E99" s="112" t="s">
        <v>57</v>
      </c>
      <c r="F99" s="112"/>
      <c r="G99" s="82" t="s">
        <v>58</v>
      </c>
      <c r="H99" s="82"/>
    </row>
    <row r="100" spans="1:14" s="35" customFormat="1" x14ac:dyDescent="0.3">
      <c r="A100" s="100" t="s">
        <v>218</v>
      </c>
      <c r="B100" s="100"/>
      <c r="C100" s="173">
        <f>COUNT(D128:D133)+COUNT(D135:D140)*2+COUNT(D142:D147)+COUNT(D149:D157)*11+COUNT(D159:D162,D164:D167)*3+COUNT(D172:D177)</f>
        <v>153</v>
      </c>
      <c r="D100" s="173"/>
      <c r="E100" s="92">
        <f>SUM(D128:D133)+SUM(D135:D140)*2+SUM(D142:D147)+SUM(D149:D157)*11+SUM(D159:D162,D164:D167)*3+SUM(D172:D177)</f>
        <v>72517.498560000007</v>
      </c>
      <c r="F100" s="92"/>
      <c r="G100" s="92">
        <f>SUM(F128:F133)+SUM(F135:F140)*2+SUM(F142:F147)+SUM(F149:F157)*11+SUM(F159:F162,F164:F167)*3+SUM(F172:F177)</f>
        <v>108776.24783999997</v>
      </c>
      <c r="H100" s="92"/>
    </row>
    <row r="101" spans="1:14" s="35" customFormat="1" hidden="1" x14ac:dyDescent="0.3">
      <c r="A101" s="100"/>
      <c r="B101" s="100"/>
      <c r="C101" s="176"/>
      <c r="D101" s="176"/>
      <c r="E101" s="93"/>
      <c r="F101" s="93"/>
      <c r="G101" s="177"/>
      <c r="H101" s="177"/>
    </row>
    <row r="102" spans="1:14" s="35" customFormat="1" hidden="1" x14ac:dyDescent="0.3">
      <c r="A102" s="119" t="s">
        <v>158</v>
      </c>
      <c r="B102" s="119"/>
      <c r="C102" s="175"/>
      <c r="D102" s="175"/>
      <c r="E102" s="112"/>
      <c r="F102" s="112"/>
      <c r="G102" s="82"/>
      <c r="H102" s="82"/>
    </row>
    <row r="103" spans="1:14" s="34" customFormat="1" x14ac:dyDescent="0.3">
      <c r="A103" s="113" t="s">
        <v>59</v>
      </c>
      <c r="B103" s="113"/>
      <c r="C103" s="113"/>
      <c r="D103" s="113"/>
      <c r="E103" s="113"/>
      <c r="F103" s="113"/>
      <c r="G103" s="113"/>
      <c r="H103" s="113"/>
    </row>
    <row r="104" spans="1:14" x14ac:dyDescent="0.3">
      <c r="A104" s="113" t="s">
        <v>60</v>
      </c>
      <c r="B104" s="113"/>
      <c r="C104" s="113"/>
      <c r="D104" s="113"/>
      <c r="E104" s="113"/>
      <c r="F104" s="113"/>
      <c r="G104" s="113"/>
      <c r="H104" s="113"/>
    </row>
    <row r="105" spans="1:14" ht="47.25" customHeight="1" x14ac:dyDescent="0.3">
      <c r="A105" s="83" t="s">
        <v>126</v>
      </c>
      <c r="B105" s="83" t="s">
        <v>125</v>
      </c>
      <c r="C105" s="83" t="s">
        <v>61</v>
      </c>
      <c r="D105" s="83" t="s">
        <v>62</v>
      </c>
      <c r="E105" s="85" t="s">
        <v>164</v>
      </c>
      <c r="F105" s="43" t="s">
        <v>157</v>
      </c>
      <c r="G105" s="87" t="s">
        <v>64</v>
      </c>
      <c r="H105" s="88"/>
    </row>
    <row r="106" spans="1:14" s="37" customFormat="1" x14ac:dyDescent="0.3">
      <c r="A106" s="84"/>
      <c r="B106" s="84"/>
      <c r="C106" s="84"/>
      <c r="D106" s="84"/>
      <c r="E106" s="86"/>
      <c r="F106" s="13">
        <v>0.6</v>
      </c>
      <c r="G106" s="89"/>
      <c r="H106" s="90"/>
    </row>
    <row r="107" spans="1:14" s="37" customFormat="1" x14ac:dyDescent="0.3">
      <c r="A107" s="68" t="s">
        <v>207</v>
      </c>
      <c r="B107" s="69"/>
      <c r="C107" s="69"/>
      <c r="D107" s="69"/>
      <c r="E107" s="69"/>
      <c r="F107" s="69"/>
      <c r="G107" s="69"/>
      <c r="H107" s="70"/>
      <c r="J107" s="36"/>
      <c r="K107" s="55">
        <v>10.763999999999999</v>
      </c>
    </row>
    <row r="108" spans="1:14" s="37" customFormat="1" x14ac:dyDescent="0.3">
      <c r="A108" s="56">
        <v>1</v>
      </c>
      <c r="B108" s="57"/>
      <c r="C108" s="42" t="s">
        <v>202</v>
      </c>
      <c r="D108" s="55">
        <f>(3.7*0.77+0.79*3.9+0.5*3.66*3.93)*10.764</f>
        <v>141.2441316</v>
      </c>
      <c r="E108" s="42">
        <v>0</v>
      </c>
      <c r="F108" s="42">
        <f>(D108+E108)*(($F$106)+1)</f>
        <v>225.99061056000002</v>
      </c>
      <c r="G108" s="56" t="str">
        <f>A107</f>
        <v>Ground Floor For Commercial, Society Office, Meter Room, Driver Room &amp; Parking</v>
      </c>
      <c r="H108" s="57"/>
      <c r="I108" s="36">
        <f>3.7*0.77+0.79*3.9+0.5*3.66*3.93</f>
        <v>13.1219</v>
      </c>
      <c r="L108" s="58"/>
      <c r="M108" s="58"/>
      <c r="N108" s="36"/>
    </row>
    <row r="109" spans="1:14" s="37" customFormat="1" x14ac:dyDescent="0.3">
      <c r="A109" s="56">
        <v>2</v>
      </c>
      <c r="B109" s="57"/>
      <c r="C109" s="42" t="s">
        <v>202</v>
      </c>
      <c r="D109" s="55">
        <f>(2.15*5.54+0.5*2.15*2.2)*10.764</f>
        <v>153.66686399999998</v>
      </c>
      <c r="E109" s="42">
        <v>0</v>
      </c>
      <c r="F109" s="42">
        <f t="shared" ref="F109:F111" si="0">(D109+E109)*(($F$106)+1)</f>
        <v>245.86698239999998</v>
      </c>
      <c r="G109" s="56" t="str">
        <f t="shared" ref="G109:G112" si="1">G108</f>
        <v>Ground Floor For Commercial, Society Office, Meter Room, Driver Room &amp; Parking</v>
      </c>
      <c r="H109" s="57"/>
      <c r="I109" s="36">
        <f>2.15*5.54+0.5*2.15*2.2</f>
        <v>14.276</v>
      </c>
      <c r="L109" s="58"/>
      <c r="M109" s="58"/>
      <c r="N109" s="36"/>
    </row>
    <row r="110" spans="1:14" s="37" customFormat="1" x14ac:dyDescent="0.3">
      <c r="A110" s="56">
        <v>3</v>
      </c>
      <c r="B110" s="57"/>
      <c r="C110" s="42" t="s">
        <v>202</v>
      </c>
      <c r="D110" s="55">
        <f>(2.1*6.35)*10.764</f>
        <v>143.53793999999999</v>
      </c>
      <c r="E110" s="42">
        <v>0</v>
      </c>
      <c r="F110" s="42">
        <f t="shared" si="0"/>
        <v>229.66070400000001</v>
      </c>
      <c r="G110" s="56" t="str">
        <f t="shared" si="1"/>
        <v>Ground Floor For Commercial, Society Office, Meter Room, Driver Room &amp; Parking</v>
      </c>
      <c r="H110" s="57"/>
      <c r="I110" s="36">
        <f>2.1*6.35</f>
        <v>13.334999999999999</v>
      </c>
      <c r="L110" s="58"/>
      <c r="M110" s="58"/>
      <c r="N110" s="36"/>
    </row>
    <row r="111" spans="1:14" s="37" customFormat="1" x14ac:dyDescent="0.3">
      <c r="A111" s="56">
        <v>4</v>
      </c>
      <c r="B111" s="57"/>
      <c r="C111" s="42" t="s">
        <v>202</v>
      </c>
      <c r="D111" s="55">
        <f>(2.3*6.35)*10.764</f>
        <v>157.20821999999998</v>
      </c>
      <c r="E111" s="42">
        <v>0</v>
      </c>
      <c r="F111" s="42">
        <f t="shared" si="0"/>
        <v>251.53315199999997</v>
      </c>
      <c r="G111" s="56" t="str">
        <f t="shared" si="1"/>
        <v>Ground Floor For Commercial, Society Office, Meter Room, Driver Room &amp; Parking</v>
      </c>
      <c r="H111" s="57"/>
      <c r="I111" s="36">
        <f>2.3*6.35</f>
        <v>14.604999999999999</v>
      </c>
      <c r="L111" s="58"/>
      <c r="M111" s="58"/>
      <c r="N111" s="36"/>
    </row>
    <row r="112" spans="1:14" s="37" customFormat="1" x14ac:dyDescent="0.3">
      <c r="A112" s="56">
        <v>5</v>
      </c>
      <c r="B112" s="57"/>
      <c r="C112" s="42" t="s">
        <v>202</v>
      </c>
      <c r="D112" s="55">
        <f>(3*5.3)*10.764</f>
        <v>171.14759999999998</v>
      </c>
      <c r="E112" s="42">
        <v>0</v>
      </c>
      <c r="F112" s="42">
        <f t="shared" ref="F112:F114" si="2">(D112+E112)*(($F$106)+1)</f>
        <v>273.83616000000001</v>
      </c>
      <c r="G112" s="56" t="str">
        <f t="shared" si="1"/>
        <v>Ground Floor For Commercial, Society Office, Meter Room, Driver Room &amp; Parking</v>
      </c>
      <c r="H112" s="57"/>
      <c r="I112" s="36">
        <f>3*5.3</f>
        <v>15.899999999999999</v>
      </c>
      <c r="L112" s="58"/>
      <c r="M112" s="58"/>
      <c r="N112" s="36"/>
    </row>
    <row r="113" spans="1:14" s="37" customFormat="1" x14ac:dyDescent="0.3">
      <c r="A113" s="56">
        <v>6</v>
      </c>
      <c r="B113" s="57"/>
      <c r="C113" s="42" t="s">
        <v>202</v>
      </c>
      <c r="D113" s="55">
        <f>(2*5.3)*10.764</f>
        <v>114.09839999999998</v>
      </c>
      <c r="E113" s="42">
        <v>0</v>
      </c>
      <c r="F113" s="42">
        <f t="shared" ref="F113" si="3">(D113+E113)*(($F$106)+1)</f>
        <v>182.55743999999999</v>
      </c>
      <c r="G113" s="56" t="str">
        <f>G111</f>
        <v>Ground Floor For Commercial, Society Office, Meter Room, Driver Room &amp; Parking</v>
      </c>
      <c r="H113" s="57"/>
      <c r="I113" s="36">
        <f>2*5.3</f>
        <v>10.6</v>
      </c>
      <c r="L113" s="58"/>
      <c r="M113" s="58"/>
      <c r="N113" s="36"/>
    </row>
    <row r="114" spans="1:14" s="37" customFormat="1" x14ac:dyDescent="0.3">
      <c r="A114" s="56">
        <v>7</v>
      </c>
      <c r="B114" s="57"/>
      <c r="C114" s="42" t="s">
        <v>202</v>
      </c>
      <c r="D114" s="55">
        <f>(3.05*5.3)*10.764</f>
        <v>174.00005999999999</v>
      </c>
      <c r="E114" s="42">
        <v>0</v>
      </c>
      <c r="F114" s="42">
        <f t="shared" si="2"/>
        <v>278.40009600000002</v>
      </c>
      <c r="G114" s="56" t="str">
        <f>G112</f>
        <v>Ground Floor For Commercial, Society Office, Meter Room, Driver Room &amp; Parking</v>
      </c>
      <c r="H114" s="57"/>
      <c r="I114" s="36">
        <f>3.05*5.3</f>
        <v>16.164999999999999</v>
      </c>
      <c r="L114" s="58"/>
      <c r="M114" s="58"/>
      <c r="N114" s="36"/>
    </row>
    <row r="115" spans="1:14" s="37" customFormat="1" x14ac:dyDescent="0.3">
      <c r="A115" s="68" t="s">
        <v>203</v>
      </c>
      <c r="B115" s="69"/>
      <c r="C115" s="69"/>
      <c r="D115" s="69"/>
      <c r="E115" s="69"/>
      <c r="F115" s="69"/>
      <c r="G115" s="69"/>
      <c r="H115" s="70"/>
      <c r="I115" s="36">
        <f>3.05*5.3</f>
        <v>16.164999999999999</v>
      </c>
      <c r="J115" s="36"/>
    </row>
    <row r="116" spans="1:14" s="37" customFormat="1" x14ac:dyDescent="0.3">
      <c r="A116" s="56">
        <v>1</v>
      </c>
      <c r="B116" s="57"/>
      <c r="C116" s="42" t="s">
        <v>204</v>
      </c>
      <c r="D116" s="55">
        <f>(3.5*2.55+0.95*6.65+2.15*2.55+3*3.75+0.5*3.45*3.75)*10.764</f>
        <v>413.80852499999992</v>
      </c>
      <c r="E116" s="42">
        <v>0</v>
      </c>
      <c r="F116" s="42">
        <f>(D116+E116)*(($F$106)+1)</f>
        <v>662.09363999999994</v>
      </c>
      <c r="G116" s="56" t="str">
        <f>A115</f>
        <v>1st Floor For Commercial</v>
      </c>
      <c r="H116" s="57"/>
      <c r="I116" s="36">
        <f>3.5*2.55+0.95*6.65+2.15*2.55+3*3.75+0.5*3.45*3.75</f>
        <v>38.443749999999994</v>
      </c>
      <c r="L116" s="58"/>
      <c r="M116" s="58"/>
      <c r="N116" s="36"/>
    </row>
    <row r="117" spans="1:14" s="37" customFormat="1" x14ac:dyDescent="0.3">
      <c r="A117" s="56">
        <f t="shared" ref="A117:A118" si="4">A116+1</f>
        <v>2</v>
      </c>
      <c r="B117" s="57"/>
      <c r="C117" s="42" t="s">
        <v>204</v>
      </c>
      <c r="D117" s="55">
        <f>(4.55*5.5)*10.764</f>
        <v>269.36909999999995</v>
      </c>
      <c r="E117" s="42">
        <v>0</v>
      </c>
      <c r="F117" s="42">
        <f t="shared" ref="F117:F118" si="5">(D117+E117)*(($F$106)+1)</f>
        <v>430.99055999999996</v>
      </c>
      <c r="G117" s="56" t="str">
        <f t="shared" ref="G117:G118" si="6">G116</f>
        <v>1st Floor For Commercial</v>
      </c>
      <c r="H117" s="57"/>
      <c r="I117" s="36">
        <f>4.55*5.5</f>
        <v>25.024999999999999</v>
      </c>
      <c r="L117" s="58"/>
      <c r="M117" s="58"/>
      <c r="N117" s="36"/>
    </row>
    <row r="118" spans="1:14" s="37" customFormat="1" x14ac:dyDescent="0.3">
      <c r="A118" s="56">
        <f t="shared" si="4"/>
        <v>3</v>
      </c>
      <c r="B118" s="57"/>
      <c r="C118" s="42" t="s">
        <v>204</v>
      </c>
      <c r="D118" s="55">
        <f>(8.35*3.5)*10.764</f>
        <v>314.57789999999994</v>
      </c>
      <c r="E118" s="42">
        <v>0</v>
      </c>
      <c r="F118" s="42">
        <f t="shared" si="5"/>
        <v>503.32463999999993</v>
      </c>
      <c r="G118" s="56" t="str">
        <f t="shared" si="6"/>
        <v>1st Floor For Commercial</v>
      </c>
      <c r="H118" s="57"/>
      <c r="I118" s="36">
        <f>8.35*3.5</f>
        <v>29.224999999999998</v>
      </c>
      <c r="L118" s="58"/>
      <c r="M118" s="58"/>
      <c r="N118" s="36"/>
    </row>
    <row r="119" spans="1:14" s="37" customFormat="1" x14ac:dyDescent="0.3">
      <c r="A119" s="68" t="s">
        <v>205</v>
      </c>
      <c r="B119" s="69"/>
      <c r="C119" s="69"/>
      <c r="D119" s="69"/>
      <c r="E119" s="69"/>
      <c r="F119" s="69"/>
      <c r="G119" s="69"/>
      <c r="H119" s="70"/>
      <c r="J119" s="36"/>
    </row>
    <row r="120" spans="1:14" s="37" customFormat="1" x14ac:dyDescent="0.3">
      <c r="A120" s="56">
        <v>1</v>
      </c>
      <c r="B120" s="57"/>
      <c r="C120" s="42" t="s">
        <v>204</v>
      </c>
      <c r="D120" s="55">
        <f>(5.2*5.5+1.5*1.2)*10.764</f>
        <v>327.22559999999999</v>
      </c>
      <c r="E120" s="42">
        <v>0</v>
      </c>
      <c r="F120" s="42">
        <f>(D120+E120)*(($F$106)+1)</f>
        <v>523.56096000000002</v>
      </c>
      <c r="G120" s="56" t="str">
        <f>A119</f>
        <v>2nd &amp; 3rd Floor For Commercial</v>
      </c>
      <c r="H120" s="57"/>
      <c r="I120" s="36"/>
      <c r="L120" s="58"/>
      <c r="M120" s="58"/>
      <c r="N120" s="36"/>
    </row>
    <row r="121" spans="1:14" s="37" customFormat="1" x14ac:dyDescent="0.3">
      <c r="A121" s="56">
        <f t="shared" ref="A121:A123" si="7">A120+1</f>
        <v>2</v>
      </c>
      <c r="B121" s="57"/>
      <c r="C121" s="42" t="s">
        <v>204</v>
      </c>
      <c r="D121" s="55">
        <f>(3*4.3+1.2*1.2)*10.764</f>
        <v>154.35575999999998</v>
      </c>
      <c r="E121" s="42">
        <v>0</v>
      </c>
      <c r="F121" s="42">
        <f t="shared" ref="F121:F123" si="8">(D121+E121)*(($F$106)+1)</f>
        <v>246.96921599999996</v>
      </c>
      <c r="G121" s="56" t="str">
        <f t="shared" ref="G121:G123" si="9">G120</f>
        <v>2nd &amp; 3rd Floor For Commercial</v>
      </c>
      <c r="H121" s="57"/>
      <c r="I121" s="36"/>
      <c r="L121" s="58"/>
      <c r="M121" s="58"/>
      <c r="N121" s="36"/>
    </row>
    <row r="122" spans="1:14" s="37" customFormat="1" x14ac:dyDescent="0.3">
      <c r="A122" s="56">
        <f t="shared" si="7"/>
        <v>3</v>
      </c>
      <c r="B122" s="57"/>
      <c r="C122" s="42" t="s">
        <v>204</v>
      </c>
      <c r="D122" s="55">
        <f>(4.55*5.5)*10.764</f>
        <v>269.36909999999995</v>
      </c>
      <c r="E122" s="42">
        <v>0</v>
      </c>
      <c r="F122" s="42">
        <f t="shared" si="8"/>
        <v>430.99055999999996</v>
      </c>
      <c r="G122" s="56" t="str">
        <f t="shared" si="9"/>
        <v>2nd &amp; 3rd Floor For Commercial</v>
      </c>
      <c r="H122" s="57"/>
      <c r="I122" s="36"/>
      <c r="L122" s="58"/>
      <c r="M122" s="58"/>
      <c r="N122" s="36"/>
    </row>
    <row r="123" spans="1:14" s="37" customFormat="1" x14ac:dyDescent="0.3">
      <c r="A123" s="56">
        <f t="shared" si="7"/>
        <v>4</v>
      </c>
      <c r="B123" s="57"/>
      <c r="C123" s="42" t="s">
        <v>204</v>
      </c>
      <c r="D123" s="55">
        <f>(3.5*2.55+2.15*2.7+2.78*6.65+3*3.9+0.5*4.45*3.9)*10.764</f>
        <v>576.89119800000003</v>
      </c>
      <c r="E123" s="42">
        <v>0</v>
      </c>
      <c r="F123" s="42">
        <f t="shared" si="8"/>
        <v>923.02591680000012</v>
      </c>
      <c r="G123" s="56" t="str">
        <f t="shared" si="9"/>
        <v>2nd &amp; 3rd Floor For Commercial</v>
      </c>
      <c r="H123" s="57"/>
      <c r="I123" s="36"/>
      <c r="L123" s="58"/>
      <c r="M123" s="58"/>
      <c r="N123" s="36"/>
    </row>
    <row r="124" spans="1:14" s="37" customFormat="1" x14ac:dyDescent="0.3">
      <c r="A124" s="56"/>
      <c r="B124" s="71"/>
      <c r="C124" s="71"/>
      <c r="D124" s="71"/>
      <c r="E124" s="71"/>
      <c r="F124" s="71"/>
      <c r="G124" s="71"/>
      <c r="H124" s="57"/>
      <c r="I124" s="36"/>
      <c r="N124" s="36"/>
    </row>
    <row r="125" spans="1:14" ht="47.25" customHeight="1" x14ac:dyDescent="0.3">
      <c r="A125" s="87" t="s">
        <v>127</v>
      </c>
      <c r="B125" s="87" t="s">
        <v>128</v>
      </c>
      <c r="C125" s="83" t="s">
        <v>61</v>
      </c>
      <c r="D125" s="83" t="s">
        <v>62</v>
      </c>
      <c r="E125" s="85" t="s">
        <v>63</v>
      </c>
      <c r="F125" s="43" t="s">
        <v>157</v>
      </c>
      <c r="G125" s="87" t="s">
        <v>64</v>
      </c>
      <c r="H125" s="88"/>
      <c r="I125" s="36"/>
    </row>
    <row r="126" spans="1:14" s="37" customFormat="1" x14ac:dyDescent="0.3">
      <c r="A126" s="89"/>
      <c r="B126" s="89"/>
      <c r="C126" s="84"/>
      <c r="D126" s="84"/>
      <c r="E126" s="86"/>
      <c r="F126" s="13">
        <v>0.5</v>
      </c>
      <c r="G126" s="89"/>
      <c r="H126" s="90"/>
      <c r="I126" s="36"/>
    </row>
    <row r="127" spans="1:14" s="37" customFormat="1" x14ac:dyDescent="0.3">
      <c r="A127" s="68" t="s">
        <v>206</v>
      </c>
      <c r="B127" s="69"/>
      <c r="C127" s="69"/>
      <c r="D127" s="69"/>
      <c r="E127" s="69"/>
      <c r="F127" s="69"/>
      <c r="G127" s="69"/>
      <c r="H127" s="70"/>
      <c r="J127" s="36"/>
    </row>
    <row r="128" spans="1:14" s="37" customFormat="1" x14ac:dyDescent="0.3">
      <c r="A128" s="56">
        <v>1</v>
      </c>
      <c r="B128" s="57"/>
      <c r="C128" s="42" t="s">
        <v>208</v>
      </c>
      <c r="D128" s="55">
        <f>((3*4.7+2.02*2.2+2.84*3.25+1.35*2.05+1.9*1.3+0.9*2.02+0.6*1.65)+0.65*(3+2.02+2.84))*10.764</f>
        <v>440.55437400000005</v>
      </c>
      <c r="E128" s="42">
        <v>0</v>
      </c>
      <c r="F128" s="42">
        <f t="shared" ref="F128:F133" si="10">D128*(($F$126)+1)+(IF(E128&lt;101,E128,IF(E128&lt;201,E128/2,IF(E128&lt;=301,E128/3,E128/4))))</f>
        <v>660.83156100000008</v>
      </c>
      <c r="G128" s="56" t="str">
        <f>A127</f>
        <v>1st Floor For Residential</v>
      </c>
      <c r="H128" s="57"/>
      <c r="I128" s="54">
        <f>3*4.7+2.02*2.2+2.84*3.25+1.35*2.05+1.9*1.3+0.9*2.02+0.6*1.65</f>
        <v>35.819500000000005</v>
      </c>
      <c r="J128" s="37">
        <f>0.65*(3+2.02+2.84)</f>
        <v>5.109</v>
      </c>
      <c r="K128" s="36">
        <f>I128+J128</f>
        <v>40.928500000000007</v>
      </c>
      <c r="L128" s="58"/>
      <c r="M128" s="58"/>
      <c r="N128" s="36"/>
    </row>
    <row r="129" spans="1:14" s="37" customFormat="1" x14ac:dyDescent="0.3">
      <c r="A129" s="56">
        <f t="shared" ref="A129:A131" si="11">A128+1</f>
        <v>2</v>
      </c>
      <c r="B129" s="57"/>
      <c r="C129" s="42" t="s">
        <v>209</v>
      </c>
      <c r="D129" s="55">
        <f>((2.92*4.7+1.8*2.25+2.12*2.5+3.25*3.15+0.6*1.5+3.02*3.05+0.6*1.75+1.3*2.3+2.2*1.35+1.2*1.35)+0.6*(2.12+2.92+1.65+1.65))*10.764</f>
        <v>614.15616599999987</v>
      </c>
      <c r="E129" s="42">
        <v>0</v>
      </c>
      <c r="F129" s="42">
        <f t="shared" si="10"/>
        <v>921.23424899999986</v>
      </c>
      <c r="G129" s="56" t="str">
        <f t="shared" ref="G129:G133" si="12">G128</f>
        <v>1st Floor For Residential</v>
      </c>
      <c r="H129" s="57"/>
      <c r="I129" s="54">
        <f>2.92*4.7+1.8*2.25+2.12*2.5+3.25*3.15+0.6*1.5+3.02*3.05+0.6*1.75+1.3*2.3+2.2*1.35+1.2*1.35</f>
        <v>52.052499999999995</v>
      </c>
      <c r="J129" s="37">
        <f>0.6*(2.12+2.92+1.65+1.65)</f>
        <v>5.0039999999999996</v>
      </c>
      <c r="K129" s="36">
        <f t="shared" ref="K129:K133" si="13">I129+J129</f>
        <v>57.056499999999993</v>
      </c>
      <c r="L129" s="58"/>
      <c r="M129" s="58"/>
      <c r="N129" s="36"/>
    </row>
    <row r="130" spans="1:14" s="37" customFormat="1" x14ac:dyDescent="0.3">
      <c r="A130" s="56">
        <f>A129+1</f>
        <v>3</v>
      </c>
      <c r="B130" s="57"/>
      <c r="C130" s="42" t="s">
        <v>208</v>
      </c>
      <c r="D130" s="55">
        <f>((3*4.7+2.02*2.2+2.95*3.25+0.6*1.65+1.9*1.3+1.35*1.97+0.9*2.02)+0.65*(3+2.02+1.3))*10.764</f>
        <v>432.46522799999991</v>
      </c>
      <c r="E130" s="42">
        <v>0</v>
      </c>
      <c r="F130" s="42">
        <f t="shared" si="10"/>
        <v>648.69784199999981</v>
      </c>
      <c r="G130" s="56" t="str">
        <f>G129</f>
        <v>1st Floor For Residential</v>
      </c>
      <c r="H130" s="57"/>
      <c r="I130" s="54">
        <f>3*4.7+2.02*2.2+2.95*3.25+0.6*1.65+1.9*1.3+1.35*1.97+0.9*2.02</f>
        <v>36.068999999999996</v>
      </c>
      <c r="J130" s="37">
        <f>0.65*(3+2.02+1.3)</f>
        <v>4.1079999999999997</v>
      </c>
      <c r="K130" s="36">
        <f t="shared" si="13"/>
        <v>40.176999999999992</v>
      </c>
      <c r="L130" s="58"/>
      <c r="M130" s="58"/>
      <c r="N130" s="36"/>
    </row>
    <row r="131" spans="1:14" s="37" customFormat="1" x14ac:dyDescent="0.3">
      <c r="A131" s="56">
        <f t="shared" si="11"/>
        <v>4</v>
      </c>
      <c r="B131" s="57"/>
      <c r="C131" s="42" t="s">
        <v>208</v>
      </c>
      <c r="D131" s="55">
        <f>((3*4.7+2.02*2.2+2.95*3.25+0.6*1.65+1.9*1.3+1.35*1.97+0.9*2.02)+0.65*(3+2.02+1.3))*10.764</f>
        <v>432.46522799999991</v>
      </c>
      <c r="E131" s="42">
        <v>0</v>
      </c>
      <c r="F131" s="42">
        <f t="shared" si="10"/>
        <v>648.69784199999981</v>
      </c>
      <c r="G131" s="56" t="str">
        <f t="shared" si="12"/>
        <v>1st Floor For Residential</v>
      </c>
      <c r="H131" s="57"/>
      <c r="I131" s="54">
        <f t="shared" ref="I131:I133" si="14">3*4.7+2.02*2.2+2.95*3.25+0.6*1.65+1.9*1.3+1.35*1.97+0.9*2.02</f>
        <v>36.068999999999996</v>
      </c>
      <c r="J131" s="37">
        <f t="shared" ref="J131:J133" si="15">0.65*(3+2.02+1.3)</f>
        <v>4.1079999999999997</v>
      </c>
      <c r="K131" s="36">
        <f t="shared" si="13"/>
        <v>40.176999999999992</v>
      </c>
      <c r="L131" s="58"/>
      <c r="M131" s="58"/>
      <c r="N131" s="36"/>
    </row>
    <row r="132" spans="1:14" s="37" customFormat="1" x14ac:dyDescent="0.3">
      <c r="A132" s="56">
        <v>8</v>
      </c>
      <c r="B132" s="57"/>
      <c r="C132" s="42" t="s">
        <v>208</v>
      </c>
      <c r="D132" s="55">
        <f>((3*4.7+2.02*2.2+2.95*3.25+0.6*1.65+1.9*1.3+1.35*1.97+0.9*2.02)+0.65*(3+2.02+1.3))*10.764</f>
        <v>432.46522799999991</v>
      </c>
      <c r="E132" s="42">
        <v>0</v>
      </c>
      <c r="F132" s="42">
        <f t="shared" si="10"/>
        <v>648.69784199999981</v>
      </c>
      <c r="G132" s="56" t="str">
        <f>G131</f>
        <v>1st Floor For Residential</v>
      </c>
      <c r="H132" s="57"/>
      <c r="I132" s="54">
        <f t="shared" si="14"/>
        <v>36.068999999999996</v>
      </c>
      <c r="J132" s="37">
        <f t="shared" si="15"/>
        <v>4.1079999999999997</v>
      </c>
      <c r="K132" s="36">
        <f t="shared" si="13"/>
        <v>40.176999999999992</v>
      </c>
      <c r="L132" s="58"/>
      <c r="M132" s="58"/>
      <c r="N132" s="36"/>
    </row>
    <row r="133" spans="1:14" s="37" customFormat="1" x14ac:dyDescent="0.3">
      <c r="A133" s="56">
        <v>9</v>
      </c>
      <c r="B133" s="57"/>
      <c r="C133" s="42" t="s">
        <v>208</v>
      </c>
      <c r="D133" s="55">
        <f>((3*4.7+2.02*2.2+2.95*3.25+0.6*1.65+1.9*1.3+1.35*1.97+0.9*2.02)+0.65*(3+2.02+1.3))*10.764</f>
        <v>432.46522799999991</v>
      </c>
      <c r="E133" s="42">
        <v>0</v>
      </c>
      <c r="F133" s="42">
        <f t="shared" si="10"/>
        <v>648.69784199999981</v>
      </c>
      <c r="G133" s="56" t="str">
        <f t="shared" si="12"/>
        <v>1st Floor For Residential</v>
      </c>
      <c r="H133" s="57"/>
      <c r="I133" s="54">
        <f t="shared" si="14"/>
        <v>36.068999999999996</v>
      </c>
      <c r="J133" s="37">
        <f t="shared" si="15"/>
        <v>4.1079999999999997</v>
      </c>
      <c r="K133" s="36">
        <f t="shared" si="13"/>
        <v>40.176999999999992</v>
      </c>
      <c r="L133" s="58"/>
      <c r="M133" s="58"/>
      <c r="N133" s="36"/>
    </row>
    <row r="134" spans="1:14" s="37" customFormat="1" x14ac:dyDescent="0.3">
      <c r="A134" s="68" t="s">
        <v>210</v>
      </c>
      <c r="B134" s="69"/>
      <c r="C134" s="69"/>
      <c r="D134" s="69"/>
      <c r="E134" s="69"/>
      <c r="F134" s="69"/>
      <c r="G134" s="69"/>
      <c r="H134" s="70"/>
      <c r="J134" s="36"/>
    </row>
    <row r="135" spans="1:14" s="37" customFormat="1" ht="15.75" customHeight="1" x14ac:dyDescent="0.3">
      <c r="A135" s="56">
        <v>1</v>
      </c>
      <c r="B135" s="57"/>
      <c r="C135" s="55" t="s">
        <v>208</v>
      </c>
      <c r="D135" s="55">
        <f>((3*4.7+2.02*2.2+2.84*3.25+1.35*2.05+1.9*1.3+0.9*2.02+0.6*1.65)+0.65*(3+2.02+2.84))*10.764</f>
        <v>440.55437400000005</v>
      </c>
      <c r="E135" s="42">
        <v>0</v>
      </c>
      <c r="F135" s="42">
        <f t="shared" ref="F135:F140" si="16">D135*(($F$126)+1)+(IF(E135&lt;101,E135,IF(E135&lt;201,E135/2,IF(E135&lt;=301,E135/3,E135/4))))</f>
        <v>660.83156100000008</v>
      </c>
      <c r="G135" s="56" t="str">
        <f>A134</f>
        <v>2nd &amp; 3rd Floor</v>
      </c>
      <c r="H135" s="57"/>
      <c r="I135" s="54"/>
      <c r="K135" s="36"/>
      <c r="L135" s="58"/>
      <c r="M135" s="58"/>
      <c r="N135" s="36"/>
    </row>
    <row r="136" spans="1:14" s="37" customFormat="1" ht="15.75" customHeight="1" x14ac:dyDescent="0.3">
      <c r="A136" s="56">
        <f t="shared" ref="A136:A138" si="17">A135+1</f>
        <v>2</v>
      </c>
      <c r="B136" s="57"/>
      <c r="C136" s="55" t="s">
        <v>209</v>
      </c>
      <c r="D136" s="55">
        <f>((2.92*4.7+1.8*2.25+2.12*2.5+3.25*3.15+0.6*1.5+3.02*3.05+0.6*1.75+1.3*2.3+2.2*1.35+1.2*1.35)+0.6*(2.12+2.92+1.65+1.65))*10.764</f>
        <v>614.15616599999987</v>
      </c>
      <c r="E136" s="42">
        <v>0</v>
      </c>
      <c r="F136" s="42">
        <f t="shared" si="16"/>
        <v>921.23424899999986</v>
      </c>
      <c r="G136" s="56" t="str">
        <f t="shared" ref="G136:G140" si="18">G135</f>
        <v>2nd &amp; 3rd Floor</v>
      </c>
      <c r="H136" s="57"/>
      <c r="I136" s="54"/>
      <c r="K136" s="36"/>
      <c r="L136" s="58"/>
      <c r="M136" s="58"/>
      <c r="N136" s="36"/>
    </row>
    <row r="137" spans="1:14" s="37" customFormat="1" ht="15.75" customHeight="1" x14ac:dyDescent="0.3">
      <c r="A137" s="56">
        <f>A136+1</f>
        <v>3</v>
      </c>
      <c r="B137" s="57"/>
      <c r="C137" s="55" t="s">
        <v>208</v>
      </c>
      <c r="D137" s="55">
        <f>((3*4.7+2.02*2.2+2.95*3.25+0.6*1.65+1.9*1.3+1.35*1.97+0.9*2.02)+0.65*(3+2.02+1.3))*10.764</f>
        <v>432.46522799999991</v>
      </c>
      <c r="E137" s="42">
        <v>0</v>
      </c>
      <c r="F137" s="42">
        <f t="shared" si="16"/>
        <v>648.69784199999981</v>
      </c>
      <c r="G137" s="56" t="str">
        <f>G136</f>
        <v>2nd &amp; 3rd Floor</v>
      </c>
      <c r="H137" s="57"/>
      <c r="I137" s="54"/>
      <c r="K137" s="36"/>
      <c r="L137" s="58"/>
      <c r="M137" s="58"/>
      <c r="N137" s="36"/>
    </row>
    <row r="138" spans="1:14" s="37" customFormat="1" ht="15.75" customHeight="1" x14ac:dyDescent="0.3">
      <c r="A138" s="56">
        <f t="shared" si="17"/>
        <v>4</v>
      </c>
      <c r="B138" s="57"/>
      <c r="C138" s="55" t="s">
        <v>208</v>
      </c>
      <c r="D138" s="55">
        <f>((3*4.7+2.02*2.2+2.95*3.25+0.6*1.65+1.9*1.3+1.35*1.97+0.9*2.02)+0.65*(3+2.02+1.3))*10.764</f>
        <v>432.46522799999991</v>
      </c>
      <c r="E138" s="42">
        <v>0</v>
      </c>
      <c r="F138" s="42">
        <f t="shared" si="16"/>
        <v>648.69784199999981</v>
      </c>
      <c r="G138" s="56" t="str">
        <f t="shared" si="18"/>
        <v>2nd &amp; 3rd Floor</v>
      </c>
      <c r="H138" s="57"/>
      <c r="I138" s="54"/>
      <c r="K138" s="36"/>
      <c r="L138" s="58"/>
      <c r="M138" s="58"/>
      <c r="N138" s="36"/>
    </row>
    <row r="139" spans="1:14" s="37" customFormat="1" ht="15.75" customHeight="1" x14ac:dyDescent="0.3">
      <c r="A139" s="56">
        <v>8</v>
      </c>
      <c r="B139" s="57"/>
      <c r="C139" s="55" t="s">
        <v>208</v>
      </c>
      <c r="D139" s="55">
        <f>((3*4.7+2.02*2.2+2.95*3.25+0.6*1.65+1.9*1.3+1.35*1.97+0.9*2.02)+0.65*(3+2.02+1.3))*10.764</f>
        <v>432.46522799999991</v>
      </c>
      <c r="E139" s="42">
        <v>0</v>
      </c>
      <c r="F139" s="42">
        <f t="shared" si="16"/>
        <v>648.69784199999981</v>
      </c>
      <c r="G139" s="56" t="str">
        <f>G138</f>
        <v>2nd &amp; 3rd Floor</v>
      </c>
      <c r="H139" s="57"/>
      <c r="I139" s="54"/>
      <c r="K139" s="36"/>
      <c r="L139" s="58"/>
      <c r="M139" s="58"/>
      <c r="N139" s="36"/>
    </row>
    <row r="140" spans="1:14" s="37" customFormat="1" ht="15.75" customHeight="1" x14ac:dyDescent="0.3">
      <c r="A140" s="56">
        <v>9</v>
      </c>
      <c r="B140" s="57"/>
      <c r="C140" s="55" t="s">
        <v>208</v>
      </c>
      <c r="D140" s="55">
        <f>((3*4.7+2.02*2.2+2.95*3.25+0.6*1.65+1.9*1.3+1.35*1.97+0.9*2.02)+0.65*(3+2.02+1.3))*10.764</f>
        <v>432.46522799999991</v>
      </c>
      <c r="E140" s="42">
        <v>0</v>
      </c>
      <c r="F140" s="42">
        <f t="shared" si="16"/>
        <v>648.69784199999981</v>
      </c>
      <c r="G140" s="56" t="str">
        <f t="shared" si="18"/>
        <v>2nd &amp; 3rd Floor</v>
      </c>
      <c r="H140" s="57"/>
      <c r="I140" s="54"/>
      <c r="K140" s="36"/>
      <c r="L140" s="58"/>
      <c r="M140" s="58"/>
      <c r="N140" s="36"/>
    </row>
    <row r="141" spans="1:14" s="37" customFormat="1" x14ac:dyDescent="0.3">
      <c r="A141" s="72" t="s">
        <v>211</v>
      </c>
      <c r="B141" s="73"/>
      <c r="C141" s="73"/>
      <c r="D141" s="73"/>
      <c r="E141" s="73"/>
      <c r="F141" s="73"/>
      <c r="G141" s="73"/>
      <c r="H141" s="74"/>
      <c r="J141" s="36"/>
    </row>
    <row r="142" spans="1:14" s="37" customFormat="1" x14ac:dyDescent="0.3">
      <c r="A142" s="56">
        <v>1</v>
      </c>
      <c r="B142" s="57"/>
      <c r="C142" s="42" t="s">
        <v>208</v>
      </c>
      <c r="D142" s="55">
        <f>((3*4.7+2.02*2.2+2.84*3.25+1.35*2.05+1.9*1.3+0.9*2.02+0.6*1.65)+0.65*(3+2.02+2.84))*10.764</f>
        <v>440.55437400000005</v>
      </c>
      <c r="E142" s="42">
        <v>0</v>
      </c>
      <c r="F142" s="42">
        <f t="shared" ref="F142:F147" si="19">D142*(($F$126)+1)+(IF(E142&lt;101,E142,IF(E142&lt;201,E142/2,IF(E142&lt;=301,E142/3,E142/4))))</f>
        <v>660.83156100000008</v>
      </c>
      <c r="G142" s="56" t="str">
        <f>A141</f>
        <v>4th Floor</v>
      </c>
      <c r="H142" s="57"/>
      <c r="I142" s="54"/>
      <c r="K142" s="36"/>
      <c r="L142" s="58"/>
      <c r="M142" s="58"/>
      <c r="N142" s="36"/>
    </row>
    <row r="143" spans="1:14" s="37" customFormat="1" x14ac:dyDescent="0.3">
      <c r="A143" s="56">
        <f t="shared" ref="A143:A145" si="20">A142+1</f>
        <v>2</v>
      </c>
      <c r="B143" s="57"/>
      <c r="C143" s="42" t="s">
        <v>209</v>
      </c>
      <c r="D143" s="55">
        <f>((2.92*4.7+1.8*2.25+2.12*2.5+3.25*3.15+0.6*1.5+3.02*3.05+0.6*1.75+1.3*2.3+2.2*1.35+1.2*1.35)+0.6*(2.12+2.92+1.65+1.65))*10.764</f>
        <v>614.15616599999987</v>
      </c>
      <c r="E143" s="42">
        <v>0</v>
      </c>
      <c r="F143" s="42">
        <f t="shared" si="19"/>
        <v>921.23424899999986</v>
      </c>
      <c r="G143" s="56" t="str">
        <f t="shared" ref="G143:G147" si="21">G142</f>
        <v>4th Floor</v>
      </c>
      <c r="H143" s="57"/>
      <c r="I143" s="54"/>
      <c r="K143" s="36"/>
      <c r="L143" s="58"/>
      <c r="M143" s="58"/>
      <c r="N143" s="36"/>
    </row>
    <row r="144" spans="1:14" s="37" customFormat="1" x14ac:dyDescent="0.3">
      <c r="A144" s="56">
        <f>A143+1</f>
        <v>3</v>
      </c>
      <c r="B144" s="57"/>
      <c r="C144" s="42" t="s">
        <v>208</v>
      </c>
      <c r="D144" s="55">
        <f>((3*4.7+2.02*2.2+2.95*3.25+0.6*1.65+1.9*1.3+1.35*1.97+0.9*2.02)+0.65*(3+2.02+1.3))*10.764</f>
        <v>432.46522799999991</v>
      </c>
      <c r="E144" s="42">
        <v>0</v>
      </c>
      <c r="F144" s="42">
        <f t="shared" si="19"/>
        <v>648.69784199999981</v>
      </c>
      <c r="G144" s="56" t="str">
        <f>G143</f>
        <v>4th Floor</v>
      </c>
      <c r="H144" s="57"/>
      <c r="I144" s="54"/>
      <c r="K144" s="36"/>
      <c r="L144" s="58"/>
      <c r="M144" s="58"/>
      <c r="N144" s="36"/>
    </row>
    <row r="145" spans="1:14" s="37" customFormat="1" x14ac:dyDescent="0.3">
      <c r="A145" s="56">
        <f t="shared" si="20"/>
        <v>4</v>
      </c>
      <c r="B145" s="57"/>
      <c r="C145" s="42" t="s">
        <v>208</v>
      </c>
      <c r="D145" s="55">
        <f>((3*4.7+2.02*2.2+2.95*3.25+0.6*1.65+1.9*1.3+1.35*1.97+0.9*2.02)+0.65*(3+2.02+1.3))*10.764</f>
        <v>432.46522799999991</v>
      </c>
      <c r="E145" s="42">
        <v>0</v>
      </c>
      <c r="F145" s="42">
        <f t="shared" si="19"/>
        <v>648.69784199999981</v>
      </c>
      <c r="G145" s="56" t="str">
        <f t="shared" si="21"/>
        <v>4th Floor</v>
      </c>
      <c r="H145" s="57"/>
      <c r="I145" s="54"/>
      <c r="K145" s="36"/>
      <c r="L145" s="58"/>
      <c r="M145" s="58"/>
      <c r="N145" s="36"/>
    </row>
    <row r="146" spans="1:14" s="37" customFormat="1" x14ac:dyDescent="0.3">
      <c r="A146" s="56">
        <v>8</v>
      </c>
      <c r="B146" s="57"/>
      <c r="C146" s="42" t="s">
        <v>208</v>
      </c>
      <c r="D146" s="55">
        <f>((3*4.7+2.02*2.2+2.95*3.25+0.6*1.65+1.9*1.3+1.35*1.97+0.9*2.02)+0.65*(3+2.02+1.3))*10.764</f>
        <v>432.46522799999991</v>
      </c>
      <c r="E146" s="42">
        <v>0</v>
      </c>
      <c r="F146" s="42">
        <f t="shared" si="19"/>
        <v>648.69784199999981</v>
      </c>
      <c r="G146" s="56" t="str">
        <f>G145</f>
        <v>4th Floor</v>
      </c>
      <c r="H146" s="57"/>
      <c r="I146" s="54"/>
      <c r="K146" s="36"/>
      <c r="L146" s="58"/>
      <c r="M146" s="58"/>
      <c r="N146" s="36"/>
    </row>
    <row r="147" spans="1:14" s="37" customFormat="1" x14ac:dyDescent="0.3">
      <c r="A147" s="56">
        <v>9</v>
      </c>
      <c r="B147" s="57"/>
      <c r="C147" s="42" t="s">
        <v>208</v>
      </c>
      <c r="D147" s="55">
        <f>((3*4.7+2.02*2.2+2.95*3.25+0.6*1.65+1.9*1.3+1.35*1.97+0.9*2.02)+0.65*(3+2.02+1.3))*10.764</f>
        <v>432.46522799999991</v>
      </c>
      <c r="E147" s="42">
        <v>0</v>
      </c>
      <c r="F147" s="42">
        <f t="shared" si="19"/>
        <v>648.69784199999981</v>
      </c>
      <c r="G147" s="56" t="str">
        <f t="shared" si="21"/>
        <v>4th Floor</v>
      </c>
      <c r="H147" s="57"/>
      <c r="I147" s="54"/>
      <c r="K147" s="36"/>
      <c r="L147" s="58"/>
      <c r="M147" s="58"/>
      <c r="N147" s="36"/>
    </row>
    <row r="148" spans="1:14" s="37" customFormat="1" x14ac:dyDescent="0.3">
      <c r="A148" s="68" t="s">
        <v>212</v>
      </c>
      <c r="B148" s="69"/>
      <c r="C148" s="69"/>
      <c r="D148" s="69"/>
      <c r="E148" s="69"/>
      <c r="F148" s="69"/>
      <c r="G148" s="69"/>
      <c r="H148" s="70"/>
      <c r="J148" s="36"/>
    </row>
    <row r="149" spans="1:14" s="37" customFormat="1" x14ac:dyDescent="0.3">
      <c r="A149" s="56">
        <v>1</v>
      </c>
      <c r="B149" s="57"/>
      <c r="C149" s="42" t="s">
        <v>208</v>
      </c>
      <c r="D149" s="55">
        <f>((3*4.7+2.02*2.2+2.84*3.25+1.35*2.05+1.9*1.3+0.9*2.02+0.6*1.65)+0.65*(3+2.02+2.84))*10.764</f>
        <v>440.55437400000005</v>
      </c>
      <c r="E149" s="42">
        <v>0</v>
      </c>
      <c r="F149" s="42">
        <f t="shared" ref="F149:F157" si="22">D149*(($F$126)+1)+(IF(E149&lt;101,E149,IF(E149&lt;201,E149/2,IF(E149&lt;=301,E149/3,E149/4))))</f>
        <v>660.83156100000008</v>
      </c>
      <c r="G149" s="56" t="str">
        <f>A148</f>
        <v>5th to 6th, 8th to 11th, 13th to 16th &amp; 18th Floor</v>
      </c>
      <c r="H149" s="57"/>
      <c r="I149" s="54"/>
      <c r="K149" s="36"/>
      <c r="L149" s="58"/>
      <c r="M149" s="58"/>
      <c r="N149" s="36"/>
    </row>
    <row r="150" spans="1:14" s="37" customFormat="1" x14ac:dyDescent="0.3">
      <c r="A150" s="56">
        <v>2</v>
      </c>
      <c r="B150" s="57"/>
      <c r="C150" s="42" t="s">
        <v>209</v>
      </c>
      <c r="D150" s="55">
        <f>((2.92*4.7+1.8*2.25+2.12*2.5+3.25*3.15+0.6*1.5+3.02*3.05+0.6*1.75+1.3*2.3+2.2*1.35+1.2*1.35)+0.6*(2.12+2.92+1.65+1.65))*10.764</f>
        <v>614.15616599999987</v>
      </c>
      <c r="E150" s="42">
        <v>0</v>
      </c>
      <c r="F150" s="42">
        <f t="shared" si="22"/>
        <v>921.23424899999986</v>
      </c>
      <c r="G150" s="56" t="str">
        <f t="shared" ref="G150:G157" si="23">G149</f>
        <v>5th to 6th, 8th to 11th, 13th to 16th &amp; 18th Floor</v>
      </c>
      <c r="H150" s="57"/>
      <c r="I150" s="54"/>
      <c r="K150" s="36"/>
      <c r="L150" s="58"/>
      <c r="M150" s="58"/>
      <c r="N150" s="36"/>
    </row>
    <row r="151" spans="1:14" s="37" customFormat="1" x14ac:dyDescent="0.3">
      <c r="A151" s="56">
        <v>3</v>
      </c>
      <c r="B151" s="57"/>
      <c r="C151" s="42" t="s">
        <v>208</v>
      </c>
      <c r="D151" s="55">
        <f>((3*4.7+2.02*2.2+2.95*3.25+0.6*1.65+1.9*1.3+1.35*1.97+0.9*2.02)+0.65*(3+2.02+1.3))*10.764</f>
        <v>432.46522799999991</v>
      </c>
      <c r="E151" s="42">
        <v>0</v>
      </c>
      <c r="F151" s="42">
        <f t="shared" si="22"/>
        <v>648.69784199999981</v>
      </c>
      <c r="G151" s="56" t="str">
        <f>G150</f>
        <v>5th to 6th, 8th to 11th, 13th to 16th &amp; 18th Floor</v>
      </c>
      <c r="H151" s="57"/>
      <c r="I151" s="54"/>
      <c r="K151" s="36"/>
      <c r="L151" s="58"/>
      <c r="M151" s="58"/>
      <c r="N151" s="36"/>
    </row>
    <row r="152" spans="1:14" s="37" customFormat="1" x14ac:dyDescent="0.3">
      <c r="A152" s="56">
        <v>4</v>
      </c>
      <c r="B152" s="57"/>
      <c r="C152" s="42" t="s">
        <v>208</v>
      </c>
      <c r="D152" s="55">
        <f>((3*4.7+2.02*2.2+2.95*3.25+0.6*1.65+1.9*1.3+1.35*1.97+0.9*2.02)+0.65*(3+2.02+1.3))*10.764</f>
        <v>432.46522799999991</v>
      </c>
      <c r="E152" s="42">
        <v>0</v>
      </c>
      <c r="F152" s="42">
        <f t="shared" ref="F152:F154" si="24">D152*(($F$126)+1)+(IF(E152&lt;101,E152,IF(E152&lt;201,E152/2,IF(E152&lt;=301,E152/3,E152/4))))</f>
        <v>648.69784199999981</v>
      </c>
      <c r="G152" s="56" t="str">
        <f t="shared" ref="G152:G154" si="25">G151</f>
        <v>5th to 6th, 8th to 11th, 13th to 16th &amp; 18th Floor</v>
      </c>
      <c r="H152" s="57"/>
      <c r="I152" s="54"/>
      <c r="K152" s="36"/>
      <c r="L152" s="58"/>
      <c r="M152" s="58"/>
      <c r="N152" s="36"/>
    </row>
    <row r="153" spans="1:14" s="37" customFormat="1" x14ac:dyDescent="0.3">
      <c r="A153" s="56">
        <v>5</v>
      </c>
      <c r="B153" s="57"/>
      <c r="C153" s="42" t="s">
        <v>208</v>
      </c>
      <c r="D153" s="55">
        <f>((3*3.8+1.65*1.2+2.15*2.55+2*2.3+3.05*2.8+0.6*1.65+2*1.2+2*1.2+0.8*1.2)+0.65*(3+2+1.7))*10.764</f>
        <v>464.00912999999997</v>
      </c>
      <c r="E153" s="42">
        <v>0</v>
      </c>
      <c r="F153" s="42">
        <f t="shared" si="24"/>
        <v>696.01369499999998</v>
      </c>
      <c r="G153" s="56" t="str">
        <f t="shared" si="25"/>
        <v>5th to 6th, 8th to 11th, 13th to 16th &amp; 18th Floor</v>
      </c>
      <c r="H153" s="57"/>
      <c r="I153" s="54"/>
      <c r="K153" s="36"/>
      <c r="L153" s="58"/>
      <c r="M153" s="58"/>
      <c r="N153" s="36"/>
    </row>
    <row r="154" spans="1:14" s="37" customFormat="1" x14ac:dyDescent="0.3">
      <c r="A154" s="56">
        <v>6</v>
      </c>
      <c r="B154" s="57"/>
      <c r="C154" s="42" t="s">
        <v>209</v>
      </c>
      <c r="D154" s="55">
        <f>((3*3.8+1.65*1.2+1.47*3.3+1.9*1.95+3.1*3.25+0.6*1.65+2.85*3+1.65*0.6+0.9*2.1+1.35*2.2+1.35*1.95)+0.65*(3+1.9+3.1+1.65))*10.764</f>
        <v>606.07778400000007</v>
      </c>
      <c r="E154" s="42">
        <v>0</v>
      </c>
      <c r="F154" s="42">
        <f t="shared" si="24"/>
        <v>909.1166760000001</v>
      </c>
      <c r="G154" s="56" t="str">
        <f t="shared" si="25"/>
        <v>5th to 6th, 8th to 11th, 13th to 16th &amp; 18th Floor</v>
      </c>
      <c r="H154" s="57"/>
      <c r="I154" s="54"/>
      <c r="K154" s="36"/>
      <c r="L154" s="58"/>
      <c r="M154" s="58"/>
      <c r="N154" s="36"/>
    </row>
    <row r="155" spans="1:14" s="37" customFormat="1" x14ac:dyDescent="0.3">
      <c r="A155" s="56">
        <v>7</v>
      </c>
      <c r="B155" s="57"/>
      <c r="C155" s="42" t="s">
        <v>208</v>
      </c>
      <c r="D155" s="55">
        <f>((2.97*4.7+2.15*2.4+3*3.05+0.6*1.65+1.35*1.85+2*1.35+0.9*1.35)+0.65*(2.97+2.15+1.35))*10.764</f>
        <v>429.23602799999998</v>
      </c>
      <c r="E155" s="42">
        <v>0</v>
      </c>
      <c r="F155" s="42">
        <f t="shared" si="22"/>
        <v>643.85404199999994</v>
      </c>
      <c r="G155" s="56" t="str">
        <f>G151</f>
        <v>5th to 6th, 8th to 11th, 13th to 16th &amp; 18th Floor</v>
      </c>
      <c r="H155" s="57"/>
      <c r="I155" s="54"/>
      <c r="K155" s="36"/>
      <c r="L155" s="58"/>
      <c r="M155" s="58"/>
      <c r="N155" s="36"/>
    </row>
    <row r="156" spans="1:14" s="37" customFormat="1" x14ac:dyDescent="0.3">
      <c r="A156" s="56">
        <v>8</v>
      </c>
      <c r="B156" s="57"/>
      <c r="C156" s="42" t="s">
        <v>208</v>
      </c>
      <c r="D156" s="55">
        <f>((3*4.7+2.02*2.2+2.95*3.25+0.6*1.65+1.9*1.3+1.35*1.97+0.9*2.02)+0.65*(3+2.02+1.3))*10.764</f>
        <v>432.46522799999991</v>
      </c>
      <c r="E156" s="42">
        <v>0</v>
      </c>
      <c r="F156" s="42">
        <f t="shared" si="22"/>
        <v>648.69784199999981</v>
      </c>
      <c r="G156" s="56" t="str">
        <f>G155</f>
        <v>5th to 6th, 8th to 11th, 13th to 16th &amp; 18th Floor</v>
      </c>
      <c r="H156" s="57"/>
      <c r="I156" s="54"/>
      <c r="K156" s="36"/>
      <c r="L156" s="58"/>
      <c r="M156" s="58"/>
      <c r="N156" s="36"/>
    </row>
    <row r="157" spans="1:14" s="37" customFormat="1" x14ac:dyDescent="0.3">
      <c r="A157" s="56">
        <v>9</v>
      </c>
      <c r="B157" s="57"/>
      <c r="C157" s="42" t="s">
        <v>208</v>
      </c>
      <c r="D157" s="55">
        <f>((3*4.7+2.02*2.2+2.95*3.25+0.6*1.65+1.9*1.3+1.35*1.97+0.9*2.02)+0.65*(3+2.02+1.3))*10.764</f>
        <v>432.46522799999991</v>
      </c>
      <c r="E157" s="42">
        <v>0</v>
      </c>
      <c r="F157" s="42">
        <f t="shared" si="22"/>
        <v>648.69784199999981</v>
      </c>
      <c r="G157" s="56" t="str">
        <f t="shared" si="23"/>
        <v>5th to 6th, 8th to 11th, 13th to 16th &amp; 18th Floor</v>
      </c>
      <c r="H157" s="57"/>
      <c r="I157" s="54"/>
      <c r="K157" s="36"/>
      <c r="L157" s="58"/>
      <c r="M157" s="58"/>
      <c r="N157" s="36"/>
    </row>
    <row r="158" spans="1:14" s="37" customFormat="1" x14ac:dyDescent="0.3">
      <c r="A158" s="68" t="s">
        <v>213</v>
      </c>
      <c r="B158" s="69"/>
      <c r="C158" s="69"/>
      <c r="D158" s="69"/>
      <c r="E158" s="69"/>
      <c r="F158" s="69"/>
      <c r="G158" s="69"/>
      <c r="H158" s="70"/>
      <c r="J158" s="36"/>
    </row>
    <row r="159" spans="1:14" s="37" customFormat="1" x14ac:dyDescent="0.3">
      <c r="A159" s="56">
        <v>1</v>
      </c>
      <c r="B159" s="57"/>
      <c r="C159" s="42" t="s">
        <v>208</v>
      </c>
      <c r="D159" s="55">
        <f>((3*4.7+2.02*2.2+2.84*3.25+1.35*2.05+1.9*1.3+0.9*2.02+0.6*1.65)+0.65*(3+2.02+2.84))*10.764</f>
        <v>440.55437400000005</v>
      </c>
      <c r="E159" s="42">
        <v>0</v>
      </c>
      <c r="F159" s="42">
        <f>D159*(($F$126)+1)+(IF(E159&lt;101,E159,IF(E159&lt;201,E159/2,IF(E159&lt;=301,E159/3,E159/4))))</f>
        <v>660.83156100000008</v>
      </c>
      <c r="G159" s="56" t="str">
        <f>A158</f>
        <v>7th, 12th &amp; 17th Floor (Part Refuge Area)</v>
      </c>
      <c r="H159" s="57"/>
      <c r="I159" s="54"/>
      <c r="K159" s="36"/>
      <c r="L159" s="58"/>
      <c r="M159" s="58"/>
      <c r="N159" s="36"/>
    </row>
    <row r="160" spans="1:14" s="37" customFormat="1" x14ac:dyDescent="0.3">
      <c r="A160" s="56">
        <v>2</v>
      </c>
      <c r="B160" s="57"/>
      <c r="C160" s="42" t="s">
        <v>209</v>
      </c>
      <c r="D160" s="55">
        <f>((2.92*4.7+1.8*2.25+2.12*2.5+3.25*3.15+0.6*1.5+3.02*3.05+0.6*1.75+1.3*2.3+2.2*1.35+1.2*1.35)+0.6*(2.12+2.92+1.65+1.65))*10.764</f>
        <v>614.15616599999987</v>
      </c>
      <c r="E160" s="42">
        <v>0</v>
      </c>
      <c r="F160" s="42">
        <f>D160*(($F$126)+1)+(IF(E160&lt;101,E160,IF(E160&lt;201,E160/2,IF(E160&lt;=301,E160/3,E160/4))))</f>
        <v>921.23424899999986</v>
      </c>
      <c r="G160" s="56" t="str">
        <f t="shared" ref="G160:G167" si="26">G159</f>
        <v>7th, 12th &amp; 17th Floor (Part Refuge Area)</v>
      </c>
      <c r="H160" s="57"/>
      <c r="I160" s="54"/>
      <c r="K160" s="36"/>
      <c r="L160" s="58"/>
      <c r="M160" s="58"/>
      <c r="N160" s="36"/>
    </row>
    <row r="161" spans="1:14" s="37" customFormat="1" x14ac:dyDescent="0.3">
      <c r="A161" s="56">
        <v>3</v>
      </c>
      <c r="B161" s="57"/>
      <c r="C161" s="42" t="s">
        <v>208</v>
      </c>
      <c r="D161" s="55">
        <f>((3*4.7+2.02*2.2+2.95*3.25+0.6*1.65+1.9*1.3+1.35*1.97+0.9*2.02)+0.65*(3+2.02+1.3))*10.764</f>
        <v>432.46522799999991</v>
      </c>
      <c r="E161" s="42">
        <v>0</v>
      </c>
      <c r="F161" s="42">
        <f>D161*(($F$126)+1)+(IF(E161&lt;101,E161,IF(E161&lt;201,E161/2,IF(E161&lt;=301,E161/3,E161/4))))</f>
        <v>648.69784199999981</v>
      </c>
      <c r="G161" s="56" t="str">
        <f>G160</f>
        <v>7th, 12th &amp; 17th Floor (Part Refuge Area)</v>
      </c>
      <c r="H161" s="57"/>
      <c r="I161" s="54"/>
      <c r="K161" s="36"/>
      <c r="L161" s="58"/>
      <c r="M161" s="58"/>
      <c r="N161" s="36"/>
    </row>
    <row r="162" spans="1:14" s="37" customFormat="1" x14ac:dyDescent="0.3">
      <c r="A162" s="56">
        <v>4</v>
      </c>
      <c r="B162" s="57"/>
      <c r="C162" s="42" t="s">
        <v>208</v>
      </c>
      <c r="D162" s="55">
        <f>((3*4.7+2.02*2.2+2.95*3.25+0.6*1.65+1.9*1.3+1.35*1.97+0.9*2.02)+0.65*(3+2.02+1.3))*10.764</f>
        <v>432.46522799999991</v>
      </c>
      <c r="E162" s="42">
        <v>0</v>
      </c>
      <c r="F162" s="42">
        <f>D162*(($F$126)+1)+(IF(E162&lt;101,E162,IF(E162&lt;201,E162/2,IF(E162&lt;=301,E162/3,E162/4))))</f>
        <v>648.69784199999981</v>
      </c>
      <c r="G162" s="56" t="str">
        <f t="shared" ref="G162:G164" si="27">G161</f>
        <v>7th, 12th &amp; 17th Floor (Part Refuge Area)</v>
      </c>
      <c r="H162" s="57"/>
      <c r="I162" s="54"/>
      <c r="K162" s="36"/>
      <c r="L162" s="58"/>
      <c r="M162" s="58"/>
      <c r="N162" s="36"/>
    </row>
    <row r="163" spans="1:14" s="37" customFormat="1" x14ac:dyDescent="0.3">
      <c r="A163" s="56">
        <v>5</v>
      </c>
      <c r="B163" s="57"/>
      <c r="C163" s="56" t="s">
        <v>214</v>
      </c>
      <c r="D163" s="71"/>
      <c r="E163" s="71"/>
      <c r="F163" s="57"/>
      <c r="G163" s="56" t="str">
        <f t="shared" si="27"/>
        <v>7th, 12th &amp; 17th Floor (Part Refuge Area)</v>
      </c>
      <c r="H163" s="57"/>
      <c r="I163" s="54"/>
      <c r="K163" s="36"/>
      <c r="L163" s="58"/>
      <c r="M163" s="58"/>
      <c r="N163" s="36"/>
    </row>
    <row r="164" spans="1:14" s="37" customFormat="1" x14ac:dyDescent="0.3">
      <c r="A164" s="56">
        <v>6</v>
      </c>
      <c r="B164" s="57"/>
      <c r="C164" s="42" t="s">
        <v>209</v>
      </c>
      <c r="D164" s="55">
        <f>((3*3.8+1.65*1.2+1.47*3.3+1.9*1.95+3.1*3.25+0.6*1.65+2.85*3+1.65*0.6+0.9*2.1+1.35*2.2+1.35*1.95)+0.65*(3+1.9+3.1+1.65))*10.764</f>
        <v>606.07778400000007</v>
      </c>
      <c r="E164" s="42">
        <v>0</v>
      </c>
      <c r="F164" s="42">
        <f>D164*(($F$126)+1)+(IF(E164&lt;101,E164,IF(E164&lt;201,E164/2,IF(E164&lt;=301,E164/3,E164/4))))</f>
        <v>909.1166760000001</v>
      </c>
      <c r="G164" s="56" t="str">
        <f t="shared" si="27"/>
        <v>7th, 12th &amp; 17th Floor (Part Refuge Area)</v>
      </c>
      <c r="H164" s="57"/>
      <c r="I164" s="54"/>
      <c r="K164" s="36"/>
      <c r="L164" s="58"/>
      <c r="M164" s="58"/>
      <c r="N164" s="36"/>
    </row>
    <row r="165" spans="1:14" s="37" customFormat="1" x14ac:dyDescent="0.3">
      <c r="A165" s="56">
        <v>7</v>
      </c>
      <c r="B165" s="57"/>
      <c r="C165" s="42" t="s">
        <v>208</v>
      </c>
      <c r="D165" s="55">
        <f>((2.97*4.7+2.15*2.4+3*3.05+0.6*1.65+1.35*1.85+2*1.35+0.9*1.35)+0.65*(2.97+2.15+1.35))*10.764</f>
        <v>429.23602799999998</v>
      </c>
      <c r="E165" s="42">
        <v>0</v>
      </c>
      <c r="F165" s="42">
        <f>D165*(($F$126)+1)+(IF(E165&lt;101,E165,IF(E165&lt;201,E165/2,IF(E165&lt;=301,E165/3,E165/4))))</f>
        <v>643.85404199999994</v>
      </c>
      <c r="G165" s="56" t="str">
        <f>G161</f>
        <v>7th, 12th &amp; 17th Floor (Part Refuge Area)</v>
      </c>
      <c r="H165" s="57"/>
      <c r="I165" s="54"/>
      <c r="K165" s="36"/>
      <c r="L165" s="58"/>
      <c r="M165" s="58"/>
      <c r="N165" s="36"/>
    </row>
    <row r="166" spans="1:14" s="37" customFormat="1" x14ac:dyDescent="0.3">
      <c r="A166" s="56">
        <v>8</v>
      </c>
      <c r="B166" s="57"/>
      <c r="C166" s="42" t="s">
        <v>208</v>
      </c>
      <c r="D166" s="55">
        <f>((3*4.7+2.02*2.2+2.95*3.25+0.6*1.65+1.9*1.3+1.35*1.97+0.9*2.02)+0.65*(3+2.02+1.3))*10.764</f>
        <v>432.46522799999991</v>
      </c>
      <c r="E166" s="42">
        <v>0</v>
      </c>
      <c r="F166" s="42">
        <f>D166*(($F$126)+1)+(IF(E166&lt;101,E166,IF(E166&lt;201,E166/2,IF(E166&lt;=301,E166/3,E166/4))))</f>
        <v>648.69784199999981</v>
      </c>
      <c r="G166" s="56" t="str">
        <f>G165</f>
        <v>7th, 12th &amp; 17th Floor (Part Refuge Area)</v>
      </c>
      <c r="H166" s="57"/>
      <c r="I166" s="54"/>
      <c r="K166" s="36"/>
      <c r="L166" s="58"/>
      <c r="M166" s="58"/>
      <c r="N166" s="36"/>
    </row>
    <row r="167" spans="1:14" s="37" customFormat="1" x14ac:dyDescent="0.3">
      <c r="A167" s="56">
        <v>9</v>
      </c>
      <c r="B167" s="57"/>
      <c r="C167" s="42" t="s">
        <v>208</v>
      </c>
      <c r="D167" s="55">
        <f>((3*4.7+2.02*2.2+2.95*3.25+0.6*1.65+1.9*1.3+1.35*1.97+0.9*2.02)+0.65*(3+2.02+1.3))*10.764</f>
        <v>432.46522799999991</v>
      </c>
      <c r="E167" s="42">
        <v>0</v>
      </c>
      <c r="F167" s="42">
        <f>D167*(($F$126)+1)+(IF(E167&lt;101,E167,IF(E167&lt;201,E167/2,IF(E167&lt;=301,E167/3,E167/4))))</f>
        <v>648.69784199999981</v>
      </c>
      <c r="G167" s="56" t="str">
        <f t="shared" si="26"/>
        <v>7th, 12th &amp; 17th Floor (Part Refuge Area)</v>
      </c>
      <c r="H167" s="57"/>
      <c r="I167" s="54"/>
      <c r="K167" s="36"/>
      <c r="L167" s="58"/>
      <c r="M167" s="58"/>
      <c r="N167" s="36"/>
    </row>
    <row r="168" spans="1:14" s="37" customFormat="1" x14ac:dyDescent="0.3">
      <c r="A168" s="68" t="s">
        <v>215</v>
      </c>
      <c r="B168" s="69"/>
      <c r="C168" s="69"/>
      <c r="D168" s="69"/>
      <c r="E168" s="69"/>
      <c r="F168" s="69"/>
      <c r="G168" s="69"/>
      <c r="H168" s="70"/>
      <c r="J168" s="36"/>
    </row>
    <row r="169" spans="1:14" s="37" customFormat="1" x14ac:dyDescent="0.3">
      <c r="A169" s="56">
        <v>1</v>
      </c>
      <c r="B169" s="57"/>
      <c r="C169" s="59" t="s">
        <v>216</v>
      </c>
      <c r="D169" s="60"/>
      <c r="E169" s="60"/>
      <c r="F169" s="61"/>
      <c r="G169" s="56" t="str">
        <f>A168</f>
        <v>19th Floor (Part Terrace Area)</v>
      </c>
      <c r="H169" s="57"/>
      <c r="I169" s="54"/>
      <c r="K169" s="36"/>
      <c r="L169" s="58"/>
      <c r="M169" s="58"/>
      <c r="N169" s="36"/>
    </row>
    <row r="170" spans="1:14" s="37" customFormat="1" x14ac:dyDescent="0.3">
      <c r="A170" s="56">
        <v>2</v>
      </c>
      <c r="B170" s="57"/>
      <c r="C170" s="62"/>
      <c r="D170" s="63"/>
      <c r="E170" s="63"/>
      <c r="F170" s="64"/>
      <c r="G170" s="56" t="str">
        <f t="shared" ref="G170:G177" si="28">G169</f>
        <v>19th Floor (Part Terrace Area)</v>
      </c>
      <c r="H170" s="57"/>
      <c r="I170" s="54"/>
      <c r="K170" s="36"/>
      <c r="L170" s="58"/>
      <c r="M170" s="58"/>
      <c r="N170" s="36"/>
    </row>
    <row r="171" spans="1:14" s="37" customFormat="1" x14ac:dyDescent="0.3">
      <c r="A171" s="56">
        <v>3</v>
      </c>
      <c r="B171" s="57"/>
      <c r="C171" s="65"/>
      <c r="D171" s="66"/>
      <c r="E171" s="66"/>
      <c r="F171" s="67"/>
      <c r="G171" s="56" t="str">
        <f>G170</f>
        <v>19th Floor (Part Terrace Area)</v>
      </c>
      <c r="H171" s="57"/>
      <c r="I171" s="54"/>
      <c r="K171" s="36"/>
      <c r="L171" s="58"/>
      <c r="M171" s="58"/>
      <c r="N171" s="36"/>
    </row>
    <row r="172" spans="1:14" s="37" customFormat="1" x14ac:dyDescent="0.3">
      <c r="A172" s="56">
        <v>4</v>
      </c>
      <c r="B172" s="57"/>
      <c r="C172" s="42" t="s">
        <v>208</v>
      </c>
      <c r="D172" s="55">
        <f>((3*4.7+2.02*2.2+2.95*3.25+0.6*1.65+1.9*1.3+1.35*1.97+0.9*2.02)+0.65*(3+2.02+1.3))*10.764</f>
        <v>432.46522799999991</v>
      </c>
      <c r="E172" s="42">
        <v>0</v>
      </c>
      <c r="F172" s="42">
        <f t="shared" ref="F172:F177" si="29">D172*(($F$126)+1)+(IF(E172&lt;101,E172,IF(E172&lt;201,E172/2,IF(E172&lt;=301,E172/3,E172/4))))</f>
        <v>648.69784199999981</v>
      </c>
      <c r="G172" s="56" t="str">
        <f t="shared" ref="G172:G174" si="30">G171</f>
        <v>19th Floor (Part Terrace Area)</v>
      </c>
      <c r="H172" s="57"/>
      <c r="I172" s="54"/>
      <c r="K172" s="36"/>
      <c r="L172" s="58"/>
      <c r="M172" s="58"/>
      <c r="N172" s="36"/>
    </row>
    <row r="173" spans="1:14" s="37" customFormat="1" x14ac:dyDescent="0.3">
      <c r="A173" s="56">
        <v>5</v>
      </c>
      <c r="B173" s="57"/>
      <c r="C173" s="42" t="s">
        <v>208</v>
      </c>
      <c r="D173" s="55">
        <f>((3*3.8+1.65*1.2+2.15*2.55+2*2.3+3.05*2.8+0.6*1.65+2*1.2+2*1.2+0.8*1.2)+0.65*(3+2+1.7))*10.764</f>
        <v>464.00912999999997</v>
      </c>
      <c r="E173" s="42">
        <v>0</v>
      </c>
      <c r="F173" s="42">
        <f t="shared" si="29"/>
        <v>696.01369499999998</v>
      </c>
      <c r="G173" s="56" t="str">
        <f t="shared" si="30"/>
        <v>19th Floor (Part Terrace Area)</v>
      </c>
      <c r="H173" s="57"/>
      <c r="I173" s="54"/>
      <c r="K173" s="36"/>
      <c r="L173" s="58"/>
      <c r="M173" s="58"/>
      <c r="N173" s="36"/>
    </row>
    <row r="174" spans="1:14" s="37" customFormat="1" x14ac:dyDescent="0.3">
      <c r="A174" s="56">
        <v>6</v>
      </c>
      <c r="B174" s="57"/>
      <c r="C174" s="42" t="s">
        <v>209</v>
      </c>
      <c r="D174" s="55">
        <f>((3*3.8+1.65*1.2+1.47*3.3+1.9*1.95+3.1*3.25+0.6*1.65+2.85*3+1.65*0.6+0.9*2.1+1.35*2.2+1.35*1.95)+0.65*(3+1.9+3.1+1.65))*10.764</f>
        <v>606.07778400000007</v>
      </c>
      <c r="E174" s="42">
        <v>0</v>
      </c>
      <c r="F174" s="42">
        <f t="shared" si="29"/>
        <v>909.1166760000001</v>
      </c>
      <c r="G174" s="56" t="str">
        <f t="shared" si="30"/>
        <v>19th Floor (Part Terrace Area)</v>
      </c>
      <c r="H174" s="57"/>
      <c r="I174" s="54">
        <f>10000000/F174</f>
        <v>10999.688229236705</v>
      </c>
      <c r="K174" s="36"/>
      <c r="L174" s="58"/>
      <c r="M174" s="58"/>
      <c r="N174" s="36"/>
    </row>
    <row r="175" spans="1:14" s="37" customFormat="1" x14ac:dyDescent="0.3">
      <c r="A175" s="56">
        <v>7</v>
      </c>
      <c r="B175" s="57"/>
      <c r="C175" s="42" t="s">
        <v>208</v>
      </c>
      <c r="D175" s="55">
        <f>((2.97*4.7+2.15*2.4+3*3.05+0.6*1.65+1.35*1.85+2*1.35+0.9*1.35)+0.65*(2.97+2.15+1.35))*10.764</f>
        <v>429.23602799999998</v>
      </c>
      <c r="E175" s="42">
        <v>0</v>
      </c>
      <c r="F175" s="42">
        <f t="shared" si="29"/>
        <v>643.85404199999994</v>
      </c>
      <c r="G175" s="56" t="str">
        <f>G171</f>
        <v>19th Floor (Part Terrace Area)</v>
      </c>
      <c r="H175" s="57"/>
      <c r="I175" s="54"/>
      <c r="K175" s="36"/>
      <c r="L175" s="58"/>
      <c r="M175" s="58"/>
      <c r="N175" s="36"/>
    </row>
    <row r="176" spans="1:14" s="37" customFormat="1" x14ac:dyDescent="0.3">
      <c r="A176" s="56">
        <v>8</v>
      </c>
      <c r="B176" s="57"/>
      <c r="C176" s="42" t="s">
        <v>208</v>
      </c>
      <c r="D176" s="55">
        <f>((3*4.7+2.02*2.2+2.95*3.25+0.6*1.65+1.9*1.3+1.35*1.97+0.9*2.02)+0.65*(3+2.02+1.3))*10.764</f>
        <v>432.46522799999991</v>
      </c>
      <c r="E176" s="42">
        <v>0</v>
      </c>
      <c r="F176" s="42">
        <f t="shared" si="29"/>
        <v>648.69784199999981</v>
      </c>
      <c r="G176" s="56" t="str">
        <f>G175</f>
        <v>19th Floor (Part Terrace Area)</v>
      </c>
      <c r="H176" s="57"/>
      <c r="I176" s="54"/>
      <c r="K176" s="36"/>
      <c r="L176" s="58"/>
      <c r="M176" s="58"/>
      <c r="N176" s="36"/>
    </row>
    <row r="177" spans="1:14" s="37" customFormat="1" x14ac:dyDescent="0.3">
      <c r="A177" s="56">
        <v>9</v>
      </c>
      <c r="B177" s="57"/>
      <c r="C177" s="42" t="s">
        <v>208</v>
      </c>
      <c r="D177" s="55">
        <f>((3*4.7+2.02*2.2+2.95*3.25+0.6*1.65+1.9*1.3+1.35*1.97+0.9*2.02)+0.65*(3+2.02+1.3))*10.764</f>
        <v>432.46522799999991</v>
      </c>
      <c r="E177" s="42">
        <v>0</v>
      </c>
      <c r="F177" s="42">
        <f t="shared" si="29"/>
        <v>648.69784199999981</v>
      </c>
      <c r="G177" s="56" t="str">
        <f t="shared" si="28"/>
        <v>19th Floor (Part Terrace Area)</v>
      </c>
      <c r="H177" s="57"/>
      <c r="I177" s="54"/>
      <c r="K177" s="36"/>
      <c r="L177" s="58"/>
      <c r="M177" s="58"/>
      <c r="N177" s="36"/>
    </row>
    <row r="178" spans="1:14" s="35" customFormat="1" x14ac:dyDescent="0.3">
      <c r="A178" s="179" t="s">
        <v>72</v>
      </c>
      <c r="B178" s="179"/>
      <c r="C178" s="179"/>
      <c r="D178" s="179"/>
      <c r="E178" s="179"/>
      <c r="F178" s="179"/>
      <c r="G178" s="179"/>
      <c r="H178" s="179"/>
    </row>
    <row r="179" spans="1:14" s="35" customFormat="1" x14ac:dyDescent="0.3">
      <c r="A179" s="47" t="s">
        <v>161</v>
      </c>
      <c r="B179" s="97" t="s">
        <v>225</v>
      </c>
      <c r="C179" s="98"/>
      <c r="D179" s="98"/>
      <c r="E179" s="98"/>
      <c r="F179" s="98"/>
      <c r="G179" s="98"/>
      <c r="H179" s="99"/>
    </row>
    <row r="180" spans="1:14" s="35" customFormat="1" x14ac:dyDescent="0.3">
      <c r="A180" s="47" t="s">
        <v>161</v>
      </c>
      <c r="B180" s="97" t="str">
        <f>(IF(F125="Saleable area Loading :","We have considered Saleable area of Flats as per our Calculation.","We considered Saleable area of Flat as per Builder area Sheet."))</f>
        <v>We have considered Saleable area of Flats as per our Calculation.</v>
      </c>
      <c r="C180" s="98"/>
      <c r="D180" s="98"/>
      <c r="E180" s="98"/>
      <c r="F180" s="98"/>
      <c r="G180" s="98"/>
      <c r="H180" s="99"/>
    </row>
    <row r="181" spans="1:14" s="35" customFormat="1" x14ac:dyDescent="0.3">
      <c r="A181" s="47" t="s">
        <v>161</v>
      </c>
      <c r="B181" s="97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1" s="98"/>
      <c r="D181" s="98"/>
      <c r="E181" s="98"/>
      <c r="F181" s="98"/>
      <c r="G181" s="98"/>
      <c r="H181" s="99"/>
    </row>
    <row r="182" spans="1:14" s="35" customFormat="1" x14ac:dyDescent="0.3">
      <c r="A182" s="47" t="s">
        <v>161</v>
      </c>
      <c r="B182" s="108" t="s">
        <v>131</v>
      </c>
      <c r="C182" s="109"/>
      <c r="D182" s="109"/>
      <c r="E182" s="109"/>
      <c r="F182" s="109"/>
      <c r="G182" s="109"/>
      <c r="H182" s="110"/>
    </row>
    <row r="183" spans="1:14" s="35" customFormat="1" x14ac:dyDescent="0.3">
      <c r="A183" s="47" t="s">
        <v>161</v>
      </c>
      <c r="B183" s="108" t="s">
        <v>222</v>
      </c>
      <c r="C183" s="109"/>
      <c r="D183" s="109"/>
      <c r="E183" s="109"/>
      <c r="F183" s="109"/>
      <c r="G183" s="109"/>
      <c r="H183" s="110"/>
    </row>
    <row r="184" spans="1:14" s="35" customFormat="1" x14ac:dyDescent="0.3">
      <c r="A184" s="47" t="s">
        <v>161</v>
      </c>
      <c r="B184" s="108" t="s">
        <v>160</v>
      </c>
      <c r="C184" s="109"/>
      <c r="D184" s="109"/>
      <c r="E184" s="109"/>
      <c r="F184" s="109"/>
      <c r="G184" s="109"/>
      <c r="H184" s="110"/>
    </row>
    <row r="185" spans="1:14" s="35" customFormat="1" x14ac:dyDescent="0.3">
      <c r="A185" s="47" t="s">
        <v>161</v>
      </c>
      <c r="B185" s="108" t="s">
        <v>132</v>
      </c>
      <c r="C185" s="109"/>
      <c r="D185" s="109"/>
      <c r="E185" s="109"/>
      <c r="F185" s="109"/>
      <c r="G185" s="109"/>
      <c r="H185" s="110"/>
    </row>
    <row r="186" spans="1:14" s="35" customFormat="1" ht="34.5" customHeight="1" x14ac:dyDescent="0.3">
      <c r="A186" s="47" t="s">
        <v>161</v>
      </c>
      <c r="B186" s="108" t="s">
        <v>162</v>
      </c>
      <c r="C186" s="109"/>
      <c r="D186" s="109"/>
      <c r="E186" s="109"/>
      <c r="F186" s="109"/>
      <c r="G186" s="109"/>
      <c r="H186" s="110"/>
    </row>
    <row r="187" spans="1:14" s="35" customFormat="1" x14ac:dyDescent="0.3">
      <c r="A187" s="47" t="s">
        <v>161</v>
      </c>
      <c r="B187" s="108" t="s">
        <v>133</v>
      </c>
      <c r="C187" s="109"/>
      <c r="D187" s="109"/>
      <c r="E187" s="109"/>
      <c r="F187" s="109"/>
      <c r="G187" s="109"/>
      <c r="H187" s="110"/>
    </row>
    <row r="188" spans="1:14" s="35" customFormat="1" ht="48.75" hidden="1" customHeight="1" x14ac:dyDescent="0.3">
      <c r="A188" s="47" t="s">
        <v>161</v>
      </c>
      <c r="B188" s="105" t="s">
        <v>198</v>
      </c>
      <c r="C188" s="106"/>
      <c r="D188" s="106"/>
      <c r="E188" s="106"/>
      <c r="F188" s="106"/>
      <c r="G188" s="106"/>
      <c r="H188" s="107"/>
    </row>
    <row r="189" spans="1:14" x14ac:dyDescent="0.3">
      <c r="A189" s="111" t="s">
        <v>65</v>
      </c>
      <c r="B189" s="111"/>
      <c r="C189" s="111"/>
      <c r="D189" s="111"/>
      <c r="E189" s="111"/>
      <c r="F189" s="111"/>
      <c r="G189" s="111"/>
      <c r="H189" s="111"/>
    </row>
    <row r="190" spans="1:14" x14ac:dyDescent="0.3">
      <c r="A190" s="78" t="s">
        <v>66</v>
      </c>
      <c r="B190" s="78"/>
      <c r="C190" s="78"/>
      <c r="D190" s="78"/>
      <c r="E190" s="78"/>
      <c r="F190" s="78"/>
      <c r="G190" s="78"/>
      <c r="H190" s="78"/>
    </row>
    <row r="191" spans="1:14" ht="15.75" customHeight="1" x14ac:dyDescent="0.3">
      <c r="A191" s="81" t="s">
        <v>67</v>
      </c>
      <c r="B191" s="81"/>
      <c r="C191" s="81"/>
      <c r="D191" s="81"/>
      <c r="E191" s="81"/>
      <c r="F191" s="81"/>
      <c r="G191" s="81"/>
      <c r="H191" s="81"/>
    </row>
    <row r="192" spans="1:14" x14ac:dyDescent="0.3">
      <c r="A192" s="78" t="s">
        <v>68</v>
      </c>
      <c r="B192" s="78"/>
      <c r="C192" s="78"/>
      <c r="D192" s="78"/>
      <c r="E192" s="78"/>
      <c r="F192" s="78"/>
      <c r="G192" s="78"/>
      <c r="H192" s="78"/>
    </row>
    <row r="193" spans="1:8" x14ac:dyDescent="0.3">
      <c r="A193" s="78" t="s">
        <v>69</v>
      </c>
      <c r="B193" s="78"/>
      <c r="C193" s="78"/>
      <c r="D193" s="78"/>
      <c r="E193" s="78"/>
      <c r="F193" s="78"/>
      <c r="G193" s="78"/>
      <c r="H193" s="78"/>
    </row>
    <row r="194" spans="1:8" x14ac:dyDescent="0.3">
      <c r="A194" s="78" t="s">
        <v>134</v>
      </c>
      <c r="B194" s="78"/>
      <c r="C194" s="78"/>
      <c r="D194" s="78"/>
      <c r="E194" s="78"/>
      <c r="F194" s="78"/>
      <c r="G194" s="78"/>
      <c r="H194" s="78"/>
    </row>
    <row r="195" spans="1:8" x14ac:dyDescent="0.3">
      <c r="A195" s="102" t="s">
        <v>135</v>
      </c>
      <c r="B195" s="102"/>
      <c r="C195" s="102"/>
      <c r="D195" s="102"/>
      <c r="E195" s="102"/>
      <c r="F195" s="102"/>
      <c r="G195" s="102"/>
      <c r="H195" s="102"/>
    </row>
    <row r="196" spans="1:8" x14ac:dyDescent="0.3">
      <c r="A196" s="118" t="s">
        <v>82</v>
      </c>
      <c r="B196" s="118"/>
      <c r="C196" s="118" t="s">
        <v>219</v>
      </c>
      <c r="D196" s="118"/>
      <c r="E196" s="118" t="s">
        <v>112</v>
      </c>
      <c r="F196" s="118"/>
      <c r="G196" s="118" t="s">
        <v>224</v>
      </c>
      <c r="H196" s="118"/>
    </row>
    <row r="197" spans="1:8" x14ac:dyDescent="0.3">
      <c r="A197" s="117" t="s">
        <v>84</v>
      </c>
      <c r="B197" s="117"/>
      <c r="C197" s="117"/>
      <c r="D197" s="117"/>
      <c r="E197" s="117"/>
      <c r="F197" s="117"/>
      <c r="G197" s="117"/>
      <c r="H197" s="117"/>
    </row>
    <row r="198" spans="1:8" x14ac:dyDescent="0.3">
      <c r="A198" s="117"/>
      <c r="B198" s="117"/>
      <c r="C198" s="117"/>
      <c r="D198" s="117"/>
      <c r="E198" s="117"/>
      <c r="F198" s="117"/>
      <c r="G198" s="117"/>
      <c r="H198" s="117"/>
    </row>
    <row r="199" spans="1:8" x14ac:dyDescent="0.3">
      <c r="A199" s="117"/>
      <c r="B199" s="117"/>
      <c r="C199" s="117"/>
      <c r="D199" s="117"/>
      <c r="E199" s="117"/>
      <c r="F199" s="117"/>
      <c r="G199" s="117"/>
      <c r="H199" s="117"/>
    </row>
    <row r="200" spans="1:8" x14ac:dyDescent="0.3">
      <c r="A200" s="117"/>
      <c r="B200" s="117"/>
      <c r="C200" s="117"/>
      <c r="D200" s="117"/>
      <c r="E200" s="117"/>
      <c r="F200" s="117"/>
      <c r="G200" s="117"/>
      <c r="H200" s="117"/>
    </row>
    <row r="201" spans="1:8" x14ac:dyDescent="0.3">
      <c r="A201" s="38" t="s">
        <v>70</v>
      </c>
      <c r="B201" s="39"/>
      <c r="C201" s="39"/>
      <c r="D201" s="38" t="str">
        <f>E8</f>
        <v>Larkins Nest</v>
      </c>
      <c r="F201" s="39"/>
      <c r="G201" s="39"/>
      <c r="H201" s="39"/>
    </row>
    <row r="202" spans="1:8" x14ac:dyDescent="0.3">
      <c r="A202" s="39"/>
      <c r="B202" s="39"/>
      <c r="C202" s="39"/>
      <c r="D202" s="39"/>
      <c r="E202" s="39"/>
      <c r="F202" s="39"/>
      <c r="G202" s="39"/>
      <c r="H202" s="39"/>
    </row>
    <row r="203" spans="1:8" x14ac:dyDescent="0.3">
      <c r="A203" s="39"/>
      <c r="B203" s="39"/>
      <c r="C203" s="39"/>
      <c r="D203" s="39"/>
      <c r="E203" s="39"/>
      <c r="F203" s="39"/>
      <c r="G203" s="39"/>
      <c r="H203" s="39"/>
    </row>
    <row r="204" spans="1:8" ht="15" customHeight="1" x14ac:dyDescent="0.3"/>
    <row r="243" spans="1:1" x14ac:dyDescent="0.3">
      <c r="A243" s="41" t="s">
        <v>176</v>
      </c>
    </row>
    <row r="285" spans="1:1" x14ac:dyDescent="0.3">
      <c r="A285" s="41" t="s">
        <v>71</v>
      </c>
    </row>
  </sheetData>
  <mergeCells count="445">
    <mergeCell ref="A132:B132"/>
    <mergeCell ref="G132:H132"/>
    <mergeCell ref="L132:M132"/>
    <mergeCell ref="A133:B133"/>
    <mergeCell ref="G133:H133"/>
    <mergeCell ref="L133:M133"/>
    <mergeCell ref="L118:M118"/>
    <mergeCell ref="A119:H119"/>
    <mergeCell ref="A120:B120"/>
    <mergeCell ref="G120:H120"/>
    <mergeCell ref="L120:M120"/>
    <mergeCell ref="A121:B121"/>
    <mergeCell ref="G121:H121"/>
    <mergeCell ref="L121:M121"/>
    <mergeCell ref="A122:B122"/>
    <mergeCell ref="G122:H122"/>
    <mergeCell ref="L122:M122"/>
    <mergeCell ref="G123:H123"/>
    <mergeCell ref="L131:M131"/>
    <mergeCell ref="G128:H128"/>
    <mergeCell ref="L128:M128"/>
    <mergeCell ref="A129:B129"/>
    <mergeCell ref="G129:H129"/>
    <mergeCell ref="L129:M129"/>
    <mergeCell ref="A85:E85"/>
    <mergeCell ref="L112:M112"/>
    <mergeCell ref="A114:B114"/>
    <mergeCell ref="G114:H114"/>
    <mergeCell ref="L114:M114"/>
    <mergeCell ref="A115:H115"/>
    <mergeCell ref="A116:B116"/>
    <mergeCell ref="G116:H116"/>
    <mergeCell ref="L116:M116"/>
    <mergeCell ref="A117:B117"/>
    <mergeCell ref="G117:H117"/>
    <mergeCell ref="L117:M117"/>
    <mergeCell ref="A113:B113"/>
    <mergeCell ref="G113:H113"/>
    <mergeCell ref="L113:M113"/>
    <mergeCell ref="L123:M123"/>
    <mergeCell ref="F81:H81"/>
    <mergeCell ref="A81:E81"/>
    <mergeCell ref="D105:D106"/>
    <mergeCell ref="A83:E83"/>
    <mergeCell ref="A108:B108"/>
    <mergeCell ref="A109:B109"/>
    <mergeCell ref="A110:B110"/>
    <mergeCell ref="A111:B111"/>
    <mergeCell ref="A84:E84"/>
    <mergeCell ref="A90:E90"/>
    <mergeCell ref="G102:H102"/>
    <mergeCell ref="C96:D96"/>
    <mergeCell ref="E96:F96"/>
    <mergeCell ref="A118:B118"/>
    <mergeCell ref="G118:H118"/>
    <mergeCell ref="A123:B123"/>
    <mergeCell ref="G96:H96"/>
    <mergeCell ref="A79:E79"/>
    <mergeCell ref="F83:H83"/>
    <mergeCell ref="B182:H182"/>
    <mergeCell ref="B183:H183"/>
    <mergeCell ref="A178:H178"/>
    <mergeCell ref="C105:C106"/>
    <mergeCell ref="B125:B126"/>
    <mergeCell ref="A131:B131"/>
    <mergeCell ref="A128:B128"/>
    <mergeCell ref="B105:B106"/>
    <mergeCell ref="A105:A106"/>
    <mergeCell ref="C125:C126"/>
    <mergeCell ref="F85:H85"/>
    <mergeCell ref="A86:E86"/>
    <mergeCell ref="A88:E88"/>
    <mergeCell ref="F82:H82"/>
    <mergeCell ref="A87:E87"/>
    <mergeCell ref="A82:E82"/>
    <mergeCell ref="C102:D102"/>
    <mergeCell ref="A97:B97"/>
    <mergeCell ref="C97:D97"/>
    <mergeCell ref="E97:F97"/>
    <mergeCell ref="G97:H97"/>
    <mergeCell ref="A101:B101"/>
    <mergeCell ref="A130:B130"/>
    <mergeCell ref="G130:H130"/>
    <mergeCell ref="L130:M130"/>
    <mergeCell ref="F90:H90"/>
    <mergeCell ref="F88:H88"/>
    <mergeCell ref="A104:H104"/>
    <mergeCell ref="G94:H94"/>
    <mergeCell ref="A89:E89"/>
    <mergeCell ref="C95:D95"/>
    <mergeCell ref="E95:F95"/>
    <mergeCell ref="A124:H124"/>
    <mergeCell ref="A125:A126"/>
    <mergeCell ref="C101:D101"/>
    <mergeCell ref="E101:F101"/>
    <mergeCell ref="G101:H101"/>
    <mergeCell ref="C99:D99"/>
    <mergeCell ref="G99:H99"/>
    <mergeCell ref="A102:B102"/>
    <mergeCell ref="E102:F102"/>
    <mergeCell ref="F89:H89"/>
    <mergeCell ref="E94:F94"/>
    <mergeCell ref="A94:B94"/>
    <mergeCell ref="A112:B112"/>
    <mergeCell ref="G112:H112"/>
    <mergeCell ref="A65:B65"/>
    <mergeCell ref="C65:H65"/>
    <mergeCell ref="A73:B73"/>
    <mergeCell ref="A60:C60"/>
    <mergeCell ref="D60:H60"/>
    <mergeCell ref="C67:H67"/>
    <mergeCell ref="A70:B70"/>
    <mergeCell ref="L111:M111"/>
    <mergeCell ref="L110:M110"/>
    <mergeCell ref="L109:M109"/>
    <mergeCell ref="L108:M108"/>
    <mergeCell ref="A76:B76"/>
    <mergeCell ref="C100:D100"/>
    <mergeCell ref="E100:F100"/>
    <mergeCell ref="G100:H100"/>
    <mergeCell ref="F86:H86"/>
    <mergeCell ref="A80:E80"/>
    <mergeCell ref="A107:H107"/>
    <mergeCell ref="E105:E106"/>
    <mergeCell ref="G105:H106"/>
    <mergeCell ref="F79:H79"/>
    <mergeCell ref="F84:H84"/>
    <mergeCell ref="F87:H87"/>
    <mergeCell ref="C94:D94"/>
    <mergeCell ref="D59:H59"/>
    <mergeCell ref="A42:D42"/>
    <mergeCell ref="E42:H42"/>
    <mergeCell ref="E43:H43"/>
    <mergeCell ref="E44:H44"/>
    <mergeCell ref="E45:H45"/>
    <mergeCell ref="A43:D43"/>
    <mergeCell ref="A47:B47"/>
    <mergeCell ref="C47:H47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1:C61"/>
    <mergeCell ref="D61:H61"/>
    <mergeCell ref="A64:C64"/>
    <mergeCell ref="D64:H64"/>
    <mergeCell ref="A197:H200"/>
    <mergeCell ref="A196:B196"/>
    <mergeCell ref="E196:F196"/>
    <mergeCell ref="C196:D196"/>
    <mergeCell ref="G196:H196"/>
    <mergeCell ref="A93:H93"/>
    <mergeCell ref="A91:E91"/>
    <mergeCell ref="F91:H91"/>
    <mergeCell ref="A92:E92"/>
    <mergeCell ref="F92:H92"/>
    <mergeCell ref="A100:B100"/>
    <mergeCell ref="A95:B95"/>
    <mergeCell ref="A192:H192"/>
    <mergeCell ref="A98:H98"/>
    <mergeCell ref="A195:H195"/>
    <mergeCell ref="A193:H193"/>
    <mergeCell ref="E69:F78"/>
    <mergeCell ref="G69:H78"/>
    <mergeCell ref="A77:B77"/>
    <mergeCell ref="A78:B78"/>
    <mergeCell ref="A62:C62"/>
    <mergeCell ref="D62:H62"/>
    <mergeCell ref="A63:C63"/>
    <mergeCell ref="D63:H63"/>
    <mergeCell ref="B188:H188"/>
    <mergeCell ref="B186:H186"/>
    <mergeCell ref="B184:H184"/>
    <mergeCell ref="A189:H189"/>
    <mergeCell ref="A190:H190"/>
    <mergeCell ref="E99:F99"/>
    <mergeCell ref="B187:H187"/>
    <mergeCell ref="G110:H110"/>
    <mergeCell ref="G108:H108"/>
    <mergeCell ref="G109:H109"/>
    <mergeCell ref="G111:H111"/>
    <mergeCell ref="B185:H185"/>
    <mergeCell ref="B181:H181"/>
    <mergeCell ref="A103:H103"/>
    <mergeCell ref="A72:B72"/>
    <mergeCell ref="E68:F68"/>
    <mergeCell ref="A75:B75"/>
    <mergeCell ref="A68:B68"/>
    <mergeCell ref="A71:B71"/>
    <mergeCell ref="A67:B67"/>
    <mergeCell ref="A69:B69"/>
    <mergeCell ref="G68:H68"/>
    <mergeCell ref="A59:C59"/>
    <mergeCell ref="A16:B16"/>
    <mergeCell ref="C16:H16"/>
    <mergeCell ref="E41:H41"/>
    <mergeCell ref="A41:D41"/>
    <mergeCell ref="A194:H194"/>
    <mergeCell ref="A191:H191"/>
    <mergeCell ref="A99:B99"/>
    <mergeCell ref="D125:D126"/>
    <mergeCell ref="E125:E126"/>
    <mergeCell ref="G125:H126"/>
    <mergeCell ref="A74:B74"/>
    <mergeCell ref="F80:H80"/>
    <mergeCell ref="G95:H95"/>
    <mergeCell ref="A48:B48"/>
    <mergeCell ref="C48:E48"/>
    <mergeCell ref="A127:H127"/>
    <mergeCell ref="G131:H131"/>
    <mergeCell ref="B179:H179"/>
    <mergeCell ref="B180:H180"/>
    <mergeCell ref="A96:B96"/>
    <mergeCell ref="G48:H48"/>
    <mergeCell ref="A134:H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39:B139"/>
    <mergeCell ref="G139:H139"/>
    <mergeCell ref="L139:M139"/>
    <mergeCell ref="A140:B140"/>
    <mergeCell ref="G140:H140"/>
    <mergeCell ref="L140:M140"/>
    <mergeCell ref="A141:H141"/>
    <mergeCell ref="A142:B142"/>
    <mergeCell ref="G142:H142"/>
    <mergeCell ref="L142:M142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A148:H148"/>
    <mergeCell ref="A149:B149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A152:B152"/>
    <mergeCell ref="G152:H152"/>
    <mergeCell ref="L152:M152"/>
    <mergeCell ref="A153:B153"/>
    <mergeCell ref="G153:H153"/>
    <mergeCell ref="L153:M153"/>
    <mergeCell ref="A154:B154"/>
    <mergeCell ref="G154:H154"/>
    <mergeCell ref="L154:M154"/>
    <mergeCell ref="A158:H158"/>
    <mergeCell ref="A159:B159"/>
    <mergeCell ref="G159:H159"/>
    <mergeCell ref="L159:M159"/>
    <mergeCell ref="A160:B160"/>
    <mergeCell ref="G160:H160"/>
    <mergeCell ref="L160:M160"/>
    <mergeCell ref="A161:B161"/>
    <mergeCell ref="G161:H161"/>
    <mergeCell ref="L161:M161"/>
    <mergeCell ref="A162:B162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C163:F163"/>
    <mergeCell ref="G170:H170"/>
    <mergeCell ref="L170:M170"/>
    <mergeCell ref="A171:B171"/>
    <mergeCell ref="G171:H171"/>
    <mergeCell ref="L171:M171"/>
    <mergeCell ref="C169:F171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A168:H168"/>
    <mergeCell ref="A169:B169"/>
    <mergeCell ref="G169:H169"/>
    <mergeCell ref="L169:M169"/>
    <mergeCell ref="A170:B170"/>
    <mergeCell ref="A175:B175"/>
    <mergeCell ref="G175:H175"/>
    <mergeCell ref="L175:M175"/>
    <mergeCell ref="A176:B176"/>
    <mergeCell ref="G176:H176"/>
    <mergeCell ref="L176:M176"/>
    <mergeCell ref="A177:B177"/>
    <mergeCell ref="G177:H177"/>
    <mergeCell ref="L177:M177"/>
    <mergeCell ref="A172:B172"/>
    <mergeCell ref="G172:H172"/>
    <mergeCell ref="L172:M172"/>
    <mergeCell ref="A173:B173"/>
    <mergeCell ref="G173:H173"/>
    <mergeCell ref="L173:M173"/>
    <mergeCell ref="A174:B174"/>
    <mergeCell ref="G174:H174"/>
    <mergeCell ref="L174:M17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0" max="16383" man="1"/>
    <brk id="242" max="16383" man="1"/>
    <brk id="28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2" t="s">
        <v>113</v>
      </c>
      <c r="C3" s="182"/>
      <c r="D3" s="182"/>
      <c r="E3" s="182"/>
      <c r="F3" s="182"/>
      <c r="G3" s="182"/>
      <c r="H3" s="182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2025-08-19T13:44:49Z</cp:lastPrinted>
  <dcterms:created xsi:type="dcterms:W3CDTF">2019-07-16T09:29:46Z</dcterms:created>
  <dcterms:modified xsi:type="dcterms:W3CDTF">2025-08-19T13:45:02Z</dcterms:modified>
</cp:coreProperties>
</file>