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prani\Downloads\19.08\"/>
    </mc:Choice>
  </mc:AlternateContent>
  <xr:revisionPtr revIDLastSave="0" documentId="13_ncr:1_{9AAB811C-C2A3-4D55-A6D1-F7591BA94691}" xr6:coauthVersionLast="47" xr6:coauthVersionMax="47" xr10:uidLastSave="{00000000-0000-0000-0000-000000000000}"/>
  <bookViews>
    <workbookView xWindow="-108" yWindow="-108" windowWidth="23256" windowHeight="12456" xr2:uid="{00000000-000D-0000-FFFF-FFFF00000000}"/>
  </bookViews>
  <sheets>
    <sheet name="Table 1" sheetId="1" r:id="rId1"/>
    <sheet name="Note" sheetId="5" r:id="rId2"/>
    <sheet name="A" sheetId="2" r:id="rId3"/>
    <sheet name="B" sheetId="3" r:id="rId4"/>
    <sheet name="C" sheetId="4" r:id="rId5"/>
  </sheets>
  <definedNames>
    <definedName name="_xlnm.Print_Area" localSheetId="0">'Table 1'!$A$1:$G$449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L81" i="1" l="1"/>
  <c r="J81" i="1"/>
  <c r="L80" i="1"/>
  <c r="J80" i="1"/>
  <c r="L79" i="1"/>
  <c r="J79" i="1"/>
  <c r="L78" i="1"/>
  <c r="J78" i="1"/>
  <c r="L76" i="1"/>
  <c r="L77" i="1" s="1"/>
  <c r="L82" i="1" s="1"/>
  <c r="L83" i="1" s="1"/>
  <c r="L75" i="1"/>
  <c r="L74" i="1"/>
  <c r="L73" i="1"/>
  <c r="H71" i="1"/>
  <c r="D83" i="1" l="1"/>
  <c r="D81" i="1"/>
  <c r="D79" i="1"/>
  <c r="D77" i="1"/>
  <c r="J76" i="1"/>
  <c r="J77" i="1" s="1"/>
  <c r="J82" i="1" s="1"/>
  <c r="J83" i="1" s="1"/>
  <c r="C75" i="1" s="1"/>
  <c r="D82" i="1"/>
  <c r="D80" i="1"/>
  <c r="D78" i="1"/>
  <c r="D76" i="1"/>
  <c r="J75" i="1"/>
  <c r="C74" i="1" s="1"/>
  <c r="D74" i="1" s="1"/>
  <c r="J74" i="1"/>
  <c r="J73" i="1"/>
  <c r="L175" i="1"/>
  <c r="L181" i="1"/>
  <c r="L191" i="1"/>
  <c r="E74" i="1" l="1"/>
  <c r="I70" i="1" s="1"/>
  <c r="C72" i="1" s="1"/>
  <c r="D75" i="1"/>
  <c r="G74" i="1"/>
  <c r="K70" i="1"/>
  <c r="M173" i="1"/>
  <c r="D332" i="1"/>
  <c r="D331" i="1"/>
  <c r="D330" i="1"/>
  <c r="C334" i="1"/>
  <c r="E334" i="1" s="1"/>
  <c r="C333" i="1"/>
  <c r="E333" i="1" s="1"/>
  <c r="C332" i="1"/>
  <c r="C331" i="1"/>
  <c r="C330" i="1"/>
  <c r="C329" i="1"/>
  <c r="C341" i="1"/>
  <c r="E341" i="1" s="1"/>
  <c r="C340" i="1"/>
  <c r="E340" i="1" s="1"/>
  <c r="C339" i="1"/>
  <c r="E339" i="1" s="1"/>
  <c r="C338" i="1"/>
  <c r="E338" i="1" s="1"/>
  <c r="H338" i="1" s="1"/>
  <c r="C337" i="1"/>
  <c r="E337" i="1" s="1"/>
  <c r="C336" i="1"/>
  <c r="E336" i="1" s="1"/>
  <c r="C347" i="1"/>
  <c r="E347" i="1" s="1"/>
  <c r="C346" i="1"/>
  <c r="E346" i="1" s="1"/>
  <c r="C345" i="1"/>
  <c r="E345" i="1" s="1"/>
  <c r="H345" i="1" s="1"/>
  <c r="C344" i="1"/>
  <c r="E344" i="1" s="1"/>
  <c r="C343" i="1"/>
  <c r="E343" i="1" s="1"/>
  <c r="C327" i="1"/>
  <c r="E327" i="1" s="1"/>
  <c r="C326" i="1"/>
  <c r="E326" i="1" s="1"/>
  <c r="C325" i="1"/>
  <c r="E325" i="1" s="1"/>
  <c r="C324" i="1"/>
  <c r="E324" i="1" s="1"/>
  <c r="C323" i="1"/>
  <c r="E323" i="1" s="1"/>
  <c r="C322" i="1"/>
  <c r="E322" i="1" s="1"/>
  <c r="C321" i="1"/>
  <c r="E321" i="1" s="1"/>
  <c r="C320" i="1"/>
  <c r="E320" i="1" s="1"/>
  <c r="C319" i="1"/>
  <c r="E319" i="1" s="1"/>
  <c r="J344" i="1"/>
  <c r="G343" i="1"/>
  <c r="J337" i="1"/>
  <c r="G336" i="1"/>
  <c r="J330" i="1"/>
  <c r="G329" i="1"/>
  <c r="J322" i="1"/>
  <c r="J319" i="1"/>
  <c r="G319" i="1"/>
  <c r="C315" i="1"/>
  <c r="E315" i="1" s="1"/>
  <c r="C314" i="1"/>
  <c r="E314" i="1" s="1"/>
  <c r="C313" i="1"/>
  <c r="E313" i="1" s="1"/>
  <c r="H313" i="1" s="1"/>
  <c r="C312" i="1"/>
  <c r="E312" i="1" s="1"/>
  <c r="C311" i="1"/>
  <c r="E311" i="1" s="1"/>
  <c r="C309" i="1"/>
  <c r="E309" i="1" s="1"/>
  <c r="C308" i="1"/>
  <c r="E308" i="1" s="1"/>
  <c r="C307" i="1"/>
  <c r="E307" i="1" s="1"/>
  <c r="H307" i="1" s="1"/>
  <c r="D306" i="1"/>
  <c r="C306" i="1"/>
  <c r="D305" i="1"/>
  <c r="C305" i="1"/>
  <c r="C303" i="1"/>
  <c r="E303" i="1" s="1"/>
  <c r="C302" i="1"/>
  <c r="E302" i="1" s="1"/>
  <c r="C301" i="1"/>
  <c r="E301" i="1" s="1"/>
  <c r="C300" i="1"/>
  <c r="E300" i="1" s="1"/>
  <c r="C299" i="1"/>
  <c r="E299" i="1" s="1"/>
  <c r="C298" i="1"/>
  <c r="J312" i="1"/>
  <c r="G311" i="1"/>
  <c r="G291" i="1"/>
  <c r="G305" i="1"/>
  <c r="J306" i="1"/>
  <c r="J301" i="1"/>
  <c r="J298" i="1"/>
  <c r="G298" i="1"/>
  <c r="C294" i="1"/>
  <c r="C293" i="1"/>
  <c r="C292" i="1"/>
  <c r="C291" i="1"/>
  <c r="E291" i="1" s="1"/>
  <c r="C289" i="1"/>
  <c r="E289" i="1" s="1"/>
  <c r="C288" i="1"/>
  <c r="E288" i="1" s="1"/>
  <c r="C287" i="1"/>
  <c r="E287" i="1" s="1"/>
  <c r="C286" i="1"/>
  <c r="E286" i="1" s="1"/>
  <c r="C285" i="1"/>
  <c r="E293" i="1"/>
  <c r="H293" i="1" s="1"/>
  <c r="G285" i="1"/>
  <c r="G274" i="1"/>
  <c r="G266" i="1"/>
  <c r="G258" i="1"/>
  <c r="G245" i="1"/>
  <c r="G235" i="1"/>
  <c r="G226" i="1"/>
  <c r="G217" i="1"/>
  <c r="G210" i="1"/>
  <c r="G200" i="1"/>
  <c r="G191" i="1"/>
  <c r="G182" i="1"/>
  <c r="G175" i="1"/>
  <c r="J292" i="1"/>
  <c r="J288" i="1"/>
  <c r="J285" i="1"/>
  <c r="D280" i="1"/>
  <c r="C280" i="1"/>
  <c r="D279" i="1"/>
  <c r="C279" i="1"/>
  <c r="D278" i="1"/>
  <c r="C278" i="1"/>
  <c r="D277" i="1"/>
  <c r="C277" i="1"/>
  <c r="D276" i="1"/>
  <c r="C276" i="1"/>
  <c r="D275" i="1"/>
  <c r="C275" i="1"/>
  <c r="D274" i="1"/>
  <c r="C274" i="1"/>
  <c r="D272" i="1"/>
  <c r="D271" i="1"/>
  <c r="D270" i="1"/>
  <c r="D269" i="1"/>
  <c r="D267" i="1"/>
  <c r="C272" i="1"/>
  <c r="C271" i="1"/>
  <c r="C270" i="1"/>
  <c r="C269" i="1"/>
  <c r="C268" i="1"/>
  <c r="C267" i="1"/>
  <c r="C266" i="1"/>
  <c r="E266" i="1" s="1"/>
  <c r="D264" i="1"/>
  <c r="D263" i="1"/>
  <c r="D262" i="1"/>
  <c r="D261" i="1"/>
  <c r="D260" i="1"/>
  <c r="D259" i="1"/>
  <c r="D258" i="1"/>
  <c r="C264" i="1"/>
  <c r="C263" i="1"/>
  <c r="C262" i="1"/>
  <c r="C261" i="1"/>
  <c r="C260" i="1"/>
  <c r="C259" i="1"/>
  <c r="C258" i="1"/>
  <c r="C256" i="1"/>
  <c r="E256" i="1" s="1"/>
  <c r="C255" i="1"/>
  <c r="E255" i="1" s="1"/>
  <c r="C254" i="1"/>
  <c r="E254" i="1" s="1"/>
  <c r="C253" i="1"/>
  <c r="E253" i="1" s="1"/>
  <c r="C252" i="1"/>
  <c r="E252" i="1" s="1"/>
  <c r="C251" i="1"/>
  <c r="E251" i="1" s="1"/>
  <c r="C250" i="1"/>
  <c r="E250" i="1" s="1"/>
  <c r="C249" i="1"/>
  <c r="E249" i="1" s="1"/>
  <c r="C248" i="1"/>
  <c r="E248" i="1" s="1"/>
  <c r="C247" i="1"/>
  <c r="E247" i="1" s="1"/>
  <c r="C246" i="1"/>
  <c r="E246" i="1" s="1"/>
  <c r="C245" i="1"/>
  <c r="J254" i="1"/>
  <c r="J251" i="1"/>
  <c r="J259" i="1"/>
  <c r="J248" i="1"/>
  <c r="J245" i="1"/>
  <c r="C241" i="1"/>
  <c r="C240" i="1"/>
  <c r="C239" i="1"/>
  <c r="E239" i="1" s="1"/>
  <c r="C238" i="1"/>
  <c r="C237" i="1"/>
  <c r="C236" i="1"/>
  <c r="E236" i="1" s="1"/>
  <c r="C235" i="1"/>
  <c r="E235" i="1" s="1"/>
  <c r="C206" i="1"/>
  <c r="E206" i="1" s="1"/>
  <c r="C205" i="1"/>
  <c r="E205" i="1" s="1"/>
  <c r="C204" i="1"/>
  <c r="E204" i="1" s="1"/>
  <c r="C203" i="1"/>
  <c r="E203" i="1" s="1"/>
  <c r="C202" i="1"/>
  <c r="E202" i="1" s="1"/>
  <c r="D201" i="1"/>
  <c r="C201" i="1"/>
  <c r="D200" i="1"/>
  <c r="C200" i="1"/>
  <c r="C233" i="1"/>
  <c r="E233" i="1" s="1"/>
  <c r="D232" i="1"/>
  <c r="C232" i="1"/>
  <c r="D231" i="1"/>
  <c r="C231" i="1"/>
  <c r="C230" i="1"/>
  <c r="E230" i="1" s="1"/>
  <c r="D229" i="1"/>
  <c r="C229" i="1"/>
  <c r="D228" i="1"/>
  <c r="E228" i="1" s="1"/>
  <c r="C227" i="1"/>
  <c r="E227" i="1" s="1"/>
  <c r="C226" i="1"/>
  <c r="E226" i="1" s="1"/>
  <c r="D218" i="1"/>
  <c r="D219" i="1"/>
  <c r="D220" i="1"/>
  <c r="D221" i="1"/>
  <c r="D222" i="1"/>
  <c r="D223" i="1"/>
  <c r="C210" i="1"/>
  <c r="C211" i="1"/>
  <c r="E211" i="1" s="1"/>
  <c r="C212" i="1"/>
  <c r="E212" i="1" s="1"/>
  <c r="C213" i="1"/>
  <c r="E213" i="1" s="1"/>
  <c r="C214" i="1"/>
  <c r="E214" i="1" s="1"/>
  <c r="C215" i="1"/>
  <c r="E215" i="1" s="1"/>
  <c r="C198" i="1"/>
  <c r="E198" i="1" s="1"/>
  <c r="C197" i="1"/>
  <c r="E197" i="1" s="1"/>
  <c r="D196" i="1"/>
  <c r="C196" i="1"/>
  <c r="D195" i="1"/>
  <c r="C195" i="1"/>
  <c r="C194" i="1"/>
  <c r="E194" i="1" s="1"/>
  <c r="D193" i="1"/>
  <c r="C193" i="1"/>
  <c r="D192" i="1"/>
  <c r="C192" i="1"/>
  <c r="C191" i="1"/>
  <c r="E191" i="1" s="1"/>
  <c r="C189" i="1"/>
  <c r="E189" i="1" s="1"/>
  <c r="D188" i="1"/>
  <c r="C188" i="1"/>
  <c r="D187" i="1"/>
  <c r="C187" i="1"/>
  <c r="D186" i="1"/>
  <c r="C186" i="1"/>
  <c r="D185" i="1"/>
  <c r="C185" i="1"/>
  <c r="D184" i="1"/>
  <c r="C184" i="1"/>
  <c r="D183" i="1"/>
  <c r="C183" i="1"/>
  <c r="C182" i="1"/>
  <c r="E182" i="1" s="1"/>
  <c r="C180" i="1"/>
  <c r="E180" i="1" s="1"/>
  <c r="I180" i="1" s="1"/>
  <c r="C179" i="1"/>
  <c r="E179" i="1" s="1"/>
  <c r="C178" i="1"/>
  <c r="E178" i="1" s="1"/>
  <c r="C177" i="1"/>
  <c r="E177" i="1" s="1"/>
  <c r="C176" i="1"/>
  <c r="E176" i="1" s="1"/>
  <c r="C175" i="1"/>
  <c r="D241" i="1"/>
  <c r="D240" i="1"/>
  <c r="D238" i="1"/>
  <c r="D237" i="1"/>
  <c r="C224" i="1"/>
  <c r="E224" i="1" s="1"/>
  <c r="C223" i="1"/>
  <c r="C222" i="1"/>
  <c r="C221" i="1"/>
  <c r="E221" i="1" s="1"/>
  <c r="C220" i="1"/>
  <c r="C219" i="1"/>
  <c r="C218" i="1"/>
  <c r="C217" i="1"/>
  <c r="E217" i="1" s="1"/>
  <c r="J183" i="1"/>
  <c r="J213" i="1"/>
  <c r="J210" i="1"/>
  <c r="J178" i="1"/>
  <c r="J175" i="1"/>
  <c r="F45" i="1"/>
  <c r="B45" i="1"/>
  <c r="L141" i="1"/>
  <c r="J141" i="1"/>
  <c r="L140" i="1"/>
  <c r="J140" i="1"/>
  <c r="L139" i="1"/>
  <c r="J139" i="1"/>
  <c r="L138" i="1"/>
  <c r="J138" i="1"/>
  <c r="L136" i="1"/>
  <c r="L137" i="1" s="1"/>
  <c r="L142" i="1" s="1"/>
  <c r="L143" i="1" s="1"/>
  <c r="L135" i="1"/>
  <c r="L134" i="1"/>
  <c r="L133" i="1"/>
  <c r="L127" i="1"/>
  <c r="J127" i="1"/>
  <c r="L126" i="1"/>
  <c r="J126" i="1"/>
  <c r="L125" i="1"/>
  <c r="J125" i="1"/>
  <c r="L124" i="1"/>
  <c r="J124" i="1"/>
  <c r="L122" i="1"/>
  <c r="L123" i="1" s="1"/>
  <c r="L128" i="1" s="1"/>
  <c r="L129" i="1" s="1"/>
  <c r="L121" i="1"/>
  <c r="L120" i="1"/>
  <c r="L119" i="1"/>
  <c r="L113" i="1"/>
  <c r="J113" i="1"/>
  <c r="L112" i="1"/>
  <c r="J112" i="1"/>
  <c r="L111" i="1"/>
  <c r="J111" i="1"/>
  <c r="L110" i="1"/>
  <c r="J110" i="1"/>
  <c r="L108" i="1"/>
  <c r="L109" i="1" s="1"/>
  <c r="L114" i="1" s="1"/>
  <c r="L115" i="1" s="1"/>
  <c r="L107" i="1"/>
  <c r="L106" i="1"/>
  <c r="L105" i="1"/>
  <c r="L97" i="1"/>
  <c r="J97" i="1"/>
  <c r="L96" i="1"/>
  <c r="J96" i="1"/>
  <c r="L95" i="1"/>
  <c r="J95" i="1"/>
  <c r="L94" i="1"/>
  <c r="J94" i="1"/>
  <c r="L92" i="1"/>
  <c r="L93" i="1" s="1"/>
  <c r="L98" i="1" s="1"/>
  <c r="L99" i="1" s="1"/>
  <c r="L91" i="1"/>
  <c r="L90" i="1"/>
  <c r="L89" i="1"/>
  <c r="J67" i="1"/>
  <c r="J66" i="1"/>
  <c r="J65" i="1"/>
  <c r="J64" i="1"/>
  <c r="L67" i="1"/>
  <c r="L66" i="1"/>
  <c r="L65" i="1"/>
  <c r="L64" i="1"/>
  <c r="H131" i="1"/>
  <c r="H103" i="1"/>
  <c r="H117" i="1"/>
  <c r="H57" i="1"/>
  <c r="H87" i="1"/>
  <c r="C166" i="1" l="1"/>
  <c r="E331" i="1"/>
  <c r="H331" i="1" s="1"/>
  <c r="C165" i="1"/>
  <c r="C163" i="1"/>
  <c r="C167" i="1"/>
  <c r="C162" i="1"/>
  <c r="C164" i="1"/>
  <c r="E175" i="1"/>
  <c r="E162" i="1"/>
  <c r="E210" i="1"/>
  <c r="E163" i="1"/>
  <c r="E245" i="1"/>
  <c r="G156" i="1" s="1"/>
  <c r="C156" i="1"/>
  <c r="E156" i="1"/>
  <c r="E164" i="1"/>
  <c r="G158" i="1"/>
  <c r="E285" i="1"/>
  <c r="E165" i="1"/>
  <c r="E158" i="1"/>
  <c r="C158" i="1"/>
  <c r="E167" i="1"/>
  <c r="E298" i="1"/>
  <c r="G157" i="1" s="1"/>
  <c r="C157" i="1"/>
  <c r="E157" i="1"/>
  <c r="E305" i="1"/>
  <c r="E166" i="1"/>
  <c r="E259" i="1"/>
  <c r="E260" i="1"/>
  <c r="H260" i="1" s="1"/>
  <c r="E332" i="1"/>
  <c r="E262" i="1"/>
  <c r="E306" i="1"/>
  <c r="E330" i="1"/>
  <c r="E261" i="1"/>
  <c r="E329" i="1"/>
  <c r="E270" i="1"/>
  <c r="E276" i="1"/>
  <c r="E280" i="1"/>
  <c r="E277" i="1"/>
  <c r="E279" i="1"/>
  <c r="E292" i="1"/>
  <c r="E294" i="1"/>
  <c r="E264" i="1"/>
  <c r="E271" i="1"/>
  <c r="E278" i="1"/>
  <c r="E272" i="1"/>
  <c r="E269" i="1"/>
  <c r="E263" i="1"/>
  <c r="E195" i="1"/>
  <c r="E258" i="1"/>
  <c r="E274" i="1"/>
  <c r="E196" i="1"/>
  <c r="E232" i="1"/>
  <c r="E268" i="1"/>
  <c r="E220" i="1"/>
  <c r="E183" i="1"/>
  <c r="E185" i="1"/>
  <c r="E187" i="1"/>
  <c r="E193" i="1"/>
  <c r="E229" i="1"/>
  <c r="E231" i="1"/>
  <c r="E267" i="1"/>
  <c r="E275" i="1"/>
  <c r="E218" i="1"/>
  <c r="E200" i="1"/>
  <c r="E219" i="1"/>
  <c r="H219" i="1" s="1"/>
  <c r="E223" i="1"/>
  <c r="E184" i="1"/>
  <c r="H184" i="1" s="1"/>
  <c r="E186" i="1"/>
  <c r="E188" i="1"/>
  <c r="E192" i="1"/>
  <c r="E201" i="1"/>
  <c r="E240" i="1"/>
  <c r="E222" i="1"/>
  <c r="E237" i="1"/>
  <c r="E241" i="1"/>
  <c r="E238" i="1"/>
  <c r="D141" i="1"/>
  <c r="D137" i="1"/>
  <c r="D142" i="1"/>
  <c r="D138" i="1"/>
  <c r="J135" i="1"/>
  <c r="J134" i="1"/>
  <c r="J133" i="1"/>
  <c r="D143" i="1"/>
  <c r="D139" i="1"/>
  <c r="J136" i="1"/>
  <c r="J137" i="1" s="1"/>
  <c r="J142" i="1" s="1"/>
  <c r="D140" i="1"/>
  <c r="D136" i="1"/>
  <c r="D127" i="1"/>
  <c r="D123" i="1"/>
  <c r="D128" i="1"/>
  <c r="D124" i="1"/>
  <c r="J121" i="1"/>
  <c r="C120" i="1" s="1"/>
  <c r="J120" i="1"/>
  <c r="D129" i="1"/>
  <c r="D125" i="1"/>
  <c r="J122" i="1"/>
  <c r="D126" i="1"/>
  <c r="D122" i="1"/>
  <c r="J119" i="1"/>
  <c r="D113" i="1"/>
  <c r="D109" i="1"/>
  <c r="D114" i="1"/>
  <c r="D110" i="1"/>
  <c r="J107" i="1"/>
  <c r="J106" i="1"/>
  <c r="D115" i="1"/>
  <c r="D111" i="1"/>
  <c r="J108" i="1"/>
  <c r="D112" i="1"/>
  <c r="D108" i="1"/>
  <c r="J105" i="1"/>
  <c r="D97" i="1"/>
  <c r="D93" i="1"/>
  <c r="D92" i="1"/>
  <c r="J89" i="1"/>
  <c r="D98" i="1"/>
  <c r="D94" i="1"/>
  <c r="D96" i="1"/>
  <c r="D99" i="1"/>
  <c r="D95" i="1"/>
  <c r="J92" i="1"/>
  <c r="J93" i="1" s="1"/>
  <c r="J98" i="1" s="1"/>
  <c r="J99" i="1" s="1"/>
  <c r="C91" i="1" s="1"/>
  <c r="J91" i="1"/>
  <c r="C90" i="1" s="1"/>
  <c r="D90" i="1" s="1"/>
  <c r="J90" i="1"/>
  <c r="D69" i="1"/>
  <c r="D67" i="1"/>
  <c r="D65" i="1"/>
  <c r="D63" i="1"/>
  <c r="J61" i="1"/>
  <c r="C60" i="1" s="1"/>
  <c r="D60" i="1" s="1"/>
  <c r="J59" i="1"/>
  <c r="D62" i="1"/>
  <c r="J60" i="1"/>
  <c r="J62" i="1"/>
  <c r="J63" i="1" s="1"/>
  <c r="J68" i="1" s="1"/>
  <c r="J69" i="1" s="1"/>
  <c r="C61" i="1" s="1"/>
  <c r="E60" i="1" s="1"/>
  <c r="D68" i="1"/>
  <c r="D66" i="1"/>
  <c r="D64" i="1"/>
  <c r="L61" i="1"/>
  <c r="L59" i="1"/>
  <c r="L62" i="1"/>
  <c r="L63" i="1" s="1"/>
  <c r="L68" i="1" s="1"/>
  <c r="L69" i="1" s="1"/>
  <c r="L60" i="1"/>
  <c r="J123" i="1" l="1"/>
  <c r="J109" i="1"/>
  <c r="J114" i="1" s="1"/>
  <c r="J115" i="1" s="1"/>
  <c r="C107" i="1" s="1"/>
  <c r="E106" i="1" s="1"/>
  <c r="J143" i="1"/>
  <c r="E134" i="1"/>
  <c r="C134" i="1"/>
  <c r="D134" i="1" s="1"/>
  <c r="G167" i="1"/>
  <c r="E159" i="1"/>
  <c r="C168" i="1"/>
  <c r="C159" i="1"/>
  <c r="G159" i="1"/>
  <c r="G164" i="1"/>
  <c r="G166" i="1"/>
  <c r="G163" i="1"/>
  <c r="E168" i="1"/>
  <c r="G165" i="1"/>
  <c r="G162" i="1"/>
  <c r="D120" i="1"/>
  <c r="D106" i="1"/>
  <c r="E90" i="1"/>
  <c r="I86" i="1" s="1"/>
  <c r="C88" i="1" s="1"/>
  <c r="D91" i="1"/>
  <c r="G90" i="1"/>
  <c r="K86" i="1"/>
  <c r="I56" i="1"/>
  <c r="C58" i="1" s="1"/>
  <c r="D61" i="1"/>
  <c r="G60" i="1"/>
  <c r="K56" i="1"/>
  <c r="J128" i="1" l="1"/>
  <c r="J129" i="1" s="1"/>
  <c r="C121" i="1" s="1"/>
  <c r="K116" i="1" s="1"/>
  <c r="K159" i="1"/>
  <c r="G106" i="1"/>
  <c r="K102" i="1"/>
  <c r="D107" i="1"/>
  <c r="D135" i="1"/>
  <c r="K130" i="1"/>
  <c r="G134" i="1"/>
  <c r="I130" i="1"/>
  <c r="C132" i="1" s="1"/>
  <c r="G168" i="1"/>
  <c r="J159" i="1" s="1"/>
  <c r="I102" i="1"/>
  <c r="C104" i="1" s="1"/>
  <c r="G15" i="4"/>
  <c r="G16" i="4" s="1"/>
  <c r="C15" i="4" s="1"/>
  <c r="B12" i="4"/>
  <c r="M16" i="4" s="1"/>
  <c r="C21" i="4" s="1"/>
  <c r="B11" i="4"/>
  <c r="L15" i="4" s="1"/>
  <c r="B20" i="4" s="1"/>
  <c r="B10" i="4"/>
  <c r="K16" i="4" s="1"/>
  <c r="C19" i="4" s="1"/>
  <c r="B9" i="4"/>
  <c r="J15" i="4" s="1"/>
  <c r="B18" i="4" s="1"/>
  <c r="B8" i="4"/>
  <c r="I16" i="4" s="1"/>
  <c r="C17" i="4" s="1"/>
  <c r="B7" i="4"/>
  <c r="H15" i="4" s="1"/>
  <c r="B16" i="4" s="1"/>
  <c r="D6" i="4"/>
  <c r="G15" i="3"/>
  <c r="G16" i="3" s="1"/>
  <c r="C15" i="3" s="1"/>
  <c r="B12" i="3"/>
  <c r="M16" i="3" s="1"/>
  <c r="C21" i="3" s="1"/>
  <c r="B11" i="3"/>
  <c r="L15" i="3" s="1"/>
  <c r="B20" i="3" s="1"/>
  <c r="B10" i="3"/>
  <c r="K16" i="3" s="1"/>
  <c r="C19" i="3" s="1"/>
  <c r="B9" i="3"/>
  <c r="J15" i="3" s="1"/>
  <c r="B18" i="3" s="1"/>
  <c r="B8" i="3"/>
  <c r="I16" i="3" s="1"/>
  <c r="C17" i="3" s="1"/>
  <c r="B7" i="3"/>
  <c r="H15" i="3" s="1"/>
  <c r="B16" i="3" s="1"/>
  <c r="D6" i="3"/>
  <c r="G15" i="2"/>
  <c r="G16" i="2" s="1"/>
  <c r="C15" i="2" s="1"/>
  <c r="B12" i="2"/>
  <c r="M15" i="2" s="1"/>
  <c r="B21" i="2" s="1"/>
  <c r="B11" i="2"/>
  <c r="L16" i="2" s="1"/>
  <c r="C20" i="2" s="1"/>
  <c r="B10" i="2"/>
  <c r="K15" i="2" s="1"/>
  <c r="B19" i="2" s="1"/>
  <c r="B9" i="2"/>
  <c r="D9" i="2" s="1"/>
  <c r="B8" i="2"/>
  <c r="I16" i="2" s="1"/>
  <c r="C17" i="2" s="1"/>
  <c r="D6" i="2"/>
  <c r="B7" i="2"/>
  <c r="H16" i="2" s="1"/>
  <c r="C16" i="2" s="1"/>
  <c r="D121" i="1" l="1"/>
  <c r="G120" i="1"/>
  <c r="E120" i="1"/>
  <c r="I116" i="1" s="1"/>
  <c r="C118" i="1" s="1"/>
  <c r="B15" i="4"/>
  <c r="J16" i="2"/>
  <c r="C18" i="2" s="1"/>
  <c r="K16" i="2"/>
  <c r="C19" i="2" s="1"/>
  <c r="B15" i="2"/>
  <c r="D12" i="2"/>
  <c r="D10" i="2"/>
  <c r="D8" i="2"/>
  <c r="J15" i="2"/>
  <c r="B18" i="2" s="1"/>
  <c r="D7" i="2"/>
  <c r="B15" i="3"/>
  <c r="M16" i="2"/>
  <c r="C21" i="2" s="1"/>
  <c r="D11" i="2"/>
  <c r="I15" i="2"/>
  <c r="B17" i="2" s="1"/>
  <c r="L15" i="2"/>
  <c r="B20" i="2" s="1"/>
  <c r="H15" i="2"/>
  <c r="B16" i="2" s="1"/>
  <c r="I15" i="4"/>
  <c r="B17" i="4" s="1"/>
  <c r="K15" i="4"/>
  <c r="B19" i="4" s="1"/>
  <c r="M15" i="4"/>
  <c r="B21" i="4" s="1"/>
  <c r="H16" i="4"/>
  <c r="C16" i="4" s="1"/>
  <c r="J16" i="4"/>
  <c r="C18" i="4" s="1"/>
  <c r="L16" i="4"/>
  <c r="C20" i="4" s="1"/>
  <c r="D7" i="4"/>
  <c r="D8" i="4"/>
  <c r="D9" i="4"/>
  <c r="D10" i="4"/>
  <c r="D11" i="4"/>
  <c r="D12" i="4"/>
  <c r="I15" i="3"/>
  <c r="B17" i="3" s="1"/>
  <c r="K15" i="3"/>
  <c r="B19" i="3" s="1"/>
  <c r="M15" i="3"/>
  <c r="B21" i="3" s="1"/>
  <c r="H16" i="3"/>
  <c r="C16" i="3" s="1"/>
  <c r="J16" i="3"/>
  <c r="C18" i="3" s="1"/>
  <c r="L16" i="3"/>
  <c r="C20" i="3" s="1"/>
  <c r="D7" i="3"/>
  <c r="D8" i="3"/>
  <c r="D9" i="3"/>
  <c r="D10" i="3"/>
  <c r="D11" i="3"/>
  <c r="D12" i="3"/>
  <c r="C22" i="2" l="1"/>
  <c r="B22" i="2"/>
  <c r="B22" i="3"/>
  <c r="B22" i="4"/>
  <c r="C22" i="3"/>
  <c r="C22" i="4"/>
</calcChain>
</file>

<file path=xl/sharedStrings.xml><?xml version="1.0" encoding="utf-8"?>
<sst xmlns="http://schemas.openxmlformats.org/spreadsheetml/2006/main" count="976" uniqueCount="268">
  <si>
    <r>
      <rPr>
        <b/>
        <sz val="11.5"/>
        <rFont val="Times New Roman"/>
        <family val="1"/>
      </rPr>
      <t>Valuation Report</t>
    </r>
  </si>
  <si>
    <r>
      <rPr>
        <sz val="11.5"/>
        <rFont val="Times New Roman"/>
        <family val="1"/>
      </rPr>
      <t>Date:</t>
    </r>
  </si>
  <si>
    <r>
      <rPr>
        <sz val="11.5"/>
        <rFont val="Times New Roman"/>
        <family val="1"/>
      </rPr>
      <t>CPC Name:</t>
    </r>
  </si>
  <si>
    <r>
      <rPr>
        <sz val="11.5"/>
        <rFont val="Times New Roman"/>
        <family val="1"/>
      </rPr>
      <t>Axis Sanpada</t>
    </r>
  </si>
  <si>
    <r>
      <rPr>
        <sz val="11.5"/>
        <rFont val="Times New Roman"/>
        <family val="1"/>
      </rPr>
      <t>Date Of Property Visit</t>
    </r>
  </si>
  <si>
    <r>
      <rPr>
        <sz val="11.5"/>
        <rFont val="Times New Roman"/>
        <family val="1"/>
      </rPr>
      <t>Name of the builder group</t>
    </r>
  </si>
  <si>
    <r>
      <rPr>
        <sz val="11.5"/>
        <rFont val="Times New Roman"/>
        <family val="1"/>
      </rPr>
      <t>Name of the builder company</t>
    </r>
  </si>
  <si>
    <r>
      <rPr>
        <sz val="11.5"/>
        <rFont val="Times New Roman"/>
        <family val="1"/>
      </rPr>
      <t>Name of the Project</t>
    </r>
  </si>
  <si>
    <r>
      <rPr>
        <sz val="11.5"/>
        <rFont val="Times New Roman"/>
        <family val="1"/>
      </rPr>
      <t>9321923523/9821923523</t>
    </r>
  </si>
  <si>
    <r>
      <rPr>
        <sz val="11.5"/>
        <rFont val="Times New Roman"/>
        <family val="1"/>
      </rPr>
      <t>Name / No of the Building</t>
    </r>
  </si>
  <si>
    <r>
      <rPr>
        <sz val="11.5"/>
        <rFont val="Times New Roman"/>
        <family val="1"/>
      </rPr>
      <t>Docouments Provided</t>
    </r>
  </si>
  <si>
    <r>
      <rPr>
        <sz val="11.5"/>
        <rFont val="Times New Roman"/>
        <family val="1"/>
      </rPr>
      <t>Approved Layout, Approved Building Plan, CC</t>
    </r>
  </si>
  <si>
    <r>
      <rPr>
        <sz val="11.5"/>
        <rFont val="Times New Roman"/>
        <family val="1"/>
      </rPr>
      <t>RERA No.</t>
    </r>
  </si>
  <si>
    <r>
      <rPr>
        <sz val="11.5"/>
        <rFont val="Times New Roman"/>
        <family val="1"/>
      </rPr>
      <t xml:space="preserve">1A, 1B, 2C - P51700023128
</t>
    </r>
    <r>
      <rPr>
        <sz val="11.5"/>
        <rFont val="Times New Roman"/>
        <family val="1"/>
      </rPr>
      <t>3D, 4E, 5F - P51700023217</t>
    </r>
  </si>
  <si>
    <r>
      <rPr>
        <sz val="11.5"/>
        <rFont val="Times New Roman"/>
        <family val="1"/>
      </rPr>
      <t>Project location details</t>
    </r>
  </si>
  <si>
    <r>
      <rPr>
        <sz val="11.5"/>
        <rFont val="Times New Roman"/>
        <family val="1"/>
      </rPr>
      <t>Kendale Emeralds, Survey No.69/1 &amp; 69/2/1, Village Belavli Katrap Road, Belavali, Badlapur, Ambernath, Thane.</t>
    </r>
  </si>
  <si>
    <r>
      <rPr>
        <sz val="11.5"/>
        <rFont val="Times New Roman"/>
        <family val="1"/>
      </rPr>
      <t>Survey No</t>
    </r>
  </si>
  <si>
    <r>
      <rPr>
        <sz val="11.5"/>
        <rFont val="Times New Roman"/>
        <family val="1"/>
      </rPr>
      <t>69/1 &amp; 69/2/1</t>
    </r>
  </si>
  <si>
    <r>
      <rPr>
        <sz val="11.5"/>
        <rFont val="Times New Roman"/>
        <family val="1"/>
      </rPr>
      <t>Road</t>
    </r>
  </si>
  <si>
    <r>
      <rPr>
        <sz val="11.5"/>
        <rFont val="Times New Roman"/>
        <family val="1"/>
      </rPr>
      <t>Village Belavli Katrap Road</t>
    </r>
  </si>
  <si>
    <r>
      <rPr>
        <sz val="11.5"/>
        <rFont val="Times New Roman"/>
        <family val="1"/>
      </rPr>
      <t>Locality/Village</t>
    </r>
  </si>
  <si>
    <r>
      <rPr>
        <sz val="11.5"/>
        <rFont val="Times New Roman"/>
        <family val="1"/>
      </rPr>
      <t>Belavali</t>
    </r>
  </si>
  <si>
    <r>
      <rPr>
        <sz val="11.5"/>
        <rFont val="Times New Roman"/>
        <family val="1"/>
      </rPr>
      <t>City</t>
    </r>
  </si>
  <si>
    <r>
      <rPr>
        <sz val="11.5"/>
        <rFont val="Times New Roman"/>
        <family val="1"/>
      </rPr>
      <t>Badlapur</t>
    </r>
  </si>
  <si>
    <r>
      <rPr>
        <sz val="11.5"/>
        <rFont val="Times New Roman"/>
        <family val="1"/>
      </rPr>
      <t>District</t>
    </r>
  </si>
  <si>
    <r>
      <rPr>
        <sz val="11.5"/>
        <rFont val="Times New Roman"/>
        <family val="1"/>
      </rPr>
      <t>Thane</t>
    </r>
  </si>
  <si>
    <r>
      <rPr>
        <sz val="11.5"/>
        <rFont val="Times New Roman"/>
        <family val="1"/>
      </rPr>
      <t>Taluka</t>
    </r>
  </si>
  <si>
    <r>
      <rPr>
        <sz val="11.5"/>
        <rFont val="Times New Roman"/>
        <family val="1"/>
      </rPr>
      <t>Ambernath</t>
    </r>
  </si>
  <si>
    <r>
      <rPr>
        <sz val="11.5"/>
        <rFont val="Times New Roman"/>
        <family val="1"/>
      </rPr>
      <t>Pin Code</t>
    </r>
  </si>
  <si>
    <r>
      <rPr>
        <sz val="11.5"/>
        <rFont val="Times New Roman"/>
        <family val="1"/>
      </rPr>
      <t>Near by Landmark</t>
    </r>
  </si>
  <si>
    <r>
      <rPr>
        <sz val="11.5"/>
        <rFont val="Times New Roman"/>
        <family val="1"/>
      </rPr>
      <t>Carmel Convent High School</t>
    </r>
  </si>
  <si>
    <r>
      <rPr>
        <sz val="11.5"/>
        <rFont val="Times New Roman"/>
        <family val="1"/>
      </rPr>
      <t xml:space="preserve">Distance from city
</t>
    </r>
    <r>
      <rPr>
        <sz val="11.5"/>
        <rFont val="Times New Roman"/>
        <family val="1"/>
      </rPr>
      <t>centre:</t>
    </r>
  </si>
  <si>
    <r>
      <rPr>
        <sz val="11.5"/>
        <rFont val="Times New Roman"/>
        <family val="1"/>
      </rPr>
      <t xml:space="preserve">About 2.6Km from
</t>
    </r>
    <r>
      <rPr>
        <sz val="11.5"/>
        <rFont val="Times New Roman"/>
        <family val="1"/>
      </rPr>
      <t>Badlapur Railway Station</t>
    </r>
  </si>
  <si>
    <r>
      <rPr>
        <sz val="11.5"/>
        <rFont val="Times New Roman"/>
        <family val="1"/>
      </rPr>
      <t>Accessibility to the Project from the City: (Proximity to civic amenities like school, hospital, market, etc.)</t>
    </r>
  </si>
  <si>
    <r>
      <rPr>
        <sz val="11.5"/>
        <rFont val="Times New Roman"/>
        <family val="1"/>
      </rPr>
      <t>all available at  1 to 2 km.</t>
    </r>
  </si>
  <si>
    <r>
      <rPr>
        <sz val="11.5"/>
        <rFont val="Times New Roman"/>
        <family val="1"/>
      </rPr>
      <t xml:space="preserve">Does property have Electricity / Water / Drainage
</t>
    </r>
    <r>
      <rPr>
        <sz val="11.5"/>
        <rFont val="Times New Roman"/>
        <family val="1"/>
      </rPr>
      <t>Connection</t>
    </r>
  </si>
  <si>
    <r>
      <rPr>
        <sz val="11.5"/>
        <rFont val="Times New Roman"/>
        <family val="1"/>
      </rPr>
      <t>Yes</t>
    </r>
  </si>
  <si>
    <r>
      <rPr>
        <sz val="11.5"/>
        <rFont val="Times New Roman"/>
        <family val="1"/>
      </rPr>
      <t>Class of locality</t>
    </r>
  </si>
  <si>
    <r>
      <rPr>
        <sz val="11.5"/>
        <rFont val="Times New Roman"/>
        <family val="1"/>
      </rPr>
      <t>Middle Class</t>
    </r>
  </si>
  <si>
    <r>
      <rPr>
        <sz val="11.5"/>
        <rFont val="Times New Roman"/>
        <family val="1"/>
      </rPr>
      <t>Nature of land with topographical condtion</t>
    </r>
  </si>
  <si>
    <r>
      <rPr>
        <sz val="11.5"/>
        <rFont val="Times New Roman"/>
        <family val="1"/>
      </rPr>
      <t>Plane</t>
    </r>
  </si>
  <si>
    <r>
      <rPr>
        <sz val="11.5"/>
        <rFont val="Times New Roman"/>
        <family val="1"/>
      </rPr>
      <t>Nature of the locality</t>
    </r>
  </si>
  <si>
    <r>
      <rPr>
        <sz val="11.5"/>
        <rFont val="Times New Roman"/>
        <family val="1"/>
      </rPr>
      <t>Developing</t>
    </r>
  </si>
  <si>
    <r>
      <rPr>
        <sz val="11.5"/>
        <rFont val="Times New Roman"/>
        <family val="1"/>
      </rPr>
      <t>Quality of infrastructure in vicinity</t>
    </r>
  </si>
  <si>
    <r>
      <rPr>
        <sz val="11.5"/>
        <rFont val="Times New Roman"/>
        <family val="1"/>
      </rPr>
      <t>Good</t>
    </r>
  </si>
  <si>
    <r>
      <rPr>
        <sz val="11.5"/>
        <rFont val="Times New Roman"/>
        <family val="1"/>
      </rPr>
      <t>Boundaries</t>
    </r>
  </si>
  <si>
    <r>
      <rPr>
        <sz val="11.5"/>
        <rFont val="Times New Roman"/>
        <family val="1"/>
      </rPr>
      <t>East</t>
    </r>
  </si>
  <si>
    <r>
      <rPr>
        <sz val="11.5"/>
        <rFont val="Times New Roman"/>
        <family val="1"/>
      </rPr>
      <t>West</t>
    </r>
  </si>
  <si>
    <r>
      <rPr>
        <sz val="11.5"/>
        <rFont val="Times New Roman"/>
        <family val="1"/>
      </rPr>
      <t>North</t>
    </r>
  </si>
  <si>
    <r>
      <rPr>
        <sz val="11.5"/>
        <rFont val="Times New Roman"/>
        <family val="1"/>
      </rPr>
      <t>South</t>
    </r>
  </si>
  <si>
    <r>
      <rPr>
        <sz val="11.5"/>
        <rFont val="Times New Roman"/>
        <family val="1"/>
      </rPr>
      <t>As per deed</t>
    </r>
  </si>
  <si>
    <r>
      <rPr>
        <sz val="11.5"/>
        <rFont val="Times New Roman"/>
        <family val="1"/>
      </rPr>
      <t>NA</t>
    </r>
  </si>
  <si>
    <r>
      <rPr>
        <sz val="11.5"/>
        <rFont val="Times New Roman"/>
        <family val="1"/>
      </rPr>
      <t>At site</t>
    </r>
  </si>
  <si>
    <r>
      <rPr>
        <sz val="11.5"/>
        <rFont val="Times New Roman"/>
        <family val="1"/>
      </rPr>
      <t>Open Plot</t>
    </r>
  </si>
  <si>
    <r>
      <rPr>
        <sz val="11.5"/>
        <rFont val="Times New Roman"/>
        <family val="1"/>
      </rPr>
      <t xml:space="preserve">Carmel Convent High
</t>
    </r>
    <r>
      <rPr>
        <sz val="11.5"/>
        <rFont val="Times New Roman"/>
        <family val="1"/>
      </rPr>
      <t>School</t>
    </r>
  </si>
  <si>
    <r>
      <rPr>
        <sz val="11.5"/>
        <rFont val="Times New Roman"/>
        <family val="1"/>
      </rPr>
      <t xml:space="preserve">nirmala devi
</t>
    </r>
    <r>
      <rPr>
        <sz val="11.5"/>
        <rFont val="Times New Roman"/>
        <family val="1"/>
      </rPr>
      <t>aashram</t>
    </r>
  </si>
  <si>
    <r>
      <rPr>
        <sz val="11.5"/>
        <rFont val="Times New Roman"/>
        <family val="1"/>
      </rPr>
      <t>Does the boundaries at site match, as mentioned in the Docoumentation: NA</t>
    </r>
  </si>
  <si>
    <r>
      <rPr>
        <sz val="11.5"/>
        <rFont val="Times New Roman"/>
        <family val="1"/>
      </rPr>
      <t>Type of Structure : RCC Frame Structure</t>
    </r>
  </si>
  <si>
    <r>
      <rPr>
        <b/>
        <sz val="11.5"/>
        <rFont val="Times New Roman"/>
        <family val="1"/>
      </rPr>
      <t>Approval details:</t>
    </r>
  </si>
  <si>
    <r>
      <rPr>
        <sz val="11.5"/>
        <rFont val="Times New Roman"/>
        <family val="1"/>
      </rPr>
      <t>Approved usage of the Property:</t>
    </r>
  </si>
  <si>
    <r>
      <rPr>
        <sz val="11.5"/>
        <rFont val="Times New Roman"/>
        <family val="1"/>
      </rPr>
      <t>Residential</t>
    </r>
  </si>
  <si>
    <r>
      <rPr>
        <sz val="11.5"/>
        <rFont val="Times New Roman"/>
        <family val="1"/>
      </rPr>
      <t>(Restrictive Covenants in regard to Land Use, if any)</t>
    </r>
  </si>
  <si>
    <r>
      <rPr>
        <sz val="11.5"/>
        <rFont val="Times New Roman"/>
        <family val="1"/>
      </rPr>
      <t>No</t>
    </r>
  </si>
  <si>
    <r>
      <rPr>
        <b/>
        <sz val="11.5"/>
        <rFont val="Times New Roman"/>
        <family val="1"/>
      </rPr>
      <t>Area Statement Details :</t>
    </r>
  </si>
  <si>
    <r>
      <rPr>
        <sz val="11.5"/>
        <rFont val="Times New Roman"/>
        <family val="1"/>
      </rPr>
      <t>Total land area of the project in Sq. Mt.</t>
    </r>
  </si>
  <si>
    <r>
      <rPr>
        <sz val="11.5"/>
        <rFont val="Times New Roman"/>
        <family val="1"/>
      </rPr>
      <t>Permissible FSI</t>
    </r>
  </si>
  <si>
    <r>
      <rPr>
        <sz val="11.5"/>
        <rFont val="Times New Roman"/>
        <family val="1"/>
      </rPr>
      <t>Permissible TDR/Paid FSI</t>
    </r>
  </si>
  <si>
    <r>
      <rPr>
        <sz val="11.5"/>
        <rFont val="Times New Roman"/>
        <family val="1"/>
      </rPr>
      <t>Total FSI availaible for the project</t>
    </r>
  </si>
  <si>
    <r>
      <rPr>
        <sz val="11.5"/>
        <rFont val="Times New Roman"/>
        <family val="1"/>
      </rPr>
      <t>Total Approved Builtup area of the project in Sq. Mt.</t>
    </r>
  </si>
  <si>
    <r>
      <rPr>
        <sz val="11.5"/>
        <rFont val="Times New Roman"/>
        <family val="1"/>
      </rPr>
      <t>Total number of Buildings</t>
    </r>
  </si>
  <si>
    <r>
      <rPr>
        <sz val="11.5"/>
        <rFont val="Times New Roman"/>
        <family val="1"/>
      </rPr>
      <t>06 Wings</t>
    </r>
  </si>
  <si>
    <r>
      <rPr>
        <b/>
        <sz val="11.5"/>
        <rFont val="Times New Roman"/>
        <family val="1"/>
      </rPr>
      <t>Approval Detail : Plan approval</t>
    </r>
  </si>
  <si>
    <r>
      <rPr>
        <sz val="11.5"/>
        <rFont val="Times New Roman"/>
        <family val="1"/>
      </rPr>
      <t>Layout Approval No</t>
    </r>
  </si>
  <si>
    <r>
      <rPr>
        <sz val="11.5"/>
        <rFont val="Times New Roman"/>
        <family val="1"/>
      </rPr>
      <t>Dated</t>
    </r>
  </si>
  <si>
    <r>
      <rPr>
        <sz val="11.5"/>
        <rFont val="Times New Roman"/>
        <family val="1"/>
      </rPr>
      <t>07/10/2019.</t>
    </r>
  </si>
  <si>
    <r>
      <rPr>
        <sz val="10.5"/>
        <rFont val="Times New Roman"/>
        <family val="1"/>
      </rPr>
      <t>Valid upto date: One year from date of issue</t>
    </r>
  </si>
  <si>
    <r>
      <rPr>
        <sz val="11.5"/>
        <rFont val="Times New Roman"/>
        <family val="1"/>
      </rPr>
      <t>O. Certificate No.:</t>
    </r>
  </si>
  <si>
    <r>
      <rPr>
        <sz val="11.5"/>
        <rFont val="Times New Roman"/>
        <family val="1"/>
      </rPr>
      <t>Commencement date of construction</t>
    </r>
  </si>
  <si>
    <r>
      <rPr>
        <sz val="11.5"/>
        <rFont val="Times New Roman"/>
        <family val="1"/>
      </rPr>
      <t>Expected Completion</t>
    </r>
  </si>
  <si>
    <r>
      <rPr>
        <b/>
        <sz val="11.5"/>
        <rFont val="Times New Roman"/>
        <family val="1"/>
      </rPr>
      <t>Building wise Construction details</t>
    </r>
  </si>
  <si>
    <r>
      <rPr>
        <sz val="11.5"/>
        <rFont val="Times New Roman"/>
        <family val="1"/>
      </rPr>
      <t>Approved area of the building in Sq.Mt</t>
    </r>
  </si>
  <si>
    <r>
      <rPr>
        <sz val="11.5"/>
        <rFont val="Times New Roman"/>
        <family val="1"/>
      </rPr>
      <t>Approved no of Floors</t>
    </r>
  </si>
  <si>
    <r>
      <rPr>
        <sz val="11.5"/>
        <rFont val="Times New Roman"/>
        <family val="1"/>
      </rPr>
      <t>Material laying at Site: Bricks, Cement &amp; Steel etc.</t>
    </r>
  </si>
  <si>
    <r>
      <rPr>
        <sz val="11.5"/>
        <rFont val="Times New Roman"/>
        <family val="1"/>
      </rPr>
      <t>Wheather the construction is as per approved Building plan : Under Construction</t>
    </r>
  </si>
  <si>
    <r>
      <rPr>
        <sz val="11.5"/>
        <rFont val="Times New Roman"/>
        <family val="1"/>
      </rPr>
      <t>Violations Observed if any : NA</t>
    </r>
  </si>
  <si>
    <r>
      <rPr>
        <b/>
        <sz val="11.5"/>
        <rFont val="Times New Roman"/>
        <family val="1"/>
      </rPr>
      <t>Proposed Amenities :</t>
    </r>
  </si>
  <si>
    <r>
      <rPr>
        <sz val="11.5"/>
        <rFont val="Times New Roman"/>
        <family val="1"/>
      </rPr>
      <t>1.Vitrified tiles flooring 2. Granite Kitchen Platform  3. Decorative Enternace  etc.</t>
    </r>
  </si>
  <si>
    <r>
      <rPr>
        <b/>
        <sz val="11.5"/>
        <rFont val="Times New Roman"/>
        <family val="1"/>
      </rPr>
      <t>Recommended Rates of the Property :</t>
    </r>
  </si>
  <si>
    <r>
      <rPr>
        <sz val="11.5"/>
        <rFont val="Times New Roman"/>
        <family val="1"/>
      </rPr>
      <t>Recommended rate of the flat Per Sq. Ft. ( on Saleable area)</t>
    </r>
  </si>
  <si>
    <r>
      <rPr>
        <sz val="11.5"/>
        <rFont val="Times New Roman"/>
        <family val="1"/>
      </rPr>
      <t>Recommended rate of the Shop Per Sq. Ft. ( on Saleable area)</t>
    </r>
  </si>
  <si>
    <r>
      <rPr>
        <sz val="11.5"/>
        <rFont val="Times New Roman"/>
        <family val="1"/>
      </rPr>
      <t>Flat Maintenance Charges for 1 year</t>
    </r>
  </si>
  <si>
    <r>
      <rPr>
        <sz val="11.5"/>
        <rFont val="Times New Roman"/>
        <family val="1"/>
      </rPr>
      <t>One Time  Corpus Fund</t>
    </r>
  </si>
  <si>
    <r>
      <rPr>
        <sz val="11.5"/>
        <rFont val="Times New Roman"/>
        <family val="1"/>
      </rPr>
      <t>Recommended rate of Parking</t>
    </r>
  </si>
  <si>
    <r>
      <rPr>
        <sz val="11.5"/>
        <rFont val="Times New Roman"/>
        <family val="1"/>
      </rPr>
      <t>100000/-</t>
    </r>
  </si>
  <si>
    <r>
      <rPr>
        <b/>
        <sz val="11.5"/>
        <rFont val="Times New Roman"/>
        <family val="1"/>
      </rPr>
      <t>Distressed valuation of the Property</t>
    </r>
  </si>
  <si>
    <r>
      <rPr>
        <b/>
        <sz val="11.5"/>
        <rFont val="Times New Roman"/>
        <family val="1"/>
      </rPr>
      <t>Building details Floor Wise</t>
    </r>
  </si>
  <si>
    <r>
      <rPr>
        <b/>
        <sz val="11.5"/>
        <rFont val="Times New Roman"/>
        <family val="1"/>
      </rPr>
      <t>Details of Flats in Building</t>
    </r>
  </si>
  <si>
    <r>
      <rPr>
        <b/>
        <sz val="11.5"/>
        <rFont val="Times New Roman"/>
        <family val="1"/>
      </rPr>
      <t>Flat/Shop No.</t>
    </r>
  </si>
  <si>
    <r>
      <rPr>
        <b/>
        <sz val="11.5"/>
        <rFont val="Times New Roman"/>
        <family val="1"/>
      </rPr>
      <t>Description</t>
    </r>
  </si>
  <si>
    <r>
      <rPr>
        <b/>
        <sz val="11.5"/>
        <rFont val="Times New Roman"/>
        <family val="1"/>
      </rPr>
      <t>Gross Carpet area</t>
    </r>
  </si>
  <si>
    <r>
      <rPr>
        <b/>
        <sz val="10.5"/>
        <rFont val="Times New Roman"/>
        <family val="1"/>
      </rPr>
      <t xml:space="preserve">Attached Terrace
</t>
    </r>
    <r>
      <rPr>
        <b/>
        <sz val="10.5"/>
        <rFont val="Times New Roman"/>
        <family val="1"/>
      </rPr>
      <t>area</t>
    </r>
  </si>
  <si>
    <r>
      <rPr>
        <b/>
        <sz val="11.5"/>
        <rFont val="Times New Roman"/>
        <family val="1"/>
      </rPr>
      <t>PLC Y/N</t>
    </r>
  </si>
  <si>
    <r>
      <rPr>
        <b/>
        <sz val="11.5"/>
        <rFont val="Times New Roman"/>
        <family val="1"/>
      </rPr>
      <t>Floor</t>
    </r>
  </si>
  <si>
    <r>
      <rPr>
        <b/>
        <sz val="11.5"/>
        <rFont val="Times New Roman"/>
        <family val="1"/>
      </rPr>
      <t>Ground Floor for Parking &amp; Residential</t>
    </r>
  </si>
  <si>
    <r>
      <rPr>
        <sz val="11.5"/>
        <rFont val="Times New Roman"/>
        <family val="1"/>
      </rPr>
      <t>N</t>
    </r>
  </si>
  <si>
    <r>
      <rPr>
        <b/>
        <sz val="11.5"/>
        <rFont val="Times New Roman"/>
        <family val="1"/>
      </rPr>
      <t>1st, 3rd, 5th, 7th Floor</t>
    </r>
  </si>
  <si>
    <r>
      <rPr>
        <b/>
        <sz val="11.5"/>
        <rFont val="Times New Roman"/>
        <family val="1"/>
      </rPr>
      <t>2nd, 4th, 6th Floor</t>
    </r>
  </si>
  <si>
    <r>
      <rPr>
        <b/>
        <sz val="11.5"/>
        <rFont val="Times New Roman"/>
        <family val="1"/>
      </rPr>
      <t>Remarks:</t>
    </r>
  </si>
  <si>
    <r>
      <rPr>
        <sz val="11.5"/>
        <rFont val="Times New Roman"/>
        <family val="1"/>
      </rPr>
      <t>Undertaking :</t>
    </r>
  </si>
  <si>
    <r>
      <rPr>
        <sz val="11.5"/>
        <rFont val="Times New Roman"/>
        <family val="1"/>
      </rPr>
      <t>1) We have personally visited the property &amp; identified the same based on the documents provided.</t>
    </r>
  </si>
  <si>
    <r>
      <rPr>
        <sz val="11.5"/>
        <rFont val="Times New Roman"/>
        <family val="1"/>
      </rPr>
      <t>2) I/We have no direct or Indirect Interest in the property being valued</t>
    </r>
  </si>
  <si>
    <r>
      <rPr>
        <sz val="11.5"/>
        <rFont val="Times New Roman"/>
        <family val="1"/>
      </rPr>
      <t>3) The information furnished above is true and correct to my/our knowledge.</t>
    </r>
  </si>
  <si>
    <r>
      <rPr>
        <sz val="11.5"/>
        <rFont val="Times New Roman"/>
        <family val="1"/>
      </rPr>
      <t>4) Legal title of the property is not verified by us.</t>
    </r>
  </si>
  <si>
    <r>
      <rPr>
        <b/>
        <sz val="11.5"/>
        <rFont val="Times New Roman"/>
        <family val="1"/>
      </rPr>
      <t xml:space="preserve">PHOTOGRAPHS OF PROPERTY : </t>
    </r>
    <r>
      <rPr>
        <sz val="11.5"/>
        <rFont val="Georgia"/>
        <family val="1"/>
      </rPr>
      <t xml:space="preserve">   </t>
    </r>
    <r>
      <rPr>
        <b/>
        <sz val="11.5"/>
        <rFont val="Times New Roman"/>
        <family val="1"/>
      </rPr>
      <t>Kendale Emeralds</t>
    </r>
  </si>
  <si>
    <t>Authorized Signatory
Name &amp; Seal of the agency</t>
  </si>
  <si>
    <t>Google Map :</t>
  </si>
  <si>
    <t>BuildingNo.1 (A &amp; B Wing) 
BuildingNo.2 (C Wing) 
BuildingNo.3 (D Wing) 
BuildingNo.4 (E Wing) 
BuildingNo.5 (F Wing)</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</si>
  <si>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</si>
  <si>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</si>
  <si>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</si>
  <si>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</si>
  <si>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</si>
  <si>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</si>
  <si>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</si>
  <si>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</si>
  <si>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</si>
  <si>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</si>
  <si>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</si>
  <si>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</si>
  <si>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</si>
  <si>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</si>
  <si>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</si>
  <si>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</si>
  <si>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</si>
  <si>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</si>
  <si>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</si>
  <si>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</si>
  <si>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</si>
  <si>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</si>
  <si>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</si>
  <si>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</si>
  <si>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</si>
  <si>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</si>
  <si>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</si>
  <si>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</si>
  <si>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</si>
  <si>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</si>
  <si>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</si>
  <si>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</si>
  <si>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</si>
  <si>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</si>
  <si>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</si>
  <si>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</si>
  <si>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</si>
  <si>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</si>
  <si>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</si>
  <si>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</si>
  <si>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</si>
  <si>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</si>
  <si>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</si>
  <si>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</si>
  <si>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</si>
  <si>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</si>
  <si>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</si>
  <si>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t>Approved Floor plan No.</t>
  </si>
  <si>
    <t>Type of Work</t>
  </si>
  <si>
    <t>Kendale Emeralds</t>
  </si>
  <si>
    <t>Saleable area</t>
  </si>
  <si>
    <t>02/02/2021.</t>
  </si>
  <si>
    <t>Asmi</t>
  </si>
  <si>
    <t>Index II by Akash</t>
  </si>
  <si>
    <t>22/03/2021</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</si>
  <si>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</si>
  <si>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</si>
  <si>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</si>
  <si>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</si>
  <si>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</si>
  <si>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</si>
  <si>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</si>
  <si>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</si>
  <si>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</si>
  <si>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</si>
  <si>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</si>
  <si>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</si>
  <si>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</si>
  <si>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</si>
  <si>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</si>
  <si>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</si>
  <si>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</si>
  <si>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</si>
  <si>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</si>
  <si>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</si>
  <si>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</si>
  <si>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</si>
  <si>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</si>
  <si>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</si>
  <si>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</si>
  <si>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1,00,000/-</t>
  </si>
  <si>
    <t>Quality of construction: Good</t>
  </si>
  <si>
    <t>Projected life of the structure: 60 Years After Completion</t>
  </si>
  <si>
    <t>30000/-</t>
  </si>
  <si>
    <t>Inspected By :</t>
  </si>
  <si>
    <t>Report Prepared By :</t>
  </si>
  <si>
    <t>KBNP/NRV/BP/2596-230</t>
  </si>
  <si>
    <t xml:space="preserve">K.B.N.P/NRV/B.P/2596/2021-22
</t>
  </si>
  <si>
    <t>Approved no of units</t>
  </si>
  <si>
    <t xml:space="preserve">Building No.1(Wing A &amp; B) = Gr + 1st to 8t Floor
Building No.2 (Wing C) = Gr + 1st to 7th Floor
Building No. 3 (Wing D) = Gr + 1st to 10th Floor
Building No.4 (Wing E) = Gr + 1st to 5th Floor 
Building No.5 (Wing F) = Gr + 1st to 10th Floor
</t>
  </si>
  <si>
    <t xml:space="preserve">Building No.1 </t>
  </si>
  <si>
    <t>Wing A</t>
  </si>
  <si>
    <t>1BHK</t>
  </si>
  <si>
    <t>2BHK</t>
  </si>
  <si>
    <t>Building No.2</t>
  </si>
  <si>
    <t>Wing B</t>
  </si>
  <si>
    <t>Building No.1</t>
  </si>
  <si>
    <t>8th Floor (Part Refuge Area)</t>
  </si>
  <si>
    <t>Wing C</t>
  </si>
  <si>
    <t>Ground Floor for Commercial &amp; Parking</t>
  </si>
  <si>
    <t>Shop</t>
  </si>
  <si>
    <t>1st Floor for Residential</t>
  </si>
  <si>
    <t>3rd, 5th, 7th Floor</t>
  </si>
  <si>
    <t>Building No.3</t>
  </si>
  <si>
    <t>Wing D</t>
  </si>
  <si>
    <t>Ground Floor for Parking</t>
  </si>
  <si>
    <t>1st to 7th, 9th &amp; 10th Floor</t>
  </si>
  <si>
    <t>Building No.4</t>
  </si>
  <si>
    <t>Wing E</t>
  </si>
  <si>
    <t>1RK</t>
  </si>
  <si>
    <t>2nd to 5th Floor</t>
  </si>
  <si>
    <t>Building No.5</t>
  </si>
  <si>
    <t>Wing F</t>
  </si>
  <si>
    <t>2nd to 7th, 9th &amp; 10th Floor</t>
  </si>
  <si>
    <t>Total Carpet Area</t>
  </si>
  <si>
    <t>Total</t>
  </si>
  <si>
    <t>Residential Area Details :</t>
  </si>
  <si>
    <t>Building &amp; Wing</t>
  </si>
  <si>
    <t>No. of Units</t>
  </si>
  <si>
    <t>Total Saleable Area</t>
  </si>
  <si>
    <t>Building No.1 
Wing A</t>
  </si>
  <si>
    <t>Building No.1 
Wing B</t>
  </si>
  <si>
    <t>Building No.2 (Wing C)</t>
  </si>
  <si>
    <t>Building No.3 (Wing D)</t>
  </si>
  <si>
    <t>Building No.4 (Wing E)</t>
  </si>
  <si>
    <t>Building No.5 (Wing F)</t>
  </si>
  <si>
    <t>Commercial Area Details :</t>
  </si>
  <si>
    <t>Proposed no of Floors</t>
  </si>
  <si>
    <t>Building No.2 (Wing C) = Gr + 1st to 7th Floor</t>
  </si>
  <si>
    <t>Building No. 3 (Wing D) = Gr + 1st to 10th Floor</t>
  </si>
  <si>
    <t xml:space="preserve">Building No.4 (Wing E) = Gr + 1st to 5th Floor </t>
  </si>
  <si>
    <t>Building No.5 (Wing F) = Gr + 1st to 10th Floor</t>
  </si>
  <si>
    <t>Building No.1(Wing A &amp; B) = Gr + 1st to 8t Floor
Building No.2 (Wing C) = Gr + 1st to 7th Floor
Building No. 3 (Wing D) = Gr + 1st to 10th Floor
Building No.4 (Wing E) = Gr + 1st to 5th Floor 
Building No.5 (Wing F) = Gr + 1st to 10th Floor</t>
  </si>
  <si>
    <t>Commencement Certificate No.</t>
  </si>
  <si>
    <t>Valid Up to:
Building No.1 (Wing A &amp; B) = Gr + 1st to 8th Floor
Building No.2 (Wing C) = Gr + 1st to 7th Floor
Building No. 3 (Wing D) = Gr + 1st to 10th Floor
Building No.4 (Wing E) = Gr + 1st to 5th Floor 
Building No.5 (Wing F) = Gr + 1st to 10th Floor</t>
  </si>
  <si>
    <t>Shop - 27 &amp; Flats- 320</t>
  </si>
  <si>
    <t xml:space="preserve">Building No.1(Wing B) = Gr + 1st to 8th Floor
</t>
  </si>
  <si>
    <t>Kendale Developers</t>
  </si>
  <si>
    <t>Office No. 1031, Wing J, Akshar Business Park, Plot No. 03 Sector 25, Near APMC Market, 
Vashi, Navi Mumbai, Maharashtra 400703 TEL: 022-46090378/79/8
E mail : vsjcapf@gmail.com. Web site : www.vsjadon.com</t>
  </si>
  <si>
    <t>Contact Details ( Name &amp; Contact No.)</t>
  </si>
  <si>
    <t>Location Link</t>
  </si>
  <si>
    <t>Latitude &amp; Longitude</t>
  </si>
  <si>
    <t>Site Meet Person Contact Details ( Name &amp; Contact No.)</t>
  </si>
  <si>
    <t>Mr. Yatish Ambekar 9082922283</t>
  </si>
  <si>
    <t>https://goo.gl/maps/KK7tsqjqZRWzqJiw8</t>
  </si>
  <si>
    <t>19.1798218,73.2155986</t>
  </si>
  <si>
    <t xml:space="preserve">Building No.1(Wing A &amp; B) = Gr + 1st to 8th Floor
</t>
  </si>
  <si>
    <t>Sudhir Bhosale</t>
  </si>
  <si>
    <t>1. Wing D, E &amp; F = Construction work is in process at the time of visit.
    Wing A, B, C = All work completed. Please provide OC.
3. We considered Carpet area as per Approved Plan.
4. We considered Gross carpet area = Net carpet + Enclose balcony.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We have updated Approved floor plans &amp; C.C on (21/07/2022).
10. On site, we meet Mr.Deepali (Sales) - 8080804588.</t>
  </si>
  <si>
    <t>1A, 1B, 2C - Completed
3D, 4E, 5F - 30/10/2025</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</si>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</sst>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rgb="FF000000"/>
      <name val="Times New Roman"/>
      <charset val="204"/>
    </font>
    <font>
      <sz val="11"/>
      <color theme="1"/>
      <name val="Calibri"/>
      <family val="2"/>
      <scheme val="minor"/>
    </font>
    <font>
      <b/>
      <sz val="11.5"/>
      <name val="Times New Roman"/>
      <family val="1"/>
    </font>
    <font>
      <sz val="11.5"/>
      <name val="Times New Roman"/>
      <family val="1"/>
    </font>
    <font>
      <sz val="11.5"/>
      <color rgb="FF000000"/>
      <name val="Times New Roman"/>
      <family val="2"/>
    </font>
    <font>
      <sz val="10.5"/>
      <name val="Times New Roman"/>
      <family val="1"/>
    </font>
    <font>
      <b/>
      <sz val="11"/>
      <name val="Times New Roman"/>
      <family val="1"/>
    </font>
    <font>
      <b/>
      <sz val="10.5"/>
      <name val="Times New Roman"/>
      <family val="1"/>
    </font>
    <font>
      <sz val="11.5"/>
      <name val="Georgia"/>
      <family val="1"/>
    </font>
    <font>
      <b/>
      <sz val="11"/>
      <color rgb="FF000000"/>
      <name val="Times New Roman"/>
      <family val="1"/>
    </font>
    <font>
      <sz val="11"/>
      <color rgb="FF000000"/>
      <name val="Calibri"/>
      <family val="2"/>
    </font>
    <font>
      <sz val="11"/>
      <color indexed="8"/>
      <name val="Calibri"/>
      <family val="2"/>
    </font>
    <font>
      <sz val="11"/>
      <color rgb="FF000000"/>
      <name val="Times New Roman"/>
      <family val="1"/>
    </font>
    <font>
      <b/>
      <sz val="11"/>
      <color theme="1"/>
      <name val="Times New Roman"/>
      <family val="1"/>
    </font>
    <font>
      <sz val="10"/>
      <name val="Times New Roman"/>
      <family val="1"/>
    </font>
    <font>
      <b/>
      <sz val="12"/>
      <color indexed="8"/>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8"/>
      <name val="Times New Roman"/>
      <family val="1"/>
    </font>
    <font>
      <sz val="11.5"/>
      <color rgb="FF000000"/>
      <name val="Times New Roman"/>
      <family val="1"/>
    </font>
    <font>
      <sz val="10"/>
      <color rgb="FF000000"/>
      <name val="Times New Roman"/>
      <family val="1"/>
    </font>
    <font>
      <b/>
      <sz val="12"/>
      <color theme="1"/>
      <name val="Times New Roman"/>
      <family val="1"/>
    </font>
    <font>
      <sz val="12"/>
      <color indexed="8"/>
      <name val="Times New Roman"/>
      <family val="1"/>
    </font>
    <font>
      <sz val="11.5"/>
      <name val="Times New Roman"/>
      <family val="1"/>
      <charset val="204"/>
    </font>
    <font>
      <u/>
      <sz val="10"/>
      <color theme="10"/>
      <name val="Times New Roman"/>
      <family val="1"/>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xf numFmtId="0" fontId="10" fillId="0" borderId="0"/>
    <xf numFmtId="0" fontId="1" fillId="0" borderId="0"/>
    <xf numFmtId="0" fontId="11" fillId="0" borderId="0"/>
    <xf numFmtId="0" fontId="1" fillId="0" borderId="0"/>
    <xf numFmtId="9" fontId="10" fillId="0" borderId="0" applyFont="0" applyFill="0" applyBorder="0" applyAlignment="0" applyProtection="0"/>
    <xf numFmtId="0" fontId="26" fillId="0" borderId="0" applyNumberFormat="0" applyFill="0" applyBorder="0" applyAlignment="0" applyProtection="0"/>
  </cellStyleXfs>
  <cellXfs count="184">
    <xf numFmtId="0" fontId="0" fillId="0" borderId="0" xfId="0" applyAlignment="1">
      <alignment horizontal="left"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indent="4"/>
    </xf>
    <xf numFmtId="0" fontId="3" fillId="0" borderId="1" xfId="0" applyFont="1" applyBorder="1" applyAlignment="1">
      <alignment horizontal="center" vertical="top" wrapText="1"/>
    </xf>
    <xf numFmtId="0" fontId="3" fillId="0" borderId="1" xfId="0" applyFont="1" applyBorder="1" applyAlignment="1">
      <alignment horizontal="left" vertical="top" wrapText="1" indent="3"/>
    </xf>
    <xf numFmtId="2" fontId="4" fillId="0" borderId="1" xfId="0" applyNumberFormat="1" applyFont="1" applyBorder="1" applyAlignment="1">
      <alignment horizontal="center" vertical="top" shrinkToFit="1"/>
    </xf>
    <xf numFmtId="1" fontId="4" fillId="0" borderId="1" xfId="0" applyNumberFormat="1" applyFont="1" applyBorder="1" applyAlignment="1">
      <alignment horizontal="center" vertical="center" shrinkToFit="1"/>
    </xf>
    <xf numFmtId="0" fontId="3" fillId="0" borderId="1" xfId="0" applyFont="1" applyBorder="1" applyAlignment="1">
      <alignment horizontal="center" vertical="center" wrapText="1"/>
    </xf>
    <xf numFmtId="1" fontId="4" fillId="0" borderId="2" xfId="0" applyNumberFormat="1" applyFont="1" applyBorder="1" applyAlignment="1">
      <alignment horizontal="center" vertical="center" shrinkToFit="1"/>
    </xf>
    <xf numFmtId="0" fontId="0" fillId="0" borderId="0" xfId="0" applyAlignment="1">
      <alignment vertical="top" wrapText="1"/>
    </xf>
    <xf numFmtId="0" fontId="9" fillId="0" borderId="0" xfId="0" applyFont="1" applyAlignment="1">
      <alignment horizontal="left" vertical="top"/>
    </xf>
    <xf numFmtId="0" fontId="10" fillId="0" borderId="0" xfId="1"/>
    <xf numFmtId="0" fontId="12" fillId="0" borderId="0" xfId="1" applyFont="1"/>
    <xf numFmtId="0" fontId="12" fillId="0" borderId="10" xfId="1" applyFont="1" applyBorder="1"/>
    <xf numFmtId="0" fontId="13" fillId="0" borderId="10" xfId="1" applyFont="1" applyBorder="1" applyAlignment="1">
      <alignment horizontal="center"/>
    </xf>
    <xf numFmtId="0" fontId="13" fillId="0" borderId="0" xfId="1" applyFont="1" applyAlignment="1">
      <alignment horizontal="center"/>
    </xf>
    <xf numFmtId="0" fontId="12" fillId="2" borderId="10" xfId="1" applyFont="1" applyFill="1" applyBorder="1"/>
    <xf numFmtId="0" fontId="12" fillId="0" borderId="10" xfId="1" applyFont="1" applyBorder="1" applyAlignment="1">
      <alignment horizontal="center"/>
    </xf>
    <xf numFmtId="0" fontId="12" fillId="2" borderId="10" xfId="1" applyFont="1" applyFill="1" applyBorder="1" applyAlignment="1">
      <alignment horizontal="center"/>
    </xf>
    <xf numFmtId="0" fontId="9" fillId="0" borderId="10" xfId="1" applyFont="1" applyBorder="1" applyAlignment="1">
      <alignment horizontal="center"/>
    </xf>
    <xf numFmtId="0" fontId="12" fillId="0" borderId="0" xfId="1" applyFont="1" applyAlignment="1">
      <alignment wrapText="1"/>
    </xf>
    <xf numFmtId="0" fontId="12" fillId="0" borderId="11" xfId="1" applyFont="1" applyBorder="1"/>
    <xf numFmtId="0" fontId="12" fillId="0" borderId="10" xfId="1" applyFont="1" applyBorder="1" applyAlignment="1">
      <alignment wrapText="1"/>
    </xf>
    <xf numFmtId="9" fontId="12" fillId="0" borderId="10" xfId="5" applyFont="1" applyBorder="1"/>
    <xf numFmtId="9" fontId="12" fillId="0" borderId="0" xfId="1" applyNumberFormat="1" applyFont="1"/>
    <xf numFmtId="0" fontId="12" fillId="0" borderId="0" xfId="1" applyFont="1" applyAlignment="1">
      <alignment horizontal="right"/>
    </xf>
    <xf numFmtId="9" fontId="12" fillId="0" borderId="0" xfId="5" applyFont="1" applyBorder="1"/>
    <xf numFmtId="1" fontId="0" fillId="0" borderId="0" xfId="0" applyNumberFormat="1" applyAlignment="1">
      <alignment horizontal="left" vertical="top"/>
    </xf>
    <xf numFmtId="0" fontId="16" fillId="0" borderId="13" xfId="2" applyFont="1" applyBorder="1" applyProtection="1">
      <protection hidden="1"/>
    </xf>
    <xf numFmtId="0" fontId="16" fillId="0" borderId="0" xfId="2" applyFont="1" applyProtection="1">
      <protection hidden="1"/>
    </xf>
    <xf numFmtId="0" fontId="12" fillId="0" borderId="0" xfId="0" applyFont="1" applyProtection="1">
      <protection hidden="1"/>
    </xf>
    <xf numFmtId="0" fontId="12" fillId="0" borderId="21" xfId="0" applyFont="1" applyBorder="1" applyProtection="1">
      <protection hidden="1"/>
    </xf>
    <xf numFmtId="0" fontId="17" fillId="0" borderId="16" xfId="2" applyFont="1" applyBorder="1" applyAlignment="1" applyProtection="1">
      <alignment horizontal="center" vertical="top"/>
      <protection locked="0"/>
    </xf>
    <xf numFmtId="0" fontId="17" fillId="0" borderId="18" xfId="2" applyFont="1" applyBorder="1" applyAlignment="1" applyProtection="1">
      <alignment horizontal="center" vertical="top"/>
      <protection locked="0"/>
    </xf>
    <xf numFmtId="0" fontId="15" fillId="0" borderId="12" xfId="2" applyFont="1" applyBorder="1" applyAlignment="1" applyProtection="1">
      <alignment vertical="top" wrapText="1"/>
      <protection locked="0"/>
    </xf>
    <xf numFmtId="0" fontId="18" fillId="0" borderId="16" xfId="2" applyFont="1" applyBorder="1" applyAlignment="1" applyProtection="1">
      <alignment vertical="top" wrapText="1"/>
      <protection locked="0"/>
    </xf>
    <xf numFmtId="0" fontId="16" fillId="0" borderId="16" xfId="2" applyFont="1" applyBorder="1" applyAlignment="1" applyProtection="1">
      <alignment vertical="top" wrapText="1"/>
      <protection locked="0"/>
    </xf>
    <xf numFmtId="0" fontId="17" fillId="0" borderId="18" xfId="2" applyFont="1" applyBorder="1" applyAlignment="1" applyProtection="1">
      <alignment vertical="top" wrapText="1"/>
      <protection locked="0"/>
    </xf>
    <xf numFmtId="0" fontId="17" fillId="0" borderId="18" xfId="2" applyFont="1" applyBorder="1" applyAlignment="1" applyProtection="1">
      <alignment vertical="top"/>
      <protection locked="0"/>
    </xf>
    <xf numFmtId="0" fontId="19" fillId="0" borderId="1" xfId="0" applyFont="1" applyBorder="1" applyAlignment="1">
      <alignment horizontal="left" vertical="center" wrapText="1"/>
    </xf>
    <xf numFmtId="0" fontId="17" fillId="0" borderId="10" xfId="2" applyFont="1" applyBorder="1" applyAlignment="1" applyProtection="1">
      <alignment horizontal="center" vertical="top"/>
      <protection locked="0"/>
    </xf>
    <xf numFmtId="0" fontId="17" fillId="0" borderId="10" xfId="2" applyFont="1" applyBorder="1" applyAlignment="1" applyProtection="1">
      <alignment horizontal="center" vertical="top" wrapText="1"/>
      <protection locked="0"/>
    </xf>
    <xf numFmtId="0" fontId="17" fillId="0" borderId="15" xfId="2" applyFont="1" applyBorder="1" applyAlignment="1" applyProtection="1">
      <alignment horizontal="center" vertical="top"/>
      <protection locked="0"/>
    </xf>
    <xf numFmtId="0" fontId="2" fillId="0" borderId="2" xfId="0" applyFont="1" applyBorder="1" applyAlignment="1">
      <alignment horizontal="center" vertical="top" wrapText="1"/>
    </xf>
    <xf numFmtId="0" fontId="21" fillId="0" borderId="10" xfId="0" applyFont="1" applyBorder="1" applyAlignment="1">
      <alignment horizontal="center" vertical="center"/>
    </xf>
    <xf numFmtId="1" fontId="0" fillId="0" borderId="10" xfId="0" applyNumberFormat="1" applyBorder="1" applyAlignment="1">
      <alignment horizontal="center" vertical="center"/>
    </xf>
    <xf numFmtId="1" fontId="21" fillId="0" borderId="10" xfId="0" applyNumberFormat="1" applyFont="1" applyBorder="1" applyAlignment="1">
      <alignment horizontal="center" vertical="center"/>
    </xf>
    <xf numFmtId="0" fontId="0" fillId="0" borderId="10" xfId="0" applyBorder="1" applyAlignment="1">
      <alignment horizontal="center" vertical="center"/>
    </xf>
    <xf numFmtId="0" fontId="3" fillId="0" borderId="32" xfId="0" applyFont="1" applyBorder="1" applyAlignment="1">
      <alignment horizontal="center" vertical="center" wrapText="1"/>
    </xf>
    <xf numFmtId="0" fontId="22" fillId="0" borderId="0" xfId="0" applyFont="1" applyAlignment="1">
      <alignment horizontal="left" vertical="top"/>
    </xf>
    <xf numFmtId="0" fontId="16" fillId="0" borderId="14" xfId="2" applyFont="1" applyBorder="1" applyProtection="1">
      <protection hidden="1"/>
    </xf>
    <xf numFmtId="0" fontId="16" fillId="0" borderId="17" xfId="2" applyFont="1" applyBorder="1" applyProtection="1">
      <protection hidden="1"/>
    </xf>
    <xf numFmtId="0" fontId="16" fillId="0" borderId="17" xfId="2" applyFont="1" applyBorder="1"/>
    <xf numFmtId="0" fontId="17" fillId="0" borderId="10" xfId="2" applyFont="1" applyBorder="1" applyAlignment="1" applyProtection="1">
      <alignment horizontal="center" wrapText="1"/>
      <protection locked="0"/>
    </xf>
    <xf numFmtId="9" fontId="17" fillId="0" borderId="10" xfId="2" applyNumberFormat="1" applyFont="1" applyBorder="1" applyAlignment="1" applyProtection="1">
      <alignment horizontal="center" vertical="center" wrapText="1"/>
      <protection hidden="1"/>
    </xf>
    <xf numFmtId="9" fontId="16" fillId="0" borderId="16" xfId="2" applyNumberFormat="1" applyFont="1" applyBorder="1" applyAlignment="1" applyProtection="1">
      <alignment vertical="center" wrapText="1"/>
      <protection hidden="1"/>
    </xf>
    <xf numFmtId="0" fontId="12" fillId="0" borderId="17" xfId="0" applyFont="1" applyBorder="1" applyProtection="1">
      <protection hidden="1"/>
    </xf>
    <xf numFmtId="1" fontId="17" fillId="0" borderId="10" xfId="2" applyNumberFormat="1" applyFont="1" applyBorder="1" applyAlignment="1" applyProtection="1">
      <alignment horizontal="center" wrapText="1"/>
      <protection locked="0"/>
    </xf>
    <xf numFmtId="1" fontId="0" fillId="0" borderId="17" xfId="0" applyNumberFormat="1" applyBorder="1"/>
    <xf numFmtId="1" fontId="0" fillId="0" borderId="17" xfId="0" applyNumberFormat="1" applyBorder="1" applyAlignment="1">
      <alignment horizontal="right"/>
    </xf>
    <xf numFmtId="0" fontId="17" fillId="0" borderId="20" xfId="2" applyFont="1" applyBorder="1" applyAlignment="1" applyProtection="1">
      <alignment horizontal="center" wrapText="1"/>
      <protection locked="0"/>
    </xf>
    <xf numFmtId="9" fontId="17" fillId="0" borderId="20" xfId="2" applyNumberFormat="1" applyFont="1" applyBorder="1" applyAlignment="1" applyProtection="1">
      <alignment horizontal="center" vertical="center" wrapText="1"/>
      <protection hidden="1"/>
    </xf>
    <xf numFmtId="9" fontId="16" fillId="0" borderId="24" xfId="2" applyNumberFormat="1" applyFont="1" applyBorder="1" applyAlignment="1" applyProtection="1">
      <alignment vertical="center" wrapText="1"/>
      <protection hidden="1"/>
    </xf>
    <xf numFmtId="1" fontId="0" fillId="0" borderId="22" xfId="0" applyNumberFormat="1" applyBorder="1"/>
    <xf numFmtId="0" fontId="16" fillId="0" borderId="0" xfId="0" applyFont="1" applyAlignment="1">
      <alignment horizontal="center" vertical="center"/>
    </xf>
    <xf numFmtId="0" fontId="0" fillId="0" borderId="0" xfId="0" applyAlignment="1">
      <alignment horizontal="center" vertical="center"/>
    </xf>
    <xf numFmtId="1" fontId="16" fillId="0" borderId="0" xfId="0" applyNumberFormat="1" applyFont="1" applyAlignment="1">
      <alignment horizontal="center" vertical="center"/>
    </xf>
    <xf numFmtId="2" fontId="0" fillId="0" borderId="0" xfId="0" applyNumberFormat="1" applyAlignment="1">
      <alignment horizontal="left" vertical="top"/>
    </xf>
    <xf numFmtId="0" fontId="17" fillId="0" borderId="18" xfId="2" applyFont="1" applyBorder="1" applyAlignment="1" applyProtection="1">
      <alignment horizontal="center" vertical="center" wrapText="1"/>
      <protection locked="0"/>
    </xf>
    <xf numFmtId="0" fontId="26" fillId="0" borderId="0" xfId="6" applyFill="1" applyBorder="1" applyAlignment="1">
      <alignment horizontal="left" vertical="top"/>
    </xf>
    <xf numFmtId="0" fontId="16" fillId="0" borderId="0" xfId="2" applyFont="1" applyAlignment="1" applyProtection="1">
      <alignment horizontal="center" vertical="center"/>
      <protection hidden="1"/>
    </xf>
    <xf numFmtId="0" fontId="16" fillId="0" borderId="17" xfId="2" applyFont="1" applyBorder="1" applyAlignment="1" applyProtection="1">
      <alignment horizontal="center" vertical="center"/>
      <protection hidden="1"/>
    </xf>
    <xf numFmtId="0" fontId="16" fillId="0" borderId="0" xfId="2" applyFont="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 fontId="4" fillId="0" borderId="2" xfId="0" applyNumberFormat="1" applyFont="1" applyBorder="1" applyAlignment="1">
      <alignment horizontal="left" vertical="top" shrinkToFit="1"/>
    </xf>
    <xf numFmtId="1" fontId="4" fillId="0" borderId="3" xfId="0" applyNumberFormat="1" applyFont="1" applyBorder="1" applyAlignment="1">
      <alignment horizontal="left" vertical="top" shrinkToFit="1"/>
    </xf>
    <xf numFmtId="1" fontId="4" fillId="0" borderId="4" xfId="0" applyNumberFormat="1" applyFont="1" applyBorder="1" applyAlignment="1">
      <alignment horizontal="left" vertical="top" shrinkToFit="1"/>
    </xf>
    <xf numFmtId="1" fontId="24" fillId="0" borderId="33" xfId="0" applyNumberFormat="1" applyFont="1" applyBorder="1" applyAlignment="1" applyProtection="1">
      <alignment horizontal="center" vertical="center" wrapText="1"/>
      <protection locked="0"/>
    </xf>
    <xf numFmtId="1" fontId="24" fillId="0" borderId="34"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6" fillId="0" borderId="10" xfId="0" applyFont="1" applyBorder="1" applyAlignment="1" applyProtection="1">
      <alignment horizontal="center" vertical="center"/>
      <protection locked="0"/>
    </xf>
    <xf numFmtId="1" fontId="16" fillId="0" borderId="10" xfId="0" applyNumberFormat="1" applyFont="1" applyBorder="1" applyAlignment="1" applyProtection="1">
      <alignment horizontal="center" vertical="center" wrapText="1"/>
      <protection locked="0"/>
    </xf>
    <xf numFmtId="1" fontId="16" fillId="0" borderId="10" xfId="0" applyNumberFormat="1" applyFont="1" applyBorder="1" applyAlignment="1" applyProtection="1">
      <alignment horizontal="center" vertical="top" wrapText="1"/>
      <protection locked="0"/>
    </xf>
    <xf numFmtId="1" fontId="15" fillId="0" borderId="33" xfId="0" applyNumberFormat="1" applyFont="1" applyBorder="1" applyAlignment="1" applyProtection="1">
      <alignment horizontal="center" vertical="center" wrapText="1"/>
      <protection locked="0"/>
    </xf>
    <xf numFmtId="1" fontId="15" fillId="0" borderId="34" xfId="0" applyNumberFormat="1" applyFont="1" applyBorder="1" applyAlignment="1" applyProtection="1">
      <alignment horizontal="center" vertical="center" wrapText="1"/>
      <protection locked="0"/>
    </xf>
    <xf numFmtId="1" fontId="23" fillId="0" borderId="10" xfId="0" applyNumberFormat="1"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1" fontId="23" fillId="0" borderId="10" xfId="0" applyNumberFormat="1" applyFont="1" applyBorder="1" applyAlignment="1" applyProtection="1">
      <alignment horizontal="center" vertical="top" wrapText="1"/>
      <protection locked="0"/>
    </xf>
    <xf numFmtId="0" fontId="3" fillId="0" borderId="7"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8" fillId="0" borderId="35" xfId="2" applyFont="1" applyBorder="1" applyAlignment="1" applyProtection="1">
      <alignment horizontal="center" vertical="center"/>
      <protection locked="0"/>
    </xf>
    <xf numFmtId="0" fontId="18" fillId="0" borderId="34" xfId="2" applyFont="1" applyBorder="1" applyAlignment="1" applyProtection="1">
      <alignment horizontal="center" vertical="center"/>
      <protection locked="0"/>
    </xf>
    <xf numFmtId="0" fontId="18" fillId="0" borderId="37" xfId="2" applyFont="1" applyBorder="1" applyAlignment="1" applyProtection="1">
      <alignment horizontal="center" vertical="center"/>
      <protection locked="0"/>
    </xf>
    <xf numFmtId="0" fontId="18" fillId="0" borderId="38" xfId="2" applyFont="1" applyBorder="1" applyAlignment="1" applyProtection="1">
      <alignment horizontal="center" vertical="center"/>
      <protection locked="0"/>
    </xf>
    <xf numFmtId="9" fontId="18" fillId="0" borderId="33" xfId="2" applyNumberFormat="1" applyFont="1" applyBorder="1" applyAlignment="1" applyProtection="1">
      <alignment horizontal="center" vertical="center" wrapText="1"/>
      <protection locked="0"/>
    </xf>
    <xf numFmtId="0" fontId="18" fillId="0" borderId="34" xfId="2" applyFont="1" applyBorder="1" applyAlignment="1" applyProtection="1">
      <alignment horizontal="center" vertical="center" wrapText="1"/>
      <protection locked="0"/>
    </xf>
    <xf numFmtId="0" fontId="18" fillId="0" borderId="39" xfId="2" applyFont="1" applyBorder="1" applyAlignment="1" applyProtection="1">
      <alignment horizontal="center" vertical="center" wrapText="1"/>
      <protection locked="0"/>
    </xf>
    <xf numFmtId="0" fontId="18" fillId="0" borderId="38" xfId="2" applyFont="1" applyBorder="1" applyAlignment="1" applyProtection="1">
      <alignment horizontal="center" vertical="center" wrapText="1"/>
      <protection locked="0"/>
    </xf>
    <xf numFmtId="0" fontId="18" fillId="0" borderId="33" xfId="2" applyFont="1" applyBorder="1" applyAlignment="1" applyProtection="1">
      <alignment horizontal="center" vertical="center" wrapText="1"/>
      <protection locked="0"/>
    </xf>
    <xf numFmtId="0" fontId="18" fillId="0" borderId="36" xfId="2" applyFont="1" applyBorder="1" applyAlignment="1" applyProtection="1">
      <alignment horizontal="center" vertical="center" wrapText="1"/>
      <protection locked="0"/>
    </xf>
    <xf numFmtId="0" fontId="18" fillId="0" borderId="22" xfId="2" applyFont="1" applyBorder="1" applyAlignment="1" applyProtection="1">
      <alignment horizontal="center" vertical="center" wrapText="1"/>
      <protection locked="0"/>
    </xf>
    <xf numFmtId="0" fontId="2" fillId="0" borderId="25"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17" fillId="0" borderId="15" xfId="2" applyFont="1" applyBorder="1" applyAlignment="1" applyProtection="1">
      <alignment horizontal="center" vertical="top" wrapText="1"/>
      <protection locked="0"/>
    </xf>
    <xf numFmtId="0" fontId="17" fillId="0" borderId="10" xfId="2" applyFont="1" applyBorder="1" applyAlignment="1" applyProtection="1">
      <alignment horizontal="center" vertical="top" wrapText="1"/>
      <protection locked="0"/>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4" fontId="3" fillId="0" borderId="2" xfId="0" applyNumberFormat="1" applyFont="1" applyBorder="1" applyAlignment="1">
      <alignment horizontal="left" vertical="top" wrapText="1"/>
    </xf>
    <xf numFmtId="14" fontId="3" fillId="0" borderId="3" xfId="0" applyNumberFormat="1" applyFont="1" applyBorder="1" applyAlignment="1">
      <alignment horizontal="left" vertical="top" wrapText="1"/>
    </xf>
    <xf numFmtId="14" fontId="3" fillId="0" borderId="4" xfId="0" applyNumberFormat="1" applyFont="1" applyBorder="1" applyAlignment="1">
      <alignment horizontal="left" vertical="top" wrapText="1"/>
    </xf>
    <xf numFmtId="14" fontId="3" fillId="0" borderId="2" xfId="0" applyNumberFormat="1" applyFont="1" applyBorder="1" applyAlignment="1">
      <alignment horizontal="left" vertical="top"/>
    </xf>
    <xf numFmtId="14" fontId="3" fillId="0" borderId="3"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26" fillId="0" borderId="2" xfId="6" applyFill="1" applyBorder="1" applyAlignment="1">
      <alignment horizontal="left" vertical="top" wrapText="1"/>
    </xf>
    <xf numFmtId="0" fontId="26" fillId="0" borderId="3" xfId="6" applyFill="1" applyBorder="1" applyAlignment="1">
      <alignment horizontal="left" vertical="top" wrapText="1"/>
    </xf>
    <xf numFmtId="0" fontId="26" fillId="0" borderId="4" xfId="6" applyFill="1" applyBorder="1" applyAlignment="1">
      <alignment horizontal="left" vertical="top" wrapText="1"/>
    </xf>
    <xf numFmtId="164" fontId="4" fillId="0" borderId="2" xfId="0" applyNumberFormat="1" applyFont="1" applyBorder="1" applyAlignment="1">
      <alignment horizontal="left" vertical="top" shrinkToFit="1"/>
    </xf>
    <xf numFmtId="164" fontId="4" fillId="0" borderId="3" xfId="0" applyNumberFormat="1" applyFont="1" applyBorder="1" applyAlignment="1">
      <alignment horizontal="left" vertical="top" shrinkToFit="1"/>
    </xf>
    <xf numFmtId="164" fontId="4" fillId="0" borderId="4" xfId="0" applyNumberFormat="1" applyFont="1" applyBorder="1" applyAlignment="1">
      <alignment horizontal="left" vertical="top" shrinkToFit="1"/>
    </xf>
    <xf numFmtId="2" fontId="4" fillId="0" borderId="2" xfId="0" applyNumberFormat="1" applyFont="1" applyBorder="1" applyAlignment="1">
      <alignment horizontal="left" vertical="top" shrinkToFit="1"/>
    </xf>
    <xf numFmtId="2" fontId="4" fillId="0" borderId="3" xfId="0" applyNumberFormat="1" applyFont="1" applyBorder="1" applyAlignment="1">
      <alignment horizontal="left" vertical="top" shrinkToFit="1"/>
    </xf>
    <xf numFmtId="2" fontId="4" fillId="0" borderId="4" xfId="0" applyNumberFormat="1" applyFont="1" applyBorder="1" applyAlignment="1">
      <alignment horizontal="left" vertical="top" shrinkToFi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18" fillId="0" borderId="27" xfId="2" applyFont="1" applyBorder="1" applyAlignment="1" applyProtection="1">
      <alignment horizontal="left" vertical="top" wrapText="1"/>
      <protection locked="0"/>
    </xf>
    <xf numFmtId="0" fontId="18" fillId="0" borderId="28" xfId="2" applyFont="1" applyBorder="1" applyAlignment="1" applyProtection="1">
      <alignment horizontal="left" vertical="top" wrapText="1"/>
      <protection locked="0"/>
    </xf>
    <xf numFmtId="0" fontId="17" fillId="0" borderId="10" xfId="2" applyFont="1" applyBorder="1" applyAlignment="1" applyProtection="1">
      <alignment horizontal="center" vertical="top"/>
      <protection locked="0"/>
    </xf>
    <xf numFmtId="0" fontId="18" fillId="0" borderId="15" xfId="2" applyFont="1" applyBorder="1" applyAlignment="1" applyProtection="1">
      <alignment horizontal="left" vertical="top"/>
      <protection locked="0"/>
    </xf>
    <xf numFmtId="0" fontId="18" fillId="0" borderId="10" xfId="2" applyFont="1" applyBorder="1" applyAlignment="1" applyProtection="1">
      <alignment horizontal="left" vertical="top"/>
      <protection locked="0"/>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5" xfId="0" applyFont="1" applyBorder="1" applyAlignment="1">
      <alignment horizontal="left" vertical="top" wrapText="1"/>
    </xf>
    <xf numFmtId="0" fontId="3" fillId="0" borderId="20" xfId="0" applyFont="1" applyBorder="1" applyAlignment="1">
      <alignment horizontal="left" vertical="top" wrapText="1"/>
    </xf>
    <xf numFmtId="0" fontId="3" fillId="0" borderId="2" xfId="0" applyFont="1" applyBorder="1" applyAlignment="1">
      <alignment horizontal="left" vertical="top" wrapText="1" indent="1"/>
    </xf>
    <xf numFmtId="0" fontId="3" fillId="0" borderId="4" xfId="0" applyFont="1" applyBorder="1" applyAlignment="1">
      <alignment horizontal="left" vertical="top" wrapText="1" indent="1"/>
    </xf>
    <xf numFmtId="9" fontId="17" fillId="0" borderId="10" xfId="2" applyNumberFormat="1" applyFont="1" applyBorder="1" applyAlignment="1" applyProtection="1">
      <alignment horizontal="center" vertical="center" wrapText="1"/>
      <protection hidden="1"/>
    </xf>
    <xf numFmtId="9" fontId="17" fillId="0" borderId="20" xfId="2" applyNumberFormat="1" applyFont="1" applyBorder="1" applyAlignment="1" applyProtection="1">
      <alignment horizontal="center" vertical="center" wrapText="1"/>
      <protection hidden="1"/>
    </xf>
    <xf numFmtId="0" fontId="18" fillId="0" borderId="10" xfId="2" applyFont="1" applyBorder="1" applyAlignment="1" applyProtection="1">
      <alignment horizontal="left" vertical="top" wrapText="1"/>
      <protection locked="0"/>
    </xf>
    <xf numFmtId="0" fontId="18" fillId="0" borderId="18" xfId="2" applyFont="1" applyBorder="1" applyAlignment="1" applyProtection="1">
      <alignment horizontal="left" vertical="top" wrapText="1"/>
      <protection locked="0"/>
    </xf>
    <xf numFmtId="9" fontId="17" fillId="0" borderId="18" xfId="2" applyNumberFormat="1" applyFont="1" applyBorder="1" applyAlignment="1" applyProtection="1">
      <alignment horizontal="center" vertical="center" wrapText="1"/>
      <protection hidden="1"/>
    </xf>
    <xf numFmtId="9" fontId="17" fillId="0" borderId="23" xfId="2" applyNumberFormat="1" applyFont="1" applyBorder="1" applyAlignment="1" applyProtection="1">
      <alignment horizontal="center" vertical="center" wrapText="1"/>
      <protection hidden="1"/>
    </xf>
    <xf numFmtId="0" fontId="18" fillId="0" borderId="26" xfId="2" applyFont="1" applyBorder="1" applyAlignment="1" applyProtection="1">
      <alignment horizontal="left" vertical="top" wrapText="1"/>
      <protection locked="0"/>
    </xf>
    <xf numFmtId="0" fontId="17" fillId="0" borderId="15" xfId="2" applyFont="1" applyBorder="1" applyAlignment="1" applyProtection="1">
      <alignment horizontal="center" vertical="top"/>
      <protection locked="0"/>
    </xf>
    <xf numFmtId="0" fontId="17" fillId="0" borderId="19" xfId="2" applyFont="1" applyBorder="1" applyAlignment="1" applyProtection="1">
      <alignment horizontal="center" vertical="top" wrapText="1"/>
      <protection locked="0"/>
    </xf>
    <xf numFmtId="0" fontId="17" fillId="0" borderId="20" xfId="2" applyFont="1" applyBorder="1" applyAlignment="1" applyProtection="1">
      <alignment horizontal="center" vertical="top" wrapText="1"/>
      <protection locked="0"/>
    </xf>
    <xf numFmtId="0" fontId="25" fillId="0" borderId="0" xfId="0" applyFont="1" applyAlignment="1">
      <alignment horizontal="left" vertical="top" wrapText="1"/>
    </xf>
    <xf numFmtId="0" fontId="0" fillId="0" borderId="0" xfId="0" applyAlignment="1">
      <alignment horizontal="left" vertical="top"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0" fillId="0" borderId="3" xfId="0" applyBorder="1" applyAlignment="1">
      <alignment horizontal="center"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 fontId="15" fillId="0" borderId="10" xfId="0" applyNumberFormat="1" applyFont="1" applyBorder="1" applyAlignment="1" applyProtection="1">
      <alignment horizontal="center" vertical="center" wrapText="1"/>
      <protection locked="0"/>
    </xf>
    <xf numFmtId="0" fontId="23" fillId="0" borderId="10" xfId="0" applyFont="1" applyBorder="1" applyAlignment="1" applyProtection="1">
      <alignment horizontal="center" vertical="top" wrapText="1"/>
      <protection locked="0"/>
    </xf>
    <xf numFmtId="1" fontId="15" fillId="0" borderId="10" xfId="0" applyNumberFormat="1" applyFont="1" applyBorder="1" applyAlignment="1" applyProtection="1">
      <alignment horizontal="center" vertical="top" wrapText="1"/>
      <protection locked="0"/>
    </xf>
    <xf numFmtId="1" fontId="16" fillId="0" borderId="10" xfId="0" applyNumberFormat="1" applyFont="1" applyBorder="1" applyAlignment="1" applyProtection="1">
      <alignment horizontal="center" vertical="center"/>
      <protection locked="0"/>
    </xf>
    <xf numFmtId="0" fontId="12" fillId="0" borderId="10" xfId="1" applyFont="1" applyBorder="1" applyAlignment="1">
      <alignment horizontal="center"/>
    </xf>
    <xf numFmtId="0" fontId="12" fillId="0" borderId="10" xfId="1" applyFont="1" applyBorder="1" applyAlignment="1">
      <alignment horizontal="left"/>
    </xf>
    <xf numFmtId="0" fontId="12" fillId="2" borderId="10" xfId="1" applyFont="1" applyFill="1" applyBorder="1" applyAlignment="1">
      <alignment horizontal="center"/>
    </xf>
    <xf numFmtId="0" fontId="9" fillId="0" borderId="10" xfId="1" applyFont="1" applyBorder="1" applyAlignment="1">
      <alignment horizontal="center"/>
    </xf>
  </cellXfs>
  <cellStyles count="7">
    <cellStyle name="Excel Built-in Normal" xfId="3" xr:uid="{00000000-0005-0000-0000-000000000000}"/>
    <cellStyle name="Hyperlink" xfId="6" builtinId="8"/>
    <cellStyle name="Normal" xfId="0" builtinId="0"/>
    <cellStyle name="Normal 2" xfId="4" xr:uid="{00000000-0005-0000-0000-000003000000}"/>
    <cellStyle name="Normal 3" xfId="2" xr:uid="{00000000-0005-0000-0000-000004000000}"/>
    <cellStyle name="Normal 4" xfId="1" xr:uid="{00000000-0005-0000-0000-000005000000}"/>
    <cellStyle name="Percent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 Id="rId5" Type="http://schemas.openxmlformats.org/officeDocument/2006/relationships/image" Target="../media/image30.jpeg"/><Relationship Id="rId4"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oneCellAnchor>
    <xdr:from>
      <xdr:col>1</xdr:col>
      <xdr:colOff>270014</xdr:colOff>
      <xdr:row>407</xdr:row>
      <xdr:rowOff>114954</xdr:rowOff>
    </xdr:from>
    <xdr:ext cx="4179882" cy="3240000"/>
    <xdr:grpSp>
      <xdr:nvGrpSpPr>
        <xdr:cNvPr id="27" name="Group 27">
          <a:extLst>
            <a:ext uri="{FF2B5EF4-FFF2-40B4-BE49-F238E27FC236}">
              <a16:creationId xmlns:a16="http://schemas.microsoft.com/office/drawing/2014/main" id="{00000000-0008-0000-0000-00001B000000}"/>
            </a:ext>
          </a:extLst>
        </xdr:cNvPr>
        <xdr:cNvGrpSpPr/>
      </xdr:nvGrpSpPr>
      <xdr:grpSpPr>
        <a:xfrm>
          <a:off x="1466354" y="80498334"/>
          <a:ext cx="4179882" cy="3240000"/>
          <a:chOff x="0" y="0"/>
          <a:chExt cx="5698490" cy="3272154"/>
        </a:xfrm>
      </xdr:grpSpPr>
      <xdr:pic>
        <xdr:nvPicPr>
          <xdr:cNvPr id="28" name="image9.jpeg">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9144" y="7620"/>
            <a:ext cx="5679948" cy="3255264"/>
          </a:xfrm>
          <a:prstGeom prst="rect">
            <a:avLst/>
          </a:prstGeom>
        </xdr:spPr>
      </xdr:pic>
      <xdr:sp macro="" textlink="">
        <xdr:nvSpPr>
          <xdr:cNvPr id="29" name="Shape 29">
            <a:extLst>
              <a:ext uri="{FF2B5EF4-FFF2-40B4-BE49-F238E27FC236}">
                <a16:creationId xmlns:a16="http://schemas.microsoft.com/office/drawing/2014/main" id="{00000000-0008-0000-0000-00001D000000}"/>
              </a:ext>
            </a:extLst>
          </xdr:cNvPr>
          <xdr:cNvSpPr/>
        </xdr:nvSpPr>
        <xdr:spPr>
          <a:xfrm>
            <a:off x="0" y="0"/>
            <a:ext cx="5698490" cy="3272154"/>
          </a:xfrm>
          <a:custGeom>
            <a:avLst/>
            <a:gdLst/>
            <a:ahLst/>
            <a:cxnLst/>
            <a:rect l="0" t="0" r="0" b="0"/>
            <a:pathLst>
              <a:path w="5698490" h="3272154">
                <a:moveTo>
                  <a:pt x="5696712" y="3272028"/>
                </a:moveTo>
                <a:lnTo>
                  <a:pt x="3048" y="3272028"/>
                </a:lnTo>
                <a:lnTo>
                  <a:pt x="0" y="3270504"/>
                </a:lnTo>
                <a:lnTo>
                  <a:pt x="0" y="1524"/>
                </a:lnTo>
                <a:lnTo>
                  <a:pt x="3048" y="0"/>
                </a:lnTo>
                <a:lnTo>
                  <a:pt x="5696712" y="0"/>
                </a:lnTo>
                <a:lnTo>
                  <a:pt x="5698236" y="1524"/>
                </a:lnTo>
                <a:lnTo>
                  <a:pt x="5698236" y="4572"/>
                </a:lnTo>
                <a:lnTo>
                  <a:pt x="9144" y="4572"/>
                </a:lnTo>
                <a:lnTo>
                  <a:pt x="4572" y="7620"/>
                </a:lnTo>
                <a:lnTo>
                  <a:pt x="9144" y="7620"/>
                </a:lnTo>
                <a:lnTo>
                  <a:pt x="9144" y="3262884"/>
                </a:lnTo>
                <a:lnTo>
                  <a:pt x="4572" y="3262884"/>
                </a:lnTo>
                <a:lnTo>
                  <a:pt x="9144" y="3267456"/>
                </a:lnTo>
                <a:lnTo>
                  <a:pt x="5698236" y="3267456"/>
                </a:lnTo>
                <a:lnTo>
                  <a:pt x="5698236" y="3270504"/>
                </a:lnTo>
                <a:lnTo>
                  <a:pt x="5696712" y="3272028"/>
                </a:lnTo>
                <a:close/>
              </a:path>
              <a:path w="5698490" h="3272154">
                <a:moveTo>
                  <a:pt x="9144" y="7620"/>
                </a:moveTo>
                <a:lnTo>
                  <a:pt x="4572" y="7620"/>
                </a:lnTo>
                <a:lnTo>
                  <a:pt x="9144" y="4572"/>
                </a:lnTo>
                <a:lnTo>
                  <a:pt x="9144" y="7620"/>
                </a:lnTo>
                <a:close/>
              </a:path>
              <a:path w="5698490" h="3272154">
                <a:moveTo>
                  <a:pt x="5689092" y="7620"/>
                </a:moveTo>
                <a:lnTo>
                  <a:pt x="9144" y="7620"/>
                </a:lnTo>
                <a:lnTo>
                  <a:pt x="9144" y="4572"/>
                </a:lnTo>
                <a:lnTo>
                  <a:pt x="5689092" y="4572"/>
                </a:lnTo>
                <a:lnTo>
                  <a:pt x="5689092" y="7620"/>
                </a:lnTo>
                <a:close/>
              </a:path>
              <a:path w="5698490" h="3272154">
                <a:moveTo>
                  <a:pt x="5689092" y="3267456"/>
                </a:moveTo>
                <a:lnTo>
                  <a:pt x="5689092" y="4572"/>
                </a:lnTo>
                <a:lnTo>
                  <a:pt x="5693664" y="7620"/>
                </a:lnTo>
                <a:lnTo>
                  <a:pt x="5698236" y="7620"/>
                </a:lnTo>
                <a:lnTo>
                  <a:pt x="5698236" y="3262884"/>
                </a:lnTo>
                <a:lnTo>
                  <a:pt x="5693664" y="3262884"/>
                </a:lnTo>
                <a:lnTo>
                  <a:pt x="5689092" y="3267456"/>
                </a:lnTo>
                <a:close/>
              </a:path>
              <a:path w="5698490" h="3272154">
                <a:moveTo>
                  <a:pt x="5698236" y="7620"/>
                </a:moveTo>
                <a:lnTo>
                  <a:pt x="5693664" y="7620"/>
                </a:lnTo>
                <a:lnTo>
                  <a:pt x="5689092" y="4572"/>
                </a:lnTo>
                <a:lnTo>
                  <a:pt x="5698236" y="4572"/>
                </a:lnTo>
                <a:lnTo>
                  <a:pt x="5698236" y="7620"/>
                </a:lnTo>
                <a:close/>
              </a:path>
              <a:path w="5698490" h="3272154">
                <a:moveTo>
                  <a:pt x="9144" y="3267456"/>
                </a:moveTo>
                <a:lnTo>
                  <a:pt x="4572" y="3262884"/>
                </a:lnTo>
                <a:lnTo>
                  <a:pt x="9144" y="3262884"/>
                </a:lnTo>
                <a:lnTo>
                  <a:pt x="9144" y="3267456"/>
                </a:lnTo>
                <a:close/>
              </a:path>
              <a:path w="5698490" h="3272154">
                <a:moveTo>
                  <a:pt x="5689092" y="3267456"/>
                </a:moveTo>
                <a:lnTo>
                  <a:pt x="9144" y="3267456"/>
                </a:lnTo>
                <a:lnTo>
                  <a:pt x="9144" y="3262884"/>
                </a:lnTo>
                <a:lnTo>
                  <a:pt x="5689092" y="3262884"/>
                </a:lnTo>
                <a:lnTo>
                  <a:pt x="5689092" y="3267456"/>
                </a:lnTo>
                <a:close/>
              </a:path>
              <a:path w="5698490" h="3272154">
                <a:moveTo>
                  <a:pt x="5698236" y="3267456"/>
                </a:moveTo>
                <a:lnTo>
                  <a:pt x="5689092" y="3267456"/>
                </a:lnTo>
                <a:lnTo>
                  <a:pt x="5693664" y="3262884"/>
                </a:lnTo>
                <a:lnTo>
                  <a:pt x="5698236" y="3262884"/>
                </a:lnTo>
                <a:lnTo>
                  <a:pt x="5698236" y="3267456"/>
                </a:lnTo>
                <a:close/>
              </a:path>
            </a:pathLst>
          </a:custGeom>
          <a:solidFill>
            <a:srgbClr val="000000"/>
          </a:solidFill>
        </xdr:spPr>
      </xdr:sp>
    </xdr:grpSp>
    <xdr:clientData/>
  </xdr:oneCellAnchor>
  <xdr:oneCellAnchor>
    <xdr:from>
      <xdr:col>1</xdr:col>
      <xdr:colOff>253962</xdr:colOff>
      <xdr:row>428</xdr:row>
      <xdr:rowOff>7378</xdr:rowOff>
    </xdr:from>
    <xdr:ext cx="4204568" cy="3240000"/>
    <xdr:grpSp>
      <xdr:nvGrpSpPr>
        <xdr:cNvPr id="30" name="Group 30">
          <a:extLst>
            <a:ext uri="{FF2B5EF4-FFF2-40B4-BE49-F238E27FC236}">
              <a16:creationId xmlns:a16="http://schemas.microsoft.com/office/drawing/2014/main" id="{00000000-0008-0000-0000-00001E000000}"/>
            </a:ext>
          </a:extLst>
        </xdr:cNvPr>
        <xdr:cNvGrpSpPr/>
      </xdr:nvGrpSpPr>
      <xdr:grpSpPr>
        <a:xfrm>
          <a:off x="1450302" y="83911198"/>
          <a:ext cx="4204568" cy="3240000"/>
          <a:chOff x="0" y="0"/>
          <a:chExt cx="5732145" cy="3267710"/>
        </a:xfrm>
      </xdr:grpSpPr>
      <xdr:pic>
        <xdr:nvPicPr>
          <xdr:cNvPr id="31" name="image10.jpe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9144" y="7620"/>
            <a:ext cx="5713476" cy="3250691"/>
          </a:xfrm>
          <a:prstGeom prst="rect">
            <a:avLst/>
          </a:prstGeom>
        </xdr:spPr>
      </xdr:pic>
      <xdr:sp macro="" textlink="">
        <xdr:nvSpPr>
          <xdr:cNvPr id="32" name="Shape 32">
            <a:extLst>
              <a:ext uri="{FF2B5EF4-FFF2-40B4-BE49-F238E27FC236}">
                <a16:creationId xmlns:a16="http://schemas.microsoft.com/office/drawing/2014/main" id="{00000000-0008-0000-0000-000020000000}"/>
              </a:ext>
            </a:extLst>
          </xdr:cNvPr>
          <xdr:cNvSpPr/>
        </xdr:nvSpPr>
        <xdr:spPr>
          <a:xfrm>
            <a:off x="0" y="0"/>
            <a:ext cx="5732145" cy="3267710"/>
          </a:xfrm>
          <a:custGeom>
            <a:avLst/>
            <a:gdLst/>
            <a:ahLst/>
            <a:cxnLst/>
            <a:rect l="0" t="0" r="0" b="0"/>
            <a:pathLst>
              <a:path w="5732145" h="3267710">
                <a:moveTo>
                  <a:pt x="5730240" y="3267456"/>
                </a:moveTo>
                <a:lnTo>
                  <a:pt x="3048" y="3267456"/>
                </a:lnTo>
                <a:lnTo>
                  <a:pt x="0" y="3265932"/>
                </a:lnTo>
                <a:lnTo>
                  <a:pt x="0" y="1524"/>
                </a:lnTo>
                <a:lnTo>
                  <a:pt x="3048" y="0"/>
                </a:lnTo>
                <a:lnTo>
                  <a:pt x="5730240" y="0"/>
                </a:lnTo>
                <a:lnTo>
                  <a:pt x="5731764" y="1524"/>
                </a:lnTo>
                <a:lnTo>
                  <a:pt x="5731764" y="4572"/>
                </a:lnTo>
                <a:lnTo>
                  <a:pt x="9144" y="4572"/>
                </a:lnTo>
                <a:lnTo>
                  <a:pt x="4572" y="7620"/>
                </a:lnTo>
                <a:lnTo>
                  <a:pt x="9144" y="7620"/>
                </a:lnTo>
                <a:lnTo>
                  <a:pt x="9144" y="3258312"/>
                </a:lnTo>
                <a:lnTo>
                  <a:pt x="4572" y="3258312"/>
                </a:lnTo>
                <a:lnTo>
                  <a:pt x="9144" y="3262884"/>
                </a:lnTo>
                <a:lnTo>
                  <a:pt x="5731764" y="3262884"/>
                </a:lnTo>
                <a:lnTo>
                  <a:pt x="5731764" y="3265932"/>
                </a:lnTo>
                <a:lnTo>
                  <a:pt x="5730240" y="3267456"/>
                </a:lnTo>
                <a:close/>
              </a:path>
              <a:path w="5732145" h="3267710">
                <a:moveTo>
                  <a:pt x="9144" y="7620"/>
                </a:moveTo>
                <a:lnTo>
                  <a:pt x="4572" y="7620"/>
                </a:lnTo>
                <a:lnTo>
                  <a:pt x="9144" y="4572"/>
                </a:lnTo>
                <a:lnTo>
                  <a:pt x="9144" y="7620"/>
                </a:lnTo>
                <a:close/>
              </a:path>
              <a:path w="5732145" h="3267710">
                <a:moveTo>
                  <a:pt x="5722620" y="7620"/>
                </a:moveTo>
                <a:lnTo>
                  <a:pt x="9144" y="7620"/>
                </a:lnTo>
                <a:lnTo>
                  <a:pt x="9144" y="4572"/>
                </a:lnTo>
                <a:lnTo>
                  <a:pt x="5722620" y="4572"/>
                </a:lnTo>
                <a:lnTo>
                  <a:pt x="5722620" y="7620"/>
                </a:lnTo>
                <a:close/>
              </a:path>
              <a:path w="5732145" h="3267710">
                <a:moveTo>
                  <a:pt x="5722620" y="3262884"/>
                </a:moveTo>
                <a:lnTo>
                  <a:pt x="5722620" y="4572"/>
                </a:lnTo>
                <a:lnTo>
                  <a:pt x="5727192" y="7620"/>
                </a:lnTo>
                <a:lnTo>
                  <a:pt x="5731764" y="7620"/>
                </a:lnTo>
                <a:lnTo>
                  <a:pt x="5731764" y="3258312"/>
                </a:lnTo>
                <a:lnTo>
                  <a:pt x="5727192" y="3258312"/>
                </a:lnTo>
                <a:lnTo>
                  <a:pt x="5722620" y="3262884"/>
                </a:lnTo>
                <a:close/>
              </a:path>
              <a:path w="5732145" h="3267710">
                <a:moveTo>
                  <a:pt x="5731764" y="7620"/>
                </a:moveTo>
                <a:lnTo>
                  <a:pt x="5727192" y="7620"/>
                </a:lnTo>
                <a:lnTo>
                  <a:pt x="5722620" y="4572"/>
                </a:lnTo>
                <a:lnTo>
                  <a:pt x="5731764" y="4572"/>
                </a:lnTo>
                <a:lnTo>
                  <a:pt x="5731764" y="7620"/>
                </a:lnTo>
                <a:close/>
              </a:path>
              <a:path w="5732145" h="3267710">
                <a:moveTo>
                  <a:pt x="9144" y="3262884"/>
                </a:moveTo>
                <a:lnTo>
                  <a:pt x="4572" y="3258312"/>
                </a:lnTo>
                <a:lnTo>
                  <a:pt x="9144" y="3258312"/>
                </a:lnTo>
                <a:lnTo>
                  <a:pt x="9144" y="3262884"/>
                </a:lnTo>
                <a:close/>
              </a:path>
              <a:path w="5732145" h="3267710">
                <a:moveTo>
                  <a:pt x="5722620" y="3262884"/>
                </a:moveTo>
                <a:lnTo>
                  <a:pt x="9144" y="3262884"/>
                </a:lnTo>
                <a:lnTo>
                  <a:pt x="9144" y="3258312"/>
                </a:lnTo>
                <a:lnTo>
                  <a:pt x="5722620" y="3258312"/>
                </a:lnTo>
                <a:lnTo>
                  <a:pt x="5722620" y="3262884"/>
                </a:lnTo>
                <a:close/>
              </a:path>
              <a:path w="5732145" h="3267710">
                <a:moveTo>
                  <a:pt x="5731764" y="3262884"/>
                </a:moveTo>
                <a:lnTo>
                  <a:pt x="5722620" y="3262884"/>
                </a:lnTo>
                <a:lnTo>
                  <a:pt x="5727192" y="3258312"/>
                </a:lnTo>
                <a:lnTo>
                  <a:pt x="5731764" y="3258312"/>
                </a:lnTo>
                <a:lnTo>
                  <a:pt x="5731764" y="3262884"/>
                </a:lnTo>
                <a:close/>
              </a:path>
            </a:pathLst>
          </a:custGeom>
          <a:solidFill>
            <a:srgbClr val="000000"/>
          </a:solidFill>
        </xdr:spPr>
      </xdr:sp>
    </xdr:grpSp>
    <xdr:clientData/>
  </xdr:oneCellAnchor>
  <xdr:oneCellAnchor>
    <xdr:from>
      <xdr:col>9</xdr:col>
      <xdr:colOff>106142</xdr:colOff>
      <xdr:row>356</xdr:row>
      <xdr:rowOff>0</xdr:rowOff>
    </xdr:from>
    <xdr:ext cx="607089"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8792942" y="78533625"/>
          <a:ext cx="607089"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clientData/>
  </xdr:oneCellAnchor>
  <xdr:oneCellAnchor>
    <xdr:from>
      <xdr:col>12</xdr:col>
      <xdr:colOff>227321</xdr:colOff>
      <xdr:row>356</xdr:row>
      <xdr:rowOff>0</xdr:rowOff>
    </xdr:from>
    <xdr:ext cx="607089"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0514321" y="78533625"/>
          <a:ext cx="607089"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C</a:t>
          </a:r>
        </a:p>
      </xdr:txBody>
    </xdr:sp>
    <xdr:clientData/>
  </xdr:oneCellAnchor>
  <xdr:oneCellAnchor>
    <xdr:from>
      <xdr:col>8</xdr:col>
      <xdr:colOff>559277</xdr:colOff>
      <xdr:row>369</xdr:row>
      <xdr:rowOff>67340</xdr:rowOff>
    </xdr:from>
    <xdr:ext cx="607089"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7655402" y="80858390"/>
          <a:ext cx="607089"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C</a:t>
          </a:r>
        </a:p>
      </xdr:txBody>
    </xdr:sp>
    <xdr:clientData/>
  </xdr:oneCellAnchor>
  <xdr:oneCellAnchor>
    <xdr:from>
      <xdr:col>8</xdr:col>
      <xdr:colOff>113995</xdr:colOff>
      <xdr:row>355</xdr:row>
      <xdr:rowOff>286415</xdr:rowOff>
    </xdr:from>
    <xdr:ext cx="610552"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810070" y="71171465"/>
          <a:ext cx="610552"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D</a:t>
          </a:r>
        </a:p>
      </xdr:txBody>
    </xdr:sp>
    <xdr:clientData/>
  </xdr:oneCellAnchor>
  <xdr:oneCellAnchor>
    <xdr:from>
      <xdr:col>8</xdr:col>
      <xdr:colOff>778352</xdr:colOff>
      <xdr:row>378</xdr:row>
      <xdr:rowOff>144072</xdr:rowOff>
    </xdr:from>
    <xdr:ext cx="607089"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350727" y="78953922"/>
          <a:ext cx="607089"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E</a:t>
          </a:r>
        </a:p>
      </xdr:txBody>
    </xdr:sp>
    <xdr:clientData/>
  </xdr:oneCellAnchor>
  <xdr:oneCellAnchor>
    <xdr:from>
      <xdr:col>8</xdr:col>
      <xdr:colOff>609295</xdr:colOff>
      <xdr:row>384</xdr:row>
      <xdr:rowOff>161336</xdr:rowOff>
    </xdr:from>
    <xdr:ext cx="607089"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181670" y="79942736"/>
          <a:ext cx="607089"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F</a:t>
          </a:r>
        </a:p>
      </xdr:txBody>
    </xdr:sp>
    <xdr:clientData/>
  </xdr:oneCellAnchor>
  <xdr:twoCellAnchor>
    <xdr:from>
      <xdr:col>8</xdr:col>
      <xdr:colOff>805816</xdr:colOff>
      <xdr:row>355</xdr:row>
      <xdr:rowOff>485775</xdr:rowOff>
    </xdr:from>
    <xdr:to>
      <xdr:col>18</xdr:col>
      <xdr:colOff>514350</xdr:colOff>
      <xdr:row>399</xdr:row>
      <xdr:rowOff>97549</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822056" y="71374635"/>
          <a:ext cx="7099934" cy="7757554"/>
          <a:chOff x="104776" y="71980425"/>
          <a:chExt cx="6238874" cy="7504189"/>
        </a:xfrm>
      </xdr:grpSpPr>
      <xdr:pic>
        <xdr:nvPicPr>
          <xdr:cNvPr id="39" name="Picture 38" descr="https://vsjcllp.vsjadon.com/upload/insp-233987-1525.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329933" y="78257401"/>
            <a:ext cx="1651767" cy="12090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3987-843.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1695451" y="74752753"/>
            <a:ext cx="1502320" cy="2121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3987-845.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200275" y="71989950"/>
            <a:ext cx="1998665"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3987-849.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04776" y="74743228"/>
            <a:ext cx="1502320" cy="2121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3987-851.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76601" y="74762278"/>
            <a:ext cx="1502320" cy="21217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3987-861.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42925" y="76971523"/>
            <a:ext cx="1801218" cy="25130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3987-860.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438400" y="76961998"/>
            <a:ext cx="1802300" cy="25146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3987-880.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23825" y="71989950"/>
            <a:ext cx="1998665"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3987-922.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335720" y="76950887"/>
            <a:ext cx="1636068" cy="1227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3987-925.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276725" y="71980425"/>
            <a:ext cx="1998665"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33987-919.jpg">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848226" y="74761725"/>
            <a:ext cx="1495424" cy="2114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72" name="TextBox 71">
            <a:extLst>
              <a:ext uri="{FF2B5EF4-FFF2-40B4-BE49-F238E27FC236}">
                <a16:creationId xmlns:a16="http://schemas.microsoft.com/office/drawing/2014/main" id="{00000000-0008-0000-0000-000024000000}"/>
              </a:ext>
            </a:extLst>
          </xdr:cNvPr>
          <xdr:cNvSpPr txBox="1"/>
        </xdr:nvSpPr>
        <xdr:spPr>
          <a:xfrm>
            <a:off x="123825" y="71989950"/>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D</a:t>
            </a:r>
          </a:p>
        </xdr:txBody>
      </xdr:sp>
      <xdr:sp macro="" textlink="">
        <xdr:nvSpPr>
          <xdr:cNvPr id="73" name="TextBox 72">
            <a:extLst>
              <a:ext uri="{FF2B5EF4-FFF2-40B4-BE49-F238E27FC236}">
                <a16:creationId xmlns:a16="http://schemas.microsoft.com/office/drawing/2014/main" id="{00000000-0008-0000-0000-000024000000}"/>
              </a:ext>
            </a:extLst>
          </xdr:cNvPr>
          <xdr:cNvSpPr txBox="1"/>
        </xdr:nvSpPr>
        <xdr:spPr>
          <a:xfrm>
            <a:off x="2219325" y="72009000"/>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E</a:t>
            </a:r>
          </a:p>
        </xdr:txBody>
      </xdr:sp>
      <xdr:sp macro="" textlink="">
        <xdr:nvSpPr>
          <xdr:cNvPr id="74" name="TextBox 73">
            <a:extLst>
              <a:ext uri="{FF2B5EF4-FFF2-40B4-BE49-F238E27FC236}">
                <a16:creationId xmlns:a16="http://schemas.microsoft.com/office/drawing/2014/main" id="{00000000-0008-0000-0000-000024000000}"/>
              </a:ext>
            </a:extLst>
          </xdr:cNvPr>
          <xdr:cNvSpPr txBox="1"/>
        </xdr:nvSpPr>
        <xdr:spPr>
          <a:xfrm>
            <a:off x="5448300" y="71999475"/>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F</a:t>
            </a:r>
          </a:p>
        </xdr:txBody>
      </xdr:sp>
      <xdr:sp macro="" textlink="">
        <xdr:nvSpPr>
          <xdr:cNvPr id="75" name="TextBox 74">
            <a:extLst>
              <a:ext uri="{FF2B5EF4-FFF2-40B4-BE49-F238E27FC236}">
                <a16:creationId xmlns:a16="http://schemas.microsoft.com/office/drawing/2014/main" id="{00000000-0008-0000-0000-000024000000}"/>
              </a:ext>
            </a:extLst>
          </xdr:cNvPr>
          <xdr:cNvSpPr txBox="1"/>
        </xdr:nvSpPr>
        <xdr:spPr>
          <a:xfrm>
            <a:off x="781051" y="74752753"/>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A</a:t>
            </a:r>
          </a:p>
        </xdr:txBody>
      </xdr:sp>
      <xdr:sp macro="" textlink="">
        <xdr:nvSpPr>
          <xdr:cNvPr id="76" name="TextBox 75">
            <a:extLst>
              <a:ext uri="{FF2B5EF4-FFF2-40B4-BE49-F238E27FC236}">
                <a16:creationId xmlns:a16="http://schemas.microsoft.com/office/drawing/2014/main" id="{00000000-0008-0000-0000-000024000000}"/>
              </a:ext>
            </a:extLst>
          </xdr:cNvPr>
          <xdr:cNvSpPr txBox="1"/>
        </xdr:nvSpPr>
        <xdr:spPr>
          <a:xfrm>
            <a:off x="1752601" y="74752753"/>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B</a:t>
            </a:r>
          </a:p>
        </xdr:txBody>
      </xdr:sp>
      <xdr:sp macro="" textlink="">
        <xdr:nvSpPr>
          <xdr:cNvPr id="77" name="TextBox 76">
            <a:extLst>
              <a:ext uri="{FF2B5EF4-FFF2-40B4-BE49-F238E27FC236}">
                <a16:creationId xmlns:a16="http://schemas.microsoft.com/office/drawing/2014/main" id="{00000000-0008-0000-0000-000024000000}"/>
              </a:ext>
            </a:extLst>
          </xdr:cNvPr>
          <xdr:cNvSpPr txBox="1"/>
        </xdr:nvSpPr>
        <xdr:spPr>
          <a:xfrm>
            <a:off x="3933826" y="74743228"/>
            <a:ext cx="726802"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t>Wing C</a:t>
            </a:r>
          </a:p>
        </xdr:txBody>
      </xdr:sp>
    </xdr:grpSp>
    <xdr:clientData/>
  </xdr:twoCellAnchor>
  <xdr:twoCellAnchor>
    <xdr:from>
      <xdr:col>0</xdr:col>
      <xdr:colOff>182880</xdr:colOff>
      <xdr:row>357</xdr:row>
      <xdr:rowOff>76200</xdr:rowOff>
    </xdr:from>
    <xdr:to>
      <xdr:col>6</xdr:col>
      <xdr:colOff>2194560</xdr:colOff>
      <xdr:row>400</xdr:row>
      <xdr:rowOff>121920</xdr:rowOff>
    </xdr:to>
    <xdr:grpSp>
      <xdr:nvGrpSpPr>
        <xdr:cNvPr id="7" name="Group 6">
          <a:extLst>
            <a:ext uri="{FF2B5EF4-FFF2-40B4-BE49-F238E27FC236}">
              <a16:creationId xmlns:a16="http://schemas.microsoft.com/office/drawing/2014/main" id="{A706FC5D-2A6D-29AB-25C6-CDB5364F50F2}"/>
            </a:ext>
          </a:extLst>
        </xdr:cNvPr>
        <xdr:cNvGrpSpPr/>
      </xdr:nvGrpSpPr>
      <xdr:grpSpPr>
        <a:xfrm>
          <a:off x="182880" y="71993760"/>
          <a:ext cx="7254240" cy="7330440"/>
          <a:chOff x="154092" y="329961"/>
          <a:chExt cx="6902150" cy="5893444"/>
        </a:xfrm>
      </xdr:grpSpPr>
      <xdr:pic>
        <xdr:nvPicPr>
          <xdr:cNvPr id="8" name="Picture 7">
            <a:extLst>
              <a:ext uri="{FF2B5EF4-FFF2-40B4-BE49-F238E27FC236}">
                <a16:creationId xmlns:a16="http://schemas.microsoft.com/office/drawing/2014/main" id="{E5F76065-9F6D-CF14-4CF4-68E06D20122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472516" y="4949427"/>
            <a:ext cx="1690018" cy="1273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5D09FBDF-3C15-2696-A1B0-DC10A0D670A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516332" y="329961"/>
            <a:ext cx="2188047" cy="29092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7FA612E2-987E-2B50-E044-AE35A867475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84218" y="3374334"/>
            <a:ext cx="1083013"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57324B16-15AD-208F-F899-3BB2F65AA32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163481" y="3374334"/>
            <a:ext cx="1083012"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0459FCDA-D162-5480-D1B7-FD9FDC755D8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99339" y="3374334"/>
            <a:ext cx="1083012"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46D9F76F-4C93-F02F-6AAA-40AB170FD86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771230" y="3374334"/>
            <a:ext cx="1083013"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16A1D3A5-ACA0-5AB9-F0C4-181BBBE0832C}"/>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26314" y="4949427"/>
            <a:ext cx="1690018" cy="1273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a:extLst>
              <a:ext uri="{FF2B5EF4-FFF2-40B4-BE49-F238E27FC236}">
                <a16:creationId xmlns:a16="http://schemas.microsoft.com/office/drawing/2014/main" id="{09C7E75E-5114-DB3B-2473-D23B69DF57E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868195" y="329961"/>
            <a:ext cx="2188047" cy="29092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F3D40D05-6681-04AB-8C16-5BB12FCDA51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4092" y="329961"/>
            <a:ext cx="2188047" cy="29092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a:extLst>
              <a:ext uri="{FF2B5EF4-FFF2-40B4-BE49-F238E27FC236}">
                <a16:creationId xmlns:a16="http://schemas.microsoft.com/office/drawing/2014/main" id="{A473066A-EFE0-7323-5611-4BEA54F9AF1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642131" y="4949427"/>
            <a:ext cx="1696278" cy="1273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0</xdr:row>
      <xdr:rowOff>38100</xdr:rowOff>
    </xdr:from>
    <xdr:to>
      <xdr:col>8</xdr:col>
      <xdr:colOff>470643</xdr:colOff>
      <xdr:row>22</xdr:row>
      <xdr:rowOff>75750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438400" y="38100"/>
          <a:ext cx="2547093" cy="3600000"/>
        </a:xfrm>
        <a:prstGeom prst="rect">
          <a:avLst/>
        </a:prstGeom>
        <a:ln>
          <a:solidFill>
            <a:schemeClr val="tx1"/>
          </a:solidFill>
        </a:ln>
      </xdr:spPr>
    </xdr:pic>
    <xdr:clientData/>
  </xdr:twoCellAnchor>
  <xdr:twoCellAnchor editAs="oneCell">
    <xdr:from>
      <xdr:col>9</xdr:col>
      <xdr:colOff>13322</xdr:colOff>
      <xdr:row>0</xdr:row>
      <xdr:rowOff>38100</xdr:rowOff>
    </xdr:from>
    <xdr:to>
      <xdr:col>13</xdr:col>
      <xdr:colOff>498091</xdr:colOff>
      <xdr:row>22</xdr:row>
      <xdr:rowOff>75750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061572" y="38100"/>
          <a:ext cx="2618369" cy="3600000"/>
        </a:xfrm>
        <a:prstGeom prst="rect">
          <a:avLst/>
        </a:prstGeom>
        <a:ln>
          <a:solidFill>
            <a:schemeClr val="tx1"/>
          </a:solidFill>
        </a:ln>
      </xdr:spPr>
    </xdr:pic>
    <xdr:clientData/>
  </xdr:twoCellAnchor>
  <xdr:twoCellAnchor editAs="oneCell">
    <xdr:from>
      <xdr:col>8</xdr:col>
      <xdr:colOff>193765</xdr:colOff>
      <xdr:row>24</xdr:row>
      <xdr:rowOff>0</xdr:rowOff>
    </xdr:from>
    <xdr:to>
      <xdr:col>13</xdr:col>
      <xdr:colOff>110754</xdr:colOff>
      <xdr:row>52</xdr:row>
      <xdr:rowOff>38100</xdr:rowOff>
    </xdr:to>
    <xdr:pic>
      <xdr:nvPicPr>
        <xdr:cNvPr id="4" name="Picture 3" descr="G:\Pratu Office\Pratu Office Work\AXIS Apf\March 2021\AXIS29234 - OLD - Kendale Emeralds\insp-53282-922.jp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708615" y="3886200"/>
          <a:ext cx="2583989" cy="4572000"/>
        </a:xfrm>
        <a:prstGeom prst="rect">
          <a:avLst/>
        </a:prstGeom>
        <a:noFill/>
      </xdr:spPr>
    </xdr:pic>
    <xdr:clientData/>
  </xdr:twoCellAnchor>
  <xdr:twoCellAnchor editAs="oneCell">
    <xdr:from>
      <xdr:col>3</xdr:col>
      <xdr:colOff>0</xdr:colOff>
      <xdr:row>24</xdr:row>
      <xdr:rowOff>26127</xdr:rowOff>
    </xdr:from>
    <xdr:to>
      <xdr:col>7</xdr:col>
      <xdr:colOff>450389</xdr:colOff>
      <xdr:row>52</xdr:row>
      <xdr:rowOff>64227</xdr:rowOff>
    </xdr:to>
    <xdr:pic>
      <xdr:nvPicPr>
        <xdr:cNvPr id="5" name="Picture 4" descr="G:\Pratu Office\Pratu Office Work\AXIS Apf\March 2021\AXIS29234 - OLD - Kendale Emeralds\insp-53282-919.jp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1847850" y="3912327"/>
          <a:ext cx="2583989" cy="4572000"/>
        </a:xfrm>
        <a:prstGeom prst="rect">
          <a:avLst/>
        </a:prstGeom>
        <a:noFill/>
      </xdr:spPr>
    </xdr:pic>
    <xdr:clientData/>
  </xdr:twoCellAnchor>
  <xdr:twoCellAnchor editAs="oneCell">
    <xdr:from>
      <xdr:col>13</xdr:col>
      <xdr:colOff>333375</xdr:colOff>
      <xdr:row>23</xdr:row>
      <xdr:rowOff>142875</xdr:rowOff>
    </xdr:from>
    <xdr:to>
      <xdr:col>26</xdr:col>
      <xdr:colOff>247650</xdr:colOff>
      <xdr:row>47</xdr:row>
      <xdr:rowOff>133350</xdr:rowOff>
    </xdr:to>
    <xdr:pic>
      <xdr:nvPicPr>
        <xdr:cNvPr id="6" name="Picture 5" descr="G:\Pratu Office\Pratu Office Work\AXIS Apf\March 2021\AXIS29234 - OLD - Kendale Emeralds\insp-53282-925.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7515225" y="3867150"/>
          <a:ext cx="6848475" cy="3876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25</xdr:row>
      <xdr:rowOff>0</xdr:rowOff>
    </xdr:from>
    <xdr:to>
      <xdr:col>14</xdr:col>
      <xdr:colOff>209000</xdr:colOff>
      <xdr:row>37</xdr:row>
      <xdr:rowOff>102600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2990850"/>
          <a:ext cx="287600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maps/KK7tsqjqZRWzqJiw8" TargetMode="External"/><Relationship Id="rId1" Type="http://schemas.openxmlformats.org/officeDocument/2006/relationships/hyperlink" Target="mailto:axisbank@vsjadon.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7"/>
  <sheetViews>
    <sheetView tabSelected="1" view="pageBreakPreview" topLeftCell="A352" zoomScaleNormal="100" zoomScaleSheetLayoutView="100" zoomScalePageLayoutView="70" workbookViewId="0">
      <selection activeCell="J355" sqref="J355"/>
    </sheetView>
  </sheetViews>
  <sheetFormatPr defaultRowHeight="13.2" x14ac:dyDescent="0.25"/>
  <cols>
    <col min="1" max="1" width="17.44140625" customWidth="1"/>
    <col min="2" max="2" width="10.77734375" customWidth="1"/>
    <col min="3" max="3" width="15.6640625" customWidth="1"/>
    <col min="4" max="4" width="12.77734375" customWidth="1"/>
    <col min="5" max="5" width="12.44140625" customWidth="1"/>
    <col min="6" max="6" width="7.33203125" customWidth="1"/>
    <col min="7" max="7" width="35.33203125" customWidth="1"/>
    <col min="8" max="8" width="5.109375" customWidth="1"/>
    <col min="9" max="9" width="27.77734375" customWidth="1"/>
  </cols>
  <sheetData>
    <row r="1" spans="1:12" ht="45" customHeight="1" x14ac:dyDescent="0.25">
      <c r="A1" s="121" t="s">
        <v>255</v>
      </c>
      <c r="B1" s="122"/>
      <c r="C1" s="122"/>
      <c r="D1" s="122"/>
      <c r="E1" s="122"/>
      <c r="F1" s="122"/>
      <c r="G1" s="123"/>
      <c r="L1" s="67"/>
    </row>
    <row r="2" spans="1:12" ht="16.5" customHeight="1" x14ac:dyDescent="0.25">
      <c r="A2" s="124" t="s">
        <v>0</v>
      </c>
      <c r="B2" s="125"/>
      <c r="C2" s="125"/>
      <c r="D2" s="125"/>
      <c r="E2" s="125"/>
      <c r="F2" s="125"/>
      <c r="G2" s="126"/>
    </row>
    <row r="3" spans="1:12" ht="15" x14ac:dyDescent="0.25">
      <c r="A3" s="75" t="s">
        <v>1</v>
      </c>
      <c r="B3" s="76"/>
      <c r="C3" s="77"/>
      <c r="D3" s="127" t="str">
        <f ca="1">TEXT(TODAY(),"DD/MM/YYYY")</f>
        <v>19/08/2025</v>
      </c>
      <c r="E3" s="128"/>
      <c r="F3" s="128"/>
      <c r="G3" s="129"/>
    </row>
    <row r="4" spans="1:12" ht="15" x14ac:dyDescent="0.25">
      <c r="A4" s="75" t="s">
        <v>2</v>
      </c>
      <c r="B4" s="76"/>
      <c r="C4" s="77"/>
      <c r="D4" s="75" t="s">
        <v>3</v>
      </c>
      <c r="E4" s="76"/>
      <c r="F4" s="76"/>
      <c r="G4" s="77"/>
    </row>
    <row r="5" spans="1:12" ht="15" x14ac:dyDescent="0.25">
      <c r="A5" s="75" t="s">
        <v>4</v>
      </c>
      <c r="B5" s="76"/>
      <c r="C5" s="77"/>
      <c r="D5" s="130">
        <v>45883</v>
      </c>
      <c r="E5" s="131"/>
      <c r="F5" s="131"/>
      <c r="G5" s="132"/>
    </row>
    <row r="6" spans="1:12" ht="16.5" customHeight="1" x14ac:dyDescent="0.25">
      <c r="A6" s="75" t="s">
        <v>5</v>
      </c>
      <c r="B6" s="76"/>
      <c r="C6" s="77"/>
      <c r="D6" s="75" t="s">
        <v>254</v>
      </c>
      <c r="E6" s="76"/>
      <c r="F6" s="76"/>
      <c r="G6" s="77"/>
    </row>
    <row r="7" spans="1:12" ht="16.5" customHeight="1" x14ac:dyDescent="0.25">
      <c r="A7" s="75" t="s">
        <v>6</v>
      </c>
      <c r="B7" s="76"/>
      <c r="C7" s="77"/>
      <c r="D7" s="75" t="s">
        <v>254</v>
      </c>
      <c r="E7" s="76"/>
      <c r="F7" s="76"/>
      <c r="G7" s="77"/>
    </row>
    <row r="8" spans="1:12" ht="15" x14ac:dyDescent="0.25">
      <c r="A8" s="75" t="s">
        <v>7</v>
      </c>
      <c r="B8" s="76"/>
      <c r="C8" s="77"/>
      <c r="D8" s="113" t="s">
        <v>166</v>
      </c>
      <c r="E8" s="114"/>
      <c r="F8" s="114"/>
      <c r="G8" s="115"/>
    </row>
    <row r="9" spans="1:12" ht="16.5" customHeight="1" x14ac:dyDescent="0.25">
      <c r="A9" s="75" t="s">
        <v>256</v>
      </c>
      <c r="B9" s="76"/>
      <c r="C9" s="77"/>
      <c r="D9" s="75" t="s">
        <v>8</v>
      </c>
      <c r="E9" s="76"/>
      <c r="F9" s="76"/>
      <c r="G9" s="77"/>
    </row>
    <row r="10" spans="1:12" ht="16.5" hidden="1" customHeight="1" x14ac:dyDescent="0.25">
      <c r="A10" s="75" t="s">
        <v>259</v>
      </c>
      <c r="B10" s="76"/>
      <c r="C10" s="77"/>
      <c r="D10" s="75" t="s">
        <v>260</v>
      </c>
      <c r="E10" s="76"/>
      <c r="F10" s="76"/>
      <c r="G10" s="77"/>
    </row>
    <row r="11" spans="1:12" ht="75.75" customHeight="1" x14ac:dyDescent="0.25">
      <c r="A11" s="75" t="s">
        <v>9</v>
      </c>
      <c r="B11" s="76"/>
      <c r="C11" s="77"/>
      <c r="D11" s="75" t="s">
        <v>116</v>
      </c>
      <c r="E11" s="76"/>
      <c r="F11" s="76"/>
      <c r="G11" s="77"/>
    </row>
    <row r="12" spans="1:12" ht="16.5" customHeight="1" x14ac:dyDescent="0.25">
      <c r="A12" s="75" t="s">
        <v>10</v>
      </c>
      <c r="B12" s="76"/>
      <c r="C12" s="77"/>
      <c r="D12" s="75" t="s">
        <v>11</v>
      </c>
      <c r="E12" s="76"/>
      <c r="F12" s="76"/>
      <c r="G12" s="77"/>
    </row>
    <row r="13" spans="1:12" ht="33" customHeight="1" x14ac:dyDescent="0.25">
      <c r="A13" s="75" t="s">
        <v>12</v>
      </c>
      <c r="B13" s="76"/>
      <c r="C13" s="77"/>
      <c r="D13" s="98" t="s">
        <v>13</v>
      </c>
      <c r="E13" s="99"/>
      <c r="F13" s="99"/>
      <c r="G13" s="100"/>
    </row>
    <row r="14" spans="1:12" ht="30.9" customHeight="1" x14ac:dyDescent="0.25">
      <c r="A14" s="3" t="s">
        <v>14</v>
      </c>
      <c r="B14" s="75" t="s">
        <v>15</v>
      </c>
      <c r="C14" s="76"/>
      <c r="D14" s="76"/>
      <c r="E14" s="76"/>
      <c r="F14" s="76"/>
      <c r="G14" s="77"/>
    </row>
    <row r="15" spans="1:12" ht="16.5" customHeight="1" x14ac:dyDescent="0.25">
      <c r="A15" s="3" t="s">
        <v>16</v>
      </c>
      <c r="B15" s="75" t="s">
        <v>17</v>
      </c>
      <c r="C15" s="76"/>
      <c r="D15" s="76"/>
      <c r="E15" s="76"/>
      <c r="F15" s="76"/>
      <c r="G15" s="77"/>
    </row>
    <row r="16" spans="1:12" ht="16.5" customHeight="1" x14ac:dyDescent="0.25">
      <c r="A16" s="3" t="s">
        <v>18</v>
      </c>
      <c r="B16" s="75" t="s">
        <v>19</v>
      </c>
      <c r="C16" s="77"/>
      <c r="D16" s="75" t="s">
        <v>20</v>
      </c>
      <c r="E16" s="77"/>
      <c r="F16" s="75" t="s">
        <v>21</v>
      </c>
      <c r="G16" s="77"/>
    </row>
    <row r="17" spans="1:10" ht="16.5" customHeight="1" x14ac:dyDescent="0.25">
      <c r="A17" s="3" t="s">
        <v>22</v>
      </c>
      <c r="B17" s="75" t="s">
        <v>23</v>
      </c>
      <c r="C17" s="77"/>
      <c r="D17" s="75" t="s">
        <v>24</v>
      </c>
      <c r="E17" s="77"/>
      <c r="F17" s="75" t="s">
        <v>25</v>
      </c>
      <c r="G17" s="77"/>
      <c r="J17" s="71"/>
    </row>
    <row r="18" spans="1:10" ht="16.5" customHeight="1" x14ac:dyDescent="0.25">
      <c r="A18" s="3" t="s">
        <v>26</v>
      </c>
      <c r="B18" s="75" t="s">
        <v>27</v>
      </c>
      <c r="C18" s="77"/>
      <c r="D18" s="75" t="s">
        <v>28</v>
      </c>
      <c r="E18" s="77"/>
      <c r="F18" s="78">
        <v>421503</v>
      </c>
      <c r="G18" s="80"/>
    </row>
    <row r="19" spans="1:10" ht="33" customHeight="1" x14ac:dyDescent="0.25">
      <c r="A19" s="3" t="s">
        <v>29</v>
      </c>
      <c r="B19" s="75" t="s">
        <v>30</v>
      </c>
      <c r="C19" s="77"/>
      <c r="D19" s="98" t="s">
        <v>31</v>
      </c>
      <c r="E19" s="100"/>
      <c r="F19" s="98" t="s">
        <v>32</v>
      </c>
      <c r="G19" s="100"/>
    </row>
    <row r="20" spans="1:10" ht="30.9" customHeight="1" x14ac:dyDescent="0.25">
      <c r="A20" s="75" t="s">
        <v>33</v>
      </c>
      <c r="B20" s="76"/>
      <c r="C20" s="77"/>
      <c r="D20" s="75" t="s">
        <v>34</v>
      </c>
      <c r="E20" s="76"/>
      <c r="F20" s="76"/>
      <c r="G20" s="77"/>
    </row>
    <row r="21" spans="1:10" ht="33" customHeight="1" x14ac:dyDescent="0.25">
      <c r="A21" s="98" t="s">
        <v>35</v>
      </c>
      <c r="B21" s="99"/>
      <c r="C21" s="100"/>
      <c r="D21" s="75" t="s">
        <v>36</v>
      </c>
      <c r="E21" s="76"/>
      <c r="F21" s="76"/>
      <c r="G21" s="77"/>
    </row>
    <row r="22" spans="1:10" ht="16.5" customHeight="1" x14ac:dyDescent="0.25">
      <c r="A22" s="75" t="s">
        <v>37</v>
      </c>
      <c r="B22" s="76"/>
      <c r="C22" s="77"/>
      <c r="D22" s="75" t="s">
        <v>38</v>
      </c>
      <c r="E22" s="76"/>
      <c r="F22" s="76"/>
      <c r="G22" s="77"/>
    </row>
    <row r="23" spans="1:10" ht="16.5" customHeight="1" x14ac:dyDescent="0.25">
      <c r="A23" s="75" t="s">
        <v>39</v>
      </c>
      <c r="B23" s="76"/>
      <c r="C23" s="77"/>
      <c r="D23" s="75" t="s">
        <v>40</v>
      </c>
      <c r="E23" s="76"/>
      <c r="F23" s="76"/>
      <c r="G23" s="77"/>
    </row>
    <row r="24" spans="1:10" ht="16.5" customHeight="1" x14ac:dyDescent="0.25">
      <c r="A24" s="75" t="s">
        <v>41</v>
      </c>
      <c r="B24" s="76"/>
      <c r="C24" s="77"/>
      <c r="D24" s="75" t="s">
        <v>42</v>
      </c>
      <c r="E24" s="76"/>
      <c r="F24" s="76"/>
      <c r="G24" s="77"/>
    </row>
    <row r="25" spans="1:10" ht="16.5" customHeight="1" x14ac:dyDescent="0.25">
      <c r="A25" s="75" t="s">
        <v>43</v>
      </c>
      <c r="B25" s="76"/>
      <c r="C25" s="77"/>
      <c r="D25" s="75" t="s">
        <v>44</v>
      </c>
      <c r="E25" s="76"/>
      <c r="F25" s="76"/>
      <c r="G25" s="77"/>
    </row>
    <row r="26" spans="1:10" ht="16.5" customHeight="1" x14ac:dyDescent="0.25">
      <c r="A26" s="4" t="s">
        <v>45</v>
      </c>
      <c r="B26" s="5" t="s">
        <v>46</v>
      </c>
      <c r="C26" s="133" t="s">
        <v>47</v>
      </c>
      <c r="D26" s="134"/>
      <c r="E26" s="133" t="s">
        <v>48</v>
      </c>
      <c r="F26" s="134"/>
      <c r="G26" s="5" t="s">
        <v>49</v>
      </c>
    </row>
    <row r="27" spans="1:10" ht="16.5" customHeight="1" x14ac:dyDescent="0.25">
      <c r="A27" s="6" t="s">
        <v>50</v>
      </c>
      <c r="B27" s="5" t="s">
        <v>51</v>
      </c>
      <c r="C27" s="133" t="s">
        <v>51</v>
      </c>
      <c r="D27" s="134"/>
      <c r="E27" s="133" t="s">
        <v>51</v>
      </c>
      <c r="F27" s="134"/>
      <c r="G27" s="5" t="s">
        <v>51</v>
      </c>
    </row>
    <row r="28" spans="1:10" ht="33" customHeight="1" x14ac:dyDescent="0.25">
      <c r="A28" s="5" t="s">
        <v>52</v>
      </c>
      <c r="B28" s="5" t="s">
        <v>18</v>
      </c>
      <c r="C28" s="133" t="s">
        <v>53</v>
      </c>
      <c r="D28" s="134"/>
      <c r="E28" s="135" t="s">
        <v>54</v>
      </c>
      <c r="F28" s="136"/>
      <c r="G28" s="1" t="s">
        <v>55</v>
      </c>
    </row>
    <row r="29" spans="1:10" ht="16.5" customHeight="1" x14ac:dyDescent="0.25">
      <c r="A29" s="75" t="s">
        <v>56</v>
      </c>
      <c r="B29" s="76"/>
      <c r="C29" s="76"/>
      <c r="D29" s="76"/>
      <c r="E29" s="76"/>
      <c r="F29" s="76"/>
      <c r="G29" s="77"/>
    </row>
    <row r="30" spans="1:10" ht="16.5" customHeight="1" x14ac:dyDescent="0.25">
      <c r="A30" s="75" t="s">
        <v>57</v>
      </c>
      <c r="B30" s="76"/>
      <c r="C30" s="76"/>
      <c r="D30" s="76"/>
      <c r="E30" s="76"/>
      <c r="F30" s="76"/>
      <c r="G30" s="77"/>
    </row>
    <row r="31" spans="1:10" ht="15" x14ac:dyDescent="0.25">
      <c r="A31" s="113" t="s">
        <v>258</v>
      </c>
      <c r="B31" s="115"/>
      <c r="C31" s="75" t="s">
        <v>262</v>
      </c>
      <c r="D31" s="76"/>
      <c r="E31" s="76"/>
      <c r="F31" s="76"/>
      <c r="G31" s="77"/>
    </row>
    <row r="32" spans="1:10" ht="15" customHeight="1" x14ac:dyDescent="0.25">
      <c r="A32" s="113" t="s">
        <v>257</v>
      </c>
      <c r="B32" s="115"/>
      <c r="C32" s="137" t="s">
        <v>261</v>
      </c>
      <c r="D32" s="138"/>
      <c r="E32" s="138"/>
      <c r="F32" s="138"/>
      <c r="G32" s="139"/>
    </row>
    <row r="33" spans="1:7" ht="16.5" customHeight="1" x14ac:dyDescent="0.25">
      <c r="A33" s="113" t="s">
        <v>58</v>
      </c>
      <c r="B33" s="114"/>
      <c r="C33" s="114"/>
      <c r="D33" s="114"/>
      <c r="E33" s="114"/>
      <c r="F33" s="114"/>
      <c r="G33" s="115"/>
    </row>
    <row r="34" spans="1:7" ht="16.5" customHeight="1" x14ac:dyDescent="0.25">
      <c r="A34" s="75" t="s">
        <v>59</v>
      </c>
      <c r="B34" s="76"/>
      <c r="C34" s="77"/>
      <c r="D34" s="75" t="s">
        <v>60</v>
      </c>
      <c r="E34" s="76"/>
      <c r="F34" s="76"/>
      <c r="G34" s="77"/>
    </row>
    <row r="35" spans="1:7" ht="15" x14ac:dyDescent="0.25">
      <c r="A35" s="75" t="s">
        <v>61</v>
      </c>
      <c r="B35" s="76"/>
      <c r="C35" s="77"/>
      <c r="D35" s="75" t="s">
        <v>62</v>
      </c>
      <c r="E35" s="76"/>
      <c r="F35" s="76"/>
      <c r="G35" s="77"/>
    </row>
    <row r="36" spans="1:7" ht="15" x14ac:dyDescent="0.25">
      <c r="A36" s="113" t="s">
        <v>63</v>
      </c>
      <c r="B36" s="114"/>
      <c r="C36" s="114"/>
      <c r="D36" s="114"/>
      <c r="E36" s="114"/>
      <c r="F36" s="114"/>
      <c r="G36" s="115"/>
    </row>
    <row r="37" spans="1:7" ht="15" x14ac:dyDescent="0.25">
      <c r="A37" s="75" t="s">
        <v>64</v>
      </c>
      <c r="B37" s="76"/>
      <c r="C37" s="77"/>
      <c r="D37" s="143">
        <v>8400</v>
      </c>
      <c r="E37" s="144"/>
      <c r="F37" s="144"/>
      <c r="G37" s="145"/>
    </row>
    <row r="38" spans="1:7" ht="15" x14ac:dyDescent="0.25">
      <c r="A38" s="75" t="s">
        <v>65</v>
      </c>
      <c r="B38" s="76"/>
      <c r="C38" s="77"/>
      <c r="D38" s="140">
        <v>1.6</v>
      </c>
      <c r="E38" s="141"/>
      <c r="F38" s="141"/>
      <c r="G38" s="142"/>
    </row>
    <row r="39" spans="1:7" ht="15" x14ac:dyDescent="0.25">
      <c r="A39" s="75" t="s">
        <v>66</v>
      </c>
      <c r="B39" s="76"/>
      <c r="C39" s="77"/>
      <c r="D39" s="140">
        <v>0.5</v>
      </c>
      <c r="E39" s="141"/>
      <c r="F39" s="141"/>
      <c r="G39" s="142"/>
    </row>
    <row r="40" spans="1:7" ht="15" x14ac:dyDescent="0.25">
      <c r="A40" s="75" t="s">
        <v>67</v>
      </c>
      <c r="B40" s="76"/>
      <c r="C40" s="77"/>
      <c r="D40" s="140">
        <v>1.6</v>
      </c>
      <c r="E40" s="141"/>
      <c r="F40" s="141"/>
      <c r="G40" s="142"/>
    </row>
    <row r="41" spans="1:7" ht="15" x14ac:dyDescent="0.25">
      <c r="A41" s="75" t="s">
        <v>68</v>
      </c>
      <c r="B41" s="76"/>
      <c r="C41" s="77"/>
      <c r="D41" s="143">
        <v>20700.580000000002</v>
      </c>
      <c r="E41" s="144"/>
      <c r="F41" s="144"/>
      <c r="G41" s="145"/>
    </row>
    <row r="42" spans="1:7" ht="15" x14ac:dyDescent="0.25">
      <c r="A42" s="75" t="s">
        <v>69</v>
      </c>
      <c r="B42" s="76"/>
      <c r="C42" s="77"/>
      <c r="D42" s="75" t="s">
        <v>70</v>
      </c>
      <c r="E42" s="76"/>
      <c r="F42" s="76"/>
      <c r="G42" s="77"/>
    </row>
    <row r="43" spans="1:7" ht="15" x14ac:dyDescent="0.25">
      <c r="A43" s="113" t="s">
        <v>71</v>
      </c>
      <c r="B43" s="114"/>
      <c r="C43" s="114"/>
      <c r="D43" s="114"/>
      <c r="E43" s="114"/>
      <c r="F43" s="114"/>
      <c r="G43" s="115"/>
    </row>
    <row r="44" spans="1:7" ht="30" x14ac:dyDescent="0.25">
      <c r="A44" s="3" t="s">
        <v>72</v>
      </c>
      <c r="B44" s="75" t="s">
        <v>203</v>
      </c>
      <c r="C44" s="76"/>
      <c r="D44" s="77"/>
      <c r="E44" s="3" t="s">
        <v>73</v>
      </c>
      <c r="F44" s="127">
        <v>44645</v>
      </c>
      <c r="G44" s="77"/>
    </row>
    <row r="45" spans="1:7" ht="30" x14ac:dyDescent="0.25">
      <c r="A45" s="3" t="s">
        <v>164</v>
      </c>
      <c r="B45" s="75" t="str">
        <f>B44</f>
        <v>KBNP/NRV/BP/2596-230</v>
      </c>
      <c r="C45" s="76"/>
      <c r="D45" s="77"/>
      <c r="E45" s="3" t="s">
        <v>73</v>
      </c>
      <c r="F45" s="127">
        <f>F44</f>
        <v>44645</v>
      </c>
      <c r="G45" s="77"/>
    </row>
    <row r="46" spans="1:7" ht="15" x14ac:dyDescent="0.25">
      <c r="A46" s="146" t="s">
        <v>250</v>
      </c>
      <c r="B46" s="75" t="s">
        <v>204</v>
      </c>
      <c r="C46" s="99"/>
      <c r="D46" s="100"/>
      <c r="E46" s="3" t="s">
        <v>73</v>
      </c>
      <c r="F46" s="127">
        <v>44645</v>
      </c>
      <c r="G46" s="77" t="s">
        <v>75</v>
      </c>
    </row>
    <row r="47" spans="1:7" ht="91.5" customHeight="1" x14ac:dyDescent="0.25">
      <c r="A47" s="147"/>
      <c r="B47" s="75" t="s">
        <v>251</v>
      </c>
      <c r="C47" s="76"/>
      <c r="D47" s="76"/>
      <c r="E47" s="76"/>
      <c r="F47" s="76"/>
      <c r="G47" s="77"/>
    </row>
    <row r="48" spans="1:7" ht="13.5" customHeight="1" x14ac:dyDescent="0.25">
      <c r="A48" s="3" t="s">
        <v>76</v>
      </c>
      <c r="B48" s="75" t="s">
        <v>51</v>
      </c>
      <c r="C48" s="76"/>
      <c r="D48" s="77"/>
      <c r="E48" s="3" t="s">
        <v>73</v>
      </c>
      <c r="F48" s="75" t="s">
        <v>51</v>
      </c>
      <c r="G48" s="77"/>
    </row>
    <row r="49" spans="1:12" ht="30" customHeight="1" x14ac:dyDescent="0.25">
      <c r="A49" s="75" t="s">
        <v>77</v>
      </c>
      <c r="B49" s="77"/>
      <c r="C49" s="5" t="s">
        <v>74</v>
      </c>
      <c r="D49" s="75" t="s">
        <v>78</v>
      </c>
      <c r="E49" s="77"/>
      <c r="F49" s="75" t="s">
        <v>266</v>
      </c>
      <c r="G49" s="100"/>
    </row>
    <row r="50" spans="1:12" ht="15" x14ac:dyDescent="0.25">
      <c r="A50" s="113" t="s">
        <v>79</v>
      </c>
      <c r="B50" s="114"/>
      <c r="C50" s="114"/>
      <c r="D50" s="114"/>
      <c r="E50" s="114"/>
      <c r="F50" s="114"/>
      <c r="G50" s="115"/>
    </row>
    <row r="51" spans="1:12" ht="32.25" customHeight="1" x14ac:dyDescent="0.25">
      <c r="A51" s="75" t="s">
        <v>80</v>
      </c>
      <c r="B51" s="77"/>
      <c r="C51" s="7">
        <v>11949.92</v>
      </c>
      <c r="D51" s="75" t="s">
        <v>205</v>
      </c>
      <c r="E51" s="77"/>
      <c r="F51" s="157" t="s">
        <v>252</v>
      </c>
      <c r="G51" s="158"/>
    </row>
    <row r="52" spans="1:12" ht="75" customHeight="1" x14ac:dyDescent="0.25">
      <c r="A52" s="3" t="s">
        <v>81</v>
      </c>
      <c r="B52" s="75" t="s">
        <v>206</v>
      </c>
      <c r="C52" s="76"/>
      <c r="D52" s="76"/>
      <c r="E52" s="76"/>
      <c r="F52" s="76"/>
      <c r="G52" s="77"/>
    </row>
    <row r="53" spans="1:12" ht="76.5" customHeight="1" x14ac:dyDescent="0.25">
      <c r="A53" s="3" t="s">
        <v>244</v>
      </c>
      <c r="B53" s="75" t="s">
        <v>249</v>
      </c>
      <c r="C53" s="76"/>
      <c r="D53" s="76"/>
      <c r="E53" s="76"/>
      <c r="F53" s="76"/>
      <c r="G53" s="77"/>
    </row>
    <row r="54" spans="1:12" ht="15" x14ac:dyDescent="0.25">
      <c r="A54" s="153" t="s">
        <v>198</v>
      </c>
      <c r="B54" s="154"/>
      <c r="C54" s="153" t="s">
        <v>199</v>
      </c>
      <c r="D54" s="155"/>
      <c r="E54" s="155"/>
      <c r="F54" s="155"/>
      <c r="G54" s="154"/>
    </row>
    <row r="55" spans="1:12" ht="15.6" thickBot="1" x14ac:dyDescent="0.3">
      <c r="A55" s="156" t="s">
        <v>82</v>
      </c>
      <c r="B55" s="156"/>
      <c r="C55" s="156"/>
      <c r="D55" s="156"/>
      <c r="E55" s="156"/>
      <c r="F55" s="156"/>
      <c r="G55" s="156"/>
    </row>
    <row r="56" spans="1:12" ht="15.6" x14ac:dyDescent="0.3">
      <c r="A56" s="165" t="s">
        <v>173</v>
      </c>
      <c r="B56" s="148"/>
      <c r="C56" s="148" t="s">
        <v>263</v>
      </c>
      <c r="D56" s="148"/>
      <c r="E56" s="148"/>
      <c r="F56" s="148"/>
      <c r="G56" s="149"/>
      <c r="H56" s="36"/>
      <c r="I56" s="30" t="str">
        <f ca="1">(IF(E60&gt;99%,"All work completed. Please provide OC.",IF(E60&gt;89.8%,"Plinth, RCC, Brick, Plaster, Flooring, Painting work Completed. Finishing work is in process.",IF(E60&lt;94%,(IF(C60=0,"Work not yet Started.",IF(D60=25%,"Piling work in process",IF(D60=50%,"Excavation work in process",IF(D60=100%,"Excavation work Completed. ","0")))&amp;(IF(C61=0%,"",IF(C61=J62,"Footing work is process",IF(C61=J63,"Footing work Completed",IF(C61=J64,"1st Basement Completed",IF(C61=J65,"1st &amp; 2nd Basement Completed",IF(C61=J66,"1st to 3rd Basement Completed",IF(C61=J67,"1st to 4th Basement Completed",IF(C61=J68,"Plinth work is process",IF(C61=J69,"Plinth work completed","0")))))))))))&amp;(IF(C62=(D57+F57+H57),", RCC Slab",IF(C62&gt;0,", RCC upto "&amp;C62&amp;" Slab",""))&amp;(IF(C63=H57,", Brickwork",IF(C63&gt;0,", Brickwork upto "&amp;C63&amp;" Floor",""))&amp;(IF(C64=H57,", Internal Plaster",IF(C64&gt;0,", Internal Plaster upto "&amp;C64&amp;" Floor",""))&amp;(IF(C65=H57,", External Plaster",IF(C65&gt;0,", External Plaster upto "&amp;C65&amp;" Floor",""))&amp;(IF(C66=H57,", Flooring",IF(C66&gt;0,", Flooring upto "&amp;C66&amp;" Floor",""))&amp;(IF(C67=H57,", Painting",IF(C67&gt;0,", Painting upto "&amp;C67&amp;" Floor",""))&amp;(IF(C68&gt;0,", Finishing upto "&amp;C68&amp;" Floor","")&amp;(IF(C62&gt;0.5," Completed",""))))))))))))))</f>
        <v>All work completed. Please provide OC.</v>
      </c>
      <c r="J56" s="52"/>
      <c r="K56" s="30"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0, RCC Slab, Brickwork upto 8 Floor, Internal Plaster upto 8 Floor, External Plaster upto 8 Floor, Flooring upto 8 Floor, Painting upto 8 Floor, Finishing upto 8 Floor Completed</v>
      </c>
      <c r="L56" s="52"/>
    </row>
    <row r="57" spans="1:12" ht="15.6" x14ac:dyDescent="0.3">
      <c r="A57" s="44" t="s">
        <v>117</v>
      </c>
      <c r="B57" s="42">
        <v>0</v>
      </c>
      <c r="C57" s="42" t="s">
        <v>119</v>
      </c>
      <c r="D57" s="42">
        <v>1</v>
      </c>
      <c r="E57" s="150" t="s">
        <v>174</v>
      </c>
      <c r="F57" s="150"/>
      <c r="G57" s="35">
        <v>8</v>
      </c>
      <c r="H57" s="34">
        <f ca="1">--TRIM(RIGHT(SUBSTITUTE(LEFT(C56,_xlfn.AGGREGATE(16,6,FIND({0,1,2,3,4,5,6,7,8,9},C56,ROW(INDIRECT("1:"&amp;LEN(C56)))),1))," ",REPT(" ",LEN(C56))),LEN(C56)))</f>
        <v>8</v>
      </c>
      <c r="I57" s="31"/>
      <c r="J57" s="53"/>
      <c r="K57" s="31"/>
      <c r="L57" s="53"/>
    </row>
    <row r="58" spans="1:12" ht="18" customHeight="1" x14ac:dyDescent="0.3">
      <c r="A58" s="151" t="s">
        <v>175</v>
      </c>
      <c r="B58" s="152"/>
      <c r="C58" s="161" t="str">
        <f ca="1">I56</f>
        <v>All work completed. Please provide OC.</v>
      </c>
      <c r="D58" s="161"/>
      <c r="E58" s="161"/>
      <c r="F58" s="161"/>
      <c r="G58" s="162"/>
      <c r="H58" s="37"/>
      <c r="I58" s="31" t="s">
        <v>176</v>
      </c>
      <c r="J58" s="53"/>
      <c r="K58" s="31" t="s">
        <v>176</v>
      </c>
      <c r="L58" s="53"/>
    </row>
    <row r="59" spans="1:12" ht="15.75" hidden="1" customHeight="1" x14ac:dyDescent="0.3">
      <c r="A59" s="119" t="s">
        <v>165</v>
      </c>
      <c r="B59" s="120"/>
      <c r="C59" s="43" t="s">
        <v>177</v>
      </c>
      <c r="D59" s="43" t="s">
        <v>178</v>
      </c>
      <c r="E59" s="120" t="s">
        <v>179</v>
      </c>
      <c r="F59" s="120"/>
      <c r="G59" s="70" t="s">
        <v>180</v>
      </c>
      <c r="H59" s="38"/>
      <c r="I59" s="32" t="s">
        <v>181</v>
      </c>
      <c r="J59" s="54">
        <f ca="1">H57*25%</f>
        <v>2</v>
      </c>
      <c r="K59" s="32" t="s">
        <v>181</v>
      </c>
      <c r="L59" s="54">
        <f>I57*25%</f>
        <v>0</v>
      </c>
    </row>
    <row r="60" spans="1:12" ht="15.6" hidden="1" x14ac:dyDescent="0.3">
      <c r="A60" s="119" t="s">
        <v>182</v>
      </c>
      <c r="B60" s="120"/>
      <c r="C60" s="55">
        <f ca="1">J61</f>
        <v>8</v>
      </c>
      <c r="D60" s="56">
        <f ca="1">((100/H57)*C60)/100</f>
        <v>1</v>
      </c>
      <c r="E60" s="159">
        <f ca="1">(((C61/H57*10)+(40/(D57+F57+H57)*C62)+(7.5/(H57)*C63)+(7.5/(H57)*C64)+(10/H57*C65)+(10/H57*C66)+(5/H57*C67)+(5/H57*C68)+(5/H57*C69))/100)</f>
        <v>1</v>
      </c>
      <c r="F60" s="159"/>
      <c r="G60" s="163">
        <f ca="1">((((C60/H57)*20)+((C61/H57)*25)+(30/(H57+F57+D57)*C62)+(5/H57*C63)+(5/H57*C64)+(5/H57*C65)+(5/H57*C66)+(0/H57*C67)+(0/H57*C68)+(5/H57*C69))/100)</f>
        <v>1</v>
      </c>
      <c r="H60" s="57"/>
      <c r="I60" s="32" t="s">
        <v>156</v>
      </c>
      <c r="J60" s="58">
        <f ca="1">H57*50%</f>
        <v>4</v>
      </c>
      <c r="K60" s="32" t="s">
        <v>156</v>
      </c>
      <c r="L60" s="58">
        <f>I57*50%</f>
        <v>0</v>
      </c>
    </row>
    <row r="61" spans="1:12" ht="15.6" hidden="1" x14ac:dyDescent="0.3">
      <c r="A61" s="119" t="s">
        <v>149</v>
      </c>
      <c r="B61" s="120"/>
      <c r="C61" s="59">
        <f ca="1">J69</f>
        <v>8</v>
      </c>
      <c r="D61" s="56">
        <f ca="1">((100/H57)*C61)/100</f>
        <v>1</v>
      </c>
      <c r="E61" s="159"/>
      <c r="F61" s="159"/>
      <c r="G61" s="163"/>
      <c r="H61" s="57"/>
      <c r="I61" s="32" t="s">
        <v>159</v>
      </c>
      <c r="J61" s="58">
        <f ca="1">H57</f>
        <v>8</v>
      </c>
      <c r="K61" s="32" t="s">
        <v>159</v>
      </c>
      <c r="L61" s="58">
        <f>I57</f>
        <v>0</v>
      </c>
    </row>
    <row r="62" spans="1:12" ht="15.75" hidden="1" customHeight="1" x14ac:dyDescent="0.3">
      <c r="A62" s="166" t="s">
        <v>183</v>
      </c>
      <c r="B62" s="150"/>
      <c r="C62" s="59">
        <v>9</v>
      </c>
      <c r="D62" s="56">
        <f ca="1">((100/(D57+F57+H57))*C62)/100</f>
        <v>1</v>
      </c>
      <c r="E62" s="159"/>
      <c r="F62" s="159"/>
      <c r="G62" s="163"/>
      <c r="H62" s="57"/>
      <c r="I62" s="32" t="s">
        <v>160</v>
      </c>
      <c r="J62" s="60">
        <f ca="1">(IF(B57&gt;1,(H57/(B57+2)),H57/4))</f>
        <v>2</v>
      </c>
      <c r="K62" s="32" t="s">
        <v>160</v>
      </c>
      <c r="L62" s="60">
        <f>(IF(B57&gt;1,(I57/(B57+2)),I57/4))</f>
        <v>0</v>
      </c>
    </row>
    <row r="63" spans="1:12" ht="15.75" hidden="1" customHeight="1" x14ac:dyDescent="0.3">
      <c r="A63" s="119" t="s">
        <v>184</v>
      </c>
      <c r="B63" s="120" t="s">
        <v>185</v>
      </c>
      <c r="C63" s="55">
        <v>8</v>
      </c>
      <c r="D63" s="56">
        <f ca="1">((100/H57)*C63)/100</f>
        <v>1</v>
      </c>
      <c r="E63" s="159"/>
      <c r="F63" s="159"/>
      <c r="G63" s="163"/>
      <c r="H63" s="57"/>
      <c r="I63" s="32" t="s">
        <v>161</v>
      </c>
      <c r="J63" s="60">
        <f ca="1">(IF(B57&gt;1,(H57/(B57+2)+J62),H57/4+J62))</f>
        <v>4</v>
      </c>
      <c r="K63" s="32" t="s">
        <v>161</v>
      </c>
      <c r="L63" s="60">
        <f>(IF(B57&gt;1,(I57/(B57+2)+L62),I57/4+L62))</f>
        <v>0</v>
      </c>
    </row>
    <row r="64" spans="1:12" ht="15.75" hidden="1" customHeight="1" x14ac:dyDescent="0.3">
      <c r="A64" s="119" t="s">
        <v>186</v>
      </c>
      <c r="B64" s="120" t="s">
        <v>185</v>
      </c>
      <c r="C64" s="55">
        <v>8</v>
      </c>
      <c r="D64" s="56">
        <f ca="1">((100/H57)*C64)/100</f>
        <v>1</v>
      </c>
      <c r="E64" s="159"/>
      <c r="F64" s="159"/>
      <c r="G64" s="163"/>
      <c r="H64" s="57"/>
      <c r="I64" s="32" t="s">
        <v>187</v>
      </c>
      <c r="J64" s="60">
        <f>(IF(B57&gt;1,(H57/(B57+2)+J63),0))</f>
        <v>0</v>
      </c>
      <c r="K64" s="32" t="s">
        <v>187</v>
      </c>
      <c r="L64" s="60">
        <f>(IF(B57&gt;1,(I57/(B57+2)+L63),0))</f>
        <v>0</v>
      </c>
    </row>
    <row r="65" spans="1:12" ht="15.75" hidden="1" customHeight="1" x14ac:dyDescent="0.3">
      <c r="A65" s="119" t="s">
        <v>188</v>
      </c>
      <c r="B65" s="120" t="s">
        <v>189</v>
      </c>
      <c r="C65" s="55">
        <v>8</v>
      </c>
      <c r="D65" s="56">
        <f ca="1">((100/(H57))*C65)/100</f>
        <v>1</v>
      </c>
      <c r="E65" s="159"/>
      <c r="F65" s="159"/>
      <c r="G65" s="163"/>
      <c r="H65" s="57"/>
      <c r="I65" s="32" t="s">
        <v>190</v>
      </c>
      <c r="J65" s="60">
        <f>(IF(B57&gt;2,(H57/(B57+2)+J64),0))</f>
        <v>0</v>
      </c>
      <c r="K65" s="32" t="s">
        <v>190</v>
      </c>
      <c r="L65" s="60">
        <f>(IF(B57&gt;2,(I57/(B57+2)+L64),0))</f>
        <v>0</v>
      </c>
    </row>
    <row r="66" spans="1:12" ht="15.75" hidden="1" customHeight="1" x14ac:dyDescent="0.3">
      <c r="A66" s="119" t="s">
        <v>191</v>
      </c>
      <c r="B66" s="120" t="s">
        <v>191</v>
      </c>
      <c r="C66" s="55">
        <v>8</v>
      </c>
      <c r="D66" s="56">
        <f ca="1">((100/H57)*C66)/100</f>
        <v>1</v>
      </c>
      <c r="E66" s="159"/>
      <c r="F66" s="159"/>
      <c r="G66" s="163"/>
      <c r="H66" s="57"/>
      <c r="I66" s="32" t="s">
        <v>192</v>
      </c>
      <c r="J66" s="61">
        <f>(IF(B57&gt;3,(H57/(B57+2)+J65),0))</f>
        <v>0</v>
      </c>
      <c r="K66" s="32" t="s">
        <v>192</v>
      </c>
      <c r="L66" s="61">
        <f>(IF(B57&gt;3,(I57/(B57+2)+L65),0))</f>
        <v>0</v>
      </c>
    </row>
    <row r="67" spans="1:12" ht="15" hidden="1" customHeight="1" x14ac:dyDescent="0.3">
      <c r="A67" s="119" t="s">
        <v>193</v>
      </c>
      <c r="B67" s="120"/>
      <c r="C67" s="55">
        <v>8</v>
      </c>
      <c r="D67" s="56">
        <f ca="1">((100/H57)*C67)/100</f>
        <v>1</v>
      </c>
      <c r="E67" s="159"/>
      <c r="F67" s="159"/>
      <c r="G67" s="163"/>
      <c r="H67" s="57"/>
      <c r="I67" s="32" t="s">
        <v>194</v>
      </c>
      <c r="J67" s="60">
        <f>(IF(B57&gt;4,(H57/(B57+2)+J66),0))</f>
        <v>0</v>
      </c>
      <c r="K67" s="32" t="s">
        <v>194</v>
      </c>
      <c r="L67" s="60">
        <f>(IF(B57&gt;4,(I57/(B57+2)+L66),0))</f>
        <v>0</v>
      </c>
    </row>
    <row r="68" spans="1:12" ht="15.75" hidden="1" customHeight="1" x14ac:dyDescent="0.3">
      <c r="A68" s="119" t="s">
        <v>195</v>
      </c>
      <c r="B68" s="120" t="s">
        <v>195</v>
      </c>
      <c r="C68" s="55">
        <v>8</v>
      </c>
      <c r="D68" s="56">
        <f ca="1">((100/(H57))*C68)/100</f>
        <v>1</v>
      </c>
      <c r="E68" s="159"/>
      <c r="F68" s="159"/>
      <c r="G68" s="163"/>
      <c r="H68" s="57"/>
      <c r="I68" s="32" t="s">
        <v>162</v>
      </c>
      <c r="J68" s="60">
        <f ca="1">(IF(B57=1,(H57/(B57+3)+J63),IF(B57=0,(H57/4+J63),IF(B57&gt;1,0))))</f>
        <v>6</v>
      </c>
      <c r="K68" s="32" t="s">
        <v>162</v>
      </c>
      <c r="L68" s="60">
        <f>(IF(B57=1,(I57/(B57+3)+L63),IF(B57=0,(I57/4+L63),IF(B57&gt;1,0))))</f>
        <v>0</v>
      </c>
    </row>
    <row r="69" spans="1:12" ht="15" hidden="1" customHeight="1" thickBot="1" x14ac:dyDescent="0.35">
      <c r="A69" s="167" t="s">
        <v>196</v>
      </c>
      <c r="B69" s="168"/>
      <c r="C69" s="62">
        <v>8</v>
      </c>
      <c r="D69" s="63">
        <f ca="1">((100/(H57))*C69)/100</f>
        <v>1</v>
      </c>
      <c r="E69" s="160"/>
      <c r="F69" s="160"/>
      <c r="G69" s="164"/>
      <c r="H69" s="64"/>
      <c r="I69" s="33" t="s">
        <v>163</v>
      </c>
      <c r="J69" s="65">
        <f ca="1">(IF(B57&gt;1.5,(H57/(B57+2)+J63+MAX(0,J64-J63)+MAX(0,J65-J64)+MAX(0,J66-J65)+MAX(0,J67-J66)+MAX(0,J68-J67)),IF(B57=1,(H57/(B57+3)+J68),IF(B57=0,H57/4+J68))))</f>
        <v>8</v>
      </c>
      <c r="K69" s="33" t="s">
        <v>163</v>
      </c>
      <c r="L69" s="65">
        <f>(IF(B57&gt;1.5,(I57/(B57+2)+L63+MAX(0,L64-L63)+MAX(0,L65-L64)+MAX(0,L66-L65)+MAX(0,L67-L66)+MAX(0,L68-L67)),IF(B57=1,(I57/(B57+3)+L68),IF(B57=0,I57/4+L68))))</f>
        <v>0</v>
      </c>
    </row>
    <row r="70" spans="1:12" ht="15.6" hidden="1" x14ac:dyDescent="0.3">
      <c r="A70" s="165" t="s">
        <v>173</v>
      </c>
      <c r="B70" s="148"/>
      <c r="C70" s="148" t="s">
        <v>253</v>
      </c>
      <c r="D70" s="148"/>
      <c r="E70" s="148"/>
      <c r="F70" s="148"/>
      <c r="G70" s="149"/>
      <c r="H70" s="36"/>
      <c r="I70" s="30" t="str">
        <f ca="1">(IF(E74&gt;99%,"All work completed. Please provide OC.",IF(E74&gt;89.8%,"Plinth, RCC, Brick, Plaster, Flooring, Painting work Completed. Finishing work is in process.",IF(E74&lt;94%,(IF(C74=0,"Work not yet Started.",IF(D74=25%,"Piling work in process",IF(D74=50%,"Excavation work in process",IF(D74=100%,"Excavation work Completed. ","0")))&amp;(IF(C75=0%,"",IF(C75=J76,"Footing work is process",IF(C75=J77,"Footing work Completed",IF(C75=J78,"1st Basement Completed",IF(C75=J79,"1st &amp; 2nd Basement Completed",IF(C75=J80,"1st to 3rd Basement Completed",IF(C75=J81,"1st to 4th Basement Completed",IF(C75=J82,"Plinth work is process",IF(C75=J83,"Plinth work completed","0")))))))))))&amp;(IF(C76=(D71+F71+H71),", RCC Slab",IF(C76&gt;0,", RCC upto "&amp;C76&amp;" Slab",""))&amp;(IF(C77=H71,", Brickwork",IF(C77&gt;0,", Brickwork upto "&amp;C77&amp;" Floor",""))&amp;(IF(C78=H71,", Internal Plaster",IF(C78&gt;0,", Internal Plaster upto "&amp;C78&amp;" Floor",""))&amp;(IF(C79=H71,", External Plaster",IF(C79&gt;0,", External Plaster upto "&amp;C79&amp;" Floor",""))&amp;(IF(C80=H71,", Flooring",IF(C80&gt;0,", Flooring upto "&amp;C80&amp;" Floor",""))&amp;(IF(C81=H71,", Painting",IF(C81&gt;0,", Painting upto "&amp;C81&amp;" Floor",""))&amp;(IF(C82&gt;0,", Finishing upto "&amp;C82&amp;" Floor","")&amp;(IF(C76&gt;0.5," Completed",""))))))))))))))</f>
        <v>Excavation work Completed. Plinth work completed, RCC Slab, Brickwork, Internal Plaster, External Plaster upto 7 Floor, Flooring upto 5 Floor, Painting upto 4 Floor Completed</v>
      </c>
      <c r="J70" s="52"/>
      <c r="K70" s="30"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0, RCC Slab, Brickwork upto 8 Floor, Internal Plaster upto 8 Floor, External Plaster upto 7 Floor, Flooring upto 5 Floor, Painting upto 4 Floor Completed</v>
      </c>
      <c r="L70" s="52"/>
    </row>
    <row r="71" spans="1:12" ht="15.6" hidden="1" x14ac:dyDescent="0.3">
      <c r="A71" s="44" t="s">
        <v>117</v>
      </c>
      <c r="B71" s="42">
        <v>0</v>
      </c>
      <c r="C71" s="42" t="s">
        <v>119</v>
      </c>
      <c r="D71" s="42">
        <v>1</v>
      </c>
      <c r="E71" s="150" t="s">
        <v>174</v>
      </c>
      <c r="F71" s="150"/>
      <c r="G71" s="35">
        <v>8</v>
      </c>
      <c r="H71" s="34">
        <f ca="1">--TRIM(RIGHT(SUBSTITUTE(LEFT(C70,_xlfn.AGGREGATE(16,6,FIND({0,1,2,3,4,5,6,7,8,9},C70,ROW(INDIRECT("1:"&amp;LEN(C70)))),1))," ",REPT(" ",LEN(C70))),LEN(C70)))</f>
        <v>8</v>
      </c>
      <c r="I71" s="31"/>
      <c r="J71" s="53"/>
      <c r="K71" s="31"/>
      <c r="L71" s="53"/>
    </row>
    <row r="72" spans="1:12" ht="47.25" hidden="1" customHeight="1" x14ac:dyDescent="0.3">
      <c r="A72" s="151" t="s">
        <v>175</v>
      </c>
      <c r="B72" s="152"/>
      <c r="C72" s="161" t="str">
        <f ca="1">I70</f>
        <v>Excavation work Completed. Plinth work completed, RCC Slab, Brickwork, Internal Plaster, External Plaster upto 7 Floor, Flooring upto 5 Floor, Painting upto 4 Floor Completed</v>
      </c>
      <c r="D72" s="161"/>
      <c r="E72" s="161"/>
      <c r="F72" s="161"/>
      <c r="G72" s="162"/>
      <c r="H72" s="37"/>
      <c r="I72" s="31" t="s">
        <v>176</v>
      </c>
      <c r="J72" s="53"/>
      <c r="K72" s="31" t="s">
        <v>176</v>
      </c>
      <c r="L72" s="53"/>
    </row>
    <row r="73" spans="1:12" ht="15.75" hidden="1" customHeight="1" x14ac:dyDescent="0.3">
      <c r="A73" s="119" t="s">
        <v>165</v>
      </c>
      <c r="B73" s="120"/>
      <c r="C73" s="43" t="s">
        <v>177</v>
      </c>
      <c r="D73" s="43" t="s">
        <v>178</v>
      </c>
      <c r="E73" s="120" t="s">
        <v>179</v>
      </c>
      <c r="F73" s="120"/>
      <c r="G73" s="39" t="s">
        <v>180</v>
      </c>
      <c r="H73" s="38"/>
      <c r="I73" s="32" t="s">
        <v>181</v>
      </c>
      <c r="J73" s="54">
        <f ca="1">H71*25%</f>
        <v>2</v>
      </c>
      <c r="K73" s="32" t="s">
        <v>181</v>
      </c>
      <c r="L73" s="54">
        <f>I71*25%</f>
        <v>0</v>
      </c>
    </row>
    <row r="74" spans="1:12" ht="15.6" hidden="1" x14ac:dyDescent="0.3">
      <c r="A74" s="119" t="s">
        <v>182</v>
      </c>
      <c r="B74" s="120"/>
      <c r="C74" s="55">
        <f ca="1">J75</f>
        <v>8</v>
      </c>
      <c r="D74" s="56">
        <f ca="1">((100/H71)*C74)/100</f>
        <v>1</v>
      </c>
      <c r="E74" s="159">
        <f ca="1">(((C75/H71*10)+(40/(D71+F71+H71)*C76)+(7.5/(H71)*C77)+(7.5/(H71)*C78)+(10/H71*C79)+(10/H71*C80)+(5/H71*C81)+(5/H71*C82)+(5/H71*C83))/100)</f>
        <v>0.82499999999999996</v>
      </c>
      <c r="F74" s="159"/>
      <c r="G74" s="163">
        <f ca="1">((((C74/H71)*20)+((C75/H71)*25)+(30/(H71+F71+D71)*C76)+(5/H71*C77)+(5/H71*C78)+(5/H71*C79)+(5/H71*C80)+(0/H71*C81)+(0/H71*C82)+(5/H71*C83))/100)</f>
        <v>0.92500000000000004</v>
      </c>
      <c r="H74" s="57"/>
      <c r="I74" s="32" t="s">
        <v>156</v>
      </c>
      <c r="J74" s="58">
        <f ca="1">H71*50%</f>
        <v>4</v>
      </c>
      <c r="K74" s="32" t="s">
        <v>156</v>
      </c>
      <c r="L74" s="58">
        <f>I71*50%</f>
        <v>0</v>
      </c>
    </row>
    <row r="75" spans="1:12" ht="15.6" hidden="1" x14ac:dyDescent="0.3">
      <c r="A75" s="119" t="s">
        <v>149</v>
      </c>
      <c r="B75" s="120"/>
      <c r="C75" s="59">
        <f ca="1">J83</f>
        <v>8</v>
      </c>
      <c r="D75" s="56">
        <f ca="1">((100/H71)*C75)/100</f>
        <v>1</v>
      </c>
      <c r="E75" s="159"/>
      <c r="F75" s="159"/>
      <c r="G75" s="163"/>
      <c r="H75" s="57"/>
      <c r="I75" s="32" t="s">
        <v>159</v>
      </c>
      <c r="J75" s="58">
        <f ca="1">H71</f>
        <v>8</v>
      </c>
      <c r="K75" s="32" t="s">
        <v>159</v>
      </c>
      <c r="L75" s="58">
        <f>I71</f>
        <v>0</v>
      </c>
    </row>
    <row r="76" spans="1:12" ht="15.75" hidden="1" customHeight="1" x14ac:dyDescent="0.3">
      <c r="A76" s="166" t="s">
        <v>183</v>
      </c>
      <c r="B76" s="150"/>
      <c r="C76" s="59">
        <v>9</v>
      </c>
      <c r="D76" s="56">
        <f ca="1">((100/(D71+F71+H71))*C76)/100</f>
        <v>1</v>
      </c>
      <c r="E76" s="159"/>
      <c r="F76" s="159"/>
      <c r="G76" s="163"/>
      <c r="H76" s="57"/>
      <c r="I76" s="32" t="s">
        <v>160</v>
      </c>
      <c r="J76" s="60">
        <f ca="1">(IF(B71&gt;1,(H71/(B71+2)),H71/4))</f>
        <v>2</v>
      </c>
      <c r="K76" s="32" t="s">
        <v>160</v>
      </c>
      <c r="L76" s="60">
        <f>(IF(B71&gt;1,(I71/(B71+2)),I71/4))</f>
        <v>0</v>
      </c>
    </row>
    <row r="77" spans="1:12" ht="15.75" hidden="1" customHeight="1" x14ac:dyDescent="0.3">
      <c r="A77" s="119" t="s">
        <v>184</v>
      </c>
      <c r="B77" s="120" t="s">
        <v>185</v>
      </c>
      <c r="C77" s="55">
        <v>8</v>
      </c>
      <c r="D77" s="56">
        <f ca="1">((100/H71)*C77)/100</f>
        <v>1</v>
      </c>
      <c r="E77" s="159"/>
      <c r="F77" s="159"/>
      <c r="G77" s="163"/>
      <c r="H77" s="57"/>
      <c r="I77" s="32" t="s">
        <v>161</v>
      </c>
      <c r="J77" s="60">
        <f ca="1">(IF(B71&gt;1,(H71/(B71+2)+J76),H71/4+J76))</f>
        <v>4</v>
      </c>
      <c r="K77" s="32" t="s">
        <v>161</v>
      </c>
      <c r="L77" s="60">
        <f>(IF(B71&gt;1,(I71/(B71+2)+L76),I71/4+L76))</f>
        <v>0</v>
      </c>
    </row>
    <row r="78" spans="1:12" ht="15.75" hidden="1" customHeight="1" x14ac:dyDescent="0.3">
      <c r="A78" s="119" t="s">
        <v>186</v>
      </c>
      <c r="B78" s="120" t="s">
        <v>185</v>
      </c>
      <c r="C78" s="55">
        <v>8</v>
      </c>
      <c r="D78" s="56">
        <f ca="1">((100/H71)*C78)/100</f>
        <v>1</v>
      </c>
      <c r="E78" s="159"/>
      <c r="F78" s="159"/>
      <c r="G78" s="163"/>
      <c r="H78" s="57"/>
      <c r="I78" s="32" t="s">
        <v>187</v>
      </c>
      <c r="J78" s="60">
        <f>(IF(B71&gt;1,(H71/(B71+2)+J77),0))</f>
        <v>0</v>
      </c>
      <c r="K78" s="32" t="s">
        <v>187</v>
      </c>
      <c r="L78" s="60">
        <f>(IF(B71&gt;1,(I71/(B71+2)+L77),0))</f>
        <v>0</v>
      </c>
    </row>
    <row r="79" spans="1:12" ht="15.75" hidden="1" customHeight="1" x14ac:dyDescent="0.3">
      <c r="A79" s="119" t="s">
        <v>188</v>
      </c>
      <c r="B79" s="120" t="s">
        <v>189</v>
      </c>
      <c r="C79" s="55">
        <v>7</v>
      </c>
      <c r="D79" s="56">
        <f ca="1">((100/(H71))*C79)/100</f>
        <v>0.875</v>
      </c>
      <c r="E79" s="159"/>
      <c r="F79" s="159"/>
      <c r="G79" s="163"/>
      <c r="H79" s="57"/>
      <c r="I79" s="32" t="s">
        <v>190</v>
      </c>
      <c r="J79" s="60">
        <f>(IF(B71&gt;2,(H71/(B71+2)+J78),0))</f>
        <v>0</v>
      </c>
      <c r="K79" s="32" t="s">
        <v>190</v>
      </c>
      <c r="L79" s="60">
        <f>(IF(B71&gt;2,(I71/(B71+2)+L78),0))</f>
        <v>0</v>
      </c>
    </row>
    <row r="80" spans="1:12" ht="15.75" hidden="1" customHeight="1" x14ac:dyDescent="0.3">
      <c r="A80" s="119" t="s">
        <v>191</v>
      </c>
      <c r="B80" s="120" t="s">
        <v>191</v>
      </c>
      <c r="C80" s="55">
        <v>5</v>
      </c>
      <c r="D80" s="56">
        <f ca="1">((100/H71)*C80)/100</f>
        <v>0.625</v>
      </c>
      <c r="E80" s="159"/>
      <c r="F80" s="159"/>
      <c r="G80" s="163"/>
      <c r="H80" s="57"/>
      <c r="I80" s="32" t="s">
        <v>192</v>
      </c>
      <c r="J80" s="61">
        <f>(IF(B71&gt;3,(H71/(B71+2)+J79),0))</f>
        <v>0</v>
      </c>
      <c r="K80" s="32" t="s">
        <v>192</v>
      </c>
      <c r="L80" s="61">
        <f>(IF(B71&gt;3,(I71/(B71+2)+L79),0))</f>
        <v>0</v>
      </c>
    </row>
    <row r="81" spans="1:12" ht="15" hidden="1" customHeight="1" x14ac:dyDescent="0.3">
      <c r="A81" s="119" t="s">
        <v>193</v>
      </c>
      <c r="B81" s="120"/>
      <c r="C81" s="55">
        <v>4</v>
      </c>
      <c r="D81" s="56">
        <f ca="1">((100/H71)*C81)/100</f>
        <v>0.5</v>
      </c>
      <c r="E81" s="159"/>
      <c r="F81" s="159"/>
      <c r="G81" s="163"/>
      <c r="H81" s="57"/>
      <c r="I81" s="32" t="s">
        <v>194</v>
      </c>
      <c r="J81" s="60">
        <f>(IF(B71&gt;4,(H71/(B71+2)+J80),0))</f>
        <v>0</v>
      </c>
      <c r="K81" s="32" t="s">
        <v>194</v>
      </c>
      <c r="L81" s="60">
        <f>(IF(B71&gt;4,(I71/(B71+2)+L80),0))</f>
        <v>0</v>
      </c>
    </row>
    <row r="82" spans="1:12" ht="15.75" hidden="1" customHeight="1" x14ac:dyDescent="0.3">
      <c r="A82" s="119" t="s">
        <v>195</v>
      </c>
      <c r="B82" s="120" t="s">
        <v>195</v>
      </c>
      <c r="C82" s="55">
        <v>0</v>
      </c>
      <c r="D82" s="56">
        <f ca="1">((100/(H71))*C82)/100</f>
        <v>0</v>
      </c>
      <c r="E82" s="159"/>
      <c r="F82" s="159"/>
      <c r="G82" s="163"/>
      <c r="H82" s="57"/>
      <c r="I82" s="32" t="s">
        <v>162</v>
      </c>
      <c r="J82" s="60">
        <f ca="1">(IF(B71=1,(H71/(B71+3)+J77),IF(B71=0,(H71/4+J77),IF(B71&gt;1,0))))</f>
        <v>6</v>
      </c>
      <c r="K82" s="32" t="s">
        <v>162</v>
      </c>
      <c r="L82" s="60">
        <f>(IF(B71=1,(I71/(B71+3)+L77),IF(B71=0,(I71/4+L77),IF(B71&gt;1,0))))</f>
        <v>0</v>
      </c>
    </row>
    <row r="83" spans="1:12" ht="15" hidden="1" customHeight="1" thickBot="1" x14ac:dyDescent="0.35">
      <c r="A83" s="167" t="s">
        <v>196</v>
      </c>
      <c r="B83" s="168"/>
      <c r="C83" s="62">
        <v>0</v>
      </c>
      <c r="D83" s="63">
        <f ca="1">((100/(H71))*C83)/100</f>
        <v>0</v>
      </c>
      <c r="E83" s="160"/>
      <c r="F83" s="160"/>
      <c r="G83" s="164"/>
      <c r="H83" s="64"/>
      <c r="I83" s="33" t="s">
        <v>163</v>
      </c>
      <c r="J83" s="65">
        <f ca="1">(IF(B71&gt;1.5,(H71/(B71+2)+J77+MAX(0,J78-J77)+MAX(0,J79-J78)+MAX(0,J80-J79)+MAX(0,J81-J80)+MAX(0,J82-J81)),IF(B71=1,(H71/(B71+3)+J82),IF(B71=0,H71/4+J82))))</f>
        <v>8</v>
      </c>
      <c r="K83" s="33" t="s">
        <v>163</v>
      </c>
      <c r="L83" s="65">
        <f>(IF(B71&gt;1.5,(I71/(B71+2)+L77+MAX(0,L78-L77)+MAX(0,L79-L78)+MAX(0,L80-L79)+MAX(0,L81-L80)+MAX(0,L82-L81)),IF(B71=1,(I71/(B71+3)+L82),IF(B71=0,I71/4+L82))))</f>
        <v>0</v>
      </c>
    </row>
    <row r="84" spans="1:12" s="74" customFormat="1" ht="15.6" x14ac:dyDescent="0.25">
      <c r="A84" s="101" t="s">
        <v>179</v>
      </c>
      <c r="B84" s="102"/>
      <c r="C84" s="105">
        <v>1</v>
      </c>
      <c r="D84" s="106"/>
      <c r="E84" s="109" t="s">
        <v>180</v>
      </c>
      <c r="F84" s="106"/>
      <c r="G84" s="105">
        <v>1</v>
      </c>
      <c r="H84" s="110"/>
      <c r="I84" s="72"/>
      <c r="J84" s="73"/>
      <c r="K84" s="73"/>
    </row>
    <row r="85" spans="1:12" s="74" customFormat="1" ht="16.2" thickBot="1" x14ac:dyDescent="0.3">
      <c r="A85" s="103"/>
      <c r="B85" s="104"/>
      <c r="C85" s="107"/>
      <c r="D85" s="108"/>
      <c r="E85" s="107"/>
      <c r="F85" s="108"/>
      <c r="G85" s="107"/>
      <c r="H85" s="111"/>
      <c r="I85" s="72"/>
      <c r="J85" s="73"/>
      <c r="K85" s="73"/>
    </row>
    <row r="86" spans="1:12" ht="15.6" x14ac:dyDescent="0.3">
      <c r="A86" s="165" t="s">
        <v>173</v>
      </c>
      <c r="B86" s="148"/>
      <c r="C86" s="148" t="s">
        <v>245</v>
      </c>
      <c r="D86" s="148"/>
      <c r="E86" s="148"/>
      <c r="F86" s="148"/>
      <c r="G86" s="149"/>
      <c r="H86" s="36"/>
      <c r="I86" s="30" t="str">
        <f ca="1">(IF(E90&gt;99%,"All work completed. Please provide OC.",IF(E90&gt;89.8%,"Plinth, RCC, Brick, Plaster, Flooring, Painting work Completed. Finishing work is in process.",IF(E90&lt;94%,(IF(C90=0,"Work not yet Started.",IF(D90=25%,"Piling work in process",IF(D90=50%,"Excavation work in process",IF(D90=100%,"Excavation work Completed. ","0")))&amp;(IF(C91=0%,"",IF(C91=J92,"Footing work is process",IF(C91=J93,"Footing work Completed",IF(C91=J94,"1st Basement Completed",IF(C91=J95,"1st &amp; 2nd Basement Completed",IF(C91=J96,"1st to 3rd Basement Completed",IF(C91=J97,"1st to 4th Basement Completed",IF(C91=J98,"Plinth work is process",IF(C91=J99,"Plinth work completed","0")))))))))))&amp;(IF(C92=(D87+F87+H87),", RCC Slab",IF(C92&gt;0,", RCC upto "&amp;C92&amp;" Slab",""))&amp;(IF(C93=H87,", Brickwork",IF(C93&gt;0,", Brickwork upto "&amp;C93&amp;" Floor",""))&amp;(IF(C94=H87,", Internal Plaster",IF(C94&gt;0,", Internal Plaster upto "&amp;C94&amp;" Floor",""))&amp;(IF(C95=H87,", External Plaster",IF(C95&gt;0,", External Plaster upto "&amp;C95&amp;" Floor",""))&amp;(IF(C96=H87,", Flooring",IF(C96&gt;0,", Flooring upto "&amp;C96&amp;" Floor",""))&amp;(IF(C97=H87,", Painting",IF(C97&gt;0,", Painting upto "&amp;C97&amp;" Floor",""))&amp;(IF(C98&gt;0,", Finishing upto "&amp;C98&amp;" Floor","")&amp;(IF(C92&gt;0.5," Completed",""))))))))))))))</f>
        <v>All work completed. Please provide OC.</v>
      </c>
      <c r="J86" s="52"/>
      <c r="K86" s="30" t="str">
        <f ca="1">(IF(F90&gt;99%,"All work completed. Please provide OC.",IF(F90&gt;89.8%,"Plinth, RCC, Brick, Plaster, Flooring, Painting work Completed. Finishing work is in process.",IF(F90&lt;94%,(IF(C90=0,"Work not yet Started.",IF(D90=25%,"Piling work in process",IF(D90=50%,"Excavation work in process",IF(D90=100%,"Excavation work Completed. ","0")))&amp;(IF(C91=0%,"",IF(C91=L92,"Footing work is process",IF(C91=L93,"Footing work Completed",IF(C91=L94,"1st Basement Completed",IF(C91=L95,"1st &amp; 2nd Basement Completed",IF(C91=L96,"1st to 3rd Basement Completed",IF(C91=L97,"1st to 4th Basement Completed",IF(C91=L98,"Plinth work is process",IF(C91=L99,"Plinth work completed","0")))))))))))&amp;(IF(C92=(D87+G87+I87),", RCC Slab",IF(C92&gt;0,", RCC upto "&amp;C92&amp;" Slab",""))&amp;(IF(C93=I87,", Brickwork",IF(C93&gt;0,", Brickwork upto "&amp;C93&amp;" Floor",""))&amp;(IF(C94=I87,", Internal Plaster",IF(C94&gt;0,", Internal Plaster upto "&amp;C94&amp;" Floor",""))&amp;(IF(C95=I87,", External Plaster",IF(C95&gt;0,", External Plaster upto "&amp;C95&amp;" Floor",""))&amp;(IF(C96=I87,", Flooring",IF(C96&gt;0,", Flooring upto "&amp;C96&amp;" Floor",""))&amp;(IF(C97=I87,", Painting",IF(C97&gt;0,", Painting upto "&amp;C97&amp;" Floor",""))&amp;(IF(C98&gt;0,", Finishing upto "&amp;C98&amp;" Floor","")&amp;(IF(C92&gt;0.5," Completed",""))))))))))))))</f>
        <v>Excavation work Completed. 0, RCC Slab, Brickwork upto 7 Floor, Internal Plaster upto 7 Floor, External Plaster upto 7 Floor, Flooring upto 7 Floor, Painting upto 7 Floor, Finishing upto 7 Floor Completed</v>
      </c>
      <c r="L86" s="52"/>
    </row>
    <row r="87" spans="1:12" ht="15.6" x14ac:dyDescent="0.3">
      <c r="A87" s="44" t="s">
        <v>117</v>
      </c>
      <c r="B87" s="42">
        <v>0</v>
      </c>
      <c r="C87" s="42" t="s">
        <v>119</v>
      </c>
      <c r="D87" s="42">
        <v>1</v>
      </c>
      <c r="E87" s="150" t="s">
        <v>174</v>
      </c>
      <c r="F87" s="150"/>
      <c r="G87" s="35">
        <v>7</v>
      </c>
      <c r="H87" s="34">
        <f ca="1">--TRIM(RIGHT(SUBSTITUTE(LEFT(C86,_xlfn.AGGREGATE(16,6,FIND({0,1,2,3,4,5,6,7,8,9},C86,ROW(INDIRECT("1:"&amp;LEN(C86)))),1))," ",REPT(" ",LEN(C86))),LEN(C86)))</f>
        <v>7</v>
      </c>
      <c r="I87" s="31"/>
      <c r="J87" s="53"/>
      <c r="K87" s="31"/>
      <c r="L87" s="53"/>
    </row>
    <row r="88" spans="1:12" ht="15.6" x14ac:dyDescent="0.3">
      <c r="A88" s="151" t="s">
        <v>175</v>
      </c>
      <c r="B88" s="152"/>
      <c r="C88" s="161" t="str">
        <f ca="1">I86</f>
        <v>All work completed. Please provide OC.</v>
      </c>
      <c r="D88" s="161"/>
      <c r="E88" s="161"/>
      <c r="F88" s="161"/>
      <c r="G88" s="162"/>
      <c r="H88" s="37"/>
      <c r="I88" s="31" t="s">
        <v>176</v>
      </c>
      <c r="J88" s="53"/>
      <c r="K88" s="31" t="s">
        <v>176</v>
      </c>
      <c r="L88" s="53"/>
    </row>
    <row r="89" spans="1:12" ht="15.75" hidden="1" customHeight="1" x14ac:dyDescent="0.3">
      <c r="A89" s="119" t="s">
        <v>165</v>
      </c>
      <c r="B89" s="120"/>
      <c r="C89" s="43" t="s">
        <v>177</v>
      </c>
      <c r="D89" s="43" t="s">
        <v>178</v>
      </c>
      <c r="E89" s="120" t="s">
        <v>179</v>
      </c>
      <c r="F89" s="120"/>
      <c r="G89" s="40" t="s">
        <v>180</v>
      </c>
      <c r="H89" s="38"/>
      <c r="I89" s="32" t="s">
        <v>181</v>
      </c>
      <c r="J89" s="54">
        <f ca="1">H87*25%</f>
        <v>1.75</v>
      </c>
      <c r="K89" s="32" t="s">
        <v>181</v>
      </c>
      <c r="L89" s="54">
        <f>I87*25%</f>
        <v>0</v>
      </c>
    </row>
    <row r="90" spans="1:12" ht="15.6" hidden="1" x14ac:dyDescent="0.3">
      <c r="A90" s="119" t="s">
        <v>182</v>
      </c>
      <c r="B90" s="120"/>
      <c r="C90" s="55">
        <f ca="1">J91</f>
        <v>7</v>
      </c>
      <c r="D90" s="56">
        <f ca="1">((100/H87)*C90)/100</f>
        <v>1</v>
      </c>
      <c r="E90" s="159">
        <f ca="1">(((C91/H87*10)+(40/(D87+F87+H87)*C92)+(7.5/(H87)*C93)+(7.5/(H87)*C94)+(10/H87*C95)+(10/H87*C96)+(5/H87*C97)+(5/H87*C98)+(5/H87*C99))/100)</f>
        <v>1</v>
      </c>
      <c r="F90" s="159"/>
      <c r="G90" s="163">
        <f ca="1">((((C90/H87)*20)+((C91/H87)*25)+(30/(H87+F87+D87)*C92)+(5/H87*C93)+(5/H87*C94)+(5/H87*C95)+(5/H87*C96)+(0/H87*C97)+(0/H87*C98)+(5/H87*C99))/100)</f>
        <v>1</v>
      </c>
      <c r="H90" s="57"/>
      <c r="I90" s="32" t="s">
        <v>156</v>
      </c>
      <c r="J90" s="58">
        <f ca="1">H87*50%</f>
        <v>3.5</v>
      </c>
      <c r="K90" s="32" t="s">
        <v>156</v>
      </c>
      <c r="L90" s="58">
        <f>I87*50%</f>
        <v>0</v>
      </c>
    </row>
    <row r="91" spans="1:12" ht="15.6" hidden="1" x14ac:dyDescent="0.3">
      <c r="A91" s="119" t="s">
        <v>149</v>
      </c>
      <c r="B91" s="120"/>
      <c r="C91" s="59">
        <f ca="1">J99</f>
        <v>7</v>
      </c>
      <c r="D91" s="56">
        <f ca="1">((100/H87)*C91)/100</f>
        <v>1</v>
      </c>
      <c r="E91" s="159"/>
      <c r="F91" s="159"/>
      <c r="G91" s="163"/>
      <c r="H91" s="57"/>
      <c r="I91" s="32" t="s">
        <v>159</v>
      </c>
      <c r="J91" s="58">
        <f ca="1">H87</f>
        <v>7</v>
      </c>
      <c r="K91" s="32" t="s">
        <v>159</v>
      </c>
      <c r="L91" s="58">
        <f>I87</f>
        <v>0</v>
      </c>
    </row>
    <row r="92" spans="1:12" ht="15.75" hidden="1" customHeight="1" x14ac:dyDescent="0.3">
      <c r="A92" s="166" t="s">
        <v>183</v>
      </c>
      <c r="B92" s="150"/>
      <c r="C92" s="59">
        <v>8</v>
      </c>
      <c r="D92" s="56">
        <f ca="1">((100/(D87+F87+H87))*C92)/100</f>
        <v>1</v>
      </c>
      <c r="E92" s="159"/>
      <c r="F92" s="159"/>
      <c r="G92" s="163"/>
      <c r="H92" s="57"/>
      <c r="I92" s="32" t="s">
        <v>160</v>
      </c>
      <c r="J92" s="60">
        <f ca="1">(IF(B87&gt;1,(H87/(B87+2)),H87/4))</f>
        <v>1.75</v>
      </c>
      <c r="K92" s="32" t="s">
        <v>160</v>
      </c>
      <c r="L92" s="60">
        <f>(IF(B87&gt;1,(I87/(B87+2)),I87/4))</f>
        <v>0</v>
      </c>
    </row>
    <row r="93" spans="1:12" ht="15.75" hidden="1" customHeight="1" x14ac:dyDescent="0.3">
      <c r="A93" s="119" t="s">
        <v>184</v>
      </c>
      <c r="B93" s="120" t="s">
        <v>185</v>
      </c>
      <c r="C93" s="55">
        <v>7</v>
      </c>
      <c r="D93" s="56">
        <f ca="1">((100/H87)*C93)/100</f>
        <v>1</v>
      </c>
      <c r="E93" s="159"/>
      <c r="F93" s="159"/>
      <c r="G93" s="163"/>
      <c r="H93" s="57"/>
      <c r="I93" s="32" t="s">
        <v>161</v>
      </c>
      <c r="J93" s="60">
        <f ca="1">(IF(B87&gt;1,(H87/(B87+2)+J92),H87/4+J92))</f>
        <v>3.5</v>
      </c>
      <c r="K93" s="32" t="s">
        <v>161</v>
      </c>
      <c r="L93" s="60">
        <f>(IF(B87&gt;1,(I87/(B87+2)+L92),I87/4+L92))</f>
        <v>0</v>
      </c>
    </row>
    <row r="94" spans="1:12" ht="15.75" hidden="1" customHeight="1" x14ac:dyDescent="0.3">
      <c r="A94" s="119" t="s">
        <v>186</v>
      </c>
      <c r="B94" s="120" t="s">
        <v>185</v>
      </c>
      <c r="C94" s="55">
        <v>7</v>
      </c>
      <c r="D94" s="56">
        <f ca="1">((100/H87)*C94)/100</f>
        <v>1</v>
      </c>
      <c r="E94" s="159"/>
      <c r="F94" s="159"/>
      <c r="G94" s="163"/>
      <c r="H94" s="57"/>
      <c r="I94" s="32" t="s">
        <v>187</v>
      </c>
      <c r="J94" s="60">
        <f>(IF(B87&gt;1,(H87/(B87+2)+J93),0))</f>
        <v>0</v>
      </c>
      <c r="K94" s="32" t="s">
        <v>187</v>
      </c>
      <c r="L94" s="60">
        <f>(IF(B87&gt;1,(I87/(B87+2)+L93),0))</f>
        <v>0</v>
      </c>
    </row>
    <row r="95" spans="1:12" ht="15.75" hidden="1" customHeight="1" x14ac:dyDescent="0.3">
      <c r="A95" s="119" t="s">
        <v>188</v>
      </c>
      <c r="B95" s="120" t="s">
        <v>189</v>
      </c>
      <c r="C95" s="55">
        <v>7</v>
      </c>
      <c r="D95" s="56">
        <f ca="1">((100/(H87))*C95)/100</f>
        <v>1</v>
      </c>
      <c r="E95" s="159"/>
      <c r="F95" s="159"/>
      <c r="G95" s="163"/>
      <c r="H95" s="57"/>
      <c r="I95" s="32" t="s">
        <v>190</v>
      </c>
      <c r="J95" s="60">
        <f>(IF(B87&gt;2,(H87/(B87+2)+J94),0))</f>
        <v>0</v>
      </c>
      <c r="K95" s="32" t="s">
        <v>190</v>
      </c>
      <c r="L95" s="60">
        <f>(IF(B87&gt;2,(I87/(B87+2)+L94),0))</f>
        <v>0</v>
      </c>
    </row>
    <row r="96" spans="1:12" ht="15.75" hidden="1" customHeight="1" x14ac:dyDescent="0.3">
      <c r="A96" s="119" t="s">
        <v>191</v>
      </c>
      <c r="B96" s="120" t="s">
        <v>191</v>
      </c>
      <c r="C96" s="55">
        <v>7</v>
      </c>
      <c r="D96" s="56">
        <f ca="1">((100/H87)*C96)/100</f>
        <v>1</v>
      </c>
      <c r="E96" s="159"/>
      <c r="F96" s="159"/>
      <c r="G96" s="163"/>
      <c r="H96" s="57"/>
      <c r="I96" s="32" t="s">
        <v>192</v>
      </c>
      <c r="J96" s="61">
        <f>(IF(B87&gt;3,(H87/(B87+2)+J95),0))</f>
        <v>0</v>
      </c>
      <c r="K96" s="32" t="s">
        <v>192</v>
      </c>
      <c r="L96" s="61">
        <f>(IF(B87&gt;3,(I87/(B87+2)+L95),0))</f>
        <v>0</v>
      </c>
    </row>
    <row r="97" spans="1:12" ht="15" hidden="1" customHeight="1" x14ac:dyDescent="0.3">
      <c r="A97" s="119" t="s">
        <v>193</v>
      </c>
      <c r="B97" s="120"/>
      <c r="C97" s="55">
        <v>7</v>
      </c>
      <c r="D97" s="56">
        <f ca="1">((100/H87)*C97)/100</f>
        <v>1</v>
      </c>
      <c r="E97" s="159"/>
      <c r="F97" s="159"/>
      <c r="G97" s="163"/>
      <c r="H97" s="57"/>
      <c r="I97" s="32" t="s">
        <v>194</v>
      </c>
      <c r="J97" s="60">
        <f>(IF(B87&gt;4,(H87/(B87+2)+J96),0))</f>
        <v>0</v>
      </c>
      <c r="K97" s="32" t="s">
        <v>194</v>
      </c>
      <c r="L97" s="60">
        <f>(IF(B87&gt;4,(I87/(B87+2)+L96),0))</f>
        <v>0</v>
      </c>
    </row>
    <row r="98" spans="1:12" ht="15.75" hidden="1" customHeight="1" x14ac:dyDescent="0.3">
      <c r="A98" s="119" t="s">
        <v>195</v>
      </c>
      <c r="B98" s="120" t="s">
        <v>195</v>
      </c>
      <c r="C98" s="55">
        <v>7</v>
      </c>
      <c r="D98" s="56">
        <f ca="1">((100/(H87))*C98)/100</f>
        <v>1</v>
      </c>
      <c r="E98" s="159"/>
      <c r="F98" s="159"/>
      <c r="G98" s="163"/>
      <c r="H98" s="57"/>
      <c r="I98" s="32" t="s">
        <v>162</v>
      </c>
      <c r="J98" s="60">
        <f ca="1">(IF(B87=1,(H87/(B87+3)+J93),IF(B87=0,(H87/4+J93),IF(B87&gt;1,0))))</f>
        <v>5.25</v>
      </c>
      <c r="K98" s="32" t="s">
        <v>162</v>
      </c>
      <c r="L98" s="60">
        <f>(IF(B87=1,(I87/(B87+3)+L93),IF(B87=0,(I87/4+L93),IF(B87&gt;1,0))))</f>
        <v>0</v>
      </c>
    </row>
    <row r="99" spans="1:12" ht="19.5" hidden="1" customHeight="1" thickBot="1" x14ac:dyDescent="0.35">
      <c r="A99" s="167" t="s">
        <v>196</v>
      </c>
      <c r="B99" s="168"/>
      <c r="C99" s="62">
        <v>7</v>
      </c>
      <c r="D99" s="63">
        <f ca="1">((100/(H87))*C99)/100</f>
        <v>1</v>
      </c>
      <c r="E99" s="160"/>
      <c r="F99" s="160"/>
      <c r="G99" s="164"/>
      <c r="H99" s="64"/>
      <c r="I99" s="33" t="s">
        <v>163</v>
      </c>
      <c r="J99" s="65">
        <f ca="1">(IF(B87&gt;1.5,(H87/(B87+2)+J93+MAX(0,J94-J93)+MAX(0,J95-J94)+MAX(0,J96-J95)+MAX(0,J97-J96)+MAX(0,J98-J97)),IF(B87=1,(H87/(B87+3)+J98),IF(B87=0,H87/4+J98))))</f>
        <v>7</v>
      </c>
      <c r="K99" s="33" t="s">
        <v>163</v>
      </c>
      <c r="L99" s="65">
        <f>(IF(B87&gt;1.5,(I87/(B87+2)+L93+MAX(0,L94-L93)+MAX(0,L95-L94)+MAX(0,L96-L95)+MAX(0,L97-L96)+MAX(0,L98-L97)),IF(B87=1,(I87/(B87+3)+L98),IF(B87=0,I87/4+L98))))</f>
        <v>0</v>
      </c>
    </row>
    <row r="100" spans="1:12" s="74" customFormat="1" ht="15.6" x14ac:dyDescent="0.25">
      <c r="A100" s="101" t="s">
        <v>179</v>
      </c>
      <c r="B100" s="102"/>
      <c r="C100" s="105">
        <v>1</v>
      </c>
      <c r="D100" s="106"/>
      <c r="E100" s="109" t="s">
        <v>180</v>
      </c>
      <c r="F100" s="106"/>
      <c r="G100" s="105">
        <v>1</v>
      </c>
      <c r="H100" s="110"/>
      <c r="I100" s="72"/>
      <c r="J100" s="73"/>
      <c r="K100" s="73"/>
    </row>
    <row r="101" spans="1:12" s="74" customFormat="1" ht="16.2" thickBot="1" x14ac:dyDescent="0.3">
      <c r="A101" s="103"/>
      <c r="B101" s="104"/>
      <c r="C101" s="107"/>
      <c r="D101" s="108"/>
      <c r="E101" s="107"/>
      <c r="F101" s="108"/>
      <c r="G101" s="107"/>
      <c r="H101" s="111"/>
      <c r="I101" s="72"/>
      <c r="J101" s="73"/>
      <c r="K101" s="73"/>
    </row>
    <row r="102" spans="1:12" ht="15.6" x14ac:dyDescent="0.3">
      <c r="A102" s="165" t="s">
        <v>173</v>
      </c>
      <c r="B102" s="148"/>
      <c r="C102" s="148" t="s">
        <v>246</v>
      </c>
      <c r="D102" s="148"/>
      <c r="E102" s="148"/>
      <c r="F102" s="148"/>
      <c r="G102" s="149"/>
      <c r="H102" s="36"/>
      <c r="I102" s="30" t="str">
        <f ca="1">(IF(E106&gt;99%,"All work completed. Please provide OC.",IF(E106&gt;89.8%,"Plinth, RCC, Brick, Plaster, Flooring, Painting work Completed. Finishing work is in process.",IF(E106&lt;94%,(IF(C106=0,"Work not yet Started.",IF(D106=25%,"Piling work in process",IF(D106=50%,"Excavation work in process",IF(D106=100%,"Excavation work Completed. ","0")))&amp;(IF(C107=0%,"",IF(C107=J108,"Footing work is process",IF(C107=J109,"Footing work Completed",IF(C107=J110,"1st Basement Completed",IF(C107=J111,"1st &amp; 2nd Basement Completed",IF(C107=J112,"1st to 3rd Basement Completed",IF(C107=J113,"1st to 4th Basement Completed",IF(C107=J114,"Plinth work is process",IF(C107=J115,"Plinth work completed","0")))))))))))&amp;(IF(C108=(D103+F103+H103),", RCC Slab",IF(C108&gt;0,", RCC upto "&amp;C108&amp;" Slab",""))&amp;(IF(C109=H103,", Brickwork",IF(C109&gt;0,", Brickwork upto "&amp;C109&amp;" Floor",""))&amp;(IF(C110=H103,", Internal Plaster",IF(C110&gt;0,", Internal Plaster upto "&amp;C110&amp;" Floor",""))&amp;(IF(C111=H103,", External Plaster",IF(C111&gt;0,", External Plaster upto "&amp;C111&amp;" Floor",""))&amp;(IF(C112=H103,", Flooring",IF(C112&gt;0,", Flooring upto "&amp;C112&amp;" Floor",""))&amp;(IF(C113=H103,", Painting",IF(C113&gt;0,", Painting upto "&amp;C113&amp;" Floor",""))&amp;(IF(C114&gt;0,", Finishing upto "&amp;C114&amp;" Floor","")&amp;(IF(C108&gt;0.5," Completed",""))))))))))))))</f>
        <v>Excavation work Completed. Plinth work completed, RCC Slab, Brickwork, Internal Plaster upto 1 Floor Completed</v>
      </c>
      <c r="J102" s="52"/>
      <c r="K102" s="30" t="str">
        <f ca="1">(IF(F106&gt;99%,"All work completed. Please provide OC.",IF(F106&gt;89.8%,"Plinth, RCC, Brick, Plaster, Flooring, Painting work Completed. Finishing work is in process.",IF(F106&lt;94%,(IF(C106=0,"Work not yet Started.",IF(D106=25%,"Piling work in process",IF(D106=50%,"Excavation work in process",IF(D106=100%,"Excavation work Completed. ","0")))&amp;(IF(C107=0%,"",IF(C107=L108,"Footing work is process",IF(C107=L109,"Footing work Completed",IF(C107=L110,"1st Basement Completed",IF(C107=L111,"1st &amp; 2nd Basement Completed",IF(C107=L112,"1st to 3rd Basement Completed",IF(C107=L113,"1st to 4th Basement Completed",IF(C107=L114,"Plinth work is process",IF(C107=L115,"Plinth work completed","0")))))))))))&amp;(IF(C108=(D103+G103+I103),", RCC Slab",IF(C108&gt;0,", RCC upto "&amp;C108&amp;" Slab",""))&amp;(IF(C109=I103,", Brickwork",IF(C109&gt;0,", Brickwork upto "&amp;C109&amp;" Floor",""))&amp;(IF(C110=I103,", Internal Plaster",IF(C110&gt;0,", Internal Plaster upto "&amp;C110&amp;" Floor",""))&amp;(IF(C111=I103,", External Plaster",IF(C111&gt;0,", External Plaster upto "&amp;C111&amp;" Floor",""))&amp;(IF(C112=I103,", Flooring",IF(C112&gt;0,", Flooring upto "&amp;C112&amp;" Floor",""))&amp;(IF(C113=I103,", Painting",IF(C113&gt;0,", Painting upto "&amp;C113&amp;" Floor",""))&amp;(IF(C114&gt;0,", Finishing upto "&amp;C114&amp;" Floor","")&amp;(IF(C108&gt;0.5," Completed",""))))))))))))))</f>
        <v>Excavation work Completed. 0, RCC Slab, Brickwork upto 10 Floor, Internal Plaster upto 1 Floor, External Plaster, Flooring, Painting Completed</v>
      </c>
      <c r="L102" s="52"/>
    </row>
    <row r="103" spans="1:12" ht="15.6" x14ac:dyDescent="0.3">
      <c r="A103" s="44" t="s">
        <v>117</v>
      </c>
      <c r="B103" s="42">
        <v>0</v>
      </c>
      <c r="C103" s="42" t="s">
        <v>119</v>
      </c>
      <c r="D103" s="42">
        <v>1</v>
      </c>
      <c r="E103" s="150" t="s">
        <v>174</v>
      </c>
      <c r="F103" s="150"/>
      <c r="G103" s="35">
        <v>10</v>
      </c>
      <c r="H103" s="34">
        <f ca="1">--TRIM(RIGHT(SUBSTITUTE(LEFT(C102,_xlfn.AGGREGATE(16,6,FIND({0,1,2,3,4,5,6,7,8,9},C102,ROW(INDIRECT("1:"&amp;LEN(C102)))),1))," ",REPT(" ",LEN(C102))),LEN(C102)))</f>
        <v>10</v>
      </c>
      <c r="I103" s="31"/>
      <c r="J103" s="53"/>
      <c r="K103" s="31"/>
      <c r="L103" s="53"/>
    </row>
    <row r="104" spans="1:12" ht="15.6" x14ac:dyDescent="0.3">
      <c r="A104" s="151" t="s">
        <v>175</v>
      </c>
      <c r="B104" s="152"/>
      <c r="C104" s="161" t="str">
        <f ca="1">I102</f>
        <v>Excavation work Completed. Plinth work completed, RCC Slab, Brickwork, Internal Plaster upto 1 Floor Completed</v>
      </c>
      <c r="D104" s="161"/>
      <c r="E104" s="161"/>
      <c r="F104" s="161"/>
      <c r="G104" s="162"/>
      <c r="H104" s="37"/>
      <c r="I104" s="31" t="s">
        <v>176</v>
      </c>
      <c r="J104" s="53"/>
      <c r="K104" s="31" t="s">
        <v>176</v>
      </c>
      <c r="L104" s="53"/>
    </row>
    <row r="105" spans="1:12" ht="15.75" customHeight="1" x14ac:dyDescent="0.3">
      <c r="A105" s="119" t="s">
        <v>165</v>
      </c>
      <c r="B105" s="120"/>
      <c r="C105" s="43" t="s">
        <v>177</v>
      </c>
      <c r="D105" s="43" t="s">
        <v>178</v>
      </c>
      <c r="E105" s="120" t="s">
        <v>179</v>
      </c>
      <c r="F105" s="120"/>
      <c r="G105" s="35" t="s">
        <v>180</v>
      </c>
      <c r="H105" s="38"/>
      <c r="I105" s="32" t="s">
        <v>181</v>
      </c>
      <c r="J105" s="54">
        <f ca="1">H103*25%</f>
        <v>2.5</v>
      </c>
      <c r="K105" s="32" t="s">
        <v>181</v>
      </c>
      <c r="L105" s="54">
        <f>I103*25%</f>
        <v>0</v>
      </c>
    </row>
    <row r="106" spans="1:12" ht="15.6" x14ac:dyDescent="0.3">
      <c r="A106" s="119" t="s">
        <v>182</v>
      </c>
      <c r="B106" s="120"/>
      <c r="C106" s="55">
        <v>10</v>
      </c>
      <c r="D106" s="56">
        <f ca="1">((100/H103)*C106)/100</f>
        <v>1</v>
      </c>
      <c r="E106" s="159">
        <f ca="1">(((C107/H103*10)+(40/(D103+F103+H103)*C108)+(7.5/(H103)*C109)+(7.5/(H103)*C110)+(10/H103*C111)+(10/H103*C112)+(5/H103*C113)+(5/H103*C114)+(5/H103*C115))/100)</f>
        <v>0.58250000000000002</v>
      </c>
      <c r="F106" s="159"/>
      <c r="G106" s="163">
        <f ca="1">((((C106/H103)*20)+((C107/H103)*25)+(30/(H103+F103+D103)*C108)+(5/H103*C109)+(5/H103*C110)+(5/H103*C111)+(5/H103*C112)+(0/H103*C113)+(0/H103*C114)+(5/H103*C115))/100)</f>
        <v>0.80500000000000005</v>
      </c>
      <c r="H106" s="57"/>
      <c r="I106" s="32" t="s">
        <v>156</v>
      </c>
      <c r="J106" s="58">
        <f ca="1">H103*50%</f>
        <v>5</v>
      </c>
      <c r="K106" s="32" t="s">
        <v>156</v>
      </c>
      <c r="L106" s="58">
        <f>I103*50%</f>
        <v>0</v>
      </c>
    </row>
    <row r="107" spans="1:12" ht="15.6" x14ac:dyDescent="0.3">
      <c r="A107" s="119" t="s">
        <v>149</v>
      </c>
      <c r="B107" s="120"/>
      <c r="C107" s="59">
        <f ca="1">J115</f>
        <v>10</v>
      </c>
      <c r="D107" s="56">
        <f ca="1">((100/H103)*C107)/100</f>
        <v>1</v>
      </c>
      <c r="E107" s="159"/>
      <c r="F107" s="159"/>
      <c r="G107" s="163"/>
      <c r="H107" s="57"/>
      <c r="I107" s="32" t="s">
        <v>159</v>
      </c>
      <c r="J107" s="58">
        <f ca="1">H103</f>
        <v>10</v>
      </c>
      <c r="K107" s="32" t="s">
        <v>159</v>
      </c>
      <c r="L107" s="58">
        <f>I103</f>
        <v>0</v>
      </c>
    </row>
    <row r="108" spans="1:12" ht="15.75" customHeight="1" x14ac:dyDescent="0.3">
      <c r="A108" s="166" t="s">
        <v>183</v>
      </c>
      <c r="B108" s="150"/>
      <c r="C108" s="59">
        <v>11</v>
      </c>
      <c r="D108" s="56">
        <f ca="1">((100/(D103+F103+H103))*C108)/100</f>
        <v>1.0000000000000002</v>
      </c>
      <c r="E108" s="159"/>
      <c r="F108" s="159"/>
      <c r="G108" s="163"/>
      <c r="H108" s="57"/>
      <c r="I108" s="32" t="s">
        <v>160</v>
      </c>
      <c r="J108" s="60">
        <f ca="1">(IF(B103&gt;1,(H103/(B103+2)),H103/4))</f>
        <v>2.5</v>
      </c>
      <c r="K108" s="32" t="s">
        <v>160</v>
      </c>
      <c r="L108" s="60">
        <f>(IF(B103&gt;1,(I103/(B103+2)),I103/4))</f>
        <v>0</v>
      </c>
    </row>
    <row r="109" spans="1:12" ht="15.75" customHeight="1" x14ac:dyDescent="0.3">
      <c r="A109" s="119" t="s">
        <v>184</v>
      </c>
      <c r="B109" s="120" t="s">
        <v>185</v>
      </c>
      <c r="C109" s="55">
        <v>10</v>
      </c>
      <c r="D109" s="56">
        <f ca="1">((100/H103)*C109)/100</f>
        <v>1</v>
      </c>
      <c r="E109" s="159"/>
      <c r="F109" s="159"/>
      <c r="G109" s="163"/>
      <c r="H109" s="57"/>
      <c r="I109" s="32" t="s">
        <v>161</v>
      </c>
      <c r="J109" s="60">
        <f ca="1">(IF(B103&gt;1,(H103/(B103+2)+J108),H103/4+J108))</f>
        <v>5</v>
      </c>
      <c r="K109" s="32" t="s">
        <v>161</v>
      </c>
      <c r="L109" s="60">
        <f>(IF(B103&gt;1,(I103/(B103+2)+L108),I103/4+L108))</f>
        <v>0</v>
      </c>
    </row>
    <row r="110" spans="1:12" ht="15.75" customHeight="1" x14ac:dyDescent="0.3">
      <c r="A110" s="119" t="s">
        <v>186</v>
      </c>
      <c r="B110" s="120" t="s">
        <v>185</v>
      </c>
      <c r="C110" s="55">
        <v>1</v>
      </c>
      <c r="D110" s="56">
        <f ca="1">((100/H103)*C110)/100</f>
        <v>0.1</v>
      </c>
      <c r="E110" s="159"/>
      <c r="F110" s="159"/>
      <c r="G110" s="163"/>
      <c r="H110" s="57"/>
      <c r="I110" s="32" t="s">
        <v>187</v>
      </c>
      <c r="J110" s="60">
        <f>(IF(B103&gt;1,(H103/(B103+2)+J109),0))</f>
        <v>0</v>
      </c>
      <c r="K110" s="32" t="s">
        <v>187</v>
      </c>
      <c r="L110" s="60">
        <f>(IF(B103&gt;1,(I103/(B103+2)+L109),0))</f>
        <v>0</v>
      </c>
    </row>
    <row r="111" spans="1:12" ht="15.75" customHeight="1" x14ac:dyDescent="0.3">
      <c r="A111" s="119" t="s">
        <v>188</v>
      </c>
      <c r="B111" s="120" t="s">
        <v>189</v>
      </c>
      <c r="C111" s="55">
        <v>0</v>
      </c>
      <c r="D111" s="56">
        <f ca="1">((100/(H103))*C111)/100</f>
        <v>0</v>
      </c>
      <c r="E111" s="159"/>
      <c r="F111" s="159"/>
      <c r="G111" s="163"/>
      <c r="H111" s="57"/>
      <c r="I111" s="32" t="s">
        <v>190</v>
      </c>
      <c r="J111" s="60">
        <f>(IF(B103&gt;2,(H103/(B103+2)+J110),0))</f>
        <v>0</v>
      </c>
      <c r="K111" s="32" t="s">
        <v>190</v>
      </c>
      <c r="L111" s="60">
        <f>(IF(B103&gt;2,(I103/(B103+2)+L110),0))</f>
        <v>0</v>
      </c>
    </row>
    <row r="112" spans="1:12" ht="15.75" customHeight="1" x14ac:dyDescent="0.3">
      <c r="A112" s="119" t="s">
        <v>191</v>
      </c>
      <c r="B112" s="120" t="s">
        <v>191</v>
      </c>
      <c r="C112" s="55">
        <v>0</v>
      </c>
      <c r="D112" s="56">
        <f ca="1">((100/H103)*C112)/100</f>
        <v>0</v>
      </c>
      <c r="E112" s="159"/>
      <c r="F112" s="159"/>
      <c r="G112" s="163"/>
      <c r="H112" s="57"/>
      <c r="I112" s="32" t="s">
        <v>192</v>
      </c>
      <c r="J112" s="61">
        <f>(IF(B103&gt;3,(H103/(B103+2)+J111),0))</f>
        <v>0</v>
      </c>
      <c r="K112" s="32" t="s">
        <v>192</v>
      </c>
      <c r="L112" s="61">
        <f>(IF(B103&gt;3,(I103/(B103+2)+L111),0))</f>
        <v>0</v>
      </c>
    </row>
    <row r="113" spans="1:12" ht="15" customHeight="1" x14ac:dyDescent="0.3">
      <c r="A113" s="119" t="s">
        <v>193</v>
      </c>
      <c r="B113" s="120"/>
      <c r="C113" s="55">
        <v>0</v>
      </c>
      <c r="D113" s="56">
        <f ca="1">((100/H103)*C113)/100</f>
        <v>0</v>
      </c>
      <c r="E113" s="159"/>
      <c r="F113" s="159"/>
      <c r="G113" s="163"/>
      <c r="H113" s="57"/>
      <c r="I113" s="32" t="s">
        <v>194</v>
      </c>
      <c r="J113" s="60">
        <f>(IF(B103&gt;4,(H103/(B103+2)+J112),0))</f>
        <v>0</v>
      </c>
      <c r="K113" s="32" t="s">
        <v>194</v>
      </c>
      <c r="L113" s="60">
        <f>(IF(B103&gt;4,(I103/(B103+2)+L112),0))</f>
        <v>0</v>
      </c>
    </row>
    <row r="114" spans="1:12" ht="15.75" customHeight="1" x14ac:dyDescent="0.3">
      <c r="A114" s="119" t="s">
        <v>195</v>
      </c>
      <c r="B114" s="120" t="s">
        <v>195</v>
      </c>
      <c r="C114" s="55">
        <v>0</v>
      </c>
      <c r="D114" s="56">
        <f ca="1">((100/(H103))*C114)/100</f>
        <v>0</v>
      </c>
      <c r="E114" s="159"/>
      <c r="F114" s="159"/>
      <c r="G114" s="163"/>
      <c r="H114" s="57"/>
      <c r="I114" s="32" t="s">
        <v>162</v>
      </c>
      <c r="J114" s="60">
        <f ca="1">(IF(B103=1,(H103/(B103+3)+J109),IF(B103=0,(H103/4+J109),IF(B103&gt;1,0))))</f>
        <v>7.5</v>
      </c>
      <c r="K114" s="32" t="s">
        <v>162</v>
      </c>
      <c r="L114" s="60">
        <f>(IF(B103=1,(I103/(B103+3)+L109),IF(B103=0,(I103/4+L109),IF(B103&gt;1,0))))</f>
        <v>0</v>
      </c>
    </row>
    <row r="115" spans="1:12" ht="15" customHeight="1" thickBot="1" x14ac:dyDescent="0.35">
      <c r="A115" s="167" t="s">
        <v>196</v>
      </c>
      <c r="B115" s="168"/>
      <c r="C115" s="62">
        <v>0</v>
      </c>
      <c r="D115" s="63">
        <f ca="1">((100/(H103))*C115)/100</f>
        <v>0</v>
      </c>
      <c r="E115" s="160"/>
      <c r="F115" s="160"/>
      <c r="G115" s="164"/>
      <c r="H115" s="64"/>
      <c r="I115" s="33" t="s">
        <v>163</v>
      </c>
      <c r="J115" s="65">
        <f ca="1">(IF(B103&gt;1.5,(H103/(B103+2)+J109+MAX(0,J110-J109)+MAX(0,J111-J110)+MAX(0,J112-J111)+MAX(0,J113-J112)+MAX(0,J114-J113)),IF(B103=1,(H103/(B103+3)+J114),IF(B103=0,H103/4+J114))))</f>
        <v>10</v>
      </c>
      <c r="K115" s="33" t="s">
        <v>163</v>
      </c>
      <c r="L115" s="65">
        <f>(IF(B103&gt;1.5,(I103/(B103+2)+L109+MAX(0,L110-L109)+MAX(0,L111-L110)+MAX(0,L112-L111)+MAX(0,L113-L112)+MAX(0,L114-L113)),IF(B103=1,(I103/(B103+3)+L114),IF(B103=0,I103/4+L114))))</f>
        <v>0</v>
      </c>
    </row>
    <row r="116" spans="1:12" ht="17.25" customHeight="1" x14ac:dyDescent="0.3">
      <c r="A116" s="165" t="s">
        <v>173</v>
      </c>
      <c r="B116" s="148"/>
      <c r="C116" s="148" t="s">
        <v>247</v>
      </c>
      <c r="D116" s="148"/>
      <c r="E116" s="148"/>
      <c r="F116" s="148"/>
      <c r="G116" s="149"/>
      <c r="H116" s="36"/>
      <c r="I116" s="30" t="str">
        <f ca="1">(IF(E120&gt;99%,"All work completed. Please provide OC.",IF(E120&gt;89.8%,"Plinth, RCC, Brick, Plaster, Flooring, Painting work Completed. Finishing work is in process.",IF(E120&lt;94%,(IF(C120=0,"Work not yet Started.",IF(D120=25%,"Piling work in process",IF(D120=50%,"Excavation work in process",IF(D120=100%,"Excavation work Completed. ","0")))&amp;(IF(C121=0%,"",IF(C121=J122,"Footing work is process",IF(C121=J123,"Footing work Completed",IF(C121=J124,"1st Basement Completed",IF(C121=J125,"1st &amp; 2nd Basement Completed",IF(C121=J126,"1st to 3rd Basement Completed",IF(C121=J127,"1st to 4th Basement Completed",IF(C121=J128,"Plinth work is process",IF(C121=J129,"Plinth work completed","0")))))))))))&amp;(IF(C122=(D117+F117+H117),", RCC Slab",IF(C122&gt;0,", RCC upto "&amp;C122&amp;" Slab",""))&amp;(IF(C123=H117,", Brickwork",IF(C123&gt;0,", Brickwork upto "&amp;C123&amp;" Floor",""))&amp;(IF(C124=H117,", Internal Plaster",IF(C124&gt;0,", Internal Plaster upto "&amp;C124&amp;" Floor",""))&amp;(IF(C125=H117,", External Plaster",IF(C125&gt;0,", External Plaster upto "&amp;C125&amp;" Floor",""))&amp;(IF(C126=H117,", Flooring",IF(C126&gt;0,", Flooring upto "&amp;C126&amp;" Floor",""))&amp;(IF(C127=H117,", Painting",IF(C127&gt;0,", Painting upto "&amp;C127&amp;" Floor",""))&amp;(IF(C128&gt;0,", Finishing upto "&amp;C128&amp;" Floor","")&amp;(IF(C122&gt;0.5," Completed",""))))))))))))))</f>
        <v>Excavation work Completed. Plinth work completed, RCC Slab, Brickwork, Internal Plaster upto 3 Floor, External Plaster upto 2 Floor Completed</v>
      </c>
      <c r="J116" s="52"/>
      <c r="K116" s="30" t="str">
        <f ca="1">(IF(F120&gt;99%,"All work completed. Please provide OC.",IF(F120&gt;89.8%,"Plinth, RCC, Brick, Plaster, Flooring, Painting work Completed. Finishing work is in process.",IF(F120&lt;94%,(IF(C120=0,"Work not yet Started.",IF(D120=25%,"Piling work in process",IF(D120=50%,"Excavation work in process",IF(D120=100%,"Excavation work Completed. ","0")))&amp;(IF(C121=0%,"",IF(C121=L122,"Footing work is process",IF(C121=L123,"Footing work Completed",IF(C121=L124,"1st Basement Completed",IF(C121=L125,"1st &amp; 2nd Basement Completed",IF(C121=L126,"1st to 3rd Basement Completed",IF(C121=L127,"1st to 4th Basement Completed",IF(C121=L128,"Plinth work is process",IF(C121=L129,"Plinth work completed","0")))))))))))&amp;(IF(C122=(D117+G117+I117),", RCC Slab",IF(C122&gt;0,", RCC upto "&amp;C122&amp;" Slab",""))&amp;(IF(C123=I117,", Brickwork",IF(C123&gt;0,", Brickwork upto "&amp;C123&amp;" Floor",""))&amp;(IF(C124=I117,", Internal Plaster",IF(C124&gt;0,", Internal Plaster upto "&amp;C124&amp;" Floor",""))&amp;(IF(C125=I117,", External Plaster",IF(C125&gt;0,", External Plaster upto "&amp;C125&amp;" Floor",""))&amp;(IF(C126=I117,", Flooring",IF(C126&gt;0,", Flooring upto "&amp;C126&amp;" Floor",""))&amp;(IF(C127=I117,", Painting",IF(C127&gt;0,", Painting upto "&amp;C127&amp;" Floor",""))&amp;(IF(C128&gt;0,", Finishing upto "&amp;C128&amp;" Floor","")&amp;(IF(C122&gt;0.5," Completed",""))))))))))))))</f>
        <v>Excavation work Completed. 0, RCC Slab, Brickwork upto 5 Floor, Internal Plaster upto 3 Floor, External Plaster upto 2 Floor, Flooring, Painting Completed</v>
      </c>
      <c r="L116" s="52"/>
    </row>
    <row r="117" spans="1:12" ht="15.6" x14ac:dyDescent="0.3">
      <c r="A117" s="44" t="s">
        <v>117</v>
      </c>
      <c r="B117" s="42">
        <v>0</v>
      </c>
      <c r="C117" s="42" t="s">
        <v>119</v>
      </c>
      <c r="D117" s="42">
        <v>1</v>
      </c>
      <c r="E117" s="150" t="s">
        <v>174</v>
      </c>
      <c r="F117" s="150"/>
      <c r="G117" s="35">
        <v>5</v>
      </c>
      <c r="H117" s="34">
        <f ca="1">--TRIM(RIGHT(SUBSTITUTE(LEFT(C116,_xlfn.AGGREGATE(16,6,FIND({0,1,2,3,4,5,6,7,8,9},C116,ROW(INDIRECT("1:"&amp;LEN(C116)))),1))," ",REPT(" ",LEN(C116))),LEN(C116)))</f>
        <v>5</v>
      </c>
      <c r="I117" s="31"/>
      <c r="J117" s="53"/>
      <c r="K117" s="31"/>
      <c r="L117" s="53"/>
    </row>
    <row r="118" spans="1:12" ht="31.5" customHeight="1" x14ac:dyDescent="0.3">
      <c r="A118" s="151" t="s">
        <v>175</v>
      </c>
      <c r="B118" s="152"/>
      <c r="C118" s="161" t="str">
        <f ca="1">I116</f>
        <v>Excavation work Completed. Plinth work completed, RCC Slab, Brickwork, Internal Plaster upto 3 Floor, External Plaster upto 2 Floor Completed</v>
      </c>
      <c r="D118" s="161"/>
      <c r="E118" s="161"/>
      <c r="F118" s="161"/>
      <c r="G118" s="162"/>
      <c r="H118" s="37"/>
      <c r="I118" s="31" t="s">
        <v>176</v>
      </c>
      <c r="J118" s="53"/>
      <c r="K118" s="31" t="s">
        <v>176</v>
      </c>
      <c r="L118" s="53"/>
    </row>
    <row r="119" spans="1:12" ht="15.75" customHeight="1" x14ac:dyDescent="0.3">
      <c r="A119" s="119" t="s">
        <v>165</v>
      </c>
      <c r="B119" s="120"/>
      <c r="C119" s="43" t="s">
        <v>177</v>
      </c>
      <c r="D119" s="43" t="s">
        <v>178</v>
      </c>
      <c r="E119" s="120" t="s">
        <v>179</v>
      </c>
      <c r="F119" s="120"/>
      <c r="G119" s="35" t="s">
        <v>180</v>
      </c>
      <c r="H119" s="38"/>
      <c r="I119" s="32" t="s">
        <v>181</v>
      </c>
      <c r="J119" s="54">
        <f ca="1">H117*25%</f>
        <v>1.25</v>
      </c>
      <c r="K119" s="32" t="s">
        <v>181</v>
      </c>
      <c r="L119" s="54">
        <f>I117*25%</f>
        <v>0</v>
      </c>
    </row>
    <row r="120" spans="1:12" ht="15.6" x14ac:dyDescent="0.3">
      <c r="A120" s="119" t="s">
        <v>182</v>
      </c>
      <c r="B120" s="120"/>
      <c r="C120" s="55">
        <f ca="1">J121</f>
        <v>5</v>
      </c>
      <c r="D120" s="56">
        <f ca="1">((100/H117)*C120)/100</f>
        <v>1</v>
      </c>
      <c r="E120" s="159">
        <f ca="1">(((C121/H117*10)+(40/(D117+F117+H117)*C122)+(7.5/(H117)*C123)+(7.5/(H117)*C124)+(10/H117*C125)+(10/H117*C126)+(5/H117*C127)+(5/H117*C128)+(5/H117*C129))/100)</f>
        <v>0.66</v>
      </c>
      <c r="F120" s="159"/>
      <c r="G120" s="163">
        <f ca="1">((((C120/H117)*20)+((C121/H117)*25)+(30/(H117+F117+D117)*C122)+(5/H117*C123)+(5/H117*C124)+(5/H117*C125)+(5/H117*C126)+(0/H117*C127)+(0/H117*C128)+(5/H117*C129))/100)</f>
        <v>0.85</v>
      </c>
      <c r="H120" s="57"/>
      <c r="I120" s="32" t="s">
        <v>156</v>
      </c>
      <c r="J120" s="58">
        <f ca="1">H117*50%</f>
        <v>2.5</v>
      </c>
      <c r="K120" s="32" t="s">
        <v>156</v>
      </c>
      <c r="L120" s="58">
        <f>I117*50%</f>
        <v>0</v>
      </c>
    </row>
    <row r="121" spans="1:12" ht="15.6" x14ac:dyDescent="0.3">
      <c r="A121" s="119" t="s">
        <v>149</v>
      </c>
      <c r="B121" s="120"/>
      <c r="C121" s="59">
        <f ca="1">J129</f>
        <v>5</v>
      </c>
      <c r="D121" s="56">
        <f ca="1">((100/H117)*C121)/100</f>
        <v>1</v>
      </c>
      <c r="E121" s="159"/>
      <c r="F121" s="159"/>
      <c r="G121" s="163"/>
      <c r="H121" s="57"/>
      <c r="I121" s="32" t="s">
        <v>159</v>
      </c>
      <c r="J121" s="58">
        <f ca="1">H117</f>
        <v>5</v>
      </c>
      <c r="K121" s="32" t="s">
        <v>159</v>
      </c>
      <c r="L121" s="58">
        <f>I117</f>
        <v>0</v>
      </c>
    </row>
    <row r="122" spans="1:12" ht="15.75" customHeight="1" x14ac:dyDescent="0.3">
      <c r="A122" s="166" t="s">
        <v>183</v>
      </c>
      <c r="B122" s="150"/>
      <c r="C122" s="59">
        <v>6</v>
      </c>
      <c r="D122" s="56">
        <f ca="1">((100/(D117+F117+H117))*C122)/100</f>
        <v>1</v>
      </c>
      <c r="E122" s="159"/>
      <c r="F122" s="159"/>
      <c r="G122" s="163"/>
      <c r="H122" s="57"/>
      <c r="I122" s="32" t="s">
        <v>160</v>
      </c>
      <c r="J122" s="60">
        <f ca="1">(IF(B117&gt;1,(H117/(B117+2)),H117/4))</f>
        <v>1.25</v>
      </c>
      <c r="K122" s="32" t="s">
        <v>160</v>
      </c>
      <c r="L122" s="60">
        <f>(IF(B117&gt;1,(I117/(B117+2)),I117/4))</f>
        <v>0</v>
      </c>
    </row>
    <row r="123" spans="1:12" ht="15.75" customHeight="1" x14ac:dyDescent="0.3">
      <c r="A123" s="119" t="s">
        <v>184</v>
      </c>
      <c r="B123" s="120" t="s">
        <v>185</v>
      </c>
      <c r="C123" s="55">
        <v>5</v>
      </c>
      <c r="D123" s="56">
        <f ca="1">((100/H117)*C123)/100</f>
        <v>1</v>
      </c>
      <c r="E123" s="159"/>
      <c r="F123" s="159"/>
      <c r="G123" s="163"/>
      <c r="H123" s="57"/>
      <c r="I123" s="32" t="s">
        <v>161</v>
      </c>
      <c r="J123" s="60">
        <f ca="1">(IF(B117&gt;1,(H117/(B117+2)+J122),H117/4+J122))</f>
        <v>2.5</v>
      </c>
      <c r="K123" s="32" t="s">
        <v>161</v>
      </c>
      <c r="L123" s="60">
        <f>(IF(B117&gt;1,(I117/(B117+2)+L122),I117/4+L122))</f>
        <v>0</v>
      </c>
    </row>
    <row r="124" spans="1:12" ht="15.75" customHeight="1" x14ac:dyDescent="0.3">
      <c r="A124" s="119" t="s">
        <v>186</v>
      </c>
      <c r="B124" s="120" t="s">
        <v>185</v>
      </c>
      <c r="C124" s="55">
        <v>3</v>
      </c>
      <c r="D124" s="56">
        <f ca="1">((100/H117)*C124)/100</f>
        <v>0.6</v>
      </c>
      <c r="E124" s="159"/>
      <c r="F124" s="159"/>
      <c r="G124" s="163"/>
      <c r="H124" s="57"/>
      <c r="I124" s="32" t="s">
        <v>187</v>
      </c>
      <c r="J124" s="60">
        <f>(IF(B117&gt;1,(H117/(B117+2)+J123),0))</f>
        <v>0</v>
      </c>
      <c r="K124" s="32" t="s">
        <v>187</v>
      </c>
      <c r="L124" s="60">
        <f>(IF(B117&gt;1,(I117/(B117+2)+L123),0))</f>
        <v>0</v>
      </c>
    </row>
    <row r="125" spans="1:12" ht="15.75" customHeight="1" x14ac:dyDescent="0.3">
      <c r="A125" s="119" t="s">
        <v>188</v>
      </c>
      <c r="B125" s="120" t="s">
        <v>189</v>
      </c>
      <c r="C125" s="55">
        <v>2</v>
      </c>
      <c r="D125" s="56">
        <f ca="1">((100/(H117))*C125)/100</f>
        <v>0.4</v>
      </c>
      <c r="E125" s="159"/>
      <c r="F125" s="159"/>
      <c r="G125" s="163"/>
      <c r="H125" s="57"/>
      <c r="I125" s="32" t="s">
        <v>190</v>
      </c>
      <c r="J125" s="60">
        <f>(IF(B117&gt;2,(H117/(B117+2)+J124),0))</f>
        <v>0</v>
      </c>
      <c r="K125" s="32" t="s">
        <v>190</v>
      </c>
      <c r="L125" s="60">
        <f>(IF(B117&gt;2,(I117/(B117+2)+L124),0))</f>
        <v>0</v>
      </c>
    </row>
    <row r="126" spans="1:12" ht="15.75" customHeight="1" x14ac:dyDescent="0.3">
      <c r="A126" s="119" t="s">
        <v>191</v>
      </c>
      <c r="B126" s="120" t="s">
        <v>191</v>
      </c>
      <c r="C126" s="55">
        <v>0</v>
      </c>
      <c r="D126" s="56">
        <f ca="1">((100/H117)*C126)/100</f>
        <v>0</v>
      </c>
      <c r="E126" s="159"/>
      <c r="F126" s="159"/>
      <c r="G126" s="163"/>
      <c r="H126" s="57"/>
      <c r="I126" s="32" t="s">
        <v>192</v>
      </c>
      <c r="J126" s="61">
        <f>(IF(B117&gt;3,(H117/(B117+2)+J125),0))</f>
        <v>0</v>
      </c>
      <c r="K126" s="32" t="s">
        <v>192</v>
      </c>
      <c r="L126" s="61">
        <f>(IF(B117&gt;3,(I117/(B117+2)+L125),0))</f>
        <v>0</v>
      </c>
    </row>
    <row r="127" spans="1:12" ht="15" customHeight="1" x14ac:dyDescent="0.3">
      <c r="A127" s="119" t="s">
        <v>193</v>
      </c>
      <c r="B127" s="120"/>
      <c r="C127" s="55">
        <v>0</v>
      </c>
      <c r="D127" s="56">
        <f ca="1">((100/H117)*C127)/100</f>
        <v>0</v>
      </c>
      <c r="E127" s="159"/>
      <c r="F127" s="159"/>
      <c r="G127" s="163"/>
      <c r="H127" s="57"/>
      <c r="I127" s="32" t="s">
        <v>194</v>
      </c>
      <c r="J127" s="60">
        <f>(IF(B117&gt;4,(H117/(B117+2)+J126),0))</f>
        <v>0</v>
      </c>
      <c r="K127" s="32" t="s">
        <v>194</v>
      </c>
      <c r="L127" s="60">
        <f>(IF(B117&gt;4,(I117/(B117+2)+L126),0))</f>
        <v>0</v>
      </c>
    </row>
    <row r="128" spans="1:12" ht="15.75" customHeight="1" x14ac:dyDescent="0.3">
      <c r="A128" s="119" t="s">
        <v>195</v>
      </c>
      <c r="B128" s="120" t="s">
        <v>195</v>
      </c>
      <c r="C128" s="55">
        <v>0</v>
      </c>
      <c r="D128" s="56">
        <f ca="1">((100/(H117))*C128)/100</f>
        <v>0</v>
      </c>
      <c r="E128" s="159"/>
      <c r="F128" s="159"/>
      <c r="G128" s="163"/>
      <c r="H128" s="57"/>
      <c r="I128" s="32" t="s">
        <v>162</v>
      </c>
      <c r="J128" s="60">
        <f ca="1">(IF(B117=1,(H117/(B117+3)+J123),IF(B117=0,(H117/4+J123),IF(B117&gt;1,0))))</f>
        <v>3.75</v>
      </c>
      <c r="K128" s="32" t="s">
        <v>162</v>
      </c>
      <c r="L128" s="60">
        <f>(IF(B117=1,(I117/(B117+3)+L123),IF(B117=0,(I117/4+L123),IF(B117&gt;1,0))))</f>
        <v>0</v>
      </c>
    </row>
    <row r="129" spans="1:12" ht="15" customHeight="1" thickBot="1" x14ac:dyDescent="0.35">
      <c r="A129" s="167" t="s">
        <v>196</v>
      </c>
      <c r="B129" s="168"/>
      <c r="C129" s="62">
        <v>0</v>
      </c>
      <c r="D129" s="63">
        <f ca="1">((100/(H117))*C129)/100</f>
        <v>0</v>
      </c>
      <c r="E129" s="160"/>
      <c r="F129" s="160"/>
      <c r="G129" s="164"/>
      <c r="H129" s="64"/>
      <c r="I129" s="33" t="s">
        <v>163</v>
      </c>
      <c r="J129" s="65">
        <f ca="1">(IF(B117&gt;1.5,(H117/(B117+2)+J123+MAX(0,J124-J123)+MAX(0,J125-J124)+MAX(0,J126-J125)+MAX(0,J127-J126)+MAX(0,J128-J127)),IF(B117=1,(H117/(B117+3)+J128),IF(B117=0,H117/4+J128))))</f>
        <v>5</v>
      </c>
      <c r="K129" s="33" t="s">
        <v>163</v>
      </c>
      <c r="L129" s="65">
        <f>(IF(B117&gt;1.5,(I117/(B117+2)+L123+MAX(0,L124-L123)+MAX(0,L125-L124)+MAX(0,L126-L125)+MAX(0,L127-L126)+MAX(0,L128-L127)),IF(B117=1,(I117/(B117+3)+L128),IF(B117=0,I117/4+L128))))</f>
        <v>0</v>
      </c>
    </row>
    <row r="130" spans="1:12" ht="16.5" customHeight="1" x14ac:dyDescent="0.3">
      <c r="A130" s="165" t="s">
        <v>173</v>
      </c>
      <c r="B130" s="148"/>
      <c r="C130" s="148" t="s">
        <v>248</v>
      </c>
      <c r="D130" s="148"/>
      <c r="E130" s="148"/>
      <c r="F130" s="148"/>
      <c r="G130" s="149"/>
      <c r="H130" s="36"/>
      <c r="I130" s="30" t="str">
        <f ca="1">(IF(E134&gt;99%,"All work completed. Please provide OC.",IF(E134&gt;89.8%,"Plinth, RCC, Brick, Plaster, Flooring, Painting work Completed. Finishing work is in process.",IF(E134&lt;94%,(IF(C134=0,"Work not yet Started.",IF(D134=25%,"Piling work in process",IF(D134=50%,"Excavation work in process",IF(D134=100%,"Excavation work Completed. ","0")))&amp;(IF(C135=0%,"",IF(C135=J136,"Footing work is process",IF(C135=J137,"Footing work Completed",IF(C135=J138,"1st Basement Completed",IF(C135=J139,"1st &amp; 2nd Basement Completed",IF(C135=J140,"1st to 3rd Basement Completed",IF(C135=J141,"1st to 4th Basement Completed",IF(C135=J142,"Plinth work is process",IF(C135=J143,"Plinth work completed","0")))))))))))&amp;(IF(C136=(D131+F131+H131),", RCC Slab",IF(C136&gt;0,", RCC upto "&amp;C136&amp;" Slab",""))&amp;(IF(C137=H131,", Brickwork",IF(C137&gt;0,", Brickwork upto "&amp;C137&amp;" Floor",""))&amp;(IF(C138=H131,", Internal Plaster",IF(C138&gt;0,", Internal Plaster upto "&amp;C138&amp;" Floor",""))&amp;(IF(C139=H131,", External Plaster",IF(C139&gt;0,", External Plaster upto "&amp;C139&amp;" Floor",""))&amp;(IF(C140=H131,", Flooring",IF(C140&gt;0,", Flooring upto "&amp;C140&amp;" Floor",""))&amp;(IF(C141=H131,", Painting",IF(C141&gt;0,", Painting upto "&amp;C141&amp;" Floor",""))&amp;(IF(C142&gt;0,", Finishing upto "&amp;C142&amp;" Floor","")&amp;(IF(C136&gt;0.5," Completed",""))))))))))))))</f>
        <v>Excavation work Completed. Plinth work completed, RCC Slab, Brickwork, Internal Plaster, External Plaster, Flooring upto 7 Floor, Painting upto 6 Floor Completed</v>
      </c>
      <c r="J130" s="52"/>
      <c r="K130" s="30" t="str">
        <f ca="1">(IF(F134&gt;99%,"All work completed. Please provide OC.",IF(F134&gt;89.8%,"Plinth, RCC, Brick, Plaster, Flooring, Painting work Completed. Finishing work is in process.",IF(F134&lt;94%,(IF(C134=0,"Work not yet Started.",IF(D134=25%,"Piling work in process",IF(D134=50%,"Excavation work in process",IF(D134=100%,"Excavation work Completed. ","0")))&amp;(IF(C135=0%,"",IF(C135=L136,"Footing work is process",IF(C135=L137,"Footing work Completed",IF(C135=L138,"1st Basement Completed",IF(C135=L139,"1st &amp; 2nd Basement Completed",IF(C135=L140,"1st to 3rd Basement Completed",IF(C135=L141,"1st to 4th Basement Completed",IF(C135=L142,"Plinth work is process",IF(C135=L143,"Plinth work completed","0")))))))))))&amp;(IF(C136=(D131+G131+I131),", RCC Slab",IF(C136&gt;0,", RCC upto "&amp;C136&amp;" Slab",""))&amp;(IF(C137=I131,", Brickwork",IF(C137&gt;0,", Brickwork upto "&amp;C137&amp;" Floor",""))&amp;(IF(C138=I131,", Internal Plaster",IF(C138&gt;0,", Internal Plaster upto "&amp;C138&amp;" Floor",""))&amp;(IF(C139=I131,", External Plaster",IF(C139&gt;0,", External Plaster upto "&amp;C139&amp;" Floor",""))&amp;(IF(C140=I131,", Flooring",IF(C140&gt;0,", Flooring upto "&amp;C140&amp;" Floor",""))&amp;(IF(C141=I131,", Painting",IF(C141&gt;0,", Painting upto "&amp;C141&amp;" Floor",""))&amp;(IF(C142&gt;0,", Finishing upto "&amp;C142&amp;" Floor","")&amp;(IF(C136&gt;0.5," Completed",""))))))))))))))</f>
        <v>Excavation work Completed. 0, RCC Slab, Brickwork upto 10 Floor, Internal Plaster upto 10 Floor, External Plaster upto 10 Floor, Flooring upto 7 Floor, Painting upto 6 Floor Completed</v>
      </c>
      <c r="L130" s="52"/>
    </row>
    <row r="131" spans="1:12" ht="15.6" x14ac:dyDescent="0.3">
      <c r="A131" s="44" t="s">
        <v>117</v>
      </c>
      <c r="B131" s="42">
        <v>0</v>
      </c>
      <c r="C131" s="42" t="s">
        <v>119</v>
      </c>
      <c r="D131" s="42">
        <v>1</v>
      </c>
      <c r="E131" s="150" t="s">
        <v>174</v>
      </c>
      <c r="F131" s="150"/>
      <c r="G131" s="35">
        <v>10</v>
      </c>
      <c r="H131" s="34">
        <f ca="1">--TRIM(RIGHT(SUBSTITUTE(LEFT(C130,_xlfn.AGGREGATE(16,6,FIND({0,1,2,3,4,5,6,7,8,9},C130,ROW(INDIRECT("1:"&amp;LEN(C130)))),1))," ",REPT(" ",LEN(C130))),LEN(C130)))</f>
        <v>10</v>
      </c>
      <c r="I131" s="31"/>
      <c r="J131" s="53"/>
      <c r="K131" s="31"/>
      <c r="L131" s="53"/>
    </row>
    <row r="132" spans="1:12" ht="46.5" customHeight="1" x14ac:dyDescent="0.3">
      <c r="A132" s="151" t="s">
        <v>175</v>
      </c>
      <c r="B132" s="152"/>
      <c r="C132" s="161" t="str">
        <f ca="1">I130</f>
        <v>Excavation work Completed. Plinth work completed, RCC Slab, Brickwork, Internal Plaster, External Plaster, Flooring upto 7 Floor, Painting upto 6 Floor Completed</v>
      </c>
      <c r="D132" s="161"/>
      <c r="E132" s="161"/>
      <c r="F132" s="161"/>
      <c r="G132" s="162"/>
      <c r="H132" s="37"/>
      <c r="I132" s="31" t="s">
        <v>176</v>
      </c>
      <c r="J132" s="53"/>
      <c r="K132" s="31" t="s">
        <v>176</v>
      </c>
      <c r="L132" s="53"/>
    </row>
    <row r="133" spans="1:12" ht="15.75" customHeight="1" x14ac:dyDescent="0.3">
      <c r="A133" s="119" t="s">
        <v>165</v>
      </c>
      <c r="B133" s="120"/>
      <c r="C133" s="43" t="s">
        <v>177</v>
      </c>
      <c r="D133" s="42" t="s">
        <v>178</v>
      </c>
      <c r="E133" s="120" t="s">
        <v>179</v>
      </c>
      <c r="F133" s="120"/>
      <c r="G133" s="35" t="s">
        <v>180</v>
      </c>
      <c r="H133" s="38"/>
      <c r="I133" s="32" t="s">
        <v>181</v>
      </c>
      <c r="J133" s="54">
        <f ca="1">H131*25%</f>
        <v>2.5</v>
      </c>
      <c r="K133" s="32" t="s">
        <v>181</v>
      </c>
      <c r="L133" s="54">
        <f>I131*25%</f>
        <v>0</v>
      </c>
    </row>
    <row r="134" spans="1:12" ht="15.6" x14ac:dyDescent="0.3">
      <c r="A134" s="119" t="s">
        <v>182</v>
      </c>
      <c r="B134" s="120"/>
      <c r="C134" s="55">
        <f ca="1">J135</f>
        <v>10</v>
      </c>
      <c r="D134" s="56">
        <f ca="1">((100/H131)*C134)/100</f>
        <v>1</v>
      </c>
      <c r="E134" s="159">
        <f ca="1">(((C135/H131*10)+(40/(D131+F131+H131)*C136)+(7.5/(H131)*C137)+(7.5/(H131)*C138)+(10/H131*C139)+(10/H131*C140)+(5/H131*C141)+(5/H131*C142)+(5/H131*C143))/100)</f>
        <v>0.85</v>
      </c>
      <c r="F134" s="159"/>
      <c r="G134" s="163">
        <f ca="1">((((C134/H131)*20)+((C135/H131)*25)+(30/(H131+F131+D131)*C136)+(5/H131*C137)+(5/H131*C138)+(5/H131*C139)+(5/H131*C140)+(0/H131*C141)+(0/H131*C142)+(5/H131*C143))/100)</f>
        <v>0.93500000000000005</v>
      </c>
      <c r="H134" s="57"/>
      <c r="I134" s="32" t="s">
        <v>156</v>
      </c>
      <c r="J134" s="58">
        <f ca="1">H131*50%</f>
        <v>5</v>
      </c>
      <c r="K134" s="32" t="s">
        <v>156</v>
      </c>
      <c r="L134" s="58">
        <f>I131*50%</f>
        <v>0</v>
      </c>
    </row>
    <row r="135" spans="1:12" ht="15.6" x14ac:dyDescent="0.3">
      <c r="A135" s="119" t="s">
        <v>149</v>
      </c>
      <c r="B135" s="120"/>
      <c r="C135" s="59">
        <v>10</v>
      </c>
      <c r="D135" s="56">
        <f ca="1">((100/H131)*C135)/100</f>
        <v>1</v>
      </c>
      <c r="E135" s="159"/>
      <c r="F135" s="159"/>
      <c r="G135" s="163"/>
      <c r="H135" s="57"/>
      <c r="I135" s="32" t="s">
        <v>159</v>
      </c>
      <c r="J135" s="58">
        <f ca="1">H131</f>
        <v>10</v>
      </c>
      <c r="K135" s="32" t="s">
        <v>159</v>
      </c>
      <c r="L135" s="58">
        <f>I131</f>
        <v>0</v>
      </c>
    </row>
    <row r="136" spans="1:12" ht="15.75" customHeight="1" x14ac:dyDescent="0.3">
      <c r="A136" s="166" t="s">
        <v>183</v>
      </c>
      <c r="B136" s="150"/>
      <c r="C136" s="59">
        <v>11</v>
      </c>
      <c r="D136" s="56">
        <f ca="1">((100/(D131+F131+H131))*C136)/100</f>
        <v>1.0000000000000002</v>
      </c>
      <c r="E136" s="159"/>
      <c r="F136" s="159"/>
      <c r="G136" s="163"/>
      <c r="H136" s="57"/>
      <c r="I136" s="32" t="s">
        <v>160</v>
      </c>
      <c r="J136" s="60">
        <f ca="1">(IF(B131&gt;1,(H131/(B131+2)),H131/4))</f>
        <v>2.5</v>
      </c>
      <c r="K136" s="32" t="s">
        <v>160</v>
      </c>
      <c r="L136" s="60">
        <f>(IF(B131&gt;1,(I131/(B131+2)),I131/4))</f>
        <v>0</v>
      </c>
    </row>
    <row r="137" spans="1:12" ht="15.75" customHeight="1" x14ac:dyDescent="0.3">
      <c r="A137" s="119" t="s">
        <v>184</v>
      </c>
      <c r="B137" s="120" t="s">
        <v>185</v>
      </c>
      <c r="C137" s="55">
        <v>10</v>
      </c>
      <c r="D137" s="56">
        <f ca="1">((100/H131)*C137)/100</f>
        <v>1</v>
      </c>
      <c r="E137" s="159"/>
      <c r="F137" s="159"/>
      <c r="G137" s="163"/>
      <c r="H137" s="57"/>
      <c r="I137" s="32" t="s">
        <v>161</v>
      </c>
      <c r="J137" s="60">
        <f ca="1">(IF(B131&gt;1,(H131/(B131+2)+J136),H131/4+J136))</f>
        <v>5</v>
      </c>
      <c r="K137" s="32" t="s">
        <v>161</v>
      </c>
      <c r="L137" s="60">
        <f>(IF(B131&gt;1,(I131/(B131+2)+L136),I131/4+L136))</f>
        <v>0</v>
      </c>
    </row>
    <row r="138" spans="1:12" ht="15.75" customHeight="1" x14ac:dyDescent="0.3">
      <c r="A138" s="119" t="s">
        <v>186</v>
      </c>
      <c r="B138" s="120" t="s">
        <v>185</v>
      </c>
      <c r="C138" s="55">
        <v>10</v>
      </c>
      <c r="D138" s="56">
        <f ca="1">((100/H131)*C138)/100</f>
        <v>1</v>
      </c>
      <c r="E138" s="159"/>
      <c r="F138" s="159"/>
      <c r="G138" s="163"/>
      <c r="H138" s="57"/>
      <c r="I138" s="32" t="s">
        <v>187</v>
      </c>
      <c r="J138" s="60">
        <f>(IF(B131&gt;1,(H131/(B131+2)+J137),0))</f>
        <v>0</v>
      </c>
      <c r="K138" s="32" t="s">
        <v>187</v>
      </c>
      <c r="L138" s="60">
        <f>(IF(B131&gt;1,(I131/(B131+2)+L137),0))</f>
        <v>0</v>
      </c>
    </row>
    <row r="139" spans="1:12" ht="15.75" customHeight="1" x14ac:dyDescent="0.3">
      <c r="A139" s="119" t="s">
        <v>188</v>
      </c>
      <c r="B139" s="120" t="s">
        <v>189</v>
      </c>
      <c r="C139" s="55">
        <v>10</v>
      </c>
      <c r="D139" s="56">
        <f ca="1">((100/(H131))*C139)/100</f>
        <v>1</v>
      </c>
      <c r="E139" s="159"/>
      <c r="F139" s="159"/>
      <c r="G139" s="163"/>
      <c r="H139" s="57"/>
      <c r="I139" s="32" t="s">
        <v>190</v>
      </c>
      <c r="J139" s="60">
        <f>(IF(B131&gt;2,(H131/(B131+2)+J138),0))</f>
        <v>0</v>
      </c>
      <c r="K139" s="32" t="s">
        <v>190</v>
      </c>
      <c r="L139" s="60">
        <f>(IF(B131&gt;2,(I131/(B131+2)+L138),0))</f>
        <v>0</v>
      </c>
    </row>
    <row r="140" spans="1:12" ht="15.75" customHeight="1" x14ac:dyDescent="0.3">
      <c r="A140" s="119" t="s">
        <v>191</v>
      </c>
      <c r="B140" s="120" t="s">
        <v>191</v>
      </c>
      <c r="C140" s="55">
        <v>7</v>
      </c>
      <c r="D140" s="56">
        <f ca="1">((100/H131)*C140)/100</f>
        <v>0.7</v>
      </c>
      <c r="E140" s="159"/>
      <c r="F140" s="159"/>
      <c r="G140" s="163"/>
      <c r="H140" s="57"/>
      <c r="I140" s="32" t="s">
        <v>192</v>
      </c>
      <c r="J140" s="61">
        <f>(IF(B131&gt;3,(H131/(B131+2)+J139),0))</f>
        <v>0</v>
      </c>
      <c r="K140" s="32" t="s">
        <v>192</v>
      </c>
      <c r="L140" s="61">
        <f>(IF(B131&gt;3,(I131/(B131+2)+L139),0))</f>
        <v>0</v>
      </c>
    </row>
    <row r="141" spans="1:12" ht="15" customHeight="1" x14ac:dyDescent="0.3">
      <c r="A141" s="119" t="s">
        <v>193</v>
      </c>
      <c r="B141" s="120"/>
      <c r="C141" s="55">
        <v>6</v>
      </c>
      <c r="D141" s="56">
        <f ca="1">((100/H131)*C141)/100</f>
        <v>0.6</v>
      </c>
      <c r="E141" s="159"/>
      <c r="F141" s="159"/>
      <c r="G141" s="163"/>
      <c r="H141" s="57"/>
      <c r="I141" s="32" t="s">
        <v>194</v>
      </c>
      <c r="J141" s="60">
        <f>(IF(B131&gt;4,(H131/(B131+2)+J140),0))</f>
        <v>0</v>
      </c>
      <c r="K141" s="32" t="s">
        <v>194</v>
      </c>
      <c r="L141" s="60">
        <f>(IF(B131&gt;4,(I131/(B131+2)+L140),0))</f>
        <v>0</v>
      </c>
    </row>
    <row r="142" spans="1:12" ht="15.75" customHeight="1" x14ac:dyDescent="0.3">
      <c r="A142" s="119" t="s">
        <v>195</v>
      </c>
      <c r="B142" s="120" t="s">
        <v>195</v>
      </c>
      <c r="C142" s="55">
        <v>0</v>
      </c>
      <c r="D142" s="56">
        <f ca="1">((100/(H131))*C142)/100</f>
        <v>0</v>
      </c>
      <c r="E142" s="159"/>
      <c r="F142" s="159"/>
      <c r="G142" s="163"/>
      <c r="H142" s="57"/>
      <c r="I142" s="32" t="s">
        <v>162</v>
      </c>
      <c r="J142" s="60">
        <f ca="1">(IF(B131=1,(H131/(B131+3)+J137),IF(B131=0,(H131/4+J137),IF(B131&gt;1,0))))</f>
        <v>7.5</v>
      </c>
      <c r="K142" s="32" t="s">
        <v>162</v>
      </c>
      <c r="L142" s="60">
        <f>(IF(B131=1,(I131/(B131+3)+L137),IF(B131=0,(I131/4+L137),IF(B131&gt;1,0))))</f>
        <v>0</v>
      </c>
    </row>
    <row r="143" spans="1:12" ht="15" customHeight="1" thickBot="1" x14ac:dyDescent="0.35">
      <c r="A143" s="167" t="s">
        <v>196</v>
      </c>
      <c r="B143" s="168"/>
      <c r="C143" s="62">
        <v>0</v>
      </c>
      <c r="D143" s="63">
        <f ca="1">((100/(H131))*C143)/100</f>
        <v>0</v>
      </c>
      <c r="E143" s="160"/>
      <c r="F143" s="160"/>
      <c r="G143" s="164"/>
      <c r="H143" s="64"/>
      <c r="I143" s="33" t="s">
        <v>163</v>
      </c>
      <c r="J143" s="65">
        <f ca="1">(IF(B131&gt;1.5,(H131/(B131+2)+J137+MAX(0,J138-J137)+MAX(0,J139-J138)+MAX(0,J140-J139)+MAX(0,J141-J140)+MAX(0,J142-J141)),IF(B131=1,(H131/(B131+3)+J142),IF(B131=0,H131/4+J142))))</f>
        <v>10</v>
      </c>
      <c r="K143" s="33" t="s">
        <v>163</v>
      </c>
      <c r="L143" s="65">
        <f>(IF(B131&gt;1.5,(I131/(B131+2)+L137+MAX(0,L138-L137)+MAX(0,L139-L138)+MAX(0,L140-L139)+MAX(0,L141-L140)+MAX(0,L142-L141)),IF(B131=1,(I131/(B131+3)+L142),IF(B131=0,I131/4+L142))))</f>
        <v>0</v>
      </c>
    </row>
    <row r="144" spans="1:12" ht="15" x14ac:dyDescent="0.25">
      <c r="A144" s="116" t="s">
        <v>83</v>
      </c>
      <c r="B144" s="117"/>
      <c r="C144" s="117"/>
      <c r="D144" s="117"/>
      <c r="E144" s="117"/>
      <c r="F144" s="117"/>
      <c r="G144" s="118"/>
    </row>
    <row r="145" spans="1:11" ht="15" x14ac:dyDescent="0.25">
      <c r="A145" s="75" t="s">
        <v>84</v>
      </c>
      <c r="B145" s="76"/>
      <c r="C145" s="76"/>
      <c r="D145" s="76"/>
      <c r="E145" s="76"/>
      <c r="F145" s="76"/>
      <c r="G145" s="77"/>
    </row>
    <row r="146" spans="1:11" ht="30" x14ac:dyDescent="0.25">
      <c r="A146" s="2" t="s">
        <v>85</v>
      </c>
      <c r="B146" s="75" t="s">
        <v>86</v>
      </c>
      <c r="C146" s="76"/>
      <c r="D146" s="76"/>
      <c r="E146" s="76"/>
      <c r="F146" s="76"/>
      <c r="G146" s="77"/>
    </row>
    <row r="147" spans="1:11" ht="15" x14ac:dyDescent="0.25">
      <c r="A147" s="113" t="s">
        <v>87</v>
      </c>
      <c r="B147" s="114"/>
      <c r="C147" s="114"/>
      <c r="D147" s="114"/>
      <c r="E147" s="114"/>
      <c r="F147" s="114"/>
      <c r="G147" s="115"/>
    </row>
    <row r="148" spans="1:11" ht="15" x14ac:dyDescent="0.25">
      <c r="A148" s="75" t="s">
        <v>88</v>
      </c>
      <c r="B148" s="76"/>
      <c r="C148" s="76"/>
      <c r="D148" s="77"/>
      <c r="E148" s="78">
        <v>4500</v>
      </c>
      <c r="F148" s="79"/>
      <c r="G148" s="80"/>
    </row>
    <row r="149" spans="1:11" ht="15" x14ac:dyDescent="0.25">
      <c r="A149" s="75" t="s">
        <v>89</v>
      </c>
      <c r="B149" s="76"/>
      <c r="C149" s="76"/>
      <c r="D149" s="77"/>
      <c r="E149" s="78">
        <v>6000</v>
      </c>
      <c r="F149" s="79"/>
      <c r="G149" s="80"/>
    </row>
    <row r="150" spans="1:11" ht="15" x14ac:dyDescent="0.25">
      <c r="A150" s="75" t="s">
        <v>90</v>
      </c>
      <c r="B150" s="76"/>
      <c r="C150" s="76"/>
      <c r="D150" s="77"/>
      <c r="E150" s="75" t="s">
        <v>200</v>
      </c>
      <c r="F150" s="76"/>
      <c r="G150" s="77"/>
    </row>
    <row r="151" spans="1:11" ht="15" x14ac:dyDescent="0.25">
      <c r="A151" s="75" t="s">
        <v>91</v>
      </c>
      <c r="B151" s="76"/>
      <c r="C151" s="76"/>
      <c r="D151" s="77"/>
      <c r="E151" s="75" t="s">
        <v>197</v>
      </c>
      <c r="F151" s="76"/>
      <c r="G151" s="77"/>
    </row>
    <row r="152" spans="1:11" ht="15" x14ac:dyDescent="0.25">
      <c r="A152" s="75" t="s">
        <v>92</v>
      </c>
      <c r="B152" s="76"/>
      <c r="C152" s="76"/>
      <c r="D152" s="77"/>
      <c r="E152" s="75" t="s">
        <v>93</v>
      </c>
      <c r="F152" s="76"/>
      <c r="G152" s="77"/>
    </row>
    <row r="153" spans="1:11" ht="15" x14ac:dyDescent="0.25">
      <c r="A153" s="113" t="s">
        <v>94</v>
      </c>
      <c r="B153" s="114"/>
      <c r="C153" s="114"/>
      <c r="D153" s="115"/>
      <c r="E153" s="78">
        <v>3440</v>
      </c>
      <c r="F153" s="79"/>
      <c r="G153" s="80"/>
    </row>
    <row r="154" spans="1:11" s="66" customFormat="1" ht="15.6" x14ac:dyDescent="0.25">
      <c r="A154" s="176" t="s">
        <v>243</v>
      </c>
      <c r="B154" s="176"/>
      <c r="C154" s="176"/>
      <c r="D154" s="176"/>
      <c r="E154" s="176"/>
      <c r="F154" s="176"/>
      <c r="G154" s="176"/>
      <c r="H154" s="176"/>
    </row>
    <row r="155" spans="1:11" s="66" customFormat="1" ht="15.75" customHeight="1" x14ac:dyDescent="0.25">
      <c r="A155" s="178" t="s">
        <v>234</v>
      </c>
      <c r="B155" s="178"/>
      <c r="C155" s="95" t="s">
        <v>235</v>
      </c>
      <c r="D155" s="95"/>
      <c r="E155" s="177" t="s">
        <v>231</v>
      </c>
      <c r="F155" s="177"/>
      <c r="G155" s="178" t="s">
        <v>236</v>
      </c>
      <c r="H155" s="178"/>
    </row>
    <row r="156" spans="1:11" s="66" customFormat="1" ht="15.6" x14ac:dyDescent="0.25">
      <c r="A156" s="81" t="s">
        <v>239</v>
      </c>
      <c r="B156" s="82"/>
      <c r="C156" s="179">
        <f>COUNT(C245:C256)</f>
        <v>12</v>
      </c>
      <c r="D156" s="89"/>
      <c r="E156" s="91">
        <f>SUM(C245:C256)</f>
        <v>2084.87916</v>
      </c>
      <c r="F156" s="91"/>
      <c r="G156" s="91">
        <f>SUM(E245:E256)</f>
        <v>3127.3187399999993</v>
      </c>
      <c r="H156" s="91"/>
    </row>
    <row r="157" spans="1:11" s="66" customFormat="1" ht="15.6" x14ac:dyDescent="0.25">
      <c r="A157" s="81" t="s">
        <v>241</v>
      </c>
      <c r="B157" s="82"/>
      <c r="C157" s="179">
        <f>COUNT(C298:C303)</f>
        <v>6</v>
      </c>
      <c r="D157" s="89"/>
      <c r="E157" s="91">
        <f>SUM(C298:C303)</f>
        <v>911.92607999999996</v>
      </c>
      <c r="F157" s="91"/>
      <c r="G157" s="91">
        <f>SUM(E298:E303)</f>
        <v>1367.88912</v>
      </c>
      <c r="H157" s="91"/>
    </row>
    <row r="158" spans="1:11" s="66" customFormat="1" ht="15.6" x14ac:dyDescent="0.25">
      <c r="A158" s="81" t="s">
        <v>242</v>
      </c>
      <c r="B158" s="82"/>
      <c r="C158" s="179">
        <f>COUNT(C319:C327)</f>
        <v>9</v>
      </c>
      <c r="D158" s="89"/>
      <c r="E158" s="91">
        <f>SUM(C319:C327)</f>
        <v>1872.0748799999997</v>
      </c>
      <c r="F158" s="91"/>
      <c r="G158" s="91">
        <f>SUM(E319:E327)</f>
        <v>2808.1123199999993</v>
      </c>
      <c r="H158" s="91"/>
    </row>
    <row r="159" spans="1:11" s="66" customFormat="1" ht="15.6" x14ac:dyDescent="0.25">
      <c r="A159" s="92" t="s">
        <v>232</v>
      </c>
      <c r="B159" s="93"/>
      <c r="C159" s="94">
        <f>SUM(C156:D158)</f>
        <v>27</v>
      </c>
      <c r="D159" s="95"/>
      <c r="E159" s="96">
        <f t="shared" ref="E159" si="0">SUM(E156:F158)</f>
        <v>4868.8801199999998</v>
      </c>
      <c r="F159" s="96"/>
      <c r="G159" s="96">
        <f>SUM(G156:H158)</f>
        <v>7303.3201799999988</v>
      </c>
      <c r="H159" s="96"/>
      <c r="J159" s="68">
        <f>SUM(G159,G168)</f>
        <v>265912.82491750002</v>
      </c>
      <c r="K159" s="68">
        <f>SUM(E159,E168)</f>
        <v>172381.86616499996</v>
      </c>
    </row>
    <row r="160" spans="1:11" s="66" customFormat="1" ht="15.6" x14ac:dyDescent="0.25">
      <c r="A160" s="176" t="s">
        <v>233</v>
      </c>
      <c r="B160" s="176"/>
      <c r="C160" s="176"/>
      <c r="D160" s="176"/>
      <c r="E160" s="176"/>
      <c r="F160" s="176"/>
      <c r="G160" s="176"/>
      <c r="H160" s="176"/>
    </row>
    <row r="161" spans="1:13" s="66" customFormat="1" ht="15.75" customHeight="1" x14ac:dyDescent="0.25">
      <c r="A161" s="178" t="s">
        <v>234</v>
      </c>
      <c r="B161" s="178"/>
      <c r="C161" s="95" t="s">
        <v>235</v>
      </c>
      <c r="D161" s="95"/>
      <c r="E161" s="177" t="s">
        <v>231</v>
      </c>
      <c r="F161" s="177"/>
      <c r="G161" s="178" t="s">
        <v>236</v>
      </c>
      <c r="H161" s="178"/>
    </row>
    <row r="162" spans="1:13" s="66" customFormat="1" ht="33" customHeight="1" x14ac:dyDescent="0.25">
      <c r="A162" s="81" t="s">
        <v>237</v>
      </c>
      <c r="B162" s="82"/>
      <c r="C162" s="89">
        <f>COUNT(C175:C180)+COUNT(C182:C189)*4+COUNT(C191:C198)*3+COUNT(C200:C206)</f>
        <v>69</v>
      </c>
      <c r="D162" s="89"/>
      <c r="E162" s="90">
        <f>SUM(C175:C180)+SUM(C182:C189)*4+SUM(C191:C198)*3+SUM(C200:C206)</f>
        <v>31723.341719999997</v>
      </c>
      <c r="F162" s="90"/>
      <c r="G162" s="90">
        <f>SUM(E175:E180)+SUM(E182:E189)*4+SUM(E191:E198)*3+SUM(E200:E206)</f>
        <v>49825.568259999993</v>
      </c>
      <c r="H162" s="90"/>
    </row>
    <row r="163" spans="1:13" s="66" customFormat="1" ht="34.5" customHeight="1" x14ac:dyDescent="0.25">
      <c r="A163" s="81" t="s">
        <v>238</v>
      </c>
      <c r="B163" s="82"/>
      <c r="C163" s="89">
        <f>COUNT(C210:C215)+COUNT(C217:C224)*4+COUNT(C226:C233)*3+COUNT(C235:C241)</f>
        <v>69</v>
      </c>
      <c r="D163" s="89"/>
      <c r="E163" s="90">
        <f>SUM(C210:C215)+SUM(C217:C224)*4+SUM(C226:C233)*3+SUM(C235:C241)</f>
        <v>31646.460509999997</v>
      </c>
      <c r="F163" s="90"/>
      <c r="G163" s="90">
        <f>SUM(E210:E215)+SUM(E217:E224)*4+SUM(E226:E233)*3+SUM(E235:E241)</f>
        <v>49720.422764999996</v>
      </c>
      <c r="H163" s="90"/>
    </row>
    <row r="164" spans="1:13" s="66" customFormat="1" ht="15.6" x14ac:dyDescent="0.25">
      <c r="A164" s="81" t="s">
        <v>239</v>
      </c>
      <c r="B164" s="82"/>
      <c r="C164" s="89">
        <f>COUNT(C258:C264)+COUNT(C266:C272)*3+COUNT(C274:C280)*3</f>
        <v>49</v>
      </c>
      <c r="D164" s="89"/>
      <c r="E164" s="90">
        <f>SUM(C258:C264)+SUM(C266:C272)*3+SUM(C274:C280)*3</f>
        <v>25930.439399999996</v>
      </c>
      <c r="F164" s="90"/>
      <c r="G164" s="90">
        <f>SUM(E258:E264)+SUM(E266:E272)*3+SUM(E274:E280)*3</f>
        <v>41362.23921</v>
      </c>
      <c r="H164" s="90"/>
    </row>
    <row r="165" spans="1:13" s="66" customFormat="1" ht="15.6" x14ac:dyDescent="0.25">
      <c r="A165" s="81" t="s">
        <v>240</v>
      </c>
      <c r="B165" s="82"/>
      <c r="C165" s="89">
        <f>COUNT(C285:C289)*9+COUNT(C291:C294)</f>
        <v>49</v>
      </c>
      <c r="D165" s="89"/>
      <c r="E165" s="90">
        <f>SUM(C285:C289)*9+SUM(C291:C294)</f>
        <v>28090.756979999995</v>
      </c>
      <c r="F165" s="90"/>
      <c r="G165" s="90">
        <f>SUM(E285:E289)*9+SUM(E291:E294)</f>
        <v>42136.135469999994</v>
      </c>
      <c r="H165" s="90"/>
    </row>
    <row r="166" spans="1:13" s="66" customFormat="1" ht="15.6" x14ac:dyDescent="0.25">
      <c r="A166" s="81" t="s">
        <v>241</v>
      </c>
      <c r="B166" s="82"/>
      <c r="C166" s="89">
        <f>COUNT(C305:C309)+COUNT(C311:C315)*4</f>
        <v>25</v>
      </c>
      <c r="D166" s="89"/>
      <c r="E166" s="90">
        <f>SUM(C305:C309)+SUM(C311:C315)*4</f>
        <v>12763.547549999996</v>
      </c>
      <c r="F166" s="90"/>
      <c r="G166" s="90">
        <f>SUM(E305:E309)+SUM(E311:E315)*4</f>
        <v>19301.614604999995</v>
      </c>
      <c r="H166" s="90"/>
    </row>
    <row r="167" spans="1:13" s="66" customFormat="1" ht="15.6" x14ac:dyDescent="0.25">
      <c r="A167" s="81" t="s">
        <v>242</v>
      </c>
      <c r="B167" s="82"/>
      <c r="C167" s="89">
        <f>COUNT(C329:C334)+COUNT(C336:C341)*8+COUNT(C343:C347)</f>
        <v>59</v>
      </c>
      <c r="D167" s="89"/>
      <c r="E167" s="90">
        <f>SUM(C329:C334)+SUM(C336:C341)*9+SUM(C343:C347)</f>
        <v>37358.439885</v>
      </c>
      <c r="F167" s="90"/>
      <c r="G167" s="90">
        <f>SUM(E329:E334)+SUM(E336:E341)*9+SUM(E343:E347)</f>
        <v>56263.5244275</v>
      </c>
      <c r="H167" s="90"/>
    </row>
    <row r="168" spans="1:13" s="66" customFormat="1" ht="15.6" x14ac:dyDescent="0.25">
      <c r="A168" s="176" t="s">
        <v>232</v>
      </c>
      <c r="B168" s="176"/>
      <c r="C168" s="95">
        <f>SUM(C162:D167)</f>
        <v>320</v>
      </c>
      <c r="D168" s="95"/>
      <c r="E168" s="96">
        <f>SUM(E162:F167)</f>
        <v>167512.98604499997</v>
      </c>
      <c r="F168" s="177"/>
      <c r="G168" s="178">
        <f>SUM(G162:H167)</f>
        <v>258609.50473750001</v>
      </c>
      <c r="H168" s="178"/>
    </row>
    <row r="169" spans="1:13" ht="15" x14ac:dyDescent="0.25">
      <c r="A169" s="124" t="s">
        <v>95</v>
      </c>
      <c r="B169" s="125"/>
      <c r="C169" s="125"/>
      <c r="D169" s="125"/>
      <c r="E169" s="125"/>
      <c r="F169" s="125"/>
      <c r="G169" s="126"/>
    </row>
    <row r="170" spans="1:13" ht="15" x14ac:dyDescent="0.25">
      <c r="A170" s="124" t="s">
        <v>96</v>
      </c>
      <c r="B170" s="125"/>
      <c r="C170" s="125"/>
      <c r="D170" s="125"/>
      <c r="E170" s="125"/>
      <c r="F170" s="125"/>
      <c r="G170" s="126"/>
    </row>
    <row r="171" spans="1:13" ht="41.4" x14ac:dyDescent="0.25">
      <c r="A171" s="2" t="s">
        <v>97</v>
      </c>
      <c r="B171" s="2" t="s">
        <v>98</v>
      </c>
      <c r="C171" s="45" t="s">
        <v>99</v>
      </c>
      <c r="D171" s="1" t="s">
        <v>100</v>
      </c>
      <c r="E171" s="2" t="s">
        <v>167</v>
      </c>
      <c r="F171" s="2" t="s">
        <v>101</v>
      </c>
      <c r="G171" s="2" t="s">
        <v>102</v>
      </c>
    </row>
    <row r="172" spans="1:13" ht="17.25" customHeight="1" x14ac:dyDescent="0.25">
      <c r="A172" s="83" t="s">
        <v>207</v>
      </c>
      <c r="B172" s="85"/>
      <c r="C172" s="85"/>
      <c r="D172" s="85"/>
      <c r="E172" s="85"/>
      <c r="F172" s="85"/>
      <c r="G172" s="86"/>
    </row>
    <row r="173" spans="1:13" ht="15" x14ac:dyDescent="0.25">
      <c r="A173" s="124" t="s">
        <v>208</v>
      </c>
      <c r="B173" s="125"/>
      <c r="C173" s="125"/>
      <c r="D173" s="125"/>
      <c r="E173" s="125"/>
      <c r="F173" s="125"/>
      <c r="G173" s="126"/>
      <c r="M173">
        <f>L175+L181+L191+L199</f>
        <v>69</v>
      </c>
    </row>
    <row r="174" spans="1:13" ht="17.25" customHeight="1" x14ac:dyDescent="0.25">
      <c r="A174" s="83" t="s">
        <v>103</v>
      </c>
      <c r="B174" s="85"/>
      <c r="C174" s="85"/>
      <c r="D174" s="85"/>
      <c r="E174" s="85"/>
      <c r="F174" s="85"/>
      <c r="G174" s="86"/>
    </row>
    <row r="175" spans="1:13" ht="15" x14ac:dyDescent="0.25">
      <c r="A175" s="8">
        <v>1</v>
      </c>
      <c r="B175" s="9" t="s">
        <v>209</v>
      </c>
      <c r="C175" s="48">
        <f>(35.41)*10.764</f>
        <v>381.15323999999993</v>
      </c>
      <c r="D175" s="8">
        <v>0</v>
      </c>
      <c r="E175" s="8">
        <f>C175*1.5+D175</f>
        <v>571.72985999999992</v>
      </c>
      <c r="F175" s="9" t="s">
        <v>104</v>
      </c>
      <c r="G175" s="87" t="str">
        <f>A174</f>
        <v>Ground Floor for Parking &amp; Residential</v>
      </c>
      <c r="J175">
        <f>2.74*4.6+2.4*2.65+3.6*2.7+0.9*1.23+1.2*1.5+1.05*0.9+1.2*1.05</f>
        <v>33.795999999999992</v>
      </c>
      <c r="K175">
        <v>11</v>
      </c>
      <c r="L175">
        <f>6*1</f>
        <v>6</v>
      </c>
    </row>
    <row r="176" spans="1:13" ht="15" x14ac:dyDescent="0.25">
      <c r="A176" s="8">
        <v>2</v>
      </c>
      <c r="B176" s="9" t="s">
        <v>209</v>
      </c>
      <c r="C176" s="48">
        <f>(35.41)*10.764</f>
        <v>381.15323999999993</v>
      </c>
      <c r="D176" s="8">
        <v>0</v>
      </c>
      <c r="E176" s="8">
        <f t="shared" ref="E176:E180" si="1">C176*1.5+D176</f>
        <v>571.72985999999992</v>
      </c>
      <c r="F176" s="9" t="s">
        <v>104</v>
      </c>
      <c r="G176" s="88"/>
      <c r="K176" s="47">
        <v>10.763999999999999</v>
      </c>
    </row>
    <row r="177" spans="1:12" ht="15" x14ac:dyDescent="0.25">
      <c r="A177" s="8">
        <v>3</v>
      </c>
      <c r="B177" s="9" t="s">
        <v>209</v>
      </c>
      <c r="C177" s="48">
        <f>(33.39)*10.764</f>
        <v>359.40996000000001</v>
      </c>
      <c r="D177" s="8">
        <v>0</v>
      </c>
      <c r="E177" s="8">
        <f t="shared" si="1"/>
        <v>539.11494000000005</v>
      </c>
      <c r="F177" s="9" t="s">
        <v>104</v>
      </c>
      <c r="G177" s="88"/>
    </row>
    <row r="178" spans="1:12" ht="15" x14ac:dyDescent="0.25">
      <c r="A178" s="8">
        <v>4</v>
      </c>
      <c r="B178" s="9" t="s">
        <v>210</v>
      </c>
      <c r="C178" s="48">
        <f>(48.26)*10.764</f>
        <v>519.47064</v>
      </c>
      <c r="D178" s="8">
        <v>0</v>
      </c>
      <c r="E178" s="8">
        <f t="shared" si="1"/>
        <v>779.20596</v>
      </c>
      <c r="F178" s="9" t="s">
        <v>104</v>
      </c>
      <c r="G178" s="88"/>
      <c r="J178">
        <f>2.74*4.2+2.1*2.7+2.7*2.7+2.7*3.6+2.1*1.3+1.18*1.4+0.9*2.1+0.9*0.9+2.25*1.2</f>
        <v>43.970000000000013</v>
      </c>
    </row>
    <row r="179" spans="1:12" ht="15" x14ac:dyDescent="0.25">
      <c r="A179" s="8">
        <v>5</v>
      </c>
      <c r="B179" s="9" t="s">
        <v>210</v>
      </c>
      <c r="C179" s="48">
        <f>(47.41)*10.764</f>
        <v>510.32123999999993</v>
      </c>
      <c r="D179" s="8">
        <v>0</v>
      </c>
      <c r="E179" s="8">
        <f>C179*1.5+D179</f>
        <v>765.48185999999987</v>
      </c>
      <c r="F179" s="9" t="s">
        <v>104</v>
      </c>
      <c r="G179" s="88"/>
    </row>
    <row r="180" spans="1:12" ht="15" x14ac:dyDescent="0.25">
      <c r="A180" s="8">
        <v>6</v>
      </c>
      <c r="B180" s="9" t="s">
        <v>209</v>
      </c>
      <c r="C180" s="48">
        <f>(33.39)*10.764</f>
        <v>359.40996000000001</v>
      </c>
      <c r="D180" s="8">
        <v>0</v>
      </c>
      <c r="E180" s="8">
        <f t="shared" si="1"/>
        <v>539.11494000000005</v>
      </c>
      <c r="F180" s="9" t="s">
        <v>104</v>
      </c>
      <c r="G180" s="97"/>
      <c r="I180" s="69">
        <f>E180/C180</f>
        <v>1.5</v>
      </c>
    </row>
    <row r="181" spans="1:12" ht="15" x14ac:dyDescent="0.25">
      <c r="A181" s="83" t="s">
        <v>105</v>
      </c>
      <c r="B181" s="85"/>
      <c r="C181" s="85"/>
      <c r="D181" s="85"/>
      <c r="E181" s="85"/>
      <c r="F181" s="85"/>
      <c r="G181" s="86"/>
      <c r="L181">
        <f>4*8</f>
        <v>32</v>
      </c>
    </row>
    <row r="182" spans="1:12" ht="15" x14ac:dyDescent="0.25">
      <c r="A182" s="8">
        <v>1</v>
      </c>
      <c r="B182" s="9" t="s">
        <v>209</v>
      </c>
      <c r="C182" s="48">
        <f>(33.68+0.75*(2.74+2.2+2.7))*10.764</f>
        <v>424.20923999999997</v>
      </c>
      <c r="D182" s="48">
        <v>0</v>
      </c>
      <c r="E182" s="8">
        <f>C182*1.5+D182</f>
        <v>636.31385999999998</v>
      </c>
      <c r="F182" s="9" t="s">
        <v>104</v>
      </c>
      <c r="G182" s="87" t="str">
        <f>A181</f>
        <v>1st, 3rd, 5th, 7th Floor</v>
      </c>
    </row>
    <row r="183" spans="1:12" ht="15" x14ac:dyDescent="0.25">
      <c r="A183" s="8">
        <v>2</v>
      </c>
      <c r="B183" s="9" t="s">
        <v>209</v>
      </c>
      <c r="C183" s="48">
        <f>(35.41+0.75*(2.65+2.7))*10.764</f>
        <v>424.34378999999996</v>
      </c>
      <c r="D183" s="48">
        <f t="shared" ref="D183:D188" si="2">(5.06)*10.764</f>
        <v>54.465839999999993</v>
      </c>
      <c r="E183" s="8">
        <f t="shared" ref="E183:E189" si="3">C183*1.5+D183</f>
        <v>690.98152499999992</v>
      </c>
      <c r="F183" s="9" t="s">
        <v>104</v>
      </c>
      <c r="G183" s="88"/>
      <c r="J183">
        <f>1.85*2.74</f>
        <v>5.0690000000000008</v>
      </c>
    </row>
    <row r="184" spans="1:12" ht="15" x14ac:dyDescent="0.25">
      <c r="A184" s="8">
        <v>3</v>
      </c>
      <c r="B184" s="9" t="s">
        <v>209</v>
      </c>
      <c r="C184" s="48">
        <f>(35.41+0.75*(2.7+2.65))*10.764</f>
        <v>424.34378999999996</v>
      </c>
      <c r="D184" s="48">
        <f t="shared" si="2"/>
        <v>54.465839999999993</v>
      </c>
      <c r="E184" s="8">
        <f t="shared" si="3"/>
        <v>690.98152499999992</v>
      </c>
      <c r="F184" s="9" t="s">
        <v>104</v>
      </c>
      <c r="G184" s="88"/>
      <c r="H184" s="29">
        <f>2827920/E184</f>
        <v>4092.6130405585018</v>
      </c>
    </row>
    <row r="185" spans="1:12" ht="15" x14ac:dyDescent="0.25">
      <c r="A185" s="8">
        <v>4</v>
      </c>
      <c r="B185" s="9" t="s">
        <v>209</v>
      </c>
      <c r="C185" s="48">
        <f>(33.39+0.75*(2.7+2.2))*10.764</f>
        <v>398.96765999999997</v>
      </c>
      <c r="D185" s="48">
        <f t="shared" si="2"/>
        <v>54.465839999999993</v>
      </c>
      <c r="E185" s="8">
        <f t="shared" si="3"/>
        <v>652.91732999999988</v>
      </c>
      <c r="F185" s="9" t="s">
        <v>104</v>
      </c>
      <c r="G185" s="88"/>
    </row>
    <row r="186" spans="1:12" ht="15" x14ac:dyDescent="0.25">
      <c r="A186" s="8">
        <v>5</v>
      </c>
      <c r="B186" s="9" t="s">
        <v>210</v>
      </c>
      <c r="C186" s="48">
        <f>(48.26+0.75*(2.1+2.7+2.7))*10.764</f>
        <v>580.0181399999999</v>
      </c>
      <c r="D186" s="48">
        <f t="shared" si="2"/>
        <v>54.465839999999993</v>
      </c>
      <c r="E186" s="8">
        <f t="shared" si="3"/>
        <v>924.49304999999981</v>
      </c>
      <c r="F186" s="9" t="s">
        <v>104</v>
      </c>
      <c r="G186" s="88"/>
    </row>
    <row r="187" spans="1:12" ht="15" x14ac:dyDescent="0.25">
      <c r="A187" s="8">
        <v>6</v>
      </c>
      <c r="B187" s="9" t="s">
        <v>210</v>
      </c>
      <c r="C187" s="48">
        <f>(47.41+0.75*(2.1+2.7+2.75))*10.764</f>
        <v>571.27238999999997</v>
      </c>
      <c r="D187" s="48">
        <f t="shared" si="2"/>
        <v>54.465839999999993</v>
      </c>
      <c r="E187" s="8">
        <f t="shared" si="3"/>
        <v>911.37442499999986</v>
      </c>
      <c r="F187" s="9" t="s">
        <v>104</v>
      </c>
      <c r="G187" s="88"/>
    </row>
    <row r="188" spans="1:12" ht="15" x14ac:dyDescent="0.25">
      <c r="A188" s="8">
        <v>7</v>
      </c>
      <c r="B188" s="9" t="s">
        <v>209</v>
      </c>
      <c r="C188" s="48">
        <f>(33.39+0.75*(2.2+2.7))*10.764</f>
        <v>398.96765999999997</v>
      </c>
      <c r="D188" s="48">
        <f t="shared" si="2"/>
        <v>54.465839999999993</v>
      </c>
      <c r="E188" s="8">
        <f t="shared" si="3"/>
        <v>652.91732999999988</v>
      </c>
      <c r="F188" s="9" t="s">
        <v>104</v>
      </c>
      <c r="G188" s="88"/>
    </row>
    <row r="189" spans="1:12" ht="15" x14ac:dyDescent="0.25">
      <c r="A189" s="8">
        <v>8</v>
      </c>
      <c r="B189" s="9" t="s">
        <v>209</v>
      </c>
      <c r="C189" s="48">
        <f>(33.68+0.75*(2.7+2.74))*10.764</f>
        <v>406.44863999999995</v>
      </c>
      <c r="D189" s="48">
        <v>0</v>
      </c>
      <c r="E189" s="8">
        <f t="shared" si="3"/>
        <v>609.67295999999988</v>
      </c>
      <c r="F189" s="9" t="s">
        <v>104</v>
      </c>
      <c r="G189" s="97"/>
    </row>
    <row r="190" spans="1:12" ht="15" x14ac:dyDescent="0.25">
      <c r="A190" s="83" t="s">
        <v>106</v>
      </c>
      <c r="B190" s="85"/>
      <c r="C190" s="85"/>
      <c r="D190" s="85"/>
      <c r="E190" s="85"/>
      <c r="F190" s="85"/>
      <c r="G190" s="86"/>
    </row>
    <row r="191" spans="1:12" ht="15" x14ac:dyDescent="0.25">
      <c r="A191" s="8">
        <v>1</v>
      </c>
      <c r="B191" s="9" t="s">
        <v>209</v>
      </c>
      <c r="C191" s="48">
        <f>(33.68+0.75*(2.74+2.2+2.7))*10.764</f>
        <v>424.20923999999997</v>
      </c>
      <c r="D191" s="48">
        <v>0</v>
      </c>
      <c r="E191" s="8">
        <f>C191*1.5+D191</f>
        <v>636.31385999999998</v>
      </c>
      <c r="F191" s="9" t="s">
        <v>104</v>
      </c>
      <c r="G191" s="87" t="str">
        <f>A190</f>
        <v>2nd, 4th, 6th Floor</v>
      </c>
      <c r="L191">
        <f>3*8</f>
        <v>24</v>
      </c>
    </row>
    <row r="192" spans="1:12" ht="15" x14ac:dyDescent="0.25">
      <c r="A192" s="8">
        <v>2</v>
      </c>
      <c r="B192" s="9" t="s">
        <v>209</v>
      </c>
      <c r="C192" s="48">
        <f>(35.41+0.75*(2.74+2.7))*10.764</f>
        <v>425.07035999999994</v>
      </c>
      <c r="D192" s="48">
        <f>(4.9)*10.764</f>
        <v>52.743600000000001</v>
      </c>
      <c r="E192" s="8">
        <f t="shared" ref="E192:E206" si="4">C192*1.5+D192</f>
        <v>690.34913999999992</v>
      </c>
      <c r="F192" s="9" t="s">
        <v>104</v>
      </c>
      <c r="G192" s="88"/>
    </row>
    <row r="193" spans="1:12" ht="15" x14ac:dyDescent="0.25">
      <c r="A193" s="8">
        <v>3</v>
      </c>
      <c r="B193" s="9" t="s">
        <v>209</v>
      </c>
      <c r="C193" s="48">
        <f>(35.41+0.75*(2.74+2.7))*10.764</f>
        <v>425.07035999999994</v>
      </c>
      <c r="D193" s="48">
        <f>(4.9)*10.764</f>
        <v>52.743600000000001</v>
      </c>
      <c r="E193" s="8">
        <f t="shared" si="4"/>
        <v>690.34913999999992</v>
      </c>
      <c r="F193" s="9" t="s">
        <v>104</v>
      </c>
      <c r="G193" s="88"/>
    </row>
    <row r="194" spans="1:12" ht="15" x14ac:dyDescent="0.25">
      <c r="A194" s="8">
        <v>4</v>
      </c>
      <c r="B194" s="9" t="s">
        <v>209</v>
      </c>
      <c r="C194" s="48">
        <f>(33.39+0.75*(2.74+2.2+2.7))*10.764</f>
        <v>421.08768000000003</v>
      </c>
      <c r="D194" s="48">
        <v>0</v>
      </c>
      <c r="E194" s="8">
        <f t="shared" si="4"/>
        <v>631.63152000000002</v>
      </c>
      <c r="F194" s="9" t="s">
        <v>104</v>
      </c>
      <c r="G194" s="88"/>
    </row>
    <row r="195" spans="1:12" ht="15" x14ac:dyDescent="0.25">
      <c r="A195" s="8">
        <v>5</v>
      </c>
      <c r="B195" s="9" t="s">
        <v>210</v>
      </c>
      <c r="C195" s="48">
        <f>(48.26+0.75*(2.74+2.1+2.7+2.7))*10.764</f>
        <v>602.13815999999997</v>
      </c>
      <c r="D195" s="48">
        <f>(6.77)*10.764</f>
        <v>72.872279999999989</v>
      </c>
      <c r="E195" s="8">
        <f t="shared" si="4"/>
        <v>976.07952</v>
      </c>
      <c r="F195" s="9" t="s">
        <v>104</v>
      </c>
      <c r="G195" s="88"/>
    </row>
    <row r="196" spans="1:12" ht="15" x14ac:dyDescent="0.25">
      <c r="A196" s="8">
        <v>6</v>
      </c>
      <c r="B196" s="9" t="s">
        <v>210</v>
      </c>
      <c r="C196" s="48">
        <f>(47.41+0.75*(2.74+2.74+2.1+2.7))*10.764</f>
        <v>593.31167999999991</v>
      </c>
      <c r="D196" s="48">
        <f>(4.99)*10.764</f>
        <v>53.712359999999997</v>
      </c>
      <c r="E196" s="8">
        <f t="shared" si="4"/>
        <v>943.67987999999991</v>
      </c>
      <c r="F196" s="9" t="s">
        <v>104</v>
      </c>
      <c r="G196" s="88"/>
    </row>
    <row r="197" spans="1:12" ht="15" x14ac:dyDescent="0.25">
      <c r="A197" s="8">
        <v>7</v>
      </c>
      <c r="B197" s="9" t="s">
        <v>209</v>
      </c>
      <c r="C197" s="48">
        <f>(33.39+0.75*(2.74+2.2+2.7))*10.764</f>
        <v>421.08768000000003</v>
      </c>
      <c r="D197" s="48">
        <v>0</v>
      </c>
      <c r="E197" s="8">
        <f t="shared" si="4"/>
        <v>631.63152000000002</v>
      </c>
      <c r="F197" s="9" t="s">
        <v>104</v>
      </c>
      <c r="G197" s="88"/>
    </row>
    <row r="198" spans="1:12" ht="15" x14ac:dyDescent="0.25">
      <c r="A198" s="8">
        <v>8</v>
      </c>
      <c r="B198" s="9" t="s">
        <v>209</v>
      </c>
      <c r="C198" s="48">
        <f>(33.68+0.75*(2.74+2.2+2.7))*10.764</f>
        <v>424.20923999999997</v>
      </c>
      <c r="D198" s="48">
        <v>0</v>
      </c>
      <c r="E198" s="8">
        <f t="shared" si="4"/>
        <v>636.31385999999998</v>
      </c>
      <c r="F198" s="9" t="s">
        <v>104</v>
      </c>
      <c r="G198" s="97"/>
    </row>
    <row r="199" spans="1:12" ht="15" x14ac:dyDescent="0.25">
      <c r="A199" s="83" t="s">
        <v>214</v>
      </c>
      <c r="B199" s="85"/>
      <c r="C199" s="85"/>
      <c r="D199" s="85"/>
      <c r="E199" s="85"/>
      <c r="F199" s="85"/>
      <c r="G199" s="86"/>
      <c r="L199" s="51">
        <v>7</v>
      </c>
    </row>
    <row r="200" spans="1:12" ht="15" x14ac:dyDescent="0.25">
      <c r="A200" s="8">
        <v>1</v>
      </c>
      <c r="B200" s="9" t="s">
        <v>210</v>
      </c>
      <c r="C200" s="48">
        <f>(46.81+0.75*(2.74+2.7))*11</f>
        <v>559.79</v>
      </c>
      <c r="D200" s="48">
        <f>(4.9)*11</f>
        <v>53.900000000000006</v>
      </c>
      <c r="E200" s="8">
        <f t="shared" si="4"/>
        <v>893.58499999999992</v>
      </c>
      <c r="F200" s="9" t="s">
        <v>104</v>
      </c>
      <c r="G200" s="87" t="str">
        <f>A199</f>
        <v>8th Floor (Part Refuge Area)</v>
      </c>
    </row>
    <row r="201" spans="1:12" ht="15" x14ac:dyDescent="0.25">
      <c r="A201" s="8">
        <v>2</v>
      </c>
      <c r="B201" s="9" t="s">
        <v>209</v>
      </c>
      <c r="C201" s="48">
        <f>(35.41+0.75*(2.74+2.7))*11</f>
        <v>434.38999999999993</v>
      </c>
      <c r="D201" s="48">
        <f>(4.9)*11</f>
        <v>53.900000000000006</v>
      </c>
      <c r="E201" s="8">
        <f t="shared" si="4"/>
        <v>705.4849999999999</v>
      </c>
      <c r="F201" s="9" t="s">
        <v>104</v>
      </c>
      <c r="G201" s="88"/>
    </row>
    <row r="202" spans="1:12" ht="15" x14ac:dyDescent="0.25">
      <c r="A202" s="8">
        <v>3</v>
      </c>
      <c r="B202" s="9" t="s">
        <v>209</v>
      </c>
      <c r="C202" s="48">
        <f>(33.39+0.75*(2.74+2.2+2.7))*11</f>
        <v>430.32000000000005</v>
      </c>
      <c r="D202" s="48">
        <v>0</v>
      </c>
      <c r="E202" s="8">
        <f t="shared" si="4"/>
        <v>645.48</v>
      </c>
      <c r="F202" s="9" t="s">
        <v>104</v>
      </c>
      <c r="G202" s="88"/>
      <c r="J202" s="49">
        <v>11</v>
      </c>
    </row>
    <row r="203" spans="1:12" ht="15" x14ac:dyDescent="0.25">
      <c r="A203" s="8">
        <v>4</v>
      </c>
      <c r="B203" s="9" t="s">
        <v>210</v>
      </c>
      <c r="C203" s="48">
        <f>(48.46+0.75*(2.74+2.1+2.7+2.7))*11</f>
        <v>617.54</v>
      </c>
      <c r="D203" s="48">
        <v>74.47</v>
      </c>
      <c r="E203" s="8">
        <f t="shared" si="4"/>
        <v>1000.78</v>
      </c>
      <c r="F203" s="9" t="s">
        <v>104</v>
      </c>
      <c r="G203" s="88"/>
    </row>
    <row r="204" spans="1:12" ht="15" x14ac:dyDescent="0.25">
      <c r="A204" s="8">
        <v>5</v>
      </c>
      <c r="B204" s="9" t="s">
        <v>210</v>
      </c>
      <c r="C204" s="48">
        <f>(47.41+0.75*(2.74+2.1+2.7))*11</f>
        <v>583.71499999999992</v>
      </c>
      <c r="D204" s="48">
        <v>54.89</v>
      </c>
      <c r="E204" s="8">
        <f t="shared" si="4"/>
        <v>930.46249999999986</v>
      </c>
      <c r="F204" s="9" t="s">
        <v>104</v>
      </c>
      <c r="G204" s="88"/>
    </row>
    <row r="205" spans="1:12" ht="15" x14ac:dyDescent="0.25">
      <c r="A205" s="8">
        <v>6</v>
      </c>
      <c r="B205" s="9" t="s">
        <v>209</v>
      </c>
      <c r="C205" s="48">
        <f>(33.39+0.75*(2.74+2.2+2.7))*11</f>
        <v>430.32000000000005</v>
      </c>
      <c r="D205" s="48">
        <v>0</v>
      </c>
      <c r="E205" s="8">
        <f t="shared" si="4"/>
        <v>645.48</v>
      </c>
      <c r="F205" s="9" t="s">
        <v>104</v>
      </c>
      <c r="G205" s="88"/>
    </row>
    <row r="206" spans="1:12" ht="15" x14ac:dyDescent="0.25">
      <c r="A206" s="8">
        <v>7</v>
      </c>
      <c r="B206" s="9" t="s">
        <v>209</v>
      </c>
      <c r="C206" s="48">
        <f>(33.68+0.75*(2.74+2.2+2.7))*11</f>
        <v>433.51</v>
      </c>
      <c r="D206" s="48">
        <v>0</v>
      </c>
      <c r="E206" s="8">
        <f t="shared" si="4"/>
        <v>650.26499999999999</v>
      </c>
      <c r="F206" s="9" t="s">
        <v>104</v>
      </c>
      <c r="G206" s="88"/>
    </row>
    <row r="207" spans="1:12" ht="17.25" customHeight="1" x14ac:dyDescent="0.25">
      <c r="A207" s="83" t="s">
        <v>213</v>
      </c>
      <c r="B207" s="85"/>
      <c r="C207" s="85"/>
      <c r="D207" s="85"/>
      <c r="E207" s="85"/>
      <c r="F207" s="85"/>
      <c r="G207" s="86"/>
    </row>
    <row r="208" spans="1:12" ht="15" x14ac:dyDescent="0.25">
      <c r="A208" s="124" t="s">
        <v>212</v>
      </c>
      <c r="B208" s="125"/>
      <c r="C208" s="125"/>
      <c r="D208" s="125"/>
      <c r="E208" s="125"/>
      <c r="F208" s="125"/>
      <c r="G208" s="126"/>
    </row>
    <row r="209" spans="1:11" ht="17.25" customHeight="1" x14ac:dyDescent="0.25">
      <c r="A209" s="83" t="s">
        <v>103</v>
      </c>
      <c r="B209" s="85"/>
      <c r="C209" s="85"/>
      <c r="D209" s="85"/>
      <c r="E209" s="85"/>
      <c r="F209" s="85"/>
      <c r="G209" s="86"/>
    </row>
    <row r="210" spans="1:11" ht="15" x14ac:dyDescent="0.25">
      <c r="A210" s="8">
        <v>1</v>
      </c>
      <c r="B210" s="9" t="s">
        <v>209</v>
      </c>
      <c r="C210" s="48">
        <f>(33.39)*10.764</f>
        <v>359.40996000000001</v>
      </c>
      <c r="D210" s="8">
        <v>0</v>
      </c>
      <c r="E210" s="8">
        <f t="shared" ref="E210:E241" si="5">C210*1.5+D210</f>
        <v>539.11494000000005</v>
      </c>
      <c r="F210" s="9" t="s">
        <v>104</v>
      </c>
      <c r="G210" s="87" t="str">
        <f>A209</f>
        <v>Ground Floor for Parking &amp; Residential</v>
      </c>
      <c r="J210">
        <f>2.74*4.6+2.4*2.65+3.6*2.7+0.9*1.23+1.2*1.5+1.05*0.9+1.2*1.05</f>
        <v>33.795999999999992</v>
      </c>
    </row>
    <row r="211" spans="1:11" ht="15" x14ac:dyDescent="0.25">
      <c r="A211" s="8">
        <v>2</v>
      </c>
      <c r="B211" s="9" t="s">
        <v>210</v>
      </c>
      <c r="C211" s="48">
        <f>(47.41)*10.764</f>
        <v>510.32123999999993</v>
      </c>
      <c r="D211" s="8">
        <v>0</v>
      </c>
      <c r="E211" s="8">
        <f t="shared" si="5"/>
        <v>765.48185999999987</v>
      </c>
      <c r="F211" s="9" t="s">
        <v>104</v>
      </c>
      <c r="G211" s="88"/>
    </row>
    <row r="212" spans="1:11" ht="15" x14ac:dyDescent="0.25">
      <c r="A212" s="8">
        <v>3</v>
      </c>
      <c r="B212" s="9" t="s">
        <v>210</v>
      </c>
      <c r="C212" s="48">
        <f>(48.26)*10.764</f>
        <v>519.47064</v>
      </c>
      <c r="D212" s="8">
        <v>0</v>
      </c>
      <c r="E212" s="8">
        <f t="shared" si="5"/>
        <v>779.20596</v>
      </c>
      <c r="F212" s="9" t="s">
        <v>104</v>
      </c>
      <c r="G212" s="88"/>
      <c r="K212" s="47">
        <v>10.763999999999999</v>
      </c>
    </row>
    <row r="213" spans="1:11" ht="15" x14ac:dyDescent="0.25">
      <c r="A213" s="8">
        <v>4</v>
      </c>
      <c r="B213" s="9" t="s">
        <v>209</v>
      </c>
      <c r="C213" s="48">
        <f>(33.39)*10.764</f>
        <v>359.40996000000001</v>
      </c>
      <c r="D213" s="8">
        <v>0</v>
      </c>
      <c r="E213" s="8">
        <f t="shared" si="5"/>
        <v>539.11494000000005</v>
      </c>
      <c r="F213" s="9" t="s">
        <v>104</v>
      </c>
      <c r="G213" s="88"/>
      <c r="J213">
        <f>2.74*4.2+2.1*2.7+2.7*2.7+2.7*3.6+2.1*1.3+1.18*1.4+0.9*2.1+0.9*0.9+2.25*1.2</f>
        <v>43.970000000000013</v>
      </c>
    </row>
    <row r="214" spans="1:11" ht="15" x14ac:dyDescent="0.25">
      <c r="A214" s="8">
        <v>5</v>
      </c>
      <c r="B214" s="9" t="s">
        <v>209</v>
      </c>
      <c r="C214" s="48">
        <f>(35.41)*10.764</f>
        <v>381.15323999999993</v>
      </c>
      <c r="D214" s="8">
        <v>0</v>
      </c>
      <c r="E214" s="8">
        <f t="shared" si="5"/>
        <v>571.72985999999992</v>
      </c>
      <c r="F214" s="9" t="s">
        <v>104</v>
      </c>
      <c r="G214" s="88"/>
    </row>
    <row r="215" spans="1:11" ht="15" x14ac:dyDescent="0.25">
      <c r="A215" s="8">
        <v>6</v>
      </c>
      <c r="B215" s="9" t="s">
        <v>209</v>
      </c>
      <c r="C215" s="48">
        <f>(35.41)*10.764</f>
        <v>381.15323999999993</v>
      </c>
      <c r="D215" s="8">
        <v>0</v>
      </c>
      <c r="E215" s="8">
        <f t="shared" si="5"/>
        <v>571.72985999999992</v>
      </c>
      <c r="F215" s="9" t="s">
        <v>104</v>
      </c>
      <c r="G215" s="97"/>
    </row>
    <row r="216" spans="1:11" ht="15" x14ac:dyDescent="0.25">
      <c r="A216" s="83" t="s">
        <v>105</v>
      </c>
      <c r="B216" s="85"/>
      <c r="C216" s="85"/>
      <c r="D216" s="85"/>
      <c r="E216" s="85"/>
      <c r="F216" s="85"/>
      <c r="G216" s="86"/>
    </row>
    <row r="217" spans="1:11" ht="15" x14ac:dyDescent="0.25">
      <c r="A217" s="8">
        <v>1</v>
      </c>
      <c r="B217" s="9" t="s">
        <v>209</v>
      </c>
      <c r="C217" s="48">
        <f>(33.68+0.75*(2.74+2.2+2.7))*10.764</f>
        <v>424.20923999999997</v>
      </c>
      <c r="D217" s="48">
        <v>0</v>
      </c>
      <c r="E217" s="8">
        <f t="shared" si="5"/>
        <v>636.31385999999998</v>
      </c>
      <c r="F217" s="9" t="s">
        <v>104</v>
      </c>
      <c r="G217" s="87" t="str">
        <f>A216</f>
        <v>1st, 3rd, 5th, 7th Floor</v>
      </c>
    </row>
    <row r="218" spans="1:11" ht="15" x14ac:dyDescent="0.25">
      <c r="A218" s="8">
        <v>2</v>
      </c>
      <c r="B218" s="9" t="s">
        <v>209</v>
      </c>
      <c r="C218" s="48">
        <f>(33.39+0.75*(2.2+2.7))*10.764</f>
        <v>398.96765999999997</v>
      </c>
      <c r="D218" s="48">
        <f t="shared" ref="D218:D223" si="6">(5.06)*10.764</f>
        <v>54.465839999999993</v>
      </c>
      <c r="E218" s="8">
        <f t="shared" si="5"/>
        <v>652.91732999999988</v>
      </c>
      <c r="F218" s="9" t="s">
        <v>104</v>
      </c>
      <c r="G218" s="88"/>
    </row>
    <row r="219" spans="1:11" ht="15" x14ac:dyDescent="0.25">
      <c r="A219" s="8">
        <v>3</v>
      </c>
      <c r="B219" s="9" t="s">
        <v>210</v>
      </c>
      <c r="C219" s="48">
        <f>(47.41+0.75*(2.1+2.7+2.75))*10.764</f>
        <v>571.27238999999997</v>
      </c>
      <c r="D219" s="48">
        <f t="shared" si="6"/>
        <v>54.465839999999993</v>
      </c>
      <c r="E219" s="8">
        <f t="shared" si="5"/>
        <v>911.37442499999986</v>
      </c>
      <c r="F219" s="9" t="s">
        <v>104</v>
      </c>
      <c r="G219" s="88"/>
      <c r="H219" s="29">
        <f>2827920/E219</f>
        <v>3102.9178814184966</v>
      </c>
    </row>
    <row r="220" spans="1:11" ht="15" x14ac:dyDescent="0.25">
      <c r="A220" s="8">
        <v>4</v>
      </c>
      <c r="B220" s="9" t="s">
        <v>210</v>
      </c>
      <c r="C220" s="48">
        <f>(48.26+0.75*(2.7+2.7+2.7))*10.764</f>
        <v>584.86194</v>
      </c>
      <c r="D220" s="48">
        <f t="shared" si="6"/>
        <v>54.465839999999993</v>
      </c>
      <c r="E220" s="8">
        <f t="shared" si="5"/>
        <v>931.75874999999996</v>
      </c>
      <c r="F220" s="9" t="s">
        <v>104</v>
      </c>
      <c r="G220" s="88"/>
    </row>
    <row r="221" spans="1:11" ht="15" x14ac:dyDescent="0.25">
      <c r="A221" s="8">
        <v>5</v>
      </c>
      <c r="B221" s="9" t="s">
        <v>209</v>
      </c>
      <c r="C221" s="48">
        <f>(33.39+0.75*(2.2+2.7))*10.764</f>
        <v>398.96765999999997</v>
      </c>
      <c r="D221" s="48">
        <f t="shared" si="6"/>
        <v>54.465839999999993</v>
      </c>
      <c r="E221" s="8">
        <f t="shared" si="5"/>
        <v>652.91732999999988</v>
      </c>
      <c r="F221" s="9" t="s">
        <v>104</v>
      </c>
      <c r="G221" s="88"/>
    </row>
    <row r="222" spans="1:11" ht="15" x14ac:dyDescent="0.25">
      <c r="A222" s="8">
        <v>6</v>
      </c>
      <c r="B222" s="9" t="s">
        <v>209</v>
      </c>
      <c r="C222" s="48">
        <f>(35.41+0.75*(2.65+2.7))*10.764</f>
        <v>424.34378999999996</v>
      </c>
      <c r="D222" s="48">
        <f t="shared" si="6"/>
        <v>54.465839999999993</v>
      </c>
      <c r="E222" s="8">
        <f t="shared" si="5"/>
        <v>690.98152499999992</v>
      </c>
      <c r="F222" s="9" t="s">
        <v>104</v>
      </c>
      <c r="G222" s="88"/>
    </row>
    <row r="223" spans="1:11" ht="15" x14ac:dyDescent="0.25">
      <c r="A223" s="8">
        <v>7</v>
      </c>
      <c r="B223" s="9" t="s">
        <v>209</v>
      </c>
      <c r="C223" s="48">
        <f>(35.41+0.75*(2.7+2.65))*10.764</f>
        <v>424.34378999999996</v>
      </c>
      <c r="D223" s="48">
        <f t="shared" si="6"/>
        <v>54.465839999999993</v>
      </c>
      <c r="E223" s="8">
        <f t="shared" si="5"/>
        <v>690.98152499999992</v>
      </c>
      <c r="F223" s="9" t="s">
        <v>104</v>
      </c>
      <c r="G223" s="88"/>
    </row>
    <row r="224" spans="1:11" ht="15" x14ac:dyDescent="0.25">
      <c r="A224" s="8">
        <v>8</v>
      </c>
      <c r="B224" s="9" t="s">
        <v>209</v>
      </c>
      <c r="C224" s="48">
        <f>(33.68+0.75*(2.74+2.2+2.7))*10.764</f>
        <v>424.20923999999997</v>
      </c>
      <c r="D224" s="48">
        <v>0</v>
      </c>
      <c r="E224" s="8">
        <f t="shared" si="5"/>
        <v>636.31385999999998</v>
      </c>
      <c r="F224" s="9" t="s">
        <v>104</v>
      </c>
      <c r="G224" s="97"/>
    </row>
    <row r="225" spans="1:11" ht="15" x14ac:dyDescent="0.25">
      <c r="A225" s="83" t="s">
        <v>106</v>
      </c>
      <c r="B225" s="112"/>
      <c r="C225" s="112"/>
      <c r="D225" s="85"/>
      <c r="E225" s="85"/>
      <c r="F225" s="85"/>
      <c r="G225" s="86"/>
    </row>
    <row r="226" spans="1:11" ht="15" x14ac:dyDescent="0.25">
      <c r="A226" s="10">
        <v>1</v>
      </c>
      <c r="B226" s="46" t="s">
        <v>209</v>
      </c>
      <c r="C226" s="48">
        <f>(33.68+0.75*(2.74+2.2+2.7))*11</f>
        <v>433.51</v>
      </c>
      <c r="D226" s="48">
        <v>0</v>
      </c>
      <c r="E226" s="8">
        <f t="shared" si="5"/>
        <v>650.26499999999999</v>
      </c>
      <c r="F226" s="9" t="s">
        <v>104</v>
      </c>
      <c r="G226" s="87" t="str">
        <f>A225</f>
        <v>2nd, 4th, 6th Floor</v>
      </c>
    </row>
    <row r="227" spans="1:11" ht="15" x14ac:dyDescent="0.25">
      <c r="A227" s="10">
        <v>2</v>
      </c>
      <c r="B227" s="46" t="s">
        <v>209</v>
      </c>
      <c r="C227" s="48">
        <f>(33.39+0.75*(2.74+2.2+2.7))*11</f>
        <v>430.32000000000005</v>
      </c>
      <c r="D227" s="48">
        <v>0</v>
      </c>
      <c r="E227" s="8">
        <f t="shared" si="5"/>
        <v>645.48</v>
      </c>
      <c r="F227" s="9" t="s">
        <v>104</v>
      </c>
      <c r="G227" s="88"/>
    </row>
    <row r="228" spans="1:11" ht="15" x14ac:dyDescent="0.25">
      <c r="A228" s="10">
        <v>3</v>
      </c>
      <c r="B228" s="46" t="s">
        <v>210</v>
      </c>
      <c r="C228" s="48">
        <v>521.51</v>
      </c>
      <c r="D228" s="48">
        <f>(4.99)*11</f>
        <v>54.89</v>
      </c>
      <c r="E228" s="8">
        <f t="shared" si="5"/>
        <v>837.15499999999997</v>
      </c>
      <c r="F228" s="9" t="s">
        <v>104</v>
      </c>
      <c r="G228" s="88"/>
    </row>
    <row r="229" spans="1:11" ht="15" x14ac:dyDescent="0.25">
      <c r="A229" s="10">
        <v>4</v>
      </c>
      <c r="B229" s="46" t="s">
        <v>210</v>
      </c>
      <c r="C229" s="48">
        <f>(48.26+0.75*(2.74+2.1+2.25))*11</f>
        <v>589.35249999999996</v>
      </c>
      <c r="D229" s="48">
        <f>(6.77)*11</f>
        <v>74.47</v>
      </c>
      <c r="E229" s="8">
        <f t="shared" si="5"/>
        <v>958.49874999999997</v>
      </c>
      <c r="F229" s="9" t="s">
        <v>104</v>
      </c>
      <c r="G229" s="88"/>
    </row>
    <row r="230" spans="1:11" ht="15" x14ac:dyDescent="0.25">
      <c r="A230" s="10">
        <v>5</v>
      </c>
      <c r="B230" s="46" t="s">
        <v>209</v>
      </c>
      <c r="C230" s="48">
        <f>(33.39+0.75*(2.74+2.2+2.7))*11</f>
        <v>430.32000000000005</v>
      </c>
      <c r="D230" s="48">
        <v>0</v>
      </c>
      <c r="E230" s="8">
        <f t="shared" si="5"/>
        <v>645.48</v>
      </c>
      <c r="F230" s="9" t="s">
        <v>104</v>
      </c>
      <c r="G230" s="88"/>
      <c r="K230" s="49">
        <v>11</v>
      </c>
    </row>
    <row r="231" spans="1:11" ht="15" x14ac:dyDescent="0.25">
      <c r="A231" s="10">
        <v>6</v>
      </c>
      <c r="B231" s="46" t="s">
        <v>209</v>
      </c>
      <c r="C231" s="48">
        <f>(35.41+0.75*(2.74+2.7))*11</f>
        <v>434.38999999999993</v>
      </c>
      <c r="D231" s="48">
        <f>(4.9)*11</f>
        <v>53.900000000000006</v>
      </c>
      <c r="E231" s="8">
        <f t="shared" si="5"/>
        <v>705.4849999999999</v>
      </c>
      <c r="F231" s="9" t="s">
        <v>104</v>
      </c>
      <c r="G231" s="88"/>
    </row>
    <row r="232" spans="1:11" ht="15" x14ac:dyDescent="0.25">
      <c r="A232" s="10">
        <v>7</v>
      </c>
      <c r="B232" s="46" t="s">
        <v>209</v>
      </c>
      <c r="C232" s="48">
        <f>(35.41+0.75*(2.7+2.74))*11</f>
        <v>434.38999999999993</v>
      </c>
      <c r="D232" s="48">
        <f>(4.9)*11</f>
        <v>53.900000000000006</v>
      </c>
      <c r="E232" s="8">
        <f t="shared" si="5"/>
        <v>705.4849999999999</v>
      </c>
      <c r="F232" s="9" t="s">
        <v>104</v>
      </c>
      <c r="G232" s="88"/>
    </row>
    <row r="233" spans="1:11" ht="15" x14ac:dyDescent="0.25">
      <c r="A233" s="10">
        <v>8</v>
      </c>
      <c r="B233" s="46" t="s">
        <v>209</v>
      </c>
      <c r="C233" s="48">
        <f>(33.68+0.75*(2.74+2.2+2.7))*11</f>
        <v>433.51</v>
      </c>
      <c r="D233" s="48">
        <v>0</v>
      </c>
      <c r="E233" s="8">
        <f t="shared" si="5"/>
        <v>650.26499999999999</v>
      </c>
      <c r="F233" s="9" t="s">
        <v>104</v>
      </c>
      <c r="G233" s="97"/>
    </row>
    <row r="234" spans="1:11" ht="15" x14ac:dyDescent="0.25">
      <c r="A234" s="83" t="s">
        <v>214</v>
      </c>
      <c r="B234" s="84"/>
      <c r="C234" s="84"/>
      <c r="D234" s="85"/>
      <c r="E234" s="85"/>
      <c r="F234" s="85"/>
      <c r="G234" s="86"/>
    </row>
    <row r="235" spans="1:11" ht="15" x14ac:dyDescent="0.25">
      <c r="A235" s="8">
        <v>1</v>
      </c>
      <c r="B235" s="9" t="s">
        <v>209</v>
      </c>
      <c r="C235" s="48">
        <f>(33.68+0.75*(2.74+2.2+2.7))*10.764</f>
        <v>424.20923999999997</v>
      </c>
      <c r="D235" s="48">
        <v>0</v>
      </c>
      <c r="E235" s="8">
        <f>C235*1.5+D235</f>
        <v>636.31385999999998</v>
      </c>
      <c r="F235" s="9" t="s">
        <v>104</v>
      </c>
      <c r="G235" s="87" t="str">
        <f>A234</f>
        <v>8th Floor (Part Refuge Area)</v>
      </c>
    </row>
    <row r="236" spans="1:11" ht="15" x14ac:dyDescent="0.25">
      <c r="A236" s="8">
        <v>2</v>
      </c>
      <c r="B236" s="9" t="s">
        <v>209</v>
      </c>
      <c r="C236" s="48">
        <f>(33.39+0.75*(2.74+2.2+2.7))*10.764</f>
        <v>421.08768000000003</v>
      </c>
      <c r="D236" s="48">
        <v>0</v>
      </c>
      <c r="E236" s="8">
        <f t="shared" si="5"/>
        <v>631.63152000000002</v>
      </c>
      <c r="F236" s="9" t="s">
        <v>104</v>
      </c>
      <c r="G236" s="88"/>
    </row>
    <row r="237" spans="1:11" ht="15" x14ac:dyDescent="0.25">
      <c r="A237" s="8">
        <v>3</v>
      </c>
      <c r="B237" s="9" t="s">
        <v>210</v>
      </c>
      <c r="C237" s="48">
        <f>(47.41+0.75*(2.74+2.1+2.25))*10.764</f>
        <v>567.55880999999999</v>
      </c>
      <c r="D237" s="48">
        <f>(4.99)*10.764</f>
        <v>53.712359999999997</v>
      </c>
      <c r="E237" s="8">
        <f t="shared" si="5"/>
        <v>905.05057499999998</v>
      </c>
      <c r="F237" s="9" t="s">
        <v>104</v>
      </c>
      <c r="G237" s="88"/>
    </row>
    <row r="238" spans="1:11" ht="15" x14ac:dyDescent="0.25">
      <c r="A238" s="8">
        <v>4</v>
      </c>
      <c r="B238" s="9" t="s">
        <v>210</v>
      </c>
      <c r="C238" s="48">
        <f>(48.26+0.75*(2.74+2.1+2.7+2.7))*10.764</f>
        <v>602.13815999999997</v>
      </c>
      <c r="D238" s="48">
        <f>(6.77)*10.764</f>
        <v>72.872279999999989</v>
      </c>
      <c r="E238" s="8">
        <f t="shared" si="5"/>
        <v>976.07952</v>
      </c>
      <c r="F238" s="9" t="s">
        <v>104</v>
      </c>
      <c r="G238" s="88"/>
    </row>
    <row r="239" spans="1:11" ht="15" x14ac:dyDescent="0.25">
      <c r="A239" s="8">
        <v>5</v>
      </c>
      <c r="B239" s="9" t="s">
        <v>209</v>
      </c>
      <c r="C239" s="48">
        <f>(33.39+0.75*(2.74+2.2+2.7))*10.764</f>
        <v>421.08768000000003</v>
      </c>
      <c r="D239" s="48">
        <v>0</v>
      </c>
      <c r="E239" s="8">
        <f t="shared" si="5"/>
        <v>631.63152000000002</v>
      </c>
      <c r="F239" s="9" t="s">
        <v>104</v>
      </c>
      <c r="G239" s="88"/>
    </row>
    <row r="240" spans="1:11" ht="15" x14ac:dyDescent="0.25">
      <c r="A240" s="8">
        <v>6</v>
      </c>
      <c r="B240" s="9" t="s">
        <v>209</v>
      </c>
      <c r="C240" s="48">
        <f>(35.41+0.75*(2.74+2.7))*10.764</f>
        <v>425.07035999999994</v>
      </c>
      <c r="D240" s="48">
        <f>(4.9)*10.764</f>
        <v>52.743600000000001</v>
      </c>
      <c r="E240" s="8">
        <f t="shared" si="5"/>
        <v>690.34913999999992</v>
      </c>
      <c r="F240" s="9" t="s">
        <v>104</v>
      </c>
      <c r="G240" s="88"/>
    </row>
    <row r="241" spans="1:11" ht="15" x14ac:dyDescent="0.25">
      <c r="A241" s="8">
        <v>7</v>
      </c>
      <c r="B241" s="9" t="s">
        <v>210</v>
      </c>
      <c r="C241" s="48">
        <f>(46.81+0.75*(2.74+2.7))*10.764</f>
        <v>547.77995999999996</v>
      </c>
      <c r="D241" s="48">
        <f>(4.9)*10.764</f>
        <v>52.743600000000001</v>
      </c>
      <c r="E241" s="8">
        <f t="shared" si="5"/>
        <v>874.41354000000001</v>
      </c>
      <c r="F241" s="9" t="s">
        <v>104</v>
      </c>
      <c r="G241" s="88"/>
    </row>
    <row r="242" spans="1:11" ht="17.25" customHeight="1" x14ac:dyDescent="0.25">
      <c r="A242" s="83" t="s">
        <v>211</v>
      </c>
      <c r="B242" s="85"/>
      <c r="C242" s="85"/>
      <c r="D242" s="85"/>
      <c r="E242" s="85"/>
      <c r="F242" s="85"/>
      <c r="G242" s="86"/>
    </row>
    <row r="243" spans="1:11" ht="15" x14ac:dyDescent="0.25">
      <c r="A243" s="124" t="s">
        <v>215</v>
      </c>
      <c r="B243" s="125"/>
      <c r="C243" s="125"/>
      <c r="D243" s="125"/>
      <c r="E243" s="125"/>
      <c r="F243" s="125"/>
      <c r="G243" s="126"/>
    </row>
    <row r="244" spans="1:11" ht="17.25" customHeight="1" x14ac:dyDescent="0.25">
      <c r="A244" s="83" t="s">
        <v>216</v>
      </c>
      <c r="B244" s="85"/>
      <c r="C244" s="85"/>
      <c r="D244" s="85"/>
      <c r="E244" s="85"/>
      <c r="F244" s="85"/>
      <c r="G244" s="86"/>
    </row>
    <row r="245" spans="1:11" ht="15" customHeight="1" x14ac:dyDescent="0.25">
      <c r="A245" s="8">
        <v>1</v>
      </c>
      <c r="B245" s="9" t="s">
        <v>217</v>
      </c>
      <c r="C245" s="48">
        <f>(19.63)*10.764</f>
        <v>211.29731999999998</v>
      </c>
      <c r="D245" s="8">
        <v>0</v>
      </c>
      <c r="E245" s="8">
        <f>C245*1.5+D245</f>
        <v>316.94597999999996</v>
      </c>
      <c r="F245" s="9" t="s">
        <v>104</v>
      </c>
      <c r="G245" s="87" t="str">
        <f>A244</f>
        <v>Ground Floor for Commercial &amp; Parking</v>
      </c>
      <c r="J245">
        <f>2.74*4.6+2.4*2.65+3.6*2.7+0.9*1.23+1.2*1.5+1.05*0.9+1.2*1.05</f>
        <v>33.795999999999992</v>
      </c>
      <c r="K245">
        <v>11</v>
      </c>
    </row>
    <row r="246" spans="1:11" ht="15" x14ac:dyDescent="0.25">
      <c r="A246" s="8">
        <v>2</v>
      </c>
      <c r="B246" s="9" t="s">
        <v>217</v>
      </c>
      <c r="C246" s="48">
        <f>(19.63)*10.764</f>
        <v>211.29731999999998</v>
      </c>
      <c r="D246" s="8">
        <v>0</v>
      </c>
      <c r="E246" s="8">
        <f t="shared" ref="E246:E248" si="7">C246*1.5+D246</f>
        <v>316.94597999999996</v>
      </c>
      <c r="F246" s="9" t="s">
        <v>104</v>
      </c>
      <c r="G246" s="88"/>
      <c r="K246" s="47">
        <v>10.763999999999999</v>
      </c>
    </row>
    <row r="247" spans="1:11" ht="15" x14ac:dyDescent="0.25">
      <c r="A247" s="8">
        <v>3</v>
      </c>
      <c r="B247" s="9" t="s">
        <v>217</v>
      </c>
      <c r="C247" s="48">
        <f>(19.63)*10.764</f>
        <v>211.29731999999998</v>
      </c>
      <c r="D247" s="8">
        <v>0</v>
      </c>
      <c r="E247" s="8">
        <f t="shared" si="7"/>
        <v>316.94597999999996</v>
      </c>
      <c r="F247" s="9" t="s">
        <v>104</v>
      </c>
      <c r="G247" s="88"/>
    </row>
    <row r="248" spans="1:11" ht="15" x14ac:dyDescent="0.25">
      <c r="A248" s="8">
        <v>4</v>
      </c>
      <c r="B248" s="9" t="s">
        <v>217</v>
      </c>
      <c r="C248" s="48">
        <f>(18.12)*10.764</f>
        <v>195.04367999999999</v>
      </c>
      <c r="D248" s="8">
        <v>0</v>
      </c>
      <c r="E248" s="8">
        <f t="shared" si="7"/>
        <v>292.56551999999999</v>
      </c>
      <c r="F248" s="9" t="s">
        <v>104</v>
      </c>
      <c r="G248" s="88"/>
      <c r="J248">
        <f>2.74*4.2+2.1*2.7+2.7*2.7+2.7*3.6+2.1*1.3+1.18*1.4+0.9*2.1+0.9*0.9+2.25*1.2</f>
        <v>43.970000000000013</v>
      </c>
    </row>
    <row r="249" spans="1:11" ht="15" x14ac:dyDescent="0.25">
      <c r="A249" s="8">
        <v>5</v>
      </c>
      <c r="B249" s="9" t="s">
        <v>217</v>
      </c>
      <c r="C249" s="48">
        <f>(12.68)*10.764</f>
        <v>136.48751999999999</v>
      </c>
      <c r="D249" s="8">
        <v>0</v>
      </c>
      <c r="E249" s="8">
        <f>C249*1.5+D249</f>
        <v>204.73127999999997</v>
      </c>
      <c r="F249" s="9" t="s">
        <v>104</v>
      </c>
      <c r="G249" s="88"/>
    </row>
    <row r="250" spans="1:11" ht="15" x14ac:dyDescent="0.25">
      <c r="A250" s="8">
        <v>6</v>
      </c>
      <c r="B250" s="9" t="s">
        <v>217</v>
      </c>
      <c r="C250" s="48">
        <f>(16.3)*10.764</f>
        <v>175.45320000000001</v>
      </c>
      <c r="D250" s="8">
        <v>0</v>
      </c>
      <c r="E250" s="8">
        <f t="shared" ref="E250" si="8">C250*1.5+D250</f>
        <v>263.1798</v>
      </c>
      <c r="F250" s="9" t="s">
        <v>104</v>
      </c>
      <c r="G250" s="88"/>
    </row>
    <row r="251" spans="1:11" ht="15" customHeight="1" x14ac:dyDescent="0.25">
      <c r="A251" s="8">
        <v>7</v>
      </c>
      <c r="B251" s="9" t="s">
        <v>217</v>
      </c>
      <c r="C251" s="48">
        <f>(16.3)*10.764</f>
        <v>175.45320000000001</v>
      </c>
      <c r="D251" s="8">
        <v>0</v>
      </c>
      <c r="E251" s="8">
        <f>C251*1.5+D251</f>
        <v>263.1798</v>
      </c>
      <c r="F251" s="9" t="s">
        <v>104</v>
      </c>
      <c r="G251" s="88"/>
      <c r="J251">
        <f>2.74*4.6+2.4*2.65+3.6*2.7+0.9*1.23+1.2*1.5+1.05*0.9+1.2*1.05</f>
        <v>33.795999999999992</v>
      </c>
      <c r="K251">
        <v>11</v>
      </c>
    </row>
    <row r="252" spans="1:11" ht="15" x14ac:dyDescent="0.25">
      <c r="A252" s="8">
        <v>8</v>
      </c>
      <c r="B252" s="9" t="s">
        <v>217</v>
      </c>
      <c r="C252" s="48">
        <f>(13.58)*10.764</f>
        <v>146.17511999999999</v>
      </c>
      <c r="D252" s="8">
        <v>0</v>
      </c>
      <c r="E252" s="8">
        <f t="shared" ref="E252:E254" si="9">C252*1.5+D252</f>
        <v>219.26267999999999</v>
      </c>
      <c r="F252" s="9" t="s">
        <v>104</v>
      </c>
      <c r="G252" s="88"/>
      <c r="K252" s="47">
        <v>10.763999999999999</v>
      </c>
    </row>
    <row r="253" spans="1:11" ht="15" x14ac:dyDescent="0.25">
      <c r="A253" s="8">
        <v>9</v>
      </c>
      <c r="B253" s="9" t="s">
        <v>217</v>
      </c>
      <c r="C253" s="48">
        <f>(10.87)*10.764</f>
        <v>117.00467999999998</v>
      </c>
      <c r="D253" s="8">
        <v>0</v>
      </c>
      <c r="E253" s="8">
        <f t="shared" si="9"/>
        <v>175.50701999999995</v>
      </c>
      <c r="F253" s="9" t="s">
        <v>104</v>
      </c>
      <c r="G253" s="88"/>
    </row>
    <row r="254" spans="1:11" ht="15" x14ac:dyDescent="0.25">
      <c r="A254" s="8">
        <v>10</v>
      </c>
      <c r="B254" s="9" t="s">
        <v>217</v>
      </c>
      <c r="C254" s="48">
        <f>(16.3)*10.764</f>
        <v>175.45320000000001</v>
      </c>
      <c r="D254" s="8">
        <v>0</v>
      </c>
      <c r="E254" s="8">
        <f t="shared" si="9"/>
        <v>263.1798</v>
      </c>
      <c r="F254" s="9" t="s">
        <v>104</v>
      </c>
      <c r="G254" s="88"/>
      <c r="J254">
        <f>2.74*4.2+2.1*2.7+2.7*2.7+2.7*3.6+2.1*1.3+1.18*1.4+0.9*2.1+0.9*0.9+2.25*1.2</f>
        <v>43.970000000000013</v>
      </c>
    </row>
    <row r="255" spans="1:11" ht="15" x14ac:dyDescent="0.25">
      <c r="A255" s="8">
        <v>11</v>
      </c>
      <c r="B255" s="9" t="s">
        <v>217</v>
      </c>
      <c r="C255" s="48">
        <f>(13.93)*10.764</f>
        <v>149.94252</v>
      </c>
      <c r="D255" s="8">
        <v>0</v>
      </c>
      <c r="E255" s="8">
        <f>C255*1.5+D255</f>
        <v>224.91378</v>
      </c>
      <c r="F255" s="9" t="s">
        <v>104</v>
      </c>
      <c r="G255" s="88"/>
    </row>
    <row r="256" spans="1:11" ht="15" x14ac:dyDescent="0.25">
      <c r="A256" s="8">
        <v>12</v>
      </c>
      <c r="B256" s="9" t="s">
        <v>217</v>
      </c>
      <c r="C256" s="48">
        <f>(16.72)*10.764</f>
        <v>179.97407999999999</v>
      </c>
      <c r="D256" s="8">
        <v>0</v>
      </c>
      <c r="E256" s="8">
        <f t="shared" ref="E256" si="10">C256*1.5+D256</f>
        <v>269.96111999999999</v>
      </c>
      <c r="F256" s="9" t="s">
        <v>104</v>
      </c>
      <c r="G256" s="97"/>
    </row>
    <row r="257" spans="1:11" ht="15" x14ac:dyDescent="0.25">
      <c r="A257" s="83" t="s">
        <v>218</v>
      </c>
      <c r="B257" s="85"/>
      <c r="C257" s="85"/>
      <c r="D257" s="85"/>
      <c r="E257" s="85"/>
      <c r="F257" s="85"/>
      <c r="G257" s="86"/>
    </row>
    <row r="258" spans="1:11" ht="15" x14ac:dyDescent="0.25">
      <c r="A258" s="8">
        <v>1</v>
      </c>
      <c r="B258" s="9" t="s">
        <v>209</v>
      </c>
      <c r="C258" s="48">
        <f>(38+0.75*(2.29+2.74))*10.764</f>
        <v>449.63918999999999</v>
      </c>
      <c r="D258" s="48">
        <f>(5.01)*10.764</f>
        <v>53.927639999999997</v>
      </c>
      <c r="E258" s="8">
        <f>C258*1.5+D258</f>
        <v>728.38642500000003</v>
      </c>
      <c r="F258" s="9" t="s">
        <v>104</v>
      </c>
      <c r="G258" s="87" t="str">
        <f>A257</f>
        <v>1st Floor for Residential</v>
      </c>
    </row>
    <row r="259" spans="1:11" ht="15" x14ac:dyDescent="0.25">
      <c r="A259" s="8">
        <v>2</v>
      </c>
      <c r="B259" s="9" t="s">
        <v>210</v>
      </c>
      <c r="C259" s="48">
        <f>(54.65+0.75*(2.74))*10.764</f>
        <v>610.37261999999998</v>
      </c>
      <c r="D259" s="48">
        <f>(26.98)*10.764</f>
        <v>290.41271999999998</v>
      </c>
      <c r="E259" s="8">
        <f>C259*1.5+D259/3</f>
        <v>1012.3631699999999</v>
      </c>
      <c r="F259" s="9" t="s">
        <v>104</v>
      </c>
      <c r="G259" s="88"/>
      <c r="J259">
        <f>1.85*2.74</f>
        <v>5.0690000000000008</v>
      </c>
    </row>
    <row r="260" spans="1:11" ht="15" x14ac:dyDescent="0.25">
      <c r="A260" s="8">
        <v>3</v>
      </c>
      <c r="B260" s="9" t="s">
        <v>209</v>
      </c>
      <c r="C260" s="48">
        <f>(36.88)*10.764</f>
        <v>396.97631999999999</v>
      </c>
      <c r="D260" s="48">
        <f>(10.23)*10.764</f>
        <v>110.11572</v>
      </c>
      <c r="E260" s="8">
        <f>C260*1.5+D260/2</f>
        <v>650.52233999999999</v>
      </c>
      <c r="F260" s="9" t="s">
        <v>104</v>
      </c>
      <c r="G260" s="88"/>
      <c r="H260" s="29">
        <f>2827920/E260</f>
        <v>4347.1527818706427</v>
      </c>
      <c r="K260" s="47">
        <v>10.763999999999999</v>
      </c>
    </row>
    <row r="261" spans="1:11" ht="15" x14ac:dyDescent="0.25">
      <c r="A261" s="8">
        <v>4</v>
      </c>
      <c r="B261" s="9" t="s">
        <v>210</v>
      </c>
      <c r="C261" s="48">
        <f>(50.73)*10.764</f>
        <v>546.0577199999999</v>
      </c>
      <c r="D261" s="48">
        <f>(23.55)*10.764</f>
        <v>253.4922</v>
      </c>
      <c r="E261" s="8">
        <f>C261*1.5+D261/3</f>
        <v>903.58397999999988</v>
      </c>
      <c r="F261" s="9" t="s">
        <v>104</v>
      </c>
      <c r="G261" s="88"/>
    </row>
    <row r="262" spans="1:11" ht="15" x14ac:dyDescent="0.25">
      <c r="A262" s="8">
        <v>5</v>
      </c>
      <c r="B262" s="9" t="s">
        <v>210</v>
      </c>
      <c r="C262" s="48">
        <f>(52.95+0.75*(2.29+2.7))*10.764</f>
        <v>610.23806999999999</v>
      </c>
      <c r="D262" s="48">
        <f>(35.62+5.01)*10.764</f>
        <v>437.34131999999994</v>
      </c>
      <c r="E262" s="8">
        <f>C262*1.5+D262/4</f>
        <v>1024.6924349999999</v>
      </c>
      <c r="F262" s="9" t="s">
        <v>104</v>
      </c>
      <c r="G262" s="88"/>
    </row>
    <row r="263" spans="1:11" ht="15" x14ac:dyDescent="0.25">
      <c r="A263" s="8">
        <v>6</v>
      </c>
      <c r="B263" s="9" t="s">
        <v>209</v>
      </c>
      <c r="C263" s="48">
        <f>(35.12+0.75*(2.29+3.51))*10.764</f>
        <v>424.85507999999999</v>
      </c>
      <c r="D263" s="48">
        <f>(5)*10.764</f>
        <v>53.819999999999993</v>
      </c>
      <c r="E263" s="8">
        <f t="shared" ref="E263:E264" si="11">C263*1.5+D263</f>
        <v>691.10261999999989</v>
      </c>
      <c r="F263" s="9" t="s">
        <v>104</v>
      </c>
      <c r="G263" s="88"/>
    </row>
    <row r="264" spans="1:11" ht="15" x14ac:dyDescent="0.25">
      <c r="A264" s="8">
        <v>7</v>
      </c>
      <c r="B264" s="9" t="s">
        <v>209</v>
      </c>
      <c r="C264" s="48">
        <f>(36.75+0.75*(3.51+2.29))*10.764</f>
        <v>442.40039999999999</v>
      </c>
      <c r="D264" s="48">
        <f>(5.01)*10.764</f>
        <v>53.927639999999997</v>
      </c>
      <c r="E264" s="8">
        <f t="shared" si="11"/>
        <v>717.52823999999998</v>
      </c>
      <c r="F264" s="9" t="s">
        <v>104</v>
      </c>
      <c r="G264" s="88"/>
    </row>
    <row r="265" spans="1:11" ht="15" x14ac:dyDescent="0.25">
      <c r="A265" s="83" t="s">
        <v>106</v>
      </c>
      <c r="B265" s="85"/>
      <c r="C265" s="85"/>
      <c r="D265" s="85"/>
      <c r="E265" s="85"/>
      <c r="F265" s="85"/>
      <c r="G265" s="86"/>
    </row>
    <row r="266" spans="1:11" ht="15" x14ac:dyDescent="0.25">
      <c r="A266" s="8">
        <v>1</v>
      </c>
      <c r="B266" s="9" t="s">
        <v>209</v>
      </c>
      <c r="C266" s="48">
        <f>(38+0.75*(2.74+2.29+2.74))*11</f>
        <v>482.10250000000002</v>
      </c>
      <c r="D266" s="48">
        <v>0</v>
      </c>
      <c r="E266" s="8">
        <f>C266*1.5+D266</f>
        <v>723.15375000000006</v>
      </c>
      <c r="F266" s="9" t="s">
        <v>104</v>
      </c>
      <c r="G266" s="87" t="str">
        <f>A265</f>
        <v>2nd, 4th, 6th Floor</v>
      </c>
    </row>
    <row r="267" spans="1:11" ht="15" x14ac:dyDescent="0.25">
      <c r="A267" s="8">
        <v>2</v>
      </c>
      <c r="B267" s="9" t="s">
        <v>210</v>
      </c>
      <c r="C267" s="48">
        <f>(54.65+0.75*(2.74+2.29+2.74))*11</f>
        <v>665.25249999999994</v>
      </c>
      <c r="D267" s="48">
        <f>(5)*11</f>
        <v>55</v>
      </c>
      <c r="E267" s="8">
        <f t="shared" ref="E267:E272" si="12">C267*1.5+D267</f>
        <v>1052.8787499999999</v>
      </c>
      <c r="F267" s="9" t="s">
        <v>104</v>
      </c>
      <c r="G267" s="88"/>
    </row>
    <row r="268" spans="1:11" ht="15" x14ac:dyDescent="0.25">
      <c r="A268" s="8">
        <v>3</v>
      </c>
      <c r="B268" s="9" t="s">
        <v>209</v>
      </c>
      <c r="C268" s="48">
        <f>(36.88+0.75*(2.74+2.29+2.74))*11</f>
        <v>469.78250000000003</v>
      </c>
      <c r="D268" s="48">
        <v>0</v>
      </c>
      <c r="E268" s="8">
        <f t="shared" si="12"/>
        <v>704.67375000000004</v>
      </c>
      <c r="F268" s="9" t="s">
        <v>104</v>
      </c>
      <c r="G268" s="88"/>
    </row>
    <row r="269" spans="1:11" ht="15" x14ac:dyDescent="0.25">
      <c r="A269" s="8">
        <v>4</v>
      </c>
      <c r="B269" s="9" t="s">
        <v>210</v>
      </c>
      <c r="C269" s="48">
        <f>(50.73+0.75*(2.74+2.13+2.74))*11</f>
        <v>620.8125</v>
      </c>
      <c r="D269" s="48">
        <f>(5.01)*11</f>
        <v>55.11</v>
      </c>
      <c r="E269" s="8">
        <f t="shared" si="12"/>
        <v>986.32875000000001</v>
      </c>
      <c r="F269" s="9" t="s">
        <v>104</v>
      </c>
      <c r="G269" s="88"/>
    </row>
    <row r="270" spans="1:11" ht="15" x14ac:dyDescent="0.25">
      <c r="A270" s="8">
        <v>5</v>
      </c>
      <c r="B270" s="9" t="s">
        <v>210</v>
      </c>
      <c r="C270" s="48">
        <f>(52.95+0.75*(2.74+2.29+2.7))*11</f>
        <v>646.22250000000008</v>
      </c>
      <c r="D270" s="48">
        <f>(5.01)*11</f>
        <v>55.11</v>
      </c>
      <c r="E270" s="8">
        <f t="shared" si="12"/>
        <v>1024.4437500000001</v>
      </c>
      <c r="F270" s="9" t="s">
        <v>104</v>
      </c>
      <c r="G270" s="88"/>
    </row>
    <row r="271" spans="1:11" ht="15" x14ac:dyDescent="0.25">
      <c r="A271" s="8">
        <v>6</v>
      </c>
      <c r="B271" s="9" t="s">
        <v>209</v>
      </c>
      <c r="C271" s="48">
        <f>(35.12+0.75*(2.74+2.29))*11</f>
        <v>427.8175</v>
      </c>
      <c r="D271" s="48">
        <f>(4.64)*11</f>
        <v>51.04</v>
      </c>
      <c r="E271" s="8">
        <f t="shared" si="12"/>
        <v>692.7662499999999</v>
      </c>
      <c r="F271" s="9" t="s">
        <v>104</v>
      </c>
      <c r="G271" s="88"/>
    </row>
    <row r="272" spans="1:11" ht="15" x14ac:dyDescent="0.25">
      <c r="A272" s="8">
        <v>7</v>
      </c>
      <c r="B272" s="9" t="s">
        <v>209</v>
      </c>
      <c r="C272" s="48">
        <f>(36.75+0.75*(2.74+2.29))*11</f>
        <v>445.7475</v>
      </c>
      <c r="D272" s="48">
        <f>(4.64)*11</f>
        <v>51.04</v>
      </c>
      <c r="E272" s="8">
        <f t="shared" si="12"/>
        <v>719.66125</v>
      </c>
      <c r="F272" s="9" t="s">
        <v>104</v>
      </c>
      <c r="G272" s="88"/>
    </row>
    <row r="273" spans="1:11" ht="15" x14ac:dyDescent="0.25">
      <c r="A273" s="83" t="s">
        <v>219</v>
      </c>
      <c r="B273" s="85"/>
      <c r="C273" s="85"/>
      <c r="D273" s="85"/>
      <c r="E273" s="85"/>
      <c r="F273" s="85"/>
      <c r="G273" s="86"/>
    </row>
    <row r="274" spans="1:11" ht="15" x14ac:dyDescent="0.25">
      <c r="A274" s="8">
        <v>1</v>
      </c>
      <c r="B274" s="9" t="s">
        <v>209</v>
      </c>
      <c r="C274" s="48">
        <f>(38+0.75*(2.29+2.74))*11</f>
        <v>459.4975</v>
      </c>
      <c r="D274" s="48">
        <f t="shared" ref="D274:D280" si="13">(5.01)*11</f>
        <v>55.11</v>
      </c>
      <c r="E274" s="8">
        <f t="shared" ref="E274:E280" si="14">C274*1.5+D274</f>
        <v>744.35625000000005</v>
      </c>
      <c r="F274" s="9" t="s">
        <v>104</v>
      </c>
      <c r="G274" s="87" t="str">
        <f>A273</f>
        <v>3rd, 5th, 7th Floor</v>
      </c>
    </row>
    <row r="275" spans="1:11" ht="15" x14ac:dyDescent="0.25">
      <c r="A275" s="8">
        <v>2</v>
      </c>
      <c r="B275" s="9" t="s">
        <v>210</v>
      </c>
      <c r="C275" s="48">
        <f>(54.65+0.75*(2.29+2.74+2.74))*11</f>
        <v>665.25249999999994</v>
      </c>
      <c r="D275" s="48">
        <f t="shared" si="13"/>
        <v>55.11</v>
      </c>
      <c r="E275" s="8">
        <f t="shared" si="14"/>
        <v>1052.9887499999998</v>
      </c>
      <c r="F275" s="9" t="s">
        <v>104</v>
      </c>
      <c r="G275" s="88"/>
    </row>
    <row r="276" spans="1:11" ht="15" x14ac:dyDescent="0.25">
      <c r="A276" s="8">
        <v>3</v>
      </c>
      <c r="B276" s="9" t="s">
        <v>209</v>
      </c>
      <c r="C276" s="48">
        <f>(36.88+0.75*(2.29+2.74))*11</f>
        <v>447.17750000000001</v>
      </c>
      <c r="D276" s="48">
        <f t="shared" si="13"/>
        <v>55.11</v>
      </c>
      <c r="E276" s="8">
        <f t="shared" si="14"/>
        <v>725.87625000000003</v>
      </c>
      <c r="F276" s="9" t="s">
        <v>104</v>
      </c>
      <c r="G276" s="88"/>
      <c r="J276" s="49">
        <v>11</v>
      </c>
    </row>
    <row r="277" spans="1:11" ht="15" x14ac:dyDescent="0.25">
      <c r="A277" s="8">
        <v>4</v>
      </c>
      <c r="B277" s="9" t="s">
        <v>210</v>
      </c>
      <c r="C277" s="48">
        <f>(50.73+0.75*(2.13+2.74+2.74))*11</f>
        <v>620.8125</v>
      </c>
      <c r="D277" s="48">
        <f t="shared" si="13"/>
        <v>55.11</v>
      </c>
      <c r="E277" s="8">
        <f t="shared" si="14"/>
        <v>986.32875000000001</v>
      </c>
      <c r="F277" s="9" t="s">
        <v>104</v>
      </c>
      <c r="G277" s="88"/>
    </row>
    <row r="278" spans="1:11" ht="15" x14ac:dyDescent="0.25">
      <c r="A278" s="8">
        <v>5</v>
      </c>
      <c r="B278" s="9" t="s">
        <v>210</v>
      </c>
      <c r="C278" s="48">
        <f>(52.95+0.75*(2.29+2.74+2.74))*11</f>
        <v>646.55250000000001</v>
      </c>
      <c r="D278" s="48">
        <f t="shared" si="13"/>
        <v>55.11</v>
      </c>
      <c r="E278" s="8">
        <f t="shared" si="14"/>
        <v>1024.93875</v>
      </c>
      <c r="F278" s="9" t="s">
        <v>104</v>
      </c>
      <c r="G278" s="88"/>
    </row>
    <row r="279" spans="1:11" ht="15" x14ac:dyDescent="0.25">
      <c r="A279" s="8">
        <v>6</v>
      </c>
      <c r="B279" s="9" t="s">
        <v>209</v>
      </c>
      <c r="C279" s="48">
        <f>(35.12+0.75*(2.29+3.51))*11</f>
        <v>434.16999999999996</v>
      </c>
      <c r="D279" s="48">
        <f t="shared" si="13"/>
        <v>55.11</v>
      </c>
      <c r="E279" s="8">
        <f t="shared" si="14"/>
        <v>706.3649999999999</v>
      </c>
      <c r="F279" s="9" t="s">
        <v>104</v>
      </c>
      <c r="G279" s="88"/>
    </row>
    <row r="280" spans="1:11" ht="15" x14ac:dyDescent="0.25">
      <c r="A280" s="8">
        <v>7</v>
      </c>
      <c r="B280" s="9" t="s">
        <v>209</v>
      </c>
      <c r="C280" s="48">
        <f>(36.75+0.75*(3.51+2.29))*11</f>
        <v>452.1</v>
      </c>
      <c r="D280" s="48">
        <f t="shared" si="13"/>
        <v>55.11</v>
      </c>
      <c r="E280" s="8">
        <f t="shared" si="14"/>
        <v>733.2600000000001</v>
      </c>
      <c r="F280" s="9" t="s">
        <v>104</v>
      </c>
      <c r="G280" s="88"/>
    </row>
    <row r="281" spans="1:11" ht="17.25" customHeight="1" x14ac:dyDescent="0.25">
      <c r="A281" s="83" t="s">
        <v>220</v>
      </c>
      <c r="B281" s="85"/>
      <c r="C281" s="85"/>
      <c r="D281" s="85"/>
      <c r="E281" s="85"/>
      <c r="F281" s="85"/>
      <c r="G281" s="86"/>
    </row>
    <row r="282" spans="1:11" ht="15" x14ac:dyDescent="0.25">
      <c r="A282" s="124" t="s">
        <v>221</v>
      </c>
      <c r="B282" s="125"/>
      <c r="C282" s="125"/>
      <c r="D282" s="125"/>
      <c r="E282" s="125"/>
      <c r="F282" s="125"/>
      <c r="G282" s="126"/>
    </row>
    <row r="283" spans="1:11" ht="15" x14ac:dyDescent="0.25">
      <c r="A283" s="124" t="s">
        <v>222</v>
      </c>
      <c r="B283" s="125"/>
      <c r="C283" s="125"/>
      <c r="D283" s="125"/>
      <c r="E283" s="125"/>
      <c r="F283" s="125"/>
      <c r="G283" s="126"/>
    </row>
    <row r="284" spans="1:11" ht="17.25" customHeight="1" x14ac:dyDescent="0.25">
      <c r="A284" s="83" t="s">
        <v>223</v>
      </c>
      <c r="B284" s="85"/>
      <c r="C284" s="85"/>
      <c r="D284" s="85"/>
      <c r="E284" s="85"/>
      <c r="F284" s="85"/>
      <c r="G284" s="86"/>
    </row>
    <row r="285" spans="1:11" ht="15" x14ac:dyDescent="0.25">
      <c r="A285" s="8">
        <v>1</v>
      </c>
      <c r="B285" s="9" t="s">
        <v>209</v>
      </c>
      <c r="C285" s="48">
        <f>(38.38+3.3+0.75*(2.15+2.75))*10.764</f>
        <v>488.20121999999992</v>
      </c>
      <c r="D285" s="8">
        <v>0</v>
      </c>
      <c r="E285" s="8">
        <f>C285*1.5+D285</f>
        <v>732.30182999999988</v>
      </c>
      <c r="F285" s="9" t="s">
        <v>104</v>
      </c>
      <c r="G285" s="87" t="str">
        <f>A284</f>
        <v>1st to 7th, 9th &amp; 10th Floor</v>
      </c>
      <c r="J285">
        <f>2.74*4.6+2.4*2.65+3.6*2.7+0.9*1.23+1.2*1.5+1.05*0.9+1.2*1.05</f>
        <v>33.795999999999992</v>
      </c>
      <c r="K285">
        <v>11</v>
      </c>
    </row>
    <row r="286" spans="1:11" ht="15" x14ac:dyDescent="0.25">
      <c r="A286" s="8">
        <v>2</v>
      </c>
      <c r="B286" s="9" t="s">
        <v>209</v>
      </c>
      <c r="C286" s="48">
        <f>(36.58+6.5+0.75*(3+2.3))*10.764</f>
        <v>506.50001999999995</v>
      </c>
      <c r="D286" s="8">
        <v>0</v>
      </c>
      <c r="E286" s="8">
        <f t="shared" ref="E286:E288" si="15">C286*1.5+D286</f>
        <v>759.75002999999992</v>
      </c>
      <c r="F286" s="9" t="s">
        <v>104</v>
      </c>
      <c r="G286" s="88"/>
      <c r="K286" s="47">
        <v>10.763999999999999</v>
      </c>
    </row>
    <row r="287" spans="1:11" ht="15" x14ac:dyDescent="0.25">
      <c r="A287" s="8">
        <v>3</v>
      </c>
      <c r="B287" s="9" t="s">
        <v>210</v>
      </c>
      <c r="C287" s="48">
        <f>(51.38+3.3+0.75*(3.05+2.75+2.25))*10.764</f>
        <v>653.56317000000001</v>
      </c>
      <c r="D287" s="8">
        <v>0</v>
      </c>
      <c r="E287" s="8">
        <f t="shared" si="15"/>
        <v>980.34475500000008</v>
      </c>
      <c r="F287" s="9" t="s">
        <v>104</v>
      </c>
      <c r="G287" s="88"/>
    </row>
    <row r="288" spans="1:11" ht="15" x14ac:dyDescent="0.25">
      <c r="A288" s="8">
        <v>4</v>
      </c>
      <c r="B288" s="9" t="s">
        <v>210</v>
      </c>
      <c r="C288" s="48">
        <f>(45.29+8.8+0.75*(2.15))*10.764</f>
        <v>599.58170999999993</v>
      </c>
      <c r="D288" s="8">
        <v>0</v>
      </c>
      <c r="E288" s="8">
        <f t="shared" si="15"/>
        <v>899.3725649999999</v>
      </c>
      <c r="F288" s="9" t="s">
        <v>104</v>
      </c>
      <c r="G288" s="88"/>
      <c r="J288">
        <f>2.74*4.2+2.1*2.7+2.7*2.7+2.7*3.6+2.1*1.3+1.18*1.4+0.9*2.1+0.9*0.9+2.25*1.2</f>
        <v>43.970000000000013</v>
      </c>
    </row>
    <row r="289" spans="1:11" ht="15" x14ac:dyDescent="0.25">
      <c r="A289" s="8">
        <v>5</v>
      </c>
      <c r="B289" s="9" t="s">
        <v>209</v>
      </c>
      <c r="C289" s="48">
        <f>(47.32+3.3+0.75*(2.3+3.25+2.75))*10.764</f>
        <v>611.87957999999992</v>
      </c>
      <c r="D289" s="8">
        <v>0</v>
      </c>
      <c r="E289" s="8">
        <f>C289*1.5+D289</f>
        <v>917.81936999999994</v>
      </c>
      <c r="F289" s="9" t="s">
        <v>104</v>
      </c>
      <c r="G289" s="88"/>
    </row>
    <row r="290" spans="1:11" ht="15" x14ac:dyDescent="0.25">
      <c r="A290" s="83" t="s">
        <v>214</v>
      </c>
      <c r="B290" s="85"/>
      <c r="C290" s="85"/>
      <c r="D290" s="85"/>
      <c r="E290" s="85"/>
      <c r="F290" s="85"/>
      <c r="G290" s="86"/>
    </row>
    <row r="291" spans="1:11" ht="15" x14ac:dyDescent="0.25">
      <c r="A291" s="8">
        <v>1</v>
      </c>
      <c r="B291" s="9" t="s">
        <v>209</v>
      </c>
      <c r="C291" s="48">
        <f>(38.38+3.3+0.75*(2.15+2.75))*10.764</f>
        <v>488.20121999999992</v>
      </c>
      <c r="D291" s="48">
        <v>0</v>
      </c>
      <c r="E291" s="8">
        <f>C291*1.5+D291</f>
        <v>732.30182999999988</v>
      </c>
      <c r="F291" s="9" t="s">
        <v>104</v>
      </c>
      <c r="G291" s="87" t="str">
        <f>A290</f>
        <v>8th Floor (Part Refuge Area)</v>
      </c>
    </row>
    <row r="292" spans="1:11" ht="15" x14ac:dyDescent="0.25">
      <c r="A292" s="8">
        <v>2</v>
      </c>
      <c r="B292" s="9" t="s">
        <v>210</v>
      </c>
      <c r="C292" s="48">
        <f>(51.38+3.3+0.75*(2.25+2.75+3.05))*10.764</f>
        <v>653.56317000000001</v>
      </c>
      <c r="D292" s="48">
        <v>0</v>
      </c>
      <c r="E292" s="8">
        <f t="shared" ref="E292:E294" si="16">C292*1.5+D292</f>
        <v>980.34475500000008</v>
      </c>
      <c r="F292" s="9" t="s">
        <v>104</v>
      </c>
      <c r="G292" s="88"/>
      <c r="J292">
        <f>1.85*2.74</f>
        <v>5.0690000000000008</v>
      </c>
    </row>
    <row r="293" spans="1:11" ht="15" x14ac:dyDescent="0.25">
      <c r="A293" s="8">
        <v>3</v>
      </c>
      <c r="B293" s="9" t="s">
        <v>210</v>
      </c>
      <c r="C293" s="48">
        <f>(45.29+8.8+0.75*(2.15+2.75))*10.764</f>
        <v>621.78246000000001</v>
      </c>
      <c r="D293" s="48">
        <v>0</v>
      </c>
      <c r="E293" s="8">
        <f t="shared" si="16"/>
        <v>932.67369000000008</v>
      </c>
      <c r="F293" s="9" t="s">
        <v>104</v>
      </c>
      <c r="G293" s="88"/>
      <c r="H293" s="29">
        <f>2827920/E293</f>
        <v>3032.0572246441302</v>
      </c>
      <c r="K293" s="47">
        <v>10.763999999999999</v>
      </c>
    </row>
    <row r="294" spans="1:11" ht="15" x14ac:dyDescent="0.25">
      <c r="A294" s="8">
        <v>4</v>
      </c>
      <c r="B294" s="9" t="s">
        <v>209</v>
      </c>
      <c r="C294" s="48">
        <f>(47.32+3.3+0.75*(2.3+3.25))*10.764</f>
        <v>589.67882999999995</v>
      </c>
      <c r="D294" s="48">
        <v>0</v>
      </c>
      <c r="E294" s="8">
        <f t="shared" si="16"/>
        <v>884.51824499999998</v>
      </c>
      <c r="F294" s="9" t="s">
        <v>104</v>
      </c>
      <c r="G294" s="88"/>
    </row>
    <row r="295" spans="1:11" ht="17.25" customHeight="1" x14ac:dyDescent="0.25">
      <c r="A295" s="83" t="s">
        <v>224</v>
      </c>
      <c r="B295" s="85"/>
      <c r="C295" s="85"/>
      <c r="D295" s="85"/>
      <c r="E295" s="85"/>
      <c r="F295" s="85"/>
      <c r="G295" s="86"/>
    </row>
    <row r="296" spans="1:11" ht="15" x14ac:dyDescent="0.25">
      <c r="A296" s="124" t="s">
        <v>225</v>
      </c>
      <c r="B296" s="125"/>
      <c r="C296" s="125"/>
      <c r="D296" s="125"/>
      <c r="E296" s="125"/>
      <c r="F296" s="125"/>
      <c r="G296" s="126"/>
    </row>
    <row r="297" spans="1:11" ht="17.25" customHeight="1" x14ac:dyDescent="0.25">
      <c r="A297" s="83" t="s">
        <v>216</v>
      </c>
      <c r="B297" s="85"/>
      <c r="C297" s="85"/>
      <c r="D297" s="85"/>
      <c r="E297" s="85"/>
      <c r="F297" s="85"/>
      <c r="G297" s="86"/>
    </row>
    <row r="298" spans="1:11" ht="15" customHeight="1" x14ac:dyDescent="0.25">
      <c r="A298" s="8">
        <v>1</v>
      </c>
      <c r="B298" s="9" t="s">
        <v>217</v>
      </c>
      <c r="C298" s="48">
        <f>(17.02)*10.764</f>
        <v>183.20327999999998</v>
      </c>
      <c r="D298" s="8">
        <v>0</v>
      </c>
      <c r="E298" s="8">
        <f>C298*1.5+D298</f>
        <v>274.80491999999998</v>
      </c>
      <c r="F298" s="9" t="s">
        <v>104</v>
      </c>
      <c r="G298" s="87" t="str">
        <f>A297</f>
        <v>Ground Floor for Commercial &amp; Parking</v>
      </c>
      <c r="J298">
        <f>2.74*4.6+2.4*2.65+3.6*2.7+0.9*1.23+1.2*1.5+1.05*0.9+1.2*1.05</f>
        <v>33.795999999999992</v>
      </c>
      <c r="K298">
        <v>11</v>
      </c>
    </row>
    <row r="299" spans="1:11" ht="15" x14ac:dyDescent="0.25">
      <c r="A299" s="8">
        <v>2</v>
      </c>
      <c r="B299" s="9" t="s">
        <v>217</v>
      </c>
      <c r="C299" s="48">
        <f>(15.81)*10.764</f>
        <v>170.17884000000001</v>
      </c>
      <c r="D299" s="8">
        <v>0</v>
      </c>
      <c r="E299" s="8">
        <f t="shared" ref="E299:E301" si="17">C299*1.5+D299</f>
        <v>255.26826</v>
      </c>
      <c r="F299" s="9" t="s">
        <v>104</v>
      </c>
      <c r="G299" s="88"/>
      <c r="K299" s="47">
        <v>10.763999999999999</v>
      </c>
    </row>
    <row r="300" spans="1:11" ht="15" x14ac:dyDescent="0.25">
      <c r="A300" s="8">
        <v>3</v>
      </c>
      <c r="B300" s="9" t="s">
        <v>217</v>
      </c>
      <c r="C300" s="48">
        <f>(9.53)*10.764</f>
        <v>102.58091999999999</v>
      </c>
      <c r="D300" s="8">
        <v>0</v>
      </c>
      <c r="E300" s="8">
        <f t="shared" si="17"/>
        <v>153.87137999999999</v>
      </c>
      <c r="F300" s="9" t="s">
        <v>104</v>
      </c>
      <c r="G300" s="88"/>
    </row>
    <row r="301" spans="1:11" ht="15" x14ac:dyDescent="0.25">
      <c r="A301" s="8">
        <v>4</v>
      </c>
      <c r="B301" s="9" t="s">
        <v>217</v>
      </c>
      <c r="C301" s="48">
        <f>(9.53)*10.764</f>
        <v>102.58091999999999</v>
      </c>
      <c r="D301" s="8">
        <v>0</v>
      </c>
      <c r="E301" s="8">
        <f t="shared" si="17"/>
        <v>153.87137999999999</v>
      </c>
      <c r="F301" s="9" t="s">
        <v>104</v>
      </c>
      <c r="G301" s="88"/>
      <c r="J301">
        <f>2.74*4.2+2.1*2.7+2.7*2.7+2.7*3.6+2.1*1.3+1.18*1.4+0.9*2.1+0.9*0.9+2.25*1.2</f>
        <v>43.970000000000013</v>
      </c>
    </row>
    <row r="302" spans="1:11" ht="15" x14ac:dyDescent="0.25">
      <c r="A302" s="8">
        <v>5</v>
      </c>
      <c r="B302" s="9" t="s">
        <v>217</v>
      </c>
      <c r="C302" s="48">
        <f>(15.81)*10.764</f>
        <v>170.17884000000001</v>
      </c>
      <c r="D302" s="8">
        <v>0</v>
      </c>
      <c r="E302" s="8">
        <f>C302*1.5+D302</f>
        <v>255.26826</v>
      </c>
      <c r="F302" s="9" t="s">
        <v>104</v>
      </c>
      <c r="G302" s="88"/>
    </row>
    <row r="303" spans="1:11" ht="15" x14ac:dyDescent="0.25">
      <c r="A303" s="8">
        <v>6</v>
      </c>
      <c r="B303" s="9" t="s">
        <v>217</v>
      </c>
      <c r="C303" s="48">
        <f>(17.02)*10.764</f>
        <v>183.20327999999998</v>
      </c>
      <c r="D303" s="8">
        <v>0</v>
      </c>
      <c r="E303" s="8">
        <f>C303*1.5+D303</f>
        <v>274.80491999999998</v>
      </c>
      <c r="F303" s="9" t="s">
        <v>104</v>
      </c>
      <c r="G303" s="97"/>
    </row>
    <row r="304" spans="1:11" ht="15" x14ac:dyDescent="0.25">
      <c r="A304" s="83" t="s">
        <v>218</v>
      </c>
      <c r="B304" s="85"/>
      <c r="C304" s="85"/>
      <c r="D304" s="85"/>
      <c r="E304" s="85"/>
      <c r="F304" s="85"/>
      <c r="G304" s="86"/>
    </row>
    <row r="305" spans="1:11" ht="15" x14ac:dyDescent="0.25">
      <c r="A305" s="8">
        <v>1</v>
      </c>
      <c r="B305" s="9" t="s">
        <v>209</v>
      </c>
      <c r="C305" s="48">
        <f>(38.66+3.3)*10.764</f>
        <v>451.65743999999989</v>
      </c>
      <c r="D305" s="48">
        <f>(14.52)*10.764</f>
        <v>156.29327999999998</v>
      </c>
      <c r="E305" s="8">
        <f>C305*1.5+D305/2</f>
        <v>755.63279999999986</v>
      </c>
      <c r="F305" s="9" t="s">
        <v>104</v>
      </c>
      <c r="G305" s="87" t="str">
        <f>A304</f>
        <v>1st Floor for Residential</v>
      </c>
    </row>
    <row r="306" spans="1:11" ht="15" x14ac:dyDescent="0.25">
      <c r="A306" s="8">
        <v>2</v>
      </c>
      <c r="B306" s="9" t="s">
        <v>209</v>
      </c>
      <c r="C306" s="48">
        <f>(38.66+3.3)*10.764</f>
        <v>451.65743999999989</v>
      </c>
      <c r="D306" s="48">
        <f>(14.52)*10.764</f>
        <v>156.29327999999998</v>
      </c>
      <c r="E306" s="8">
        <f>C306*1.5+D306/2</f>
        <v>755.63279999999986</v>
      </c>
      <c r="F306" s="9" t="s">
        <v>104</v>
      </c>
      <c r="G306" s="88"/>
      <c r="J306">
        <f>1.85*2.74</f>
        <v>5.0690000000000008</v>
      </c>
    </row>
    <row r="307" spans="1:11" ht="15" x14ac:dyDescent="0.25">
      <c r="A307" s="8">
        <v>3</v>
      </c>
      <c r="B307" s="9" t="s">
        <v>210</v>
      </c>
      <c r="C307" s="48">
        <f>(47.3+3.3+0.75*(2.75+2.15+2.75))*10.764</f>
        <v>606.41684999999984</v>
      </c>
      <c r="D307" s="48">
        <v>0</v>
      </c>
      <c r="E307" s="8">
        <f t="shared" ref="E307:E308" si="18">C307*1.5+D307</f>
        <v>909.62527499999976</v>
      </c>
      <c r="F307" s="9" t="s">
        <v>104</v>
      </c>
      <c r="G307" s="88"/>
      <c r="H307" s="29">
        <f>2827920/E307</f>
        <v>3108.884589865866</v>
      </c>
      <c r="K307" s="47">
        <v>10.763999999999999</v>
      </c>
    </row>
    <row r="308" spans="1:11" ht="15" x14ac:dyDescent="0.25">
      <c r="A308" s="8">
        <v>4</v>
      </c>
      <c r="B308" s="9" t="s">
        <v>210</v>
      </c>
      <c r="C308" s="48">
        <f>(52.1+3.3+0.75*(2.3+2.75+2.75))*10.764</f>
        <v>659.29499999999996</v>
      </c>
      <c r="D308" s="48">
        <v>0</v>
      </c>
      <c r="E308" s="8">
        <f t="shared" si="18"/>
        <v>988.94249999999988</v>
      </c>
      <c r="F308" s="9" t="s">
        <v>104</v>
      </c>
      <c r="G308" s="88"/>
    </row>
    <row r="309" spans="1:11" ht="15" x14ac:dyDescent="0.25">
      <c r="A309" s="8">
        <v>5</v>
      </c>
      <c r="B309" s="9" t="s">
        <v>226</v>
      </c>
      <c r="C309" s="48">
        <f>(24.02+3.3+0.75*2.3)*10.764</f>
        <v>312.64037999999999</v>
      </c>
      <c r="D309" s="48">
        <v>0</v>
      </c>
      <c r="E309" s="8">
        <f t="shared" ref="E309" si="19">C309*1.5+D309</f>
        <v>468.96056999999996</v>
      </c>
      <c r="F309" s="9" t="s">
        <v>104</v>
      </c>
      <c r="G309" s="97"/>
    </row>
    <row r="310" spans="1:11" ht="15" x14ac:dyDescent="0.25">
      <c r="A310" s="83" t="s">
        <v>227</v>
      </c>
      <c r="B310" s="85"/>
      <c r="C310" s="85"/>
      <c r="D310" s="85"/>
      <c r="E310" s="85"/>
      <c r="F310" s="85"/>
      <c r="G310" s="86"/>
    </row>
    <row r="311" spans="1:11" ht="15" x14ac:dyDescent="0.25">
      <c r="A311" s="8">
        <v>1</v>
      </c>
      <c r="B311" s="9" t="s">
        <v>209</v>
      </c>
      <c r="C311" s="48">
        <f>(38.66+3.3+0.75*(2.1+3.4))*10.764</f>
        <v>496.05893999999989</v>
      </c>
      <c r="D311" s="48">
        <v>0</v>
      </c>
      <c r="E311" s="8">
        <f>C311*1.5+D311</f>
        <v>744.08840999999984</v>
      </c>
      <c r="F311" s="9" t="s">
        <v>104</v>
      </c>
      <c r="G311" s="87" t="str">
        <f>A310</f>
        <v>2nd to 5th Floor</v>
      </c>
    </row>
    <row r="312" spans="1:11" ht="15" x14ac:dyDescent="0.25">
      <c r="A312" s="8">
        <v>2</v>
      </c>
      <c r="B312" s="9" t="s">
        <v>209</v>
      </c>
      <c r="C312" s="48">
        <f>(38.66+3.3+0.75*(2.1+3.4))*10.764</f>
        <v>496.05893999999989</v>
      </c>
      <c r="D312" s="48">
        <v>0</v>
      </c>
      <c r="E312" s="8">
        <f t="shared" ref="E312:E315" si="20">C312*1.5+D312</f>
        <v>744.08840999999984</v>
      </c>
      <c r="F312" s="9" t="s">
        <v>104</v>
      </c>
      <c r="G312" s="88"/>
      <c r="J312">
        <f>1.85*2.74</f>
        <v>5.0690000000000008</v>
      </c>
    </row>
    <row r="313" spans="1:11" ht="15" x14ac:dyDescent="0.25">
      <c r="A313" s="8">
        <v>3</v>
      </c>
      <c r="B313" s="9" t="s">
        <v>210</v>
      </c>
      <c r="C313" s="48">
        <f>(47.3+3.3+0.75*(2.75+2.15+2.75))*10.764</f>
        <v>606.41684999999984</v>
      </c>
      <c r="D313" s="48">
        <v>0</v>
      </c>
      <c r="E313" s="8">
        <f t="shared" si="20"/>
        <v>909.62527499999976</v>
      </c>
      <c r="F313" s="9" t="s">
        <v>104</v>
      </c>
      <c r="G313" s="88"/>
      <c r="H313" s="29">
        <f>2827920/E313</f>
        <v>3108.884589865866</v>
      </c>
      <c r="K313" s="47">
        <v>10.763999999999999</v>
      </c>
    </row>
    <row r="314" spans="1:11" ht="15" x14ac:dyDescent="0.25">
      <c r="A314" s="8">
        <v>4</v>
      </c>
      <c r="B314" s="9" t="s">
        <v>210</v>
      </c>
      <c r="C314" s="48">
        <f>(52.1+3.3+0.75*(2.3+2.75+2.75))*10.764</f>
        <v>659.29499999999996</v>
      </c>
      <c r="D314" s="48">
        <v>0</v>
      </c>
      <c r="E314" s="8">
        <f t="shared" si="20"/>
        <v>988.94249999999988</v>
      </c>
      <c r="F314" s="9" t="s">
        <v>104</v>
      </c>
      <c r="G314" s="88"/>
    </row>
    <row r="315" spans="1:11" ht="15" x14ac:dyDescent="0.25">
      <c r="A315" s="8">
        <v>5</v>
      </c>
      <c r="B315" s="9" t="s">
        <v>226</v>
      </c>
      <c r="C315" s="48">
        <f>(24.02+3.3+0.75*2.3)*10.764</f>
        <v>312.64037999999999</v>
      </c>
      <c r="D315" s="48">
        <v>0</v>
      </c>
      <c r="E315" s="8">
        <f t="shared" si="20"/>
        <v>468.96056999999996</v>
      </c>
      <c r="F315" s="9" t="s">
        <v>104</v>
      </c>
      <c r="G315" s="50"/>
    </row>
    <row r="316" spans="1:11" ht="17.25" customHeight="1" x14ac:dyDescent="0.25">
      <c r="A316" s="83" t="s">
        <v>228</v>
      </c>
      <c r="B316" s="85"/>
      <c r="C316" s="85"/>
      <c r="D316" s="85"/>
      <c r="E316" s="85"/>
      <c r="F316" s="85"/>
      <c r="G316" s="86"/>
    </row>
    <row r="317" spans="1:11" ht="15" x14ac:dyDescent="0.25">
      <c r="A317" s="124" t="s">
        <v>229</v>
      </c>
      <c r="B317" s="125"/>
      <c r="C317" s="125"/>
      <c r="D317" s="125"/>
      <c r="E317" s="125"/>
      <c r="F317" s="125"/>
      <c r="G317" s="126"/>
    </row>
    <row r="318" spans="1:11" ht="17.25" customHeight="1" x14ac:dyDescent="0.25">
      <c r="A318" s="83" t="s">
        <v>216</v>
      </c>
      <c r="B318" s="85"/>
      <c r="C318" s="85"/>
      <c r="D318" s="85"/>
      <c r="E318" s="85"/>
      <c r="F318" s="85"/>
      <c r="G318" s="86"/>
    </row>
    <row r="319" spans="1:11" ht="15" customHeight="1" x14ac:dyDescent="0.25">
      <c r="A319" s="8">
        <v>1</v>
      </c>
      <c r="B319" s="9" t="s">
        <v>217</v>
      </c>
      <c r="C319" s="48">
        <f>(14.96)*10.764</f>
        <v>161.02943999999999</v>
      </c>
      <c r="D319" s="8">
        <v>0</v>
      </c>
      <c r="E319" s="8">
        <f>C319*1.5+D319</f>
        <v>241.54415999999998</v>
      </c>
      <c r="F319" s="9" t="s">
        <v>104</v>
      </c>
      <c r="G319" s="87" t="str">
        <f>A318</f>
        <v>Ground Floor for Commercial &amp; Parking</v>
      </c>
      <c r="J319">
        <f>2.74*4.6+2.4*2.65+3.6*2.7+0.9*1.23+1.2*1.5+1.05*0.9+1.2*1.05</f>
        <v>33.795999999999992</v>
      </c>
      <c r="K319">
        <v>11</v>
      </c>
    </row>
    <row r="320" spans="1:11" ht="15" x14ac:dyDescent="0.25">
      <c r="A320" s="8">
        <v>2</v>
      </c>
      <c r="B320" s="9" t="s">
        <v>217</v>
      </c>
      <c r="C320" s="48">
        <f>(16.56)*10.764</f>
        <v>178.25183999999999</v>
      </c>
      <c r="D320" s="8">
        <v>0</v>
      </c>
      <c r="E320" s="8">
        <f t="shared" ref="E320:E322" si="21">C320*1.5+D320</f>
        <v>267.37775999999997</v>
      </c>
      <c r="F320" s="9" t="s">
        <v>104</v>
      </c>
      <c r="G320" s="88"/>
      <c r="K320" s="47">
        <v>10.763999999999999</v>
      </c>
    </row>
    <row r="321" spans="1:11" ht="15" x14ac:dyDescent="0.25">
      <c r="A321" s="8">
        <v>3</v>
      </c>
      <c r="B321" s="9" t="s">
        <v>217</v>
      </c>
      <c r="C321" s="48">
        <f>(17.11)*10.764</f>
        <v>184.17203999999998</v>
      </c>
      <c r="D321" s="8">
        <v>0</v>
      </c>
      <c r="E321" s="8">
        <f t="shared" si="21"/>
        <v>276.25806</v>
      </c>
      <c r="F321" s="9" t="s">
        <v>104</v>
      </c>
      <c r="G321" s="88"/>
    </row>
    <row r="322" spans="1:11" ht="15" x14ac:dyDescent="0.25">
      <c r="A322" s="8">
        <v>4</v>
      </c>
      <c r="B322" s="9" t="s">
        <v>217</v>
      </c>
      <c r="C322" s="48">
        <f>(18.74)*10.764</f>
        <v>201.71735999999999</v>
      </c>
      <c r="D322" s="8">
        <v>0</v>
      </c>
      <c r="E322" s="8">
        <f t="shared" si="21"/>
        <v>302.57603999999998</v>
      </c>
      <c r="F322" s="9" t="s">
        <v>104</v>
      </c>
      <c r="G322" s="88"/>
      <c r="J322">
        <f>2.74*4.2+2.1*2.7+2.7*2.7+2.7*3.6+2.1*1.3+1.18*1.4+0.9*2.1+0.9*0.9+2.25*1.2</f>
        <v>43.970000000000013</v>
      </c>
    </row>
    <row r="323" spans="1:11" ht="15" x14ac:dyDescent="0.25">
      <c r="A323" s="8">
        <v>5</v>
      </c>
      <c r="B323" s="9" t="s">
        <v>217</v>
      </c>
      <c r="C323" s="48">
        <f>(19.07)*10.764</f>
        <v>205.26947999999999</v>
      </c>
      <c r="D323" s="8">
        <v>0</v>
      </c>
      <c r="E323" s="8">
        <f>C323*1.5+D323</f>
        <v>307.90422000000001</v>
      </c>
      <c r="F323" s="9" t="s">
        <v>104</v>
      </c>
      <c r="G323" s="88"/>
    </row>
    <row r="324" spans="1:11" ht="15" x14ac:dyDescent="0.25">
      <c r="A324" s="8">
        <v>6</v>
      </c>
      <c r="B324" s="9" t="s">
        <v>217</v>
      </c>
      <c r="C324" s="48">
        <f>(17.87)*10.764</f>
        <v>192.35267999999999</v>
      </c>
      <c r="D324" s="8">
        <v>0</v>
      </c>
      <c r="E324" s="8">
        <f>C324*1.5+D324</f>
        <v>288.52902</v>
      </c>
      <c r="F324" s="9" t="s">
        <v>104</v>
      </c>
      <c r="G324" s="88"/>
    </row>
    <row r="325" spans="1:11" ht="15" x14ac:dyDescent="0.25">
      <c r="A325" s="8">
        <v>7</v>
      </c>
      <c r="B325" s="9" t="s">
        <v>217</v>
      </c>
      <c r="C325" s="48">
        <f>(17.87)*10.764</f>
        <v>192.35267999999999</v>
      </c>
      <c r="D325" s="8">
        <v>0</v>
      </c>
      <c r="E325" s="8">
        <f>C325*1.5+D325</f>
        <v>288.52902</v>
      </c>
      <c r="F325" s="9" t="s">
        <v>104</v>
      </c>
      <c r="G325" s="88"/>
    </row>
    <row r="326" spans="1:11" ht="15" x14ac:dyDescent="0.25">
      <c r="A326" s="8">
        <v>8</v>
      </c>
      <c r="B326" s="9" t="s">
        <v>217</v>
      </c>
      <c r="C326" s="48">
        <f>(18.74)*10.764</f>
        <v>201.71735999999999</v>
      </c>
      <c r="D326" s="8">
        <v>0</v>
      </c>
      <c r="E326" s="8">
        <f>C326*1.5+D326</f>
        <v>302.57603999999998</v>
      </c>
      <c r="F326" s="9" t="s">
        <v>104</v>
      </c>
      <c r="G326" s="88"/>
    </row>
    <row r="327" spans="1:11" ht="15" x14ac:dyDescent="0.25">
      <c r="A327" s="8">
        <v>9</v>
      </c>
      <c r="B327" s="9" t="s">
        <v>217</v>
      </c>
      <c r="C327" s="48">
        <f>(33)*10.764</f>
        <v>355.21199999999999</v>
      </c>
      <c r="D327" s="8">
        <v>0</v>
      </c>
      <c r="E327" s="8">
        <f>C327*1.5+D327</f>
        <v>532.81799999999998</v>
      </c>
      <c r="F327" s="9" t="s">
        <v>104</v>
      </c>
      <c r="G327" s="97"/>
    </row>
    <row r="328" spans="1:11" ht="15" x14ac:dyDescent="0.25">
      <c r="A328" s="83" t="s">
        <v>218</v>
      </c>
      <c r="B328" s="85"/>
      <c r="C328" s="85"/>
      <c r="D328" s="85"/>
      <c r="E328" s="85"/>
      <c r="F328" s="85"/>
      <c r="G328" s="86"/>
    </row>
    <row r="329" spans="1:11" ht="15" x14ac:dyDescent="0.25">
      <c r="A329" s="8">
        <v>1</v>
      </c>
      <c r="B329" s="9" t="s">
        <v>210</v>
      </c>
      <c r="C329" s="48">
        <f>(53.15+3.3+0.75*(2.3+2.75))*10.764</f>
        <v>648.39644999999996</v>
      </c>
      <c r="D329" s="48">
        <v>0</v>
      </c>
      <c r="E329" s="8">
        <f>C329*1.5+D329</f>
        <v>972.59467499999994</v>
      </c>
      <c r="F329" s="9" t="s">
        <v>104</v>
      </c>
      <c r="G329" s="87" t="str">
        <f>A328</f>
        <v>1st Floor for Residential</v>
      </c>
    </row>
    <row r="330" spans="1:11" ht="15" x14ac:dyDescent="0.25">
      <c r="A330" s="8">
        <v>2</v>
      </c>
      <c r="B330" s="9" t="s">
        <v>209</v>
      </c>
      <c r="C330" s="48">
        <f>(38.7)*10.764</f>
        <v>416.5668</v>
      </c>
      <c r="D330" s="48">
        <f>(6.07+12.57)*10.764</f>
        <v>200.64096000000001</v>
      </c>
      <c r="E330" s="8">
        <f>C330*1.5+D330/3</f>
        <v>691.73051999999996</v>
      </c>
      <c r="F330" s="9" t="s">
        <v>104</v>
      </c>
      <c r="G330" s="88"/>
      <c r="J330">
        <f>1.85*2.74</f>
        <v>5.0690000000000008</v>
      </c>
    </row>
    <row r="331" spans="1:11" ht="15" x14ac:dyDescent="0.25">
      <c r="A331" s="8">
        <v>3</v>
      </c>
      <c r="B331" s="9" t="s">
        <v>209</v>
      </c>
      <c r="C331" s="48">
        <f>(42.07)*10.764</f>
        <v>452.84147999999999</v>
      </c>
      <c r="D331" s="48">
        <f>(14.36)*10.764</f>
        <v>154.57103999999998</v>
      </c>
      <c r="E331" s="8">
        <f>C331*1.5+D331/2</f>
        <v>756.54773999999998</v>
      </c>
      <c r="F331" s="9" t="s">
        <v>104</v>
      </c>
      <c r="G331" s="88"/>
      <c r="H331" s="29">
        <f>2827920/E331</f>
        <v>3737.9267037398063</v>
      </c>
      <c r="K331" s="47">
        <v>10.763999999999999</v>
      </c>
    </row>
    <row r="332" spans="1:11" ht="15" x14ac:dyDescent="0.25">
      <c r="A332" s="8">
        <v>4</v>
      </c>
      <c r="B332" s="9" t="s">
        <v>210</v>
      </c>
      <c r="C332" s="48">
        <f>(47.37+3.3)*10.764</f>
        <v>545.41187999999988</v>
      </c>
      <c r="D332" s="48">
        <f>(3.03+19.74)*10.764</f>
        <v>245.09627999999998</v>
      </c>
      <c r="E332" s="8">
        <f>C332*1.5+D332/3</f>
        <v>899.81657999999982</v>
      </c>
      <c r="F332" s="9" t="s">
        <v>104</v>
      </c>
      <c r="G332" s="88"/>
    </row>
    <row r="333" spans="1:11" ht="15" x14ac:dyDescent="0.25">
      <c r="A333" s="8">
        <v>5</v>
      </c>
      <c r="B333" s="9" t="s">
        <v>210</v>
      </c>
      <c r="C333" s="48">
        <f>(53.15+3.3+0.75*(2.75+2.75+2.3))*10.764</f>
        <v>670.59719999999993</v>
      </c>
      <c r="D333" s="48">
        <v>0</v>
      </c>
      <c r="E333" s="8">
        <f>C333*1.5+D333</f>
        <v>1005.8957999999999</v>
      </c>
      <c r="F333" s="9" t="s">
        <v>104</v>
      </c>
      <c r="G333" s="88"/>
    </row>
    <row r="334" spans="1:11" ht="15" x14ac:dyDescent="0.25">
      <c r="A334" s="8">
        <v>6</v>
      </c>
      <c r="B334" s="9" t="s">
        <v>209</v>
      </c>
      <c r="C334" s="48">
        <f>(36.18+3.3+0.75*(2.5+2.75))*10.764</f>
        <v>467.34596999999997</v>
      </c>
      <c r="D334" s="48">
        <v>0</v>
      </c>
      <c r="E334" s="8">
        <f t="shared" ref="E334" si="22">C334*1.5+D334</f>
        <v>701.01895500000001</v>
      </c>
      <c r="F334" s="9" t="s">
        <v>104</v>
      </c>
      <c r="G334" s="97"/>
    </row>
    <row r="335" spans="1:11" ht="15" x14ac:dyDescent="0.25">
      <c r="A335" s="83" t="s">
        <v>230</v>
      </c>
      <c r="B335" s="85"/>
      <c r="C335" s="85"/>
      <c r="D335" s="85"/>
      <c r="E335" s="85"/>
      <c r="F335" s="85"/>
      <c r="G335" s="86"/>
    </row>
    <row r="336" spans="1:11" ht="15" customHeight="1" x14ac:dyDescent="0.25">
      <c r="A336" s="8">
        <v>1</v>
      </c>
      <c r="B336" s="9" t="s">
        <v>210</v>
      </c>
      <c r="C336" s="48">
        <f>(53.15+3.3+0.75*(2.3+2.75+2.75))*10.764</f>
        <v>670.59719999999993</v>
      </c>
      <c r="D336" s="48">
        <v>0</v>
      </c>
      <c r="E336" s="8">
        <f>C336*1.5+D336</f>
        <v>1005.8957999999999</v>
      </c>
      <c r="F336" s="9" t="s">
        <v>104</v>
      </c>
      <c r="G336" s="87" t="str">
        <f>A335</f>
        <v>2nd to 7th, 9th &amp; 10th Floor</v>
      </c>
    </row>
    <row r="337" spans="1:11" ht="15" x14ac:dyDescent="0.25">
      <c r="A337" s="8">
        <v>2</v>
      </c>
      <c r="B337" s="9" t="s">
        <v>209</v>
      </c>
      <c r="C337" s="48">
        <f>(38.7+3.3+0.75*(2.75+2.3))*10.764</f>
        <v>492.85665</v>
      </c>
      <c r="D337" s="48">
        <v>0</v>
      </c>
      <c r="E337" s="8">
        <f t="shared" ref="E337:E340" si="23">C337*1.5+D337</f>
        <v>739.28497500000003</v>
      </c>
      <c r="F337" s="9" t="s">
        <v>104</v>
      </c>
      <c r="G337" s="88"/>
      <c r="J337">
        <f>1.85*2.74</f>
        <v>5.0690000000000008</v>
      </c>
    </row>
    <row r="338" spans="1:11" ht="15" x14ac:dyDescent="0.25">
      <c r="A338" s="8">
        <v>3</v>
      </c>
      <c r="B338" s="9" t="s">
        <v>209</v>
      </c>
      <c r="C338" s="48">
        <f>(42.07+3.3+0.759*(2.75+3.5))*10.764</f>
        <v>539.42440499999998</v>
      </c>
      <c r="D338" s="48">
        <v>0</v>
      </c>
      <c r="E338" s="8">
        <f t="shared" si="23"/>
        <v>809.13660749999997</v>
      </c>
      <c r="F338" s="9" t="s">
        <v>104</v>
      </c>
      <c r="G338" s="88"/>
      <c r="H338" s="29">
        <f>2827920/E338</f>
        <v>3494.984621617185</v>
      </c>
      <c r="K338" s="47">
        <v>10.763999999999999</v>
      </c>
    </row>
    <row r="339" spans="1:11" ht="15" x14ac:dyDescent="0.25">
      <c r="A339" s="8">
        <v>4</v>
      </c>
      <c r="B339" s="9" t="s">
        <v>210</v>
      </c>
      <c r="C339" s="48">
        <f>(47.37+6.6+0.75*(2.3+2.75))*10.764</f>
        <v>621.70173</v>
      </c>
      <c r="D339" s="48">
        <v>0</v>
      </c>
      <c r="E339" s="8">
        <f t="shared" si="23"/>
        <v>932.552595</v>
      </c>
      <c r="F339" s="9" t="s">
        <v>104</v>
      </c>
      <c r="G339" s="88"/>
    </row>
    <row r="340" spans="1:11" ht="15" x14ac:dyDescent="0.25">
      <c r="A340" s="8">
        <v>5</v>
      </c>
      <c r="B340" s="9" t="s">
        <v>210</v>
      </c>
      <c r="C340" s="48">
        <f>(53.15+3.3+0.75*(2.75+2.75+2.3))*10.764</f>
        <v>670.59719999999993</v>
      </c>
      <c r="D340" s="48">
        <v>0</v>
      </c>
      <c r="E340" s="8">
        <f t="shared" si="23"/>
        <v>1005.8957999999999</v>
      </c>
      <c r="F340" s="9" t="s">
        <v>104</v>
      </c>
      <c r="G340" s="88"/>
    </row>
    <row r="341" spans="1:11" ht="15" x14ac:dyDescent="0.25">
      <c r="A341" s="8">
        <v>6</v>
      </c>
      <c r="B341" s="9" t="s">
        <v>209</v>
      </c>
      <c r="C341" s="48">
        <f>(36.18+3.3+0.75*(2.5+2.75))*10.764</f>
        <v>467.34596999999997</v>
      </c>
      <c r="D341" s="48">
        <v>0</v>
      </c>
      <c r="E341" s="8">
        <f t="shared" ref="E341" si="24">C341*1.5+D341</f>
        <v>701.01895500000001</v>
      </c>
      <c r="F341" s="9" t="s">
        <v>104</v>
      </c>
      <c r="G341" s="97"/>
    </row>
    <row r="342" spans="1:11" ht="15" x14ac:dyDescent="0.25">
      <c r="A342" s="83" t="s">
        <v>214</v>
      </c>
      <c r="B342" s="85"/>
      <c r="C342" s="85"/>
      <c r="D342" s="85"/>
      <c r="E342" s="85"/>
      <c r="F342" s="85"/>
      <c r="G342" s="86"/>
    </row>
    <row r="343" spans="1:11" ht="15" customHeight="1" x14ac:dyDescent="0.25">
      <c r="A343" s="8">
        <v>1</v>
      </c>
      <c r="B343" s="9" t="s">
        <v>210</v>
      </c>
      <c r="C343" s="48">
        <f>(53.15+3.3+0.75*(2.3+2.75+2.75))*10.764</f>
        <v>670.59719999999993</v>
      </c>
      <c r="D343" s="48">
        <v>0</v>
      </c>
      <c r="E343" s="8">
        <f>C343*1.5+D343</f>
        <v>1005.8957999999999</v>
      </c>
      <c r="F343" s="9" t="s">
        <v>104</v>
      </c>
      <c r="G343" s="87" t="str">
        <f>A342</f>
        <v>8th Floor (Part Refuge Area)</v>
      </c>
    </row>
    <row r="344" spans="1:11" ht="15" x14ac:dyDescent="0.25">
      <c r="A344" s="8">
        <v>2</v>
      </c>
      <c r="B344" s="9" t="s">
        <v>209</v>
      </c>
      <c r="C344" s="48">
        <f>(38.7+3.3+0.75*(2.75+2.3))*10.764</f>
        <v>492.85665</v>
      </c>
      <c r="D344" s="48">
        <v>0</v>
      </c>
      <c r="E344" s="8">
        <f t="shared" ref="E344:E347" si="25">C344*1.5+D344</f>
        <v>739.28497500000003</v>
      </c>
      <c r="F344" s="9" t="s">
        <v>104</v>
      </c>
      <c r="G344" s="88"/>
      <c r="J344">
        <f>1.85*2.74</f>
        <v>5.0690000000000008</v>
      </c>
    </row>
    <row r="345" spans="1:11" ht="15" x14ac:dyDescent="0.25">
      <c r="A345" s="8">
        <v>3</v>
      </c>
      <c r="B345" s="9" t="s">
        <v>209</v>
      </c>
      <c r="C345" s="48">
        <f>(42.07+3.3+0.75*(2.75+3.5))*10.764</f>
        <v>538.81892999999991</v>
      </c>
      <c r="D345" s="48">
        <v>0</v>
      </c>
      <c r="E345" s="8">
        <f t="shared" si="25"/>
        <v>808.22839499999986</v>
      </c>
      <c r="F345" s="9" t="s">
        <v>104</v>
      </c>
      <c r="G345" s="88"/>
      <c r="H345" s="29">
        <f>2827920/E345</f>
        <v>3498.9119628740591</v>
      </c>
      <c r="K345" s="47">
        <v>10.763999999999999</v>
      </c>
    </row>
    <row r="346" spans="1:11" ht="15" x14ac:dyDescent="0.25">
      <c r="A346" s="8">
        <v>4</v>
      </c>
      <c r="B346" s="9" t="s">
        <v>210</v>
      </c>
      <c r="C346" s="48">
        <f>(47.37+6.6+0.75*(2.3+2.75))*10.764</f>
        <v>621.70173</v>
      </c>
      <c r="D346" s="48">
        <v>0</v>
      </c>
      <c r="E346" s="8">
        <f t="shared" si="25"/>
        <v>932.552595</v>
      </c>
      <c r="F346" s="9" t="s">
        <v>104</v>
      </c>
      <c r="G346" s="88"/>
    </row>
    <row r="347" spans="1:11" ht="15" x14ac:dyDescent="0.25">
      <c r="A347" s="8">
        <v>5</v>
      </c>
      <c r="B347" s="9" t="s">
        <v>210</v>
      </c>
      <c r="C347" s="48">
        <f>(53.15+3.3+0.75*(2.3+2.75+2.75))*10.764</f>
        <v>670.59719999999993</v>
      </c>
      <c r="D347" s="48">
        <v>0</v>
      </c>
      <c r="E347" s="8">
        <f t="shared" si="25"/>
        <v>1005.8957999999999</v>
      </c>
      <c r="F347" s="9" t="s">
        <v>104</v>
      </c>
      <c r="G347" s="88"/>
    </row>
    <row r="348" spans="1:11" ht="15" x14ac:dyDescent="0.25">
      <c r="A348" s="113" t="s">
        <v>107</v>
      </c>
      <c r="B348" s="114"/>
      <c r="C348" s="114"/>
      <c r="D348" s="114"/>
      <c r="E348" s="114"/>
      <c r="F348" s="114"/>
      <c r="G348" s="115"/>
    </row>
    <row r="349" spans="1:11" ht="160.80000000000001" customHeight="1" x14ac:dyDescent="0.25">
      <c r="A349" s="113" t="s">
        <v>265</v>
      </c>
      <c r="B349" s="174"/>
      <c r="C349" s="174"/>
      <c r="D349" s="174"/>
      <c r="E349" s="174"/>
      <c r="F349" s="174"/>
      <c r="G349" s="175"/>
    </row>
    <row r="350" spans="1:11" ht="15" x14ac:dyDescent="0.25">
      <c r="A350" s="75" t="s">
        <v>108</v>
      </c>
      <c r="B350" s="76"/>
      <c r="C350" s="76"/>
      <c r="D350" s="76"/>
      <c r="E350" s="76"/>
      <c r="F350" s="76"/>
      <c r="G350" s="77"/>
    </row>
    <row r="351" spans="1:11" ht="15" x14ac:dyDescent="0.25">
      <c r="A351" s="75" t="s">
        <v>109</v>
      </c>
      <c r="B351" s="76"/>
      <c r="C351" s="76"/>
      <c r="D351" s="76"/>
      <c r="E351" s="76"/>
      <c r="F351" s="76"/>
      <c r="G351" s="77"/>
    </row>
    <row r="352" spans="1:11" ht="15" x14ac:dyDescent="0.25">
      <c r="A352" s="75" t="s">
        <v>110</v>
      </c>
      <c r="B352" s="76"/>
      <c r="C352" s="76"/>
      <c r="D352" s="76"/>
      <c r="E352" s="76"/>
      <c r="F352" s="76"/>
      <c r="G352" s="77"/>
    </row>
    <row r="353" spans="1:8" ht="15" x14ac:dyDescent="0.25">
      <c r="A353" s="75" t="s">
        <v>111</v>
      </c>
      <c r="B353" s="76"/>
      <c r="C353" s="76"/>
      <c r="D353" s="76"/>
      <c r="E353" s="76"/>
      <c r="F353" s="76"/>
      <c r="G353" s="77"/>
    </row>
    <row r="354" spans="1:8" ht="15" x14ac:dyDescent="0.25">
      <c r="A354" s="75" t="s">
        <v>112</v>
      </c>
      <c r="B354" s="76"/>
      <c r="C354" s="76"/>
      <c r="D354" s="76"/>
      <c r="E354" s="76"/>
      <c r="F354" s="76"/>
      <c r="G354" s="77"/>
    </row>
    <row r="355" spans="1:8" ht="19.5" customHeight="1" x14ac:dyDescent="0.25">
      <c r="A355" s="41" t="s">
        <v>201</v>
      </c>
      <c r="B355" s="171" t="s">
        <v>264</v>
      </c>
      <c r="C355" s="172"/>
      <c r="D355" s="171" t="s">
        <v>202</v>
      </c>
      <c r="E355" s="172"/>
      <c r="F355" s="171" t="s">
        <v>267</v>
      </c>
      <c r="G355" s="172"/>
    </row>
    <row r="356" spans="1:8" ht="63" customHeight="1" x14ac:dyDescent="0.25">
      <c r="A356" s="124" t="s">
        <v>114</v>
      </c>
      <c r="B356" s="173"/>
      <c r="C356" s="173"/>
      <c r="D356" s="173"/>
      <c r="E356" s="173"/>
      <c r="F356" s="173"/>
      <c r="G356" s="136"/>
    </row>
    <row r="357" spans="1:8" ht="18" customHeight="1" x14ac:dyDescent="0.25">
      <c r="A357" s="169" t="s">
        <v>113</v>
      </c>
      <c r="B357" s="170"/>
      <c r="C357" s="170"/>
      <c r="D357" s="170"/>
      <c r="E357" s="170"/>
      <c r="F357" s="170"/>
      <c r="G357" s="170"/>
    </row>
    <row r="358" spans="1:8" ht="19.5" customHeight="1" x14ac:dyDescent="0.25">
      <c r="H358" s="11"/>
    </row>
    <row r="407" spans="1:1" ht="13.8" x14ac:dyDescent="0.25">
      <c r="A407" s="12" t="s">
        <v>115</v>
      </c>
    </row>
  </sheetData>
  <mergeCells count="364">
    <mergeCell ref="A73:B73"/>
    <mergeCell ref="E73:F73"/>
    <mergeCell ref="A74:B74"/>
    <mergeCell ref="E74:F83"/>
    <mergeCell ref="G74:G83"/>
    <mergeCell ref="A75:B75"/>
    <mergeCell ref="A76:B76"/>
    <mergeCell ref="A77:B77"/>
    <mergeCell ref="A78:B78"/>
    <mergeCell ref="A79:B79"/>
    <mergeCell ref="A80:B80"/>
    <mergeCell ref="A81:B81"/>
    <mergeCell ref="A82:B82"/>
    <mergeCell ref="A83:B83"/>
    <mergeCell ref="G167:H167"/>
    <mergeCell ref="A154:H154"/>
    <mergeCell ref="A155:B155"/>
    <mergeCell ref="C155:D155"/>
    <mergeCell ref="E155:F155"/>
    <mergeCell ref="G155:H155"/>
    <mergeCell ref="A156:B156"/>
    <mergeCell ref="C156:D156"/>
    <mergeCell ref="E156:F156"/>
    <mergeCell ref="G156:H156"/>
    <mergeCell ref="A157:B157"/>
    <mergeCell ref="C157:D157"/>
    <mergeCell ref="E157:F157"/>
    <mergeCell ref="A160:H160"/>
    <mergeCell ref="A161:B161"/>
    <mergeCell ref="C161:D161"/>
    <mergeCell ref="E161:F161"/>
    <mergeCell ref="G161:H161"/>
    <mergeCell ref="C162:D162"/>
    <mergeCell ref="E162:F162"/>
    <mergeCell ref="G162:H162"/>
    <mergeCell ref="G157:H157"/>
    <mergeCell ref="A158:B158"/>
    <mergeCell ref="C158:D158"/>
    <mergeCell ref="A141:B141"/>
    <mergeCell ref="A142:B142"/>
    <mergeCell ref="A168:B168"/>
    <mergeCell ref="C168:D168"/>
    <mergeCell ref="E168:F168"/>
    <mergeCell ref="G168:H168"/>
    <mergeCell ref="G182:G189"/>
    <mergeCell ref="A190:G190"/>
    <mergeCell ref="A342:G342"/>
    <mergeCell ref="G266:G272"/>
    <mergeCell ref="G274:G280"/>
    <mergeCell ref="A290:G290"/>
    <mergeCell ref="G291:G294"/>
    <mergeCell ref="A297:G297"/>
    <mergeCell ref="A283:G283"/>
    <mergeCell ref="G285:G289"/>
    <mergeCell ref="A295:G295"/>
    <mergeCell ref="A296:G296"/>
    <mergeCell ref="G305:G309"/>
    <mergeCell ref="G298:G303"/>
    <mergeCell ref="A304:G304"/>
    <mergeCell ref="A310:G310"/>
    <mergeCell ref="G311:G314"/>
    <mergeCell ref="A316:G316"/>
    <mergeCell ref="A129:B129"/>
    <mergeCell ref="A130:B130"/>
    <mergeCell ref="G191:G198"/>
    <mergeCell ref="A242:G242"/>
    <mergeCell ref="A243:G243"/>
    <mergeCell ref="A170:G170"/>
    <mergeCell ref="A167:B167"/>
    <mergeCell ref="C167:D167"/>
    <mergeCell ref="E167:F167"/>
    <mergeCell ref="C130:G130"/>
    <mergeCell ref="E131:F131"/>
    <mergeCell ref="A132:B132"/>
    <mergeCell ref="C132:G132"/>
    <mergeCell ref="A133:B133"/>
    <mergeCell ref="E133:F133"/>
    <mergeCell ref="A134:B134"/>
    <mergeCell ref="E134:F143"/>
    <mergeCell ref="G134:G143"/>
    <mergeCell ref="A135:B135"/>
    <mergeCell ref="A136:B136"/>
    <mergeCell ref="A137:B137"/>
    <mergeCell ref="A138:B138"/>
    <mergeCell ref="A139:B139"/>
    <mergeCell ref="A140:B140"/>
    <mergeCell ref="A110:B110"/>
    <mergeCell ref="A111:B111"/>
    <mergeCell ref="A112:B112"/>
    <mergeCell ref="A113:B113"/>
    <mergeCell ref="A114:B114"/>
    <mergeCell ref="A115:B115"/>
    <mergeCell ref="A143:B143"/>
    <mergeCell ref="A116:B116"/>
    <mergeCell ref="C116:G116"/>
    <mergeCell ref="E117:F117"/>
    <mergeCell ref="A118:B118"/>
    <mergeCell ref="C118:G118"/>
    <mergeCell ref="A119:B119"/>
    <mergeCell ref="E119:F119"/>
    <mergeCell ref="A120:B120"/>
    <mergeCell ref="E120:F129"/>
    <mergeCell ref="G120:G129"/>
    <mergeCell ref="A121:B121"/>
    <mergeCell ref="A122:B122"/>
    <mergeCell ref="A123:B123"/>
    <mergeCell ref="A124:B124"/>
    <mergeCell ref="A126:B126"/>
    <mergeCell ref="A127:B127"/>
    <mergeCell ref="A128:B128"/>
    <mergeCell ref="G210:G215"/>
    <mergeCell ref="A62:B62"/>
    <mergeCell ref="A63:B63"/>
    <mergeCell ref="A64:B64"/>
    <mergeCell ref="A65:B65"/>
    <mergeCell ref="A66:B66"/>
    <mergeCell ref="A67:B67"/>
    <mergeCell ref="A68:B68"/>
    <mergeCell ref="A69:B69"/>
    <mergeCell ref="A102:B102"/>
    <mergeCell ref="A86:B86"/>
    <mergeCell ref="A70:B70"/>
    <mergeCell ref="C102:G102"/>
    <mergeCell ref="E103:F103"/>
    <mergeCell ref="A104:B104"/>
    <mergeCell ref="C104:G104"/>
    <mergeCell ref="A105:B105"/>
    <mergeCell ref="E105:F105"/>
    <mergeCell ref="A106:B106"/>
    <mergeCell ref="E106:F115"/>
    <mergeCell ref="G106:G115"/>
    <mergeCell ref="A107:B107"/>
    <mergeCell ref="A108:B108"/>
    <mergeCell ref="A109:B109"/>
    <mergeCell ref="A348:G348"/>
    <mergeCell ref="A349:G349"/>
    <mergeCell ref="A281:G281"/>
    <mergeCell ref="A282:G282"/>
    <mergeCell ref="A284:G284"/>
    <mergeCell ref="A273:G273"/>
    <mergeCell ref="G343:G347"/>
    <mergeCell ref="A328:G328"/>
    <mergeCell ref="A335:G335"/>
    <mergeCell ref="G336:G341"/>
    <mergeCell ref="G329:G334"/>
    <mergeCell ref="G319:G327"/>
    <mergeCell ref="A317:G317"/>
    <mergeCell ref="A318:G318"/>
    <mergeCell ref="A357:G357"/>
    <mergeCell ref="A350:G350"/>
    <mergeCell ref="A351:G351"/>
    <mergeCell ref="A352:G352"/>
    <mergeCell ref="A353:G353"/>
    <mergeCell ref="A354:G354"/>
    <mergeCell ref="B355:C355"/>
    <mergeCell ref="D355:E355"/>
    <mergeCell ref="F355:G355"/>
    <mergeCell ref="A356:G356"/>
    <mergeCell ref="A216:G216"/>
    <mergeCell ref="G217:G224"/>
    <mergeCell ref="A152:D152"/>
    <mergeCell ref="E152:G152"/>
    <mergeCell ref="A153:D153"/>
    <mergeCell ref="E153:G153"/>
    <mergeCell ref="A169:G169"/>
    <mergeCell ref="A165:B165"/>
    <mergeCell ref="C165:D165"/>
    <mergeCell ref="E165:F165"/>
    <mergeCell ref="G165:H165"/>
    <mergeCell ref="A166:B166"/>
    <mergeCell ref="C166:D166"/>
    <mergeCell ref="E166:F166"/>
    <mergeCell ref="G166:H166"/>
    <mergeCell ref="A172:G172"/>
    <mergeCell ref="A174:G174"/>
    <mergeCell ref="G175:G180"/>
    <mergeCell ref="A181:G181"/>
    <mergeCell ref="A199:G199"/>
    <mergeCell ref="G200:G206"/>
    <mergeCell ref="A173:G173"/>
    <mergeCell ref="A207:G207"/>
    <mergeCell ref="A208:G208"/>
    <mergeCell ref="C86:G86"/>
    <mergeCell ref="E87:F87"/>
    <mergeCell ref="A88:B88"/>
    <mergeCell ref="C88:G88"/>
    <mergeCell ref="A89:B89"/>
    <mergeCell ref="E89:F89"/>
    <mergeCell ref="A90:B90"/>
    <mergeCell ref="E90:F99"/>
    <mergeCell ref="G90:G99"/>
    <mergeCell ref="A91:B91"/>
    <mergeCell ref="A92:B92"/>
    <mergeCell ref="A93:B93"/>
    <mergeCell ref="A94:B94"/>
    <mergeCell ref="A95:B95"/>
    <mergeCell ref="A96:B96"/>
    <mergeCell ref="A97:B97"/>
    <mergeCell ref="A98:B98"/>
    <mergeCell ref="A99:B99"/>
    <mergeCell ref="C70:G70"/>
    <mergeCell ref="E71:F71"/>
    <mergeCell ref="A72:B72"/>
    <mergeCell ref="A54:B54"/>
    <mergeCell ref="C54:G54"/>
    <mergeCell ref="A55:G55"/>
    <mergeCell ref="A50:G50"/>
    <mergeCell ref="A51:B51"/>
    <mergeCell ref="D51:E51"/>
    <mergeCell ref="F51:G51"/>
    <mergeCell ref="B53:G53"/>
    <mergeCell ref="B52:G52"/>
    <mergeCell ref="E59:F59"/>
    <mergeCell ref="E60:F69"/>
    <mergeCell ref="C56:G56"/>
    <mergeCell ref="C58:G58"/>
    <mergeCell ref="G60:G69"/>
    <mergeCell ref="A56:B56"/>
    <mergeCell ref="E57:F57"/>
    <mergeCell ref="A58:B58"/>
    <mergeCell ref="A59:B59"/>
    <mergeCell ref="A60:B60"/>
    <mergeCell ref="A61:B61"/>
    <mergeCell ref="C72:G72"/>
    <mergeCell ref="B46:D46"/>
    <mergeCell ref="B48:D48"/>
    <mergeCell ref="F48:G48"/>
    <mergeCell ref="A49:B49"/>
    <mergeCell ref="D49:E49"/>
    <mergeCell ref="F49:G49"/>
    <mergeCell ref="A43:G43"/>
    <mergeCell ref="B44:D44"/>
    <mergeCell ref="F44:G44"/>
    <mergeCell ref="B45:D45"/>
    <mergeCell ref="F45:G45"/>
    <mergeCell ref="F46:G46"/>
    <mergeCell ref="B47:G47"/>
    <mergeCell ref="A46:A47"/>
    <mergeCell ref="A40:C40"/>
    <mergeCell ref="D40:G40"/>
    <mergeCell ref="A41:C41"/>
    <mergeCell ref="D41:G41"/>
    <mergeCell ref="A42:C42"/>
    <mergeCell ref="D42:G42"/>
    <mergeCell ref="A37:C37"/>
    <mergeCell ref="D37:G37"/>
    <mergeCell ref="A38:C38"/>
    <mergeCell ref="D38:G38"/>
    <mergeCell ref="A39:C39"/>
    <mergeCell ref="D39:G39"/>
    <mergeCell ref="A34:C34"/>
    <mergeCell ref="D34:G34"/>
    <mergeCell ref="A35:C35"/>
    <mergeCell ref="D35:G35"/>
    <mergeCell ref="A36:G36"/>
    <mergeCell ref="A29:G29"/>
    <mergeCell ref="A30:G30"/>
    <mergeCell ref="A33:G33"/>
    <mergeCell ref="A31:B31"/>
    <mergeCell ref="C31:G31"/>
    <mergeCell ref="A32:B32"/>
    <mergeCell ref="C32:G32"/>
    <mergeCell ref="D19:E19"/>
    <mergeCell ref="F19:G19"/>
    <mergeCell ref="C26:D26"/>
    <mergeCell ref="E26:F26"/>
    <mergeCell ref="C27:D27"/>
    <mergeCell ref="E27:F27"/>
    <mergeCell ref="C28:D28"/>
    <mergeCell ref="E28:F28"/>
    <mergeCell ref="A23:C23"/>
    <mergeCell ref="D23:G23"/>
    <mergeCell ref="A24:C24"/>
    <mergeCell ref="D24:G24"/>
    <mergeCell ref="A25:C25"/>
    <mergeCell ref="D25:G25"/>
    <mergeCell ref="A1:G1"/>
    <mergeCell ref="A2:G2"/>
    <mergeCell ref="A3:C3"/>
    <mergeCell ref="D3:G3"/>
    <mergeCell ref="A4:C4"/>
    <mergeCell ref="D4:G4"/>
    <mergeCell ref="A8:C8"/>
    <mergeCell ref="D8:G8"/>
    <mergeCell ref="A9:C9"/>
    <mergeCell ref="D9:G9"/>
    <mergeCell ref="A5:C5"/>
    <mergeCell ref="D5:G5"/>
    <mergeCell ref="A6:C6"/>
    <mergeCell ref="D6:G6"/>
    <mergeCell ref="A7:C7"/>
    <mergeCell ref="D7:G7"/>
    <mergeCell ref="A10:C10"/>
    <mergeCell ref="D10:G10"/>
    <mergeCell ref="A12:C12"/>
    <mergeCell ref="D12:G12"/>
    <mergeCell ref="A13:C13"/>
    <mergeCell ref="D13:G13"/>
    <mergeCell ref="B14:G14"/>
    <mergeCell ref="G226:G233"/>
    <mergeCell ref="C84:D85"/>
    <mergeCell ref="E84:F85"/>
    <mergeCell ref="G84:H85"/>
    <mergeCell ref="A100:B101"/>
    <mergeCell ref="C100:D101"/>
    <mergeCell ref="E100:F101"/>
    <mergeCell ref="G100:H101"/>
    <mergeCell ref="A225:G225"/>
    <mergeCell ref="A145:G145"/>
    <mergeCell ref="B146:G146"/>
    <mergeCell ref="A147:G147"/>
    <mergeCell ref="A148:D148"/>
    <mergeCell ref="E148:G148"/>
    <mergeCell ref="A144:G144"/>
    <mergeCell ref="A125:B125"/>
    <mergeCell ref="F18:G18"/>
    <mergeCell ref="A244:G244"/>
    <mergeCell ref="A257:G257"/>
    <mergeCell ref="G258:G264"/>
    <mergeCell ref="A265:G265"/>
    <mergeCell ref="G245:G256"/>
    <mergeCell ref="A11:C11"/>
    <mergeCell ref="D11:G11"/>
    <mergeCell ref="D17:E17"/>
    <mergeCell ref="F17:G17"/>
    <mergeCell ref="A20:C20"/>
    <mergeCell ref="D20:G20"/>
    <mergeCell ref="B16:C16"/>
    <mergeCell ref="D16:E16"/>
    <mergeCell ref="F16:G16"/>
    <mergeCell ref="B17:C17"/>
    <mergeCell ref="A21:C21"/>
    <mergeCell ref="D21:G21"/>
    <mergeCell ref="A22:C22"/>
    <mergeCell ref="D22:G22"/>
    <mergeCell ref="B18:C18"/>
    <mergeCell ref="D18:E18"/>
    <mergeCell ref="A84:B85"/>
    <mergeCell ref="B15:G15"/>
    <mergeCell ref="B19:C19"/>
    <mergeCell ref="A149:D149"/>
    <mergeCell ref="E149:G149"/>
    <mergeCell ref="A150:D150"/>
    <mergeCell ref="E150:G150"/>
    <mergeCell ref="A151:D151"/>
    <mergeCell ref="E151:G151"/>
    <mergeCell ref="A163:B163"/>
    <mergeCell ref="A234:G234"/>
    <mergeCell ref="G235:G241"/>
    <mergeCell ref="A164:B164"/>
    <mergeCell ref="C164:D164"/>
    <mergeCell ref="E164:F164"/>
    <mergeCell ref="G164:H164"/>
    <mergeCell ref="A162:B162"/>
    <mergeCell ref="E158:F158"/>
    <mergeCell ref="G158:H158"/>
    <mergeCell ref="A159:B159"/>
    <mergeCell ref="C159:D159"/>
    <mergeCell ref="E159:F159"/>
    <mergeCell ref="G159:H159"/>
    <mergeCell ref="C163:D163"/>
    <mergeCell ref="E163:F163"/>
    <mergeCell ref="G163:H163"/>
    <mergeCell ref="A209:G209"/>
  </mergeCells>
  <phoneticPr fontId="20" type="noConversion"/>
  <hyperlinks>
    <hyperlink ref="A1" r:id="rId1" display="mailto:axisbank@vsjadon.com" xr:uid="{00000000-0004-0000-0000-000000000000}"/>
    <hyperlink ref="C32" r:id="rId2" xr:uid="{00000000-0004-0000-0000-000001000000}"/>
  </hyperlinks>
  <printOptions horizontalCentered="1"/>
  <pageMargins left="0.39370078740157483" right="0.39370078740157483" top="0.78740157480314965" bottom="0.78740157480314965" header="0.19685039370078741" footer="0.19685039370078741"/>
  <pageSetup scale="98" fitToHeight="0" orientation="portrait" horizontalDpi="4294967292" verticalDpi="1200" r:id="rId3"/>
  <headerFooter>
    <oddHeader>&amp;C&amp;G</oddHeader>
    <oddFooter>&amp;L&amp;"Times New Roman,Bold"&amp;12Ref No. &amp;F&amp;C&amp;G&amp;R&amp;"Times New Roman,Bold"&amp;12&amp;P</oddFooter>
  </headerFooter>
  <rowBreaks count="5" manualBreakCount="5">
    <brk id="55" max="6" man="1"/>
    <brk id="129" max="16383" man="1"/>
    <brk id="347" max="6" man="1"/>
    <brk id="356" max="16383" man="1"/>
    <brk id="406"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10" workbookViewId="0">
      <selection activeCell="O25" sqref="O25"/>
    </sheetView>
  </sheetViews>
  <sheetFormatPr defaultRowHeight="13.2" x14ac:dyDescent="0.25"/>
  <cols>
    <col min="1" max="1" width="13.6640625" customWidth="1"/>
  </cols>
  <sheetData>
    <row r="1" spans="1:3" x14ac:dyDescent="0.25">
      <c r="A1" t="s">
        <v>168</v>
      </c>
      <c r="B1" t="s">
        <v>169</v>
      </c>
      <c r="C1" t="s">
        <v>170</v>
      </c>
    </row>
    <row r="25" spans="1:2" x14ac:dyDescent="0.25">
      <c r="A25" t="s">
        <v>171</v>
      </c>
      <c r="B25" t="s">
        <v>172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topLeftCell="A4" workbookViewId="0">
      <selection activeCell="C8" sqref="C8"/>
    </sheetView>
  </sheetViews>
  <sheetFormatPr defaultRowHeight="13.2" x14ac:dyDescent="0.25"/>
  <cols>
    <col min="1" max="1" width="25" customWidth="1"/>
    <col min="2" max="2" width="19.109375" customWidth="1"/>
  </cols>
  <sheetData>
    <row r="2" spans="1:13" ht="14.4" x14ac:dyDescent="0.3">
      <c r="A2" s="15" t="s">
        <v>117</v>
      </c>
      <c r="B2" s="15" t="s">
        <v>118</v>
      </c>
      <c r="C2" s="15" t="s">
        <v>119</v>
      </c>
      <c r="D2" s="180" t="s">
        <v>120</v>
      </c>
      <c r="E2" s="180"/>
      <c r="F2" s="13"/>
      <c r="G2" s="13"/>
      <c r="H2" s="13"/>
      <c r="I2" s="13"/>
      <c r="J2" s="13"/>
      <c r="K2" s="13"/>
      <c r="L2" s="13"/>
      <c r="M2" s="13"/>
    </row>
    <row r="3" spans="1:13" ht="14.4" x14ac:dyDescent="0.3">
      <c r="A3" s="18">
        <v>0</v>
      </c>
      <c r="B3" s="18">
        <v>0</v>
      </c>
      <c r="C3" s="18">
        <v>1</v>
      </c>
      <c r="D3" s="182">
        <v>7</v>
      </c>
      <c r="E3" s="182"/>
      <c r="F3" s="13"/>
      <c r="G3" s="13"/>
      <c r="H3" s="13"/>
      <c r="I3" s="13"/>
      <c r="J3" s="13"/>
      <c r="K3" s="13"/>
      <c r="L3" s="13"/>
      <c r="M3" s="13"/>
    </row>
    <row r="5" spans="1:13" ht="14.4" x14ac:dyDescent="0.3">
      <c r="A5" s="14" t="s">
        <v>121</v>
      </c>
      <c r="B5" s="16" t="s">
        <v>122</v>
      </c>
      <c r="C5" s="16">
        <v>7</v>
      </c>
      <c r="D5" s="17"/>
      <c r="E5" s="13"/>
      <c r="F5" s="13"/>
      <c r="G5" s="13"/>
      <c r="H5" s="13"/>
      <c r="I5" s="13"/>
      <c r="J5" s="13"/>
      <c r="K5" s="13"/>
      <c r="L5" s="13"/>
      <c r="M5" s="13"/>
    </row>
    <row r="6" spans="1:13" ht="14.4" x14ac:dyDescent="0.3">
      <c r="A6" s="14" t="s">
        <v>123</v>
      </c>
      <c r="B6" s="19">
        <v>10</v>
      </c>
      <c r="C6" s="20">
        <v>10</v>
      </c>
      <c r="D6" s="28">
        <f>((100/B6)*C6)/100</f>
        <v>1</v>
      </c>
      <c r="E6" s="14"/>
      <c r="F6" s="13"/>
      <c r="G6" s="13"/>
      <c r="H6" s="13"/>
      <c r="I6" s="13"/>
      <c r="J6" s="14"/>
      <c r="K6" s="13"/>
      <c r="L6" s="13"/>
      <c r="M6" s="13"/>
    </row>
    <row r="7" spans="1:13" ht="14.4" x14ac:dyDescent="0.3">
      <c r="A7" s="14" t="s">
        <v>124</v>
      </c>
      <c r="B7" s="19">
        <f>D3+1</f>
        <v>8</v>
      </c>
      <c r="C7" s="20">
        <v>1</v>
      </c>
      <c r="D7" s="28">
        <f t="shared" ref="D7:D12" si="0">((100/B7)*C7)/100</f>
        <v>0.125</v>
      </c>
      <c r="E7" s="13"/>
      <c r="F7" s="183" t="s">
        <v>125</v>
      </c>
      <c r="G7" s="183"/>
      <c r="H7" s="21" t="s">
        <v>126</v>
      </c>
      <c r="I7" s="13"/>
      <c r="J7" s="27"/>
      <c r="K7" s="13"/>
      <c r="L7" s="13"/>
      <c r="M7" s="13"/>
    </row>
    <row r="8" spans="1:13" ht="14.4" x14ac:dyDescent="0.3">
      <c r="A8" s="14" t="s">
        <v>127</v>
      </c>
      <c r="B8" s="19">
        <f>D3</f>
        <v>7</v>
      </c>
      <c r="C8" s="20">
        <v>0</v>
      </c>
      <c r="D8" s="28">
        <f t="shared" si="0"/>
        <v>0</v>
      </c>
      <c r="E8" s="14"/>
      <c r="F8" s="181" t="s">
        <v>128</v>
      </c>
      <c r="G8" s="181"/>
      <c r="H8" s="19" t="s">
        <v>129</v>
      </c>
      <c r="I8" s="13"/>
      <c r="J8" s="14"/>
      <c r="K8" s="13"/>
      <c r="L8" s="13"/>
      <c r="M8" s="13"/>
    </row>
    <row r="9" spans="1:13" ht="14.4" x14ac:dyDescent="0.3">
      <c r="A9" s="14" t="s">
        <v>130</v>
      </c>
      <c r="B9" s="19">
        <f>D3</f>
        <v>7</v>
      </c>
      <c r="C9" s="20">
        <v>0</v>
      </c>
      <c r="D9" s="28">
        <f t="shared" si="0"/>
        <v>0</v>
      </c>
      <c r="E9" s="14"/>
      <c r="F9" s="181" t="s">
        <v>131</v>
      </c>
      <c r="G9" s="181"/>
      <c r="H9" s="19" t="s">
        <v>132</v>
      </c>
      <c r="I9" s="13"/>
      <c r="J9" s="14"/>
      <c r="K9" s="13"/>
      <c r="L9" s="13"/>
      <c r="M9" s="13"/>
    </row>
    <row r="10" spans="1:13" ht="14.4" x14ac:dyDescent="0.3">
      <c r="A10" s="14" t="s">
        <v>133</v>
      </c>
      <c r="B10" s="19">
        <f>D3</f>
        <v>7</v>
      </c>
      <c r="C10" s="20">
        <v>0</v>
      </c>
      <c r="D10" s="28">
        <f t="shared" si="0"/>
        <v>0</v>
      </c>
      <c r="E10" s="14"/>
      <c r="F10" s="181" t="s">
        <v>134</v>
      </c>
      <c r="G10" s="181"/>
      <c r="H10" s="19" t="s">
        <v>135</v>
      </c>
      <c r="I10" s="13"/>
      <c r="J10" s="14"/>
      <c r="K10" s="13"/>
      <c r="L10" s="13"/>
      <c r="M10" s="13"/>
    </row>
    <row r="11" spans="1:13" ht="14.4" x14ac:dyDescent="0.3">
      <c r="A11" s="22" t="s">
        <v>136</v>
      </c>
      <c r="B11" s="19">
        <f>D3</f>
        <v>7</v>
      </c>
      <c r="C11" s="20">
        <v>0</v>
      </c>
      <c r="D11" s="28">
        <f t="shared" si="0"/>
        <v>0</v>
      </c>
      <c r="E11" s="14"/>
      <c r="F11" s="181" t="s">
        <v>137</v>
      </c>
      <c r="G11" s="181"/>
      <c r="H11" s="19" t="s">
        <v>138</v>
      </c>
      <c r="I11" s="13"/>
      <c r="J11" s="13"/>
      <c r="K11" s="13"/>
      <c r="L11" s="13"/>
      <c r="M11" s="13"/>
    </row>
    <row r="12" spans="1:13" ht="14.4" x14ac:dyDescent="0.3">
      <c r="A12" s="14" t="s">
        <v>139</v>
      </c>
      <c r="B12" s="19">
        <f>D3</f>
        <v>7</v>
      </c>
      <c r="C12" s="20">
        <v>0</v>
      </c>
      <c r="D12" s="28">
        <f t="shared" si="0"/>
        <v>0</v>
      </c>
      <c r="E12" s="14"/>
      <c r="F12" s="181" t="s">
        <v>140</v>
      </c>
      <c r="G12" s="181"/>
      <c r="H12" s="19" t="s">
        <v>141</v>
      </c>
      <c r="I12" s="13"/>
      <c r="J12" s="13"/>
      <c r="K12" s="13"/>
      <c r="L12" s="13"/>
      <c r="M12" s="13"/>
    </row>
    <row r="13" spans="1:13" ht="14.4" hidden="1" x14ac:dyDescent="0.3">
      <c r="A13" s="13"/>
      <c r="B13" s="13"/>
      <c r="C13" s="13"/>
      <c r="D13" s="13"/>
      <c r="E13" s="13"/>
      <c r="F13" s="181" t="s">
        <v>142</v>
      </c>
      <c r="G13" s="181"/>
      <c r="H13" s="19" t="s">
        <v>143</v>
      </c>
      <c r="I13" s="13"/>
      <c r="J13" s="13"/>
      <c r="K13" s="13"/>
      <c r="L13" s="13"/>
      <c r="M13" s="13"/>
    </row>
    <row r="14" spans="1:13" ht="14.4" hidden="1" x14ac:dyDescent="0.3">
      <c r="A14" s="15"/>
      <c r="B14" s="15" t="s">
        <v>144</v>
      </c>
      <c r="C14" s="15" t="s">
        <v>145</v>
      </c>
      <c r="D14" s="13"/>
      <c r="E14" s="13"/>
      <c r="F14" s="13"/>
      <c r="G14" s="15" t="s">
        <v>123</v>
      </c>
      <c r="H14" s="15" t="s">
        <v>146</v>
      </c>
      <c r="I14" s="15" t="s">
        <v>147</v>
      </c>
      <c r="J14" s="15" t="s">
        <v>148</v>
      </c>
      <c r="K14" s="15" t="s">
        <v>133</v>
      </c>
      <c r="L14" s="15" t="s">
        <v>136</v>
      </c>
      <c r="M14" s="15" t="s">
        <v>139</v>
      </c>
    </row>
    <row r="15" spans="1:13" ht="14.4" hidden="1" x14ac:dyDescent="0.3">
      <c r="A15" s="15" t="s">
        <v>149</v>
      </c>
      <c r="B15" s="15">
        <f>G15</f>
        <v>10</v>
      </c>
      <c r="C15" s="15">
        <f>G16</f>
        <v>30</v>
      </c>
      <c r="D15" s="13"/>
      <c r="E15" s="180" t="s">
        <v>144</v>
      </c>
      <c r="F15" s="180"/>
      <c r="G15" s="23">
        <f>C6</f>
        <v>10</v>
      </c>
      <c r="H15" s="23">
        <f>40/B7*C7</f>
        <v>5</v>
      </c>
      <c r="I15" s="23">
        <f>15/B8*C8</f>
        <v>0</v>
      </c>
      <c r="J15" s="23">
        <f>10/B9*C9</f>
        <v>0</v>
      </c>
      <c r="K15" s="23">
        <f>10/B10*C10</f>
        <v>0</v>
      </c>
      <c r="L15" s="23">
        <f>5/B11*C11</f>
        <v>0</v>
      </c>
      <c r="M15" s="23">
        <f>5/B12*C12</f>
        <v>0</v>
      </c>
    </row>
    <row r="16" spans="1:13" ht="14.4" hidden="1" x14ac:dyDescent="0.3">
      <c r="A16" s="15" t="s">
        <v>150</v>
      </c>
      <c r="B16" s="15">
        <f>H15</f>
        <v>5</v>
      </c>
      <c r="C16" s="15">
        <f>H16</f>
        <v>3.75</v>
      </c>
      <c r="D16" s="13"/>
      <c r="E16" s="180" t="s">
        <v>151</v>
      </c>
      <c r="F16" s="180"/>
      <c r="G16" s="15">
        <f>G15+20</f>
        <v>30</v>
      </c>
      <c r="H16" s="15">
        <f>30/B7*C7</f>
        <v>3.75</v>
      </c>
      <c r="I16" s="23">
        <f>15/B8*C8</f>
        <v>0</v>
      </c>
      <c r="J16" s="23">
        <f>10/B9*C9</f>
        <v>0</v>
      </c>
      <c r="K16" s="23">
        <f>10/B10*C10</f>
        <v>0</v>
      </c>
      <c r="L16" s="23">
        <f>5/B11*C11</f>
        <v>0</v>
      </c>
      <c r="M16" s="23">
        <f>5/B12*C12</f>
        <v>0</v>
      </c>
    </row>
    <row r="17" spans="1:13" ht="14.4" hidden="1" x14ac:dyDescent="0.3">
      <c r="A17" s="15" t="s">
        <v>147</v>
      </c>
      <c r="B17" s="15">
        <f>I15</f>
        <v>0</v>
      </c>
      <c r="C17" s="15">
        <f>I16</f>
        <v>0</v>
      </c>
      <c r="D17" s="13"/>
      <c r="E17" s="13"/>
      <c r="F17" s="13"/>
      <c r="G17" s="13"/>
      <c r="H17" s="13"/>
      <c r="I17" s="13"/>
      <c r="J17" s="13"/>
      <c r="K17" s="13"/>
      <c r="L17" s="13"/>
      <c r="M17" s="14"/>
    </row>
    <row r="18" spans="1:13" ht="14.4" hidden="1" x14ac:dyDescent="0.3">
      <c r="A18" s="15" t="s">
        <v>148</v>
      </c>
      <c r="B18" s="15">
        <f>J15</f>
        <v>0</v>
      </c>
      <c r="C18" s="15">
        <f>J16</f>
        <v>0</v>
      </c>
      <c r="D18" s="13"/>
      <c r="E18" s="13"/>
      <c r="F18" s="13"/>
      <c r="G18" s="13"/>
      <c r="H18" s="13"/>
      <c r="I18" s="13"/>
      <c r="J18" s="13"/>
      <c r="K18" s="13"/>
      <c r="L18" s="13"/>
      <c r="M18" s="14"/>
    </row>
    <row r="19" spans="1:13" ht="14.4" hidden="1" x14ac:dyDescent="0.3">
      <c r="A19" s="15" t="s">
        <v>133</v>
      </c>
      <c r="B19" s="15">
        <f>K15</f>
        <v>0</v>
      </c>
      <c r="C19" s="15">
        <f>K16</f>
        <v>0</v>
      </c>
      <c r="D19" s="13"/>
      <c r="E19" s="13"/>
      <c r="F19" s="13"/>
      <c r="G19" s="13"/>
      <c r="H19" s="13"/>
      <c r="I19" s="13"/>
      <c r="J19" s="13"/>
      <c r="K19" s="13"/>
      <c r="L19" s="13"/>
      <c r="M19" s="14"/>
    </row>
    <row r="20" spans="1:13" ht="14.4" hidden="1" x14ac:dyDescent="0.3">
      <c r="A20" s="24" t="s">
        <v>136</v>
      </c>
      <c r="B20" s="15">
        <f>L15</f>
        <v>0</v>
      </c>
      <c r="C20" s="15">
        <f>L16</f>
        <v>0</v>
      </c>
      <c r="D20" s="13"/>
      <c r="E20" s="13"/>
      <c r="F20" s="13"/>
      <c r="G20" s="13"/>
      <c r="H20" s="13"/>
      <c r="I20" s="13"/>
      <c r="J20" s="13"/>
      <c r="K20" s="13"/>
      <c r="L20" s="13"/>
      <c r="M20" s="14"/>
    </row>
    <row r="21" spans="1:13" ht="14.4" hidden="1" x14ac:dyDescent="0.3">
      <c r="A21" s="15" t="s">
        <v>139</v>
      </c>
      <c r="B21" s="15">
        <f>M15</f>
        <v>0</v>
      </c>
      <c r="C21" s="15">
        <f>M16</f>
        <v>0</v>
      </c>
      <c r="D21" s="13"/>
      <c r="E21" s="13"/>
      <c r="F21" s="13"/>
      <c r="G21" s="13"/>
      <c r="H21" s="13"/>
      <c r="I21" s="13"/>
      <c r="J21" s="13"/>
      <c r="K21" s="13"/>
      <c r="L21" s="13"/>
      <c r="M21" s="14"/>
    </row>
    <row r="22" spans="1:13" ht="14.4" x14ac:dyDescent="0.3">
      <c r="A22" s="15" t="s">
        <v>152</v>
      </c>
      <c r="B22" s="25">
        <f>(B15+B16+B17+B18+B19+B20+B21)/100</f>
        <v>0.15</v>
      </c>
      <c r="C22" s="25">
        <f>(C15+C16+C17+C18+C19+C20+C21)/100</f>
        <v>0.33750000000000002</v>
      </c>
      <c r="D22" s="13"/>
      <c r="E22" s="13"/>
      <c r="F22" s="181" t="s">
        <v>153</v>
      </c>
      <c r="G22" s="181"/>
      <c r="H22" s="19" t="s">
        <v>132</v>
      </c>
      <c r="I22" s="13"/>
      <c r="J22" s="13"/>
      <c r="K22" s="13"/>
      <c r="L22" s="13"/>
      <c r="M22" s="14"/>
    </row>
    <row r="23" spans="1:13" ht="14.4" x14ac:dyDescent="0.3">
      <c r="A23" s="13"/>
      <c r="B23" s="13"/>
      <c r="C23" s="13"/>
      <c r="D23" s="13"/>
      <c r="E23" s="13"/>
      <c r="F23" s="181" t="s">
        <v>154</v>
      </c>
      <c r="G23" s="181"/>
      <c r="H23" s="19" t="s">
        <v>155</v>
      </c>
      <c r="I23" s="13"/>
      <c r="J23" s="13"/>
      <c r="K23" s="13"/>
      <c r="L23" s="13"/>
      <c r="M23" s="13"/>
    </row>
    <row r="24" spans="1:13" ht="14.4" x14ac:dyDescent="0.3">
      <c r="A24" s="14" t="s">
        <v>156</v>
      </c>
      <c r="B24" s="26">
        <v>0.01</v>
      </c>
      <c r="C24" s="26">
        <v>0.02</v>
      </c>
      <c r="D24" s="13"/>
      <c r="E24" s="13"/>
      <c r="F24" s="181" t="s">
        <v>157</v>
      </c>
      <c r="G24" s="181"/>
      <c r="H24" s="19" t="s">
        <v>158</v>
      </c>
      <c r="I24" s="13"/>
      <c r="J24" s="13"/>
      <c r="K24" s="13"/>
      <c r="L24" s="13"/>
      <c r="M24" s="13"/>
    </row>
    <row r="25" spans="1:13" ht="14.4" x14ac:dyDescent="0.3">
      <c r="A25" s="14" t="s">
        <v>159</v>
      </c>
      <c r="B25" s="26">
        <v>0.01</v>
      </c>
      <c r="C25" s="26">
        <v>0.03</v>
      </c>
      <c r="D25" s="13"/>
      <c r="E25" s="13"/>
      <c r="F25" s="13"/>
      <c r="G25" s="13"/>
      <c r="H25" s="13"/>
      <c r="I25" s="13"/>
      <c r="J25" s="13"/>
      <c r="K25" s="13"/>
      <c r="L25" s="13"/>
      <c r="M25" s="13"/>
    </row>
    <row r="26" spans="1:13" ht="14.4" x14ac:dyDescent="0.3">
      <c r="A26" s="14" t="s">
        <v>160</v>
      </c>
      <c r="B26" s="26">
        <v>0.03</v>
      </c>
      <c r="C26" s="26">
        <v>0.08</v>
      </c>
      <c r="D26" s="13"/>
      <c r="E26" s="13"/>
      <c r="F26" s="13"/>
      <c r="G26" s="13"/>
      <c r="H26" s="13"/>
      <c r="I26" s="13"/>
      <c r="J26" s="13"/>
      <c r="K26" s="13"/>
      <c r="L26" s="13"/>
      <c r="M26" s="13"/>
    </row>
    <row r="27" spans="1:13" ht="14.4" x14ac:dyDescent="0.3">
      <c r="A27" s="14" t="s">
        <v>161</v>
      </c>
      <c r="B27" s="26">
        <v>0.05</v>
      </c>
      <c r="C27" s="26">
        <v>0.15</v>
      </c>
      <c r="D27" s="13"/>
      <c r="E27" s="13"/>
      <c r="F27" s="13"/>
      <c r="G27" s="13"/>
      <c r="H27" s="13"/>
      <c r="I27" s="13"/>
      <c r="J27" s="13"/>
      <c r="K27" s="13"/>
      <c r="L27" s="13"/>
      <c r="M27" s="13"/>
    </row>
    <row r="28" spans="1:13" ht="14.4" x14ac:dyDescent="0.3">
      <c r="A28" s="14" t="s">
        <v>162</v>
      </c>
      <c r="B28" s="26">
        <v>7.0000000000000007E-2</v>
      </c>
      <c r="C28" s="26">
        <v>0.2</v>
      </c>
      <c r="D28" s="13"/>
      <c r="E28" s="13"/>
      <c r="F28" s="13"/>
      <c r="G28" s="13"/>
      <c r="H28" s="13"/>
      <c r="I28" s="13"/>
      <c r="J28" s="13"/>
      <c r="K28" s="13"/>
      <c r="L28" s="13"/>
      <c r="M28" s="13"/>
    </row>
    <row r="29" spans="1:13" ht="14.4" x14ac:dyDescent="0.3">
      <c r="A29" s="14" t="s">
        <v>163</v>
      </c>
      <c r="B29" s="26">
        <v>0.1</v>
      </c>
      <c r="C29" s="26">
        <v>0.3</v>
      </c>
      <c r="D29" s="13"/>
      <c r="E29" s="13"/>
      <c r="F29" s="13"/>
      <c r="G29" s="13"/>
      <c r="H29" s="13"/>
      <c r="I29" s="13"/>
      <c r="J29" s="13"/>
      <c r="K29" s="13"/>
      <c r="L29" s="13"/>
      <c r="M29" s="13"/>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7" sqref="C7"/>
    </sheetView>
  </sheetViews>
  <sheetFormatPr defaultRowHeight="13.2" x14ac:dyDescent="0.25"/>
  <cols>
    <col min="1" max="1" width="25" customWidth="1"/>
    <col min="2" max="2" width="19.109375" customWidth="1"/>
  </cols>
  <sheetData>
    <row r="2" spans="1:13" ht="14.4" x14ac:dyDescent="0.3">
      <c r="A2" s="15" t="s">
        <v>117</v>
      </c>
      <c r="B2" s="15" t="s">
        <v>118</v>
      </c>
      <c r="C2" s="15" t="s">
        <v>119</v>
      </c>
      <c r="D2" s="180" t="s">
        <v>120</v>
      </c>
      <c r="E2" s="180"/>
      <c r="F2" s="13"/>
      <c r="G2" s="13"/>
      <c r="H2" s="13"/>
      <c r="I2" s="13"/>
      <c r="J2" s="13"/>
      <c r="K2" s="13"/>
      <c r="L2" s="13"/>
      <c r="M2" s="13"/>
    </row>
    <row r="3" spans="1:13" ht="14.4" x14ac:dyDescent="0.3">
      <c r="A3" s="18">
        <v>0</v>
      </c>
      <c r="B3" s="18">
        <v>0</v>
      </c>
      <c r="C3" s="18">
        <v>1</v>
      </c>
      <c r="D3" s="182">
        <v>7</v>
      </c>
      <c r="E3" s="182"/>
      <c r="F3" s="13"/>
      <c r="G3" s="13"/>
      <c r="H3" s="13"/>
      <c r="I3" s="13"/>
      <c r="J3" s="13"/>
      <c r="K3" s="13"/>
      <c r="L3" s="13"/>
      <c r="M3" s="13"/>
    </row>
    <row r="5" spans="1:13" ht="14.4" x14ac:dyDescent="0.3">
      <c r="A5" s="14" t="s">
        <v>121</v>
      </c>
      <c r="B5" s="16" t="s">
        <v>122</v>
      </c>
      <c r="C5" s="16">
        <v>7</v>
      </c>
      <c r="D5" s="17"/>
      <c r="E5" s="13"/>
      <c r="F5" s="13"/>
      <c r="G5" s="13"/>
      <c r="H5" s="13"/>
      <c r="I5" s="13"/>
      <c r="J5" s="13"/>
      <c r="K5" s="13"/>
      <c r="L5" s="13"/>
      <c r="M5" s="13"/>
    </row>
    <row r="6" spans="1:13" ht="14.4" x14ac:dyDescent="0.3">
      <c r="A6" s="14" t="s">
        <v>123</v>
      </c>
      <c r="B6" s="19">
        <v>10</v>
      </c>
      <c r="C6" s="20">
        <v>10</v>
      </c>
      <c r="D6" s="28">
        <f>((100/B6)*C6)/100</f>
        <v>1</v>
      </c>
      <c r="E6" s="14"/>
      <c r="F6" s="13"/>
      <c r="G6" s="13"/>
      <c r="H6" s="13"/>
      <c r="I6" s="13"/>
      <c r="J6" s="14"/>
      <c r="K6" s="13"/>
      <c r="L6" s="13"/>
      <c r="M6" s="13"/>
    </row>
    <row r="7" spans="1:13" ht="14.4" x14ac:dyDescent="0.3">
      <c r="A7" s="14" t="s">
        <v>124</v>
      </c>
      <c r="B7" s="19">
        <f>D3+1</f>
        <v>8</v>
      </c>
      <c r="C7" s="20">
        <v>0</v>
      </c>
      <c r="D7" s="28">
        <f t="shared" ref="D7:D12" si="0">((100/B7)*C7)/100</f>
        <v>0</v>
      </c>
      <c r="E7" s="13"/>
      <c r="F7" s="183" t="s">
        <v>125</v>
      </c>
      <c r="G7" s="183"/>
      <c r="H7" s="21" t="s">
        <v>126</v>
      </c>
      <c r="I7" s="13"/>
      <c r="J7" s="27"/>
      <c r="K7" s="13"/>
      <c r="L7" s="13"/>
      <c r="M7" s="13"/>
    </row>
    <row r="8" spans="1:13" ht="14.4" x14ac:dyDescent="0.3">
      <c r="A8" s="14" t="s">
        <v>127</v>
      </c>
      <c r="B8" s="19">
        <f>D3</f>
        <v>7</v>
      </c>
      <c r="C8" s="20">
        <v>0</v>
      </c>
      <c r="D8" s="28">
        <f t="shared" si="0"/>
        <v>0</v>
      </c>
      <c r="E8" s="14"/>
      <c r="F8" s="181" t="s">
        <v>128</v>
      </c>
      <c r="G8" s="181"/>
      <c r="H8" s="19" t="s">
        <v>129</v>
      </c>
      <c r="I8" s="13"/>
      <c r="J8" s="14"/>
      <c r="K8" s="13"/>
      <c r="L8" s="13"/>
      <c r="M8" s="13"/>
    </row>
    <row r="9" spans="1:13" ht="14.4" x14ac:dyDescent="0.3">
      <c r="A9" s="14" t="s">
        <v>130</v>
      </c>
      <c r="B9" s="19">
        <f>D3</f>
        <v>7</v>
      </c>
      <c r="C9" s="20">
        <v>0</v>
      </c>
      <c r="D9" s="28">
        <f t="shared" si="0"/>
        <v>0</v>
      </c>
      <c r="E9" s="14"/>
      <c r="F9" s="181" t="s">
        <v>131</v>
      </c>
      <c r="G9" s="181"/>
      <c r="H9" s="19" t="s">
        <v>132</v>
      </c>
      <c r="I9" s="13"/>
      <c r="J9" s="14"/>
      <c r="K9" s="13"/>
      <c r="L9" s="13"/>
      <c r="M9" s="13"/>
    </row>
    <row r="10" spans="1:13" ht="14.4" x14ac:dyDescent="0.3">
      <c r="A10" s="14" t="s">
        <v>133</v>
      </c>
      <c r="B10" s="19">
        <f>D3</f>
        <v>7</v>
      </c>
      <c r="C10" s="20">
        <v>0</v>
      </c>
      <c r="D10" s="28">
        <f t="shared" si="0"/>
        <v>0</v>
      </c>
      <c r="E10" s="14"/>
      <c r="F10" s="181" t="s">
        <v>134</v>
      </c>
      <c r="G10" s="181"/>
      <c r="H10" s="19" t="s">
        <v>135</v>
      </c>
      <c r="I10" s="13"/>
      <c r="J10" s="14"/>
      <c r="K10" s="13"/>
      <c r="L10" s="13"/>
      <c r="M10" s="13"/>
    </row>
    <row r="11" spans="1:13" ht="14.4" x14ac:dyDescent="0.3">
      <c r="A11" s="22" t="s">
        <v>136</v>
      </c>
      <c r="B11" s="19">
        <f>D3</f>
        <v>7</v>
      </c>
      <c r="C11" s="20">
        <v>0</v>
      </c>
      <c r="D11" s="28">
        <f t="shared" si="0"/>
        <v>0</v>
      </c>
      <c r="E11" s="14"/>
      <c r="F11" s="181" t="s">
        <v>137</v>
      </c>
      <c r="G11" s="181"/>
      <c r="H11" s="19" t="s">
        <v>138</v>
      </c>
      <c r="I11" s="13"/>
      <c r="J11" s="13"/>
      <c r="K11" s="13"/>
      <c r="L11" s="13"/>
      <c r="M11" s="13"/>
    </row>
    <row r="12" spans="1:13" ht="14.4" x14ac:dyDescent="0.3">
      <c r="A12" s="14" t="s">
        <v>139</v>
      </c>
      <c r="B12" s="19">
        <f>D3</f>
        <v>7</v>
      </c>
      <c r="C12" s="20">
        <v>0</v>
      </c>
      <c r="D12" s="28">
        <f t="shared" si="0"/>
        <v>0</v>
      </c>
      <c r="E12" s="14"/>
      <c r="F12" s="181" t="s">
        <v>140</v>
      </c>
      <c r="G12" s="181"/>
      <c r="H12" s="19" t="s">
        <v>141</v>
      </c>
      <c r="I12" s="13"/>
      <c r="J12" s="13"/>
      <c r="K12" s="13"/>
      <c r="L12" s="13"/>
      <c r="M12" s="13"/>
    </row>
    <row r="13" spans="1:13" ht="14.4" hidden="1" x14ac:dyDescent="0.3">
      <c r="A13" s="13"/>
      <c r="B13" s="13"/>
      <c r="C13" s="13"/>
      <c r="D13" s="13"/>
      <c r="E13" s="13"/>
      <c r="F13" s="181" t="s">
        <v>142</v>
      </c>
      <c r="G13" s="181"/>
      <c r="H13" s="19" t="s">
        <v>143</v>
      </c>
      <c r="I13" s="13"/>
      <c r="J13" s="13"/>
      <c r="K13" s="13"/>
      <c r="L13" s="13"/>
      <c r="M13" s="13"/>
    </row>
    <row r="14" spans="1:13" ht="14.4" hidden="1" x14ac:dyDescent="0.3">
      <c r="A14" s="15"/>
      <c r="B14" s="15" t="s">
        <v>144</v>
      </c>
      <c r="C14" s="15" t="s">
        <v>145</v>
      </c>
      <c r="D14" s="13"/>
      <c r="E14" s="13"/>
      <c r="F14" s="13"/>
      <c r="G14" s="15" t="s">
        <v>123</v>
      </c>
      <c r="H14" s="15" t="s">
        <v>146</v>
      </c>
      <c r="I14" s="15" t="s">
        <v>147</v>
      </c>
      <c r="J14" s="15" t="s">
        <v>148</v>
      </c>
      <c r="K14" s="15" t="s">
        <v>133</v>
      </c>
      <c r="L14" s="15" t="s">
        <v>136</v>
      </c>
      <c r="M14" s="15" t="s">
        <v>139</v>
      </c>
    </row>
    <row r="15" spans="1:13" ht="14.4" hidden="1" x14ac:dyDescent="0.3">
      <c r="A15" s="15" t="s">
        <v>149</v>
      </c>
      <c r="B15" s="15">
        <f>G15</f>
        <v>10</v>
      </c>
      <c r="C15" s="15">
        <f>G16</f>
        <v>30</v>
      </c>
      <c r="D15" s="13"/>
      <c r="E15" s="180" t="s">
        <v>144</v>
      </c>
      <c r="F15" s="180"/>
      <c r="G15" s="23">
        <f>C6</f>
        <v>10</v>
      </c>
      <c r="H15" s="23">
        <f>40/B7*C7</f>
        <v>0</v>
      </c>
      <c r="I15" s="23">
        <f>15/B8*C8</f>
        <v>0</v>
      </c>
      <c r="J15" s="23">
        <f>10/B9*C9</f>
        <v>0</v>
      </c>
      <c r="K15" s="23">
        <f>10/B10*C10</f>
        <v>0</v>
      </c>
      <c r="L15" s="23">
        <f>5/B11*C11</f>
        <v>0</v>
      </c>
      <c r="M15" s="23">
        <f>5/B12*C12</f>
        <v>0</v>
      </c>
    </row>
    <row r="16" spans="1:13" ht="14.4" hidden="1" x14ac:dyDescent="0.3">
      <c r="A16" s="15" t="s">
        <v>150</v>
      </c>
      <c r="B16" s="15">
        <f>H15</f>
        <v>0</v>
      </c>
      <c r="C16" s="15">
        <f>H16</f>
        <v>0</v>
      </c>
      <c r="D16" s="13"/>
      <c r="E16" s="180" t="s">
        <v>151</v>
      </c>
      <c r="F16" s="180"/>
      <c r="G16" s="15">
        <f>G15+20</f>
        <v>30</v>
      </c>
      <c r="H16" s="15">
        <f>30/B7*C7</f>
        <v>0</v>
      </c>
      <c r="I16" s="23">
        <f>15/B8*C8</f>
        <v>0</v>
      </c>
      <c r="J16" s="23">
        <f>10/B9*C9</f>
        <v>0</v>
      </c>
      <c r="K16" s="23">
        <f>10/B10*C10</f>
        <v>0</v>
      </c>
      <c r="L16" s="23">
        <f>5/B11*C11</f>
        <v>0</v>
      </c>
      <c r="M16" s="23">
        <f>5/B12*C12</f>
        <v>0</v>
      </c>
    </row>
    <row r="17" spans="1:13" ht="14.4" hidden="1" x14ac:dyDescent="0.3">
      <c r="A17" s="15" t="s">
        <v>147</v>
      </c>
      <c r="B17" s="15">
        <f>I15</f>
        <v>0</v>
      </c>
      <c r="C17" s="15">
        <f>I16</f>
        <v>0</v>
      </c>
      <c r="D17" s="13"/>
      <c r="E17" s="13"/>
      <c r="F17" s="13"/>
      <c r="G17" s="13"/>
      <c r="H17" s="13"/>
      <c r="I17" s="13"/>
      <c r="J17" s="13"/>
      <c r="K17" s="13"/>
      <c r="L17" s="13"/>
      <c r="M17" s="14"/>
    </row>
    <row r="18" spans="1:13" ht="14.4" hidden="1" x14ac:dyDescent="0.3">
      <c r="A18" s="15" t="s">
        <v>148</v>
      </c>
      <c r="B18" s="15">
        <f>J15</f>
        <v>0</v>
      </c>
      <c r="C18" s="15">
        <f>J16</f>
        <v>0</v>
      </c>
      <c r="D18" s="13"/>
      <c r="E18" s="13"/>
      <c r="F18" s="13"/>
      <c r="G18" s="13"/>
      <c r="H18" s="13"/>
      <c r="I18" s="13"/>
      <c r="J18" s="13"/>
      <c r="K18" s="13"/>
      <c r="L18" s="13"/>
      <c r="M18" s="14"/>
    </row>
    <row r="19" spans="1:13" ht="14.4" hidden="1" x14ac:dyDescent="0.3">
      <c r="A19" s="15" t="s">
        <v>133</v>
      </c>
      <c r="B19" s="15">
        <f>K15</f>
        <v>0</v>
      </c>
      <c r="C19" s="15">
        <f>K16</f>
        <v>0</v>
      </c>
      <c r="D19" s="13"/>
      <c r="E19" s="13"/>
      <c r="F19" s="13"/>
      <c r="G19" s="13"/>
      <c r="H19" s="13"/>
      <c r="I19" s="13"/>
      <c r="J19" s="13"/>
      <c r="K19" s="13"/>
      <c r="L19" s="13"/>
      <c r="M19" s="14"/>
    </row>
    <row r="20" spans="1:13" ht="14.4" hidden="1" x14ac:dyDescent="0.3">
      <c r="A20" s="24" t="s">
        <v>136</v>
      </c>
      <c r="B20" s="15">
        <f>L15</f>
        <v>0</v>
      </c>
      <c r="C20" s="15">
        <f>L16</f>
        <v>0</v>
      </c>
      <c r="D20" s="13"/>
      <c r="E20" s="13"/>
      <c r="F20" s="13"/>
      <c r="G20" s="13"/>
      <c r="H20" s="13"/>
      <c r="I20" s="13"/>
      <c r="J20" s="13"/>
      <c r="K20" s="13"/>
      <c r="L20" s="13"/>
      <c r="M20" s="14"/>
    </row>
    <row r="21" spans="1:13" ht="14.4" hidden="1" x14ac:dyDescent="0.3">
      <c r="A21" s="15" t="s">
        <v>139</v>
      </c>
      <c r="B21" s="15">
        <f>M15</f>
        <v>0</v>
      </c>
      <c r="C21" s="15">
        <f>M16</f>
        <v>0</v>
      </c>
      <c r="D21" s="13"/>
      <c r="E21" s="13"/>
      <c r="F21" s="13"/>
      <c r="G21" s="13"/>
      <c r="H21" s="13"/>
      <c r="I21" s="13"/>
      <c r="J21" s="13"/>
      <c r="K21" s="13"/>
      <c r="L21" s="13"/>
      <c r="M21" s="14"/>
    </row>
    <row r="22" spans="1:13" ht="14.4" x14ac:dyDescent="0.3">
      <c r="A22" s="15" t="s">
        <v>152</v>
      </c>
      <c r="B22" s="25">
        <f>(B15+B16+B17+B18+B19+B20+B21)/100</f>
        <v>0.1</v>
      </c>
      <c r="C22" s="25">
        <f>(C15+C16+C17+C18+C19+C20+C21)/100</f>
        <v>0.3</v>
      </c>
      <c r="D22" s="13"/>
      <c r="E22" s="13"/>
      <c r="F22" s="181" t="s">
        <v>153</v>
      </c>
      <c r="G22" s="181"/>
      <c r="H22" s="19" t="s">
        <v>132</v>
      </c>
      <c r="I22" s="13"/>
      <c r="J22" s="13"/>
      <c r="K22" s="13"/>
      <c r="L22" s="13"/>
      <c r="M22" s="14"/>
    </row>
    <row r="23" spans="1:13" ht="14.4" x14ac:dyDescent="0.3">
      <c r="A23" s="13"/>
      <c r="B23" s="13"/>
      <c r="C23" s="13"/>
      <c r="D23" s="13"/>
      <c r="E23" s="13"/>
      <c r="F23" s="181" t="s">
        <v>154</v>
      </c>
      <c r="G23" s="181"/>
      <c r="H23" s="19" t="s">
        <v>155</v>
      </c>
      <c r="I23" s="13"/>
      <c r="J23" s="13"/>
      <c r="K23" s="13"/>
      <c r="L23" s="13"/>
      <c r="M23" s="13"/>
    </row>
    <row r="24" spans="1:13" ht="14.4" x14ac:dyDescent="0.3">
      <c r="A24" s="14" t="s">
        <v>156</v>
      </c>
      <c r="B24" s="26">
        <v>0.01</v>
      </c>
      <c r="C24" s="26">
        <v>0.02</v>
      </c>
      <c r="D24" s="13"/>
      <c r="E24" s="13"/>
      <c r="F24" s="181" t="s">
        <v>157</v>
      </c>
      <c r="G24" s="181"/>
      <c r="H24" s="19" t="s">
        <v>158</v>
      </c>
      <c r="I24" s="13"/>
      <c r="J24" s="13"/>
      <c r="K24" s="13"/>
      <c r="L24" s="13"/>
      <c r="M24" s="13"/>
    </row>
    <row r="25" spans="1:13" ht="14.4" x14ac:dyDescent="0.3">
      <c r="A25" s="14" t="s">
        <v>159</v>
      </c>
      <c r="B25" s="26">
        <v>0.01</v>
      </c>
      <c r="C25" s="26">
        <v>0.03</v>
      </c>
      <c r="D25" s="13"/>
      <c r="E25" s="13"/>
      <c r="F25" s="13"/>
      <c r="G25" s="13"/>
      <c r="H25" s="13"/>
      <c r="I25" s="13"/>
      <c r="J25" s="13"/>
      <c r="K25" s="13"/>
      <c r="L25" s="13"/>
      <c r="M25" s="13"/>
    </row>
    <row r="26" spans="1:13" ht="14.4" x14ac:dyDescent="0.3">
      <c r="A26" s="14" t="s">
        <v>160</v>
      </c>
      <c r="B26" s="26">
        <v>0.03</v>
      </c>
      <c r="C26" s="26">
        <v>0.08</v>
      </c>
      <c r="D26" s="13"/>
      <c r="E26" s="13"/>
      <c r="F26" s="13"/>
      <c r="G26" s="13"/>
      <c r="H26" s="13"/>
      <c r="I26" s="13"/>
      <c r="J26" s="13"/>
      <c r="K26" s="13"/>
      <c r="L26" s="13"/>
      <c r="M26" s="13"/>
    </row>
    <row r="27" spans="1:13" ht="14.4" x14ac:dyDescent="0.3">
      <c r="A27" s="14" t="s">
        <v>161</v>
      </c>
      <c r="B27" s="26">
        <v>0.05</v>
      </c>
      <c r="C27" s="26">
        <v>0.15</v>
      </c>
      <c r="D27" s="13"/>
      <c r="E27" s="13"/>
      <c r="F27" s="13"/>
      <c r="G27" s="13"/>
      <c r="H27" s="13"/>
      <c r="I27" s="13"/>
      <c r="J27" s="13"/>
      <c r="K27" s="13"/>
      <c r="L27" s="13"/>
      <c r="M27" s="13"/>
    </row>
    <row r="28" spans="1:13" ht="14.4" x14ac:dyDescent="0.3">
      <c r="A28" s="14" t="s">
        <v>162</v>
      </c>
      <c r="B28" s="26">
        <v>7.0000000000000007E-2</v>
      </c>
      <c r="C28" s="26">
        <v>0.2</v>
      </c>
      <c r="D28" s="13"/>
      <c r="E28" s="13"/>
      <c r="F28" s="13"/>
      <c r="G28" s="13"/>
      <c r="H28" s="13"/>
      <c r="I28" s="13"/>
      <c r="J28" s="13"/>
      <c r="K28" s="13"/>
      <c r="L28" s="13"/>
      <c r="M28" s="13"/>
    </row>
    <row r="29" spans="1:13" ht="14.4" x14ac:dyDescent="0.3">
      <c r="A29" s="14" t="s">
        <v>163</v>
      </c>
      <c r="B29" s="26">
        <v>0.1</v>
      </c>
      <c r="C29" s="26">
        <v>0.3</v>
      </c>
      <c r="D29" s="13"/>
      <c r="E29" s="13"/>
      <c r="F29" s="13"/>
      <c r="G29" s="13"/>
      <c r="H29" s="13"/>
      <c r="I29" s="13"/>
      <c r="J29" s="13"/>
      <c r="K29" s="13"/>
      <c r="L29" s="13"/>
      <c r="M29" s="13"/>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C7" sqref="C7"/>
    </sheetView>
  </sheetViews>
  <sheetFormatPr defaultRowHeight="13.2" x14ac:dyDescent="0.25"/>
  <cols>
    <col min="1" max="1" width="25" customWidth="1"/>
    <col min="2" max="2" width="19.109375" customWidth="1"/>
  </cols>
  <sheetData>
    <row r="2" spans="1:13" ht="14.4" x14ac:dyDescent="0.3">
      <c r="A2" s="15" t="s">
        <v>117</v>
      </c>
      <c r="B2" s="15" t="s">
        <v>118</v>
      </c>
      <c r="C2" s="15" t="s">
        <v>119</v>
      </c>
      <c r="D2" s="180" t="s">
        <v>120</v>
      </c>
      <c r="E2" s="180"/>
      <c r="F2" s="13"/>
      <c r="G2" s="13"/>
      <c r="H2" s="13"/>
      <c r="I2" s="13"/>
      <c r="J2" s="13"/>
      <c r="K2" s="13"/>
      <c r="L2" s="13"/>
      <c r="M2" s="13"/>
    </row>
    <row r="3" spans="1:13" ht="14.4" x14ac:dyDescent="0.3">
      <c r="A3" s="18">
        <v>0</v>
      </c>
      <c r="B3" s="18">
        <v>0</v>
      </c>
      <c r="C3" s="18">
        <v>1</v>
      </c>
      <c r="D3" s="182">
        <v>7</v>
      </c>
      <c r="E3" s="182"/>
      <c r="F3" s="13"/>
      <c r="G3" s="13"/>
      <c r="H3" s="13"/>
      <c r="I3" s="13"/>
      <c r="J3" s="13"/>
      <c r="K3" s="13"/>
      <c r="L3" s="13"/>
      <c r="M3" s="13"/>
    </row>
    <row r="5" spans="1:13" ht="14.4" x14ac:dyDescent="0.3">
      <c r="A5" s="14" t="s">
        <v>121</v>
      </c>
      <c r="B5" s="16" t="s">
        <v>122</v>
      </c>
      <c r="C5" s="16">
        <v>7</v>
      </c>
      <c r="D5" s="17"/>
      <c r="E5" s="13"/>
      <c r="F5" s="13"/>
      <c r="G5" s="13"/>
      <c r="H5" s="13"/>
      <c r="I5" s="13"/>
      <c r="J5" s="13"/>
      <c r="K5" s="13"/>
      <c r="L5" s="13"/>
      <c r="M5" s="13"/>
    </row>
    <row r="6" spans="1:13" ht="14.4" x14ac:dyDescent="0.3">
      <c r="A6" s="14" t="s">
        <v>123</v>
      </c>
      <c r="B6" s="19">
        <v>10</v>
      </c>
      <c r="C6" s="20">
        <v>10</v>
      </c>
      <c r="D6" s="28">
        <f>((100/B6)*C6)/100</f>
        <v>1</v>
      </c>
      <c r="E6" s="14"/>
      <c r="F6" s="13"/>
      <c r="G6" s="13"/>
      <c r="H6" s="13"/>
      <c r="I6" s="13"/>
      <c r="J6" s="14"/>
      <c r="K6" s="13"/>
      <c r="L6" s="13"/>
      <c r="M6" s="13"/>
    </row>
    <row r="7" spans="1:13" ht="14.4" x14ac:dyDescent="0.3">
      <c r="A7" s="14" t="s">
        <v>124</v>
      </c>
      <c r="B7" s="19">
        <f>D3+1</f>
        <v>8</v>
      </c>
      <c r="C7" s="20">
        <v>7</v>
      </c>
      <c r="D7" s="28">
        <f t="shared" ref="D7:D12" si="0">((100/B7)*C7)/100</f>
        <v>0.875</v>
      </c>
      <c r="E7" s="13"/>
      <c r="F7" s="183" t="s">
        <v>125</v>
      </c>
      <c r="G7" s="183"/>
      <c r="H7" s="21" t="s">
        <v>126</v>
      </c>
      <c r="I7" s="13"/>
      <c r="J7" s="27"/>
      <c r="K7" s="13"/>
      <c r="L7" s="13"/>
      <c r="M7" s="13"/>
    </row>
    <row r="8" spans="1:13" ht="14.4" x14ac:dyDescent="0.3">
      <c r="A8" s="14" t="s">
        <v>127</v>
      </c>
      <c r="B8" s="19">
        <f>D3</f>
        <v>7</v>
      </c>
      <c r="C8" s="20">
        <v>3</v>
      </c>
      <c r="D8" s="28">
        <f t="shared" si="0"/>
        <v>0.4285714285714286</v>
      </c>
      <c r="E8" s="14"/>
      <c r="F8" s="181" t="s">
        <v>128</v>
      </c>
      <c r="G8" s="181"/>
      <c r="H8" s="19" t="s">
        <v>129</v>
      </c>
      <c r="I8" s="13"/>
      <c r="J8" s="14"/>
      <c r="K8" s="13"/>
      <c r="L8" s="13"/>
      <c r="M8" s="13"/>
    </row>
    <row r="9" spans="1:13" ht="14.4" x14ac:dyDescent="0.3">
      <c r="A9" s="14" t="s">
        <v>130</v>
      </c>
      <c r="B9" s="19">
        <f>D3</f>
        <v>7</v>
      </c>
      <c r="C9" s="20">
        <v>0</v>
      </c>
      <c r="D9" s="28">
        <f t="shared" si="0"/>
        <v>0</v>
      </c>
      <c r="E9" s="14"/>
      <c r="F9" s="181" t="s">
        <v>131</v>
      </c>
      <c r="G9" s="181"/>
      <c r="H9" s="19" t="s">
        <v>132</v>
      </c>
      <c r="I9" s="13"/>
      <c r="J9" s="14"/>
      <c r="K9" s="13"/>
      <c r="L9" s="13"/>
      <c r="M9" s="13"/>
    </row>
    <row r="10" spans="1:13" ht="14.4" x14ac:dyDescent="0.3">
      <c r="A10" s="14" t="s">
        <v>133</v>
      </c>
      <c r="B10" s="19">
        <f>D3</f>
        <v>7</v>
      </c>
      <c r="C10" s="20">
        <v>0</v>
      </c>
      <c r="D10" s="28">
        <f t="shared" si="0"/>
        <v>0</v>
      </c>
      <c r="E10" s="14"/>
      <c r="F10" s="181" t="s">
        <v>134</v>
      </c>
      <c r="G10" s="181"/>
      <c r="H10" s="19" t="s">
        <v>135</v>
      </c>
      <c r="I10" s="13"/>
      <c r="J10" s="14"/>
      <c r="K10" s="13"/>
      <c r="L10" s="13"/>
      <c r="M10" s="13"/>
    </row>
    <row r="11" spans="1:13" ht="14.4" x14ac:dyDescent="0.3">
      <c r="A11" s="22" t="s">
        <v>136</v>
      </c>
      <c r="B11" s="19">
        <f>D3</f>
        <v>7</v>
      </c>
      <c r="C11" s="20">
        <v>0</v>
      </c>
      <c r="D11" s="28">
        <f t="shared" si="0"/>
        <v>0</v>
      </c>
      <c r="E11" s="14"/>
      <c r="F11" s="181" t="s">
        <v>137</v>
      </c>
      <c r="G11" s="181"/>
      <c r="H11" s="19" t="s">
        <v>138</v>
      </c>
      <c r="I11" s="13"/>
      <c r="J11" s="13"/>
      <c r="K11" s="13"/>
      <c r="L11" s="13"/>
      <c r="M11" s="13"/>
    </row>
    <row r="12" spans="1:13" ht="14.4" x14ac:dyDescent="0.3">
      <c r="A12" s="14" t="s">
        <v>139</v>
      </c>
      <c r="B12" s="19">
        <f>D3</f>
        <v>7</v>
      </c>
      <c r="C12" s="20">
        <v>0</v>
      </c>
      <c r="D12" s="28">
        <f t="shared" si="0"/>
        <v>0</v>
      </c>
      <c r="E12" s="14"/>
      <c r="F12" s="181" t="s">
        <v>140</v>
      </c>
      <c r="G12" s="181"/>
      <c r="H12" s="19" t="s">
        <v>141</v>
      </c>
      <c r="I12" s="13"/>
      <c r="J12" s="13"/>
      <c r="K12" s="13"/>
      <c r="L12" s="13"/>
      <c r="M12" s="13"/>
    </row>
    <row r="13" spans="1:13" ht="14.4" hidden="1" x14ac:dyDescent="0.3">
      <c r="A13" s="13"/>
      <c r="B13" s="13"/>
      <c r="C13" s="13"/>
      <c r="D13" s="13"/>
      <c r="E13" s="13"/>
      <c r="F13" s="181" t="s">
        <v>142</v>
      </c>
      <c r="G13" s="181"/>
      <c r="H13" s="19" t="s">
        <v>143</v>
      </c>
      <c r="I13" s="13"/>
      <c r="J13" s="13"/>
      <c r="K13" s="13"/>
      <c r="L13" s="13"/>
      <c r="M13" s="13"/>
    </row>
    <row r="14" spans="1:13" ht="14.4" hidden="1" x14ac:dyDescent="0.3">
      <c r="A14" s="15"/>
      <c r="B14" s="15" t="s">
        <v>144</v>
      </c>
      <c r="C14" s="15" t="s">
        <v>145</v>
      </c>
      <c r="D14" s="13"/>
      <c r="E14" s="13"/>
      <c r="F14" s="13"/>
      <c r="G14" s="15" t="s">
        <v>123</v>
      </c>
      <c r="H14" s="15" t="s">
        <v>146</v>
      </c>
      <c r="I14" s="15" t="s">
        <v>147</v>
      </c>
      <c r="J14" s="15" t="s">
        <v>148</v>
      </c>
      <c r="K14" s="15" t="s">
        <v>133</v>
      </c>
      <c r="L14" s="15" t="s">
        <v>136</v>
      </c>
      <c r="M14" s="15" t="s">
        <v>139</v>
      </c>
    </row>
    <row r="15" spans="1:13" ht="14.4" hidden="1" x14ac:dyDescent="0.3">
      <c r="A15" s="15" t="s">
        <v>149</v>
      </c>
      <c r="B15" s="15">
        <f>G15</f>
        <v>10</v>
      </c>
      <c r="C15" s="15">
        <f>G16</f>
        <v>30</v>
      </c>
      <c r="D15" s="13"/>
      <c r="E15" s="180" t="s">
        <v>144</v>
      </c>
      <c r="F15" s="180"/>
      <c r="G15" s="23">
        <f>C6</f>
        <v>10</v>
      </c>
      <c r="H15" s="23">
        <f>40/B7*C7</f>
        <v>35</v>
      </c>
      <c r="I15" s="23">
        <f>15/B8*C8</f>
        <v>6.4285714285714288</v>
      </c>
      <c r="J15" s="23">
        <f>10/B9*C9</f>
        <v>0</v>
      </c>
      <c r="K15" s="23">
        <f>10/B10*C10</f>
        <v>0</v>
      </c>
      <c r="L15" s="23">
        <f>5/B11*C11</f>
        <v>0</v>
      </c>
      <c r="M15" s="23">
        <f>5/B12*C12</f>
        <v>0</v>
      </c>
    </row>
    <row r="16" spans="1:13" ht="14.4" hidden="1" x14ac:dyDescent="0.3">
      <c r="A16" s="15" t="s">
        <v>150</v>
      </c>
      <c r="B16" s="15">
        <f>H15</f>
        <v>35</v>
      </c>
      <c r="C16" s="15">
        <f>H16</f>
        <v>26.25</v>
      </c>
      <c r="D16" s="13"/>
      <c r="E16" s="180" t="s">
        <v>151</v>
      </c>
      <c r="F16" s="180"/>
      <c r="G16" s="15">
        <f>G15+20</f>
        <v>30</v>
      </c>
      <c r="H16" s="15">
        <f>30/B7*C7</f>
        <v>26.25</v>
      </c>
      <c r="I16" s="23">
        <f>15/B8*C8</f>
        <v>6.4285714285714288</v>
      </c>
      <c r="J16" s="23">
        <f>10/B9*C9</f>
        <v>0</v>
      </c>
      <c r="K16" s="23">
        <f>10/B10*C10</f>
        <v>0</v>
      </c>
      <c r="L16" s="23">
        <f>5/B11*C11</f>
        <v>0</v>
      </c>
      <c r="M16" s="23">
        <f>5/B12*C12</f>
        <v>0</v>
      </c>
    </row>
    <row r="17" spans="1:13" ht="14.4" hidden="1" x14ac:dyDescent="0.3">
      <c r="A17" s="15" t="s">
        <v>147</v>
      </c>
      <c r="B17" s="15">
        <f>I15</f>
        <v>6.4285714285714288</v>
      </c>
      <c r="C17" s="15">
        <f>I16</f>
        <v>6.4285714285714288</v>
      </c>
      <c r="D17" s="13"/>
      <c r="E17" s="13"/>
      <c r="F17" s="13"/>
      <c r="G17" s="13"/>
      <c r="H17" s="13"/>
      <c r="I17" s="13"/>
      <c r="J17" s="13"/>
      <c r="K17" s="13"/>
      <c r="L17" s="13"/>
      <c r="M17" s="14"/>
    </row>
    <row r="18" spans="1:13" ht="14.4" hidden="1" x14ac:dyDescent="0.3">
      <c r="A18" s="15" t="s">
        <v>148</v>
      </c>
      <c r="B18" s="15">
        <f>J15</f>
        <v>0</v>
      </c>
      <c r="C18" s="15">
        <f>J16</f>
        <v>0</v>
      </c>
      <c r="D18" s="13"/>
      <c r="E18" s="13"/>
      <c r="F18" s="13"/>
      <c r="G18" s="13"/>
      <c r="H18" s="13"/>
      <c r="I18" s="13"/>
      <c r="J18" s="13"/>
      <c r="K18" s="13"/>
      <c r="L18" s="13"/>
      <c r="M18" s="14"/>
    </row>
    <row r="19" spans="1:13" ht="14.4" hidden="1" x14ac:dyDescent="0.3">
      <c r="A19" s="15" t="s">
        <v>133</v>
      </c>
      <c r="B19" s="15">
        <f>K15</f>
        <v>0</v>
      </c>
      <c r="C19" s="15">
        <f>K16</f>
        <v>0</v>
      </c>
      <c r="D19" s="13"/>
      <c r="E19" s="13"/>
      <c r="F19" s="13"/>
      <c r="G19" s="13"/>
      <c r="H19" s="13"/>
      <c r="I19" s="13"/>
      <c r="J19" s="13"/>
      <c r="K19" s="13"/>
      <c r="L19" s="13"/>
      <c r="M19" s="14"/>
    </row>
    <row r="20" spans="1:13" ht="14.4" hidden="1" x14ac:dyDescent="0.3">
      <c r="A20" s="24" t="s">
        <v>136</v>
      </c>
      <c r="B20" s="15">
        <f>L15</f>
        <v>0</v>
      </c>
      <c r="C20" s="15">
        <f>L16</f>
        <v>0</v>
      </c>
      <c r="D20" s="13"/>
      <c r="E20" s="13"/>
      <c r="F20" s="13"/>
      <c r="G20" s="13"/>
      <c r="H20" s="13"/>
      <c r="I20" s="13"/>
      <c r="J20" s="13"/>
      <c r="K20" s="13"/>
      <c r="L20" s="13"/>
      <c r="M20" s="14"/>
    </row>
    <row r="21" spans="1:13" ht="14.4" hidden="1" x14ac:dyDescent="0.3">
      <c r="A21" s="15" t="s">
        <v>139</v>
      </c>
      <c r="B21" s="15">
        <f>M15</f>
        <v>0</v>
      </c>
      <c r="C21" s="15">
        <f>M16</f>
        <v>0</v>
      </c>
      <c r="D21" s="13"/>
      <c r="E21" s="13"/>
      <c r="F21" s="13"/>
      <c r="G21" s="13"/>
      <c r="H21" s="13"/>
      <c r="I21" s="13"/>
      <c r="J21" s="13"/>
      <c r="K21" s="13"/>
      <c r="L21" s="13"/>
      <c r="M21" s="14"/>
    </row>
    <row r="22" spans="1:13" ht="14.4" x14ac:dyDescent="0.3">
      <c r="A22" s="15" t="s">
        <v>152</v>
      </c>
      <c r="B22" s="25">
        <f>(B15+B16+B17+B18+B19+B20+B21)/100</f>
        <v>0.51428571428571435</v>
      </c>
      <c r="C22" s="25">
        <f>(C15+C16+C17+C18+C19+C20+C21)/100</f>
        <v>0.62678571428571428</v>
      </c>
      <c r="D22" s="13"/>
      <c r="E22" s="13"/>
      <c r="F22" s="181" t="s">
        <v>153</v>
      </c>
      <c r="G22" s="181"/>
      <c r="H22" s="19" t="s">
        <v>132</v>
      </c>
      <c r="I22" s="13"/>
      <c r="J22" s="13"/>
      <c r="K22" s="13"/>
      <c r="L22" s="13"/>
      <c r="M22" s="14"/>
    </row>
    <row r="23" spans="1:13" ht="14.4" x14ac:dyDescent="0.3">
      <c r="A23" s="13"/>
      <c r="B23" s="13"/>
      <c r="C23" s="13"/>
      <c r="D23" s="13"/>
      <c r="E23" s="13"/>
      <c r="F23" s="181" t="s">
        <v>154</v>
      </c>
      <c r="G23" s="181"/>
      <c r="H23" s="19" t="s">
        <v>155</v>
      </c>
      <c r="I23" s="13"/>
      <c r="J23" s="13"/>
      <c r="K23" s="13"/>
      <c r="L23" s="13"/>
      <c r="M23" s="13"/>
    </row>
    <row r="24" spans="1:13" ht="14.4" x14ac:dyDescent="0.3">
      <c r="A24" s="14" t="s">
        <v>156</v>
      </c>
      <c r="B24" s="26">
        <v>0.01</v>
      </c>
      <c r="C24" s="26">
        <v>0.02</v>
      </c>
      <c r="D24" s="13"/>
      <c r="E24" s="13"/>
      <c r="F24" s="181" t="s">
        <v>157</v>
      </c>
      <c r="G24" s="181"/>
      <c r="H24" s="19" t="s">
        <v>158</v>
      </c>
      <c r="I24" s="13"/>
      <c r="J24" s="13"/>
      <c r="K24" s="13"/>
      <c r="L24" s="13"/>
      <c r="M24" s="13"/>
    </row>
    <row r="25" spans="1:13" ht="14.4" x14ac:dyDescent="0.3">
      <c r="A25" s="14" t="s">
        <v>159</v>
      </c>
      <c r="B25" s="26">
        <v>0.01</v>
      </c>
      <c r="C25" s="26">
        <v>0.03</v>
      </c>
      <c r="D25" s="13"/>
      <c r="E25" s="13"/>
      <c r="F25" s="13"/>
      <c r="G25" s="13"/>
      <c r="H25" s="13"/>
      <c r="I25" s="13"/>
      <c r="J25" s="13"/>
      <c r="K25" s="13"/>
      <c r="L25" s="13"/>
      <c r="M25" s="13"/>
    </row>
    <row r="26" spans="1:13" ht="14.4" x14ac:dyDescent="0.3">
      <c r="A26" s="14" t="s">
        <v>160</v>
      </c>
      <c r="B26" s="26">
        <v>0.03</v>
      </c>
      <c r="C26" s="26">
        <v>0.08</v>
      </c>
      <c r="D26" s="13"/>
      <c r="E26" s="13"/>
      <c r="F26" s="13"/>
      <c r="G26" s="13"/>
      <c r="H26" s="13"/>
      <c r="I26" s="13"/>
      <c r="J26" s="13"/>
      <c r="K26" s="13"/>
      <c r="L26" s="13"/>
      <c r="M26" s="13"/>
    </row>
    <row r="27" spans="1:13" ht="14.4" x14ac:dyDescent="0.3">
      <c r="A27" s="14" t="s">
        <v>161</v>
      </c>
      <c r="B27" s="26">
        <v>0.05</v>
      </c>
      <c r="C27" s="26">
        <v>0.15</v>
      </c>
      <c r="D27" s="13"/>
      <c r="E27" s="13"/>
      <c r="F27" s="13"/>
      <c r="G27" s="13"/>
      <c r="H27" s="13"/>
      <c r="I27" s="13"/>
      <c r="J27" s="13"/>
      <c r="K27" s="13"/>
      <c r="L27" s="13"/>
      <c r="M27" s="13"/>
    </row>
    <row r="28" spans="1:13" ht="14.4" x14ac:dyDescent="0.3">
      <c r="A28" s="14" t="s">
        <v>162</v>
      </c>
      <c r="B28" s="26">
        <v>7.0000000000000007E-2</v>
      </c>
      <c r="C28" s="26">
        <v>0.2</v>
      </c>
      <c r="D28" s="13"/>
      <c r="E28" s="13"/>
      <c r="F28" s="13"/>
      <c r="G28" s="13"/>
      <c r="H28" s="13"/>
      <c r="I28" s="13"/>
      <c r="J28" s="13"/>
      <c r="K28" s="13"/>
      <c r="L28" s="13"/>
      <c r="M28" s="13"/>
    </row>
    <row r="29" spans="1:13" ht="14.4" x14ac:dyDescent="0.3">
      <c r="A29" s="14" t="s">
        <v>163</v>
      </c>
      <c r="B29" s="26">
        <v>0.1</v>
      </c>
      <c r="C29" s="26">
        <v>0.3</v>
      </c>
      <c r="D29" s="13"/>
      <c r="E29" s="13"/>
      <c r="F29" s="13"/>
      <c r="G29" s="13"/>
      <c r="H29" s="13"/>
      <c r="I29" s="13"/>
      <c r="J29" s="13"/>
      <c r="K29" s="13"/>
      <c r="L29" s="13"/>
      <c r="M29" s="13"/>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1</vt:lpstr>
      <vt:lpstr>Note</vt:lpstr>
      <vt:lpstr>A</vt:lpstr>
      <vt:lpstr>B</vt:lpstr>
      <vt:lpstr>C</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 Mar 20 - 21358 - Kendale Emeralds.xlsx</dc:title>
  <dc:creator>VSJ</dc:creator>
  <cp:lastModifiedBy>pranitam503@gmail.com</cp:lastModifiedBy>
  <cp:lastPrinted>2025-08-19T11:58:34Z</cp:lastPrinted>
  <dcterms:created xsi:type="dcterms:W3CDTF">2020-12-18T10:07:16Z</dcterms:created>
  <dcterms:modified xsi:type="dcterms:W3CDTF">2025-08-19T12:21:21Z</dcterms:modified>
</cp:coreProperties>
</file>