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5311916F-C2BE-4CBE-A054-3C29B12276F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" l="1"/>
  <c r="D105" i="1" l="1"/>
  <c r="D104" i="1"/>
  <c r="E103" i="1"/>
  <c r="D103" i="1"/>
  <c r="D101" i="1"/>
  <c r="D100" i="1"/>
  <c r="D99" i="1"/>
  <c r="F99" i="1" s="1"/>
  <c r="A104" i="1"/>
  <c r="A105" i="1" s="1"/>
  <c r="G103" i="1"/>
  <c r="L99" i="1" l="1"/>
  <c r="I99" i="1"/>
  <c r="K101" i="1"/>
  <c r="F101" i="1"/>
  <c r="L100" i="1" s="1"/>
  <c r="K100" i="1"/>
  <c r="F100" i="1"/>
  <c r="G92" i="1" s="1"/>
  <c r="K103" i="1"/>
  <c r="F103" i="1"/>
  <c r="K104" i="1"/>
  <c r="F104" i="1"/>
  <c r="K105" i="1"/>
  <c r="F105" i="1"/>
  <c r="E92" i="1"/>
  <c r="K99" i="1"/>
  <c r="C92" i="1"/>
  <c r="E42" i="1"/>
  <c r="E43" i="1" s="1"/>
  <c r="C14" i="1" l="1"/>
  <c r="E29" i="1" l="1"/>
  <c r="A100" i="1" l="1"/>
  <c r="A101" i="1" s="1"/>
  <c r="G99" i="1"/>
  <c r="F8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28" i="1"/>
  <c r="J76" i="1"/>
  <c r="J75" i="1"/>
  <c r="J74" i="1"/>
  <c r="J73" i="1"/>
  <c r="C65" i="1"/>
  <c r="D54" i="1"/>
  <c r="G49" i="1"/>
  <c r="G50" i="1" s="1"/>
  <c r="C49" i="1"/>
  <c r="E26" i="1"/>
  <c r="E24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<sst xmlns="http://schemas.openxmlformats.org/spreadsheetml/2006/main" count="251" uniqueCount="212">
  <si>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</si>
  <si>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</si>
  <si>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</si>
  <si>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</si>
  <si>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</si>
  <si>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</si>
  <si>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</si>
  <si>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</si>
  <si>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</si>
  <si>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</si>
  <si>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</si>
  <si>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</si>
  <si>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</si>
  <si>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</si>
  <si>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</si>
  <si>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</si>
  <si>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</si>
  <si>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</si>
  <si>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</si>
  <si>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</si>
  <si>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</si>
  <si>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</si>
  <si>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</si>
  <si>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</si>
  <si>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</si>
  <si>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</si>
  <si>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</si>
  <si>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</si>
  <si>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</si>
  <si>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</si>
  <si>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</si>
  <si>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</si>
  <si>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</si>
  <si>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</si>
  <si>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</si>
  <si>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</si>
  <si>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</si>
  <si>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</si>
  <si>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</si>
  <si>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</si>
  <si>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</si>
  <si>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</si>
  <si>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</si>
  <si>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</si>
  <si>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</si>
  <si>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</si>
  <si>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</si>
  <si>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</si>
  <si>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</si>
  <si>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</si>
  <si>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</si>
  <si>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</si>
  <si>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</si>
  <si>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</si>
  <si>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</si>
  <si>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</si>
  <si>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</si>
  <si>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</si>
  <si>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</si>
  <si>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</si>
  <si>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</si>
  <si>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</si>
  <si>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</si>
  <si>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</si>
  <si>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</si>
  <si>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</si>
  <si>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</si>
  <si>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</si>
  <si>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</si>
  <si>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</si>
  <si>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</si>
  <si>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</si>
  <si>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</si>
  <si>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</si>
  <si>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</si>
  <si>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</si>
  <si>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</si>
  <si>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</si>
  <si>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</si>
  <si>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</si>
  <si>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</si>
  <si>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</si>
  <si>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</si>
  <si>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</si>
  <si>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</si>
  <si>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</si>
  <si>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</si>
  <si>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</si>
  <si>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</si>
  <si>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</si>
  <si>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</si>
  <si>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</si>
  <si>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</si>
  <si>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</si>
  <si>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</si>
  <si>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</si>
  <si>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</si>
  <si>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</si>
  <si>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</si>
  <si>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</si>
  <si>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</si>
  <si>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</si>
  <si>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</si>
  <si>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</si>
  <si>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</si>
  <si>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</si>
  <si>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</si>
  <si>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</si>
  <si>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</si>
  <si>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</si>
  <si>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</si>
  <si>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</si>
  <si>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</si>
  <si>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</si>
  <si>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</si>
  <si>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</si>
  <si>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</si>
  <si>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</si>
  <si>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</si>
  <si>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</si>
  <si>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</si>
  <si>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</si>
  <si>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</si>
  <si>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</si>
  <si>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</si>
  <si>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</si>
  <si>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</si>
  <si>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</si>
  <si>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</si>
  <si>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</si>
  <si>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</si>
  <si>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</si>
  <si>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</si>
  <si>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</si>
  <si>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</si>
  <si>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</si>
  <si>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</si>
  <si>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</si>
  <si>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</si>
  <si>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</si>
  <si>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</si>
  <si>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</si>
  <si>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</si>
  <si>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</si>
  <si>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</si>
  <si>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</si>
  <si>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</si>
  <si>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</si>
  <si>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</si>
  <si>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</si>
  <si>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</si>
  <si>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</si>
  <si>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</si>
  <si>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</si>
  <si>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</si>
  <si>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</si>
  <si>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</si>
  <si>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</si>
  <si>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</si>
  <si>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</si>
  <si>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</si>
  <si>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</si>
  <si>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</si>
  <si>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</si>
  <si>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</si>
  <si>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</si>
  <si>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Badlapur</t>
  </si>
  <si>
    <t>Shree Ganesh Developer</t>
  </si>
  <si>
    <t>Krishnapingaksha</t>
  </si>
  <si>
    <t>Mr.Prashant Tukaram Baeet</t>
  </si>
  <si>
    <t>P51700047833</t>
  </si>
  <si>
    <t>51, H.No. 2/A/26, Plot No. 26</t>
  </si>
  <si>
    <t>Survey No</t>
  </si>
  <si>
    <t>Shirgaon</t>
  </si>
  <si>
    <t>Thane</t>
  </si>
  <si>
    <t>Ambarnath</t>
  </si>
  <si>
    <t>Ground Floor for Parking</t>
  </si>
  <si>
    <t>1st to 5th Floor for Residential</t>
  </si>
  <si>
    <t>1BHK</t>
  </si>
  <si>
    <t>1RK</t>
  </si>
  <si>
    <t>6th Floor</t>
  </si>
  <si>
    <t>We considered Gross carpet area = Net carpet + C.P. Area.</t>
  </si>
  <si>
    <t>Kulgaon Badlapur Municipal Council</t>
  </si>
  <si>
    <t>KBNP/NRV/BP/0774-188</t>
  </si>
  <si>
    <t>KBNP/NRV/BP/0774/2021-22/Unique No.188</t>
  </si>
  <si>
    <t>Commencement-CC No</t>
  </si>
  <si>
    <t>Valid Up to: Stilt + 1st to 6th Floor</t>
  </si>
  <si>
    <t>Gr/Stilt + 1st to 6th Floor</t>
  </si>
  <si>
    <t>As per RERA - 31/12/2026</t>
  </si>
  <si>
    <t xml:space="preserve">1. Vitrified tiles flooring 2. Granite Kitchen Platform 3. Decorative Enternace etc.
</t>
  </si>
  <si>
    <t>Approved Plans, CC, Sale Plans, Builder Saleable Area</t>
  </si>
  <si>
    <t>Flats - 18</t>
  </si>
  <si>
    <t>https://goo.gl/maps/mvQfVzg6fryZNNKz6</t>
  </si>
  <si>
    <t>New Villa Apartment</t>
  </si>
  <si>
    <t>Internal Road</t>
  </si>
  <si>
    <t>Nav Divya CHS</t>
  </si>
  <si>
    <t>Pratiksha Apartment</t>
  </si>
  <si>
    <t>Badlapur</t>
  </si>
  <si>
    <t>2.2 KM from Badlapur Railway Station</t>
  </si>
  <si>
    <t>Sudhir Bhosale</t>
  </si>
  <si>
    <t>Aptewadi, Ramnagar</t>
  </si>
  <si>
    <t>4200 to 4300</t>
  </si>
  <si>
    <t>work is not moving forward since 07/07/2023</t>
  </si>
  <si>
    <t>Latitude,Longitude</t>
  </si>
  <si>
    <t>19.1597308,73.2338491</t>
  </si>
  <si>
    <t xml:space="preserve"> Saleable area
Loading: 
45%</t>
  </si>
  <si>
    <t>We have considered Saleable area of Flats as per our Calculation.</t>
  </si>
  <si>
    <t>rate and loading changed by bhargav on 24/03/2025</t>
  </si>
  <si>
    <t>Recommended Rates / Other charges of the Property have been revised on 24/03/2025.</t>
  </si>
  <si>
    <t>Mr. Prashant Baeet 9594934442</t>
  </si>
  <si>
    <t>Pranita Mhatre</t>
  </si>
  <si>
    <t>Finishing Work is in the process at the time of visit (labour found)
Lift Installation Work is pending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</si>
</sst>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7" xfId="0" applyNumberFormat="1" applyFont="1" applyFill="1" applyBorder="1" applyAlignment="1" applyProtection="1">
      <alignment vertical="top" wrapText="1"/>
      <protection locked="0"/>
    </xf>
    <xf numFmtId="1" fontId="8" fillId="3" borderId="20" xfId="0" applyNumberFormat="1" applyFont="1" applyFill="1" applyBorder="1" applyAlignment="1" applyProtection="1">
      <alignment vertical="top" wrapText="1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2" borderId="2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545517</xdr:colOff>
      <xdr:row>235</xdr:row>
      <xdr:rowOff>190497</xdr:rowOff>
    </xdr:from>
    <xdr:to>
      <xdr:col>7</xdr:col>
      <xdr:colOff>256494</xdr:colOff>
      <xdr:row>257</xdr:row>
      <xdr:rowOff>58178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5517" y="51071315"/>
          <a:ext cx="5400000" cy="4249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143517</xdr:colOff>
      <xdr:row>216</xdr:row>
      <xdr:rowOff>164521</xdr:rowOff>
    </xdr:from>
    <xdr:to>
      <xdr:col>6</xdr:col>
      <xdr:colOff>675812</xdr:colOff>
      <xdr:row>234</xdr:row>
      <xdr:rowOff>67856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5517" y="47261316"/>
          <a:ext cx="4680000" cy="34881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695445</xdr:colOff>
      <xdr:row>194</xdr:row>
      <xdr:rowOff>137776</xdr:rowOff>
    </xdr:from>
    <xdr:to>
      <xdr:col>6</xdr:col>
      <xdr:colOff>58292</xdr:colOff>
      <xdr:row>214</xdr:row>
      <xdr:rowOff>114594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7445" y="42853071"/>
          <a:ext cx="351055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692721</xdr:colOff>
      <xdr:row>172</xdr:row>
      <xdr:rowOff>51954</xdr:rowOff>
    </xdr:from>
    <xdr:to>
      <xdr:col>7</xdr:col>
      <xdr:colOff>43698</xdr:colOff>
      <xdr:row>194</xdr:row>
      <xdr:rowOff>49682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2721" y="38385749"/>
          <a:ext cx="5040000" cy="43792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266827</xdr:colOff>
      <xdr:row>242</xdr:row>
      <xdr:rowOff>194046</xdr:rowOff>
    </xdr:from>
    <xdr:to>
      <xdr:col>4</xdr:col>
      <xdr:colOff>546428</xdr:colOff>
      <xdr:row>247</xdr:row>
      <xdr:rowOff>69235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20172963">
          <a:off x="2674054" y="52468978"/>
          <a:ext cx="1223442" cy="870984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588819</xdr:colOff>
      <xdr:row>237</xdr:row>
      <xdr:rowOff>147205</xdr:rowOff>
    </xdr:from>
    <xdr:ext cx="1497141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6046" y="51426341"/>
          <a:ext cx="1497141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Krishnapingaksha</a:t>
          </a:r>
        </a:p>
      </xdr:txBody>
    </xdr:sp>
    <xdr:clientData/>
  </xdr:oneCellAnchor>
  <xdr:twoCellAnchor>
    <xdr:from>
      <xdr:col>3</xdr:col>
      <xdr:colOff>779318</xdr:colOff>
      <xdr:row>239</xdr:row>
      <xdr:rowOff>86590</xdr:rowOff>
    </xdr:from>
    <xdr:to>
      <xdr:col>3</xdr:col>
      <xdr:colOff>839932</xdr:colOff>
      <xdr:row>242</xdr:row>
      <xdr:rowOff>147204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3186545" y="51764045"/>
          <a:ext cx="60614" cy="65809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258571</xdr:colOff>
      <xdr:row>127</xdr:row>
      <xdr:rowOff>171054</xdr:rowOff>
    </xdr:from>
    <xdr:to>
      <xdr:col>15</xdr:col>
      <xdr:colOff>529600</xdr:colOff>
      <xdr:row>168</xdr:row>
      <xdr:rowOff>148306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474711" y="26757234"/>
          <a:ext cx="6054609" cy="8092552"/>
          <a:chOff x="536477" y="27067414"/>
          <a:chExt cx="5921035" cy="8235987"/>
        </a:xfrm>
      </xdr:grpSpPr>
      <xdr:pic>
        <xdr:nvPicPr>
          <xdr:cNvPr id="35" name="Picture 34" descr="https://vsjcllp.vsjadon.com/upload/insp-233988-1525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98929" y="33312850"/>
            <a:ext cx="2692190" cy="19905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3988-843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2298" y="27067886"/>
            <a:ext cx="2739561" cy="35758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3988-845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43185" y="30731440"/>
            <a:ext cx="1914327" cy="250698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3988-847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25222" y="30735372"/>
            <a:ext cx="1915548" cy="25023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3988-849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49103" y="27067414"/>
            <a:ext cx="2710221" cy="35801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3988-851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6477" y="30736201"/>
            <a:ext cx="1904991" cy="25069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546847</xdr:colOff>
      <xdr:row>128</xdr:row>
      <xdr:rowOff>71716</xdr:rowOff>
    </xdr:from>
    <xdr:to>
      <xdr:col>7</xdr:col>
      <xdr:colOff>986118</xdr:colOff>
      <xdr:row>170</xdr:row>
      <xdr:rowOff>35857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32ECB2B2-FEB0-DA6D-7FAD-B2C1984D3E9D}"/>
            </a:ext>
          </a:extLst>
        </xdr:cNvPr>
        <xdr:cNvGrpSpPr/>
      </xdr:nvGrpSpPr>
      <xdr:grpSpPr>
        <a:xfrm>
          <a:off x="546847" y="26856016"/>
          <a:ext cx="6283811" cy="8277561"/>
          <a:chOff x="688718" y="217494"/>
          <a:chExt cx="5490255" cy="632136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E3A1A03-8849-49C3-2062-48A16383A6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4240" y="5098854"/>
            <a:ext cx="1083013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161A7D60-CE89-4504-026D-FB564C44B0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69306" y="5098854"/>
            <a:ext cx="1078500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F8DA7DE-0D6E-2BFF-3A3D-ECF9DE22C3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90769" y="3296181"/>
            <a:ext cx="1288204" cy="17128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5598186B-3C93-DA1E-19B1-229780DEC3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8718" y="5098854"/>
            <a:ext cx="1910258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9801D088-6600-F2EC-EF60-107B7644ED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99681" y="217494"/>
            <a:ext cx="2238714" cy="2976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E835C74-884C-27F9-0AC1-29434FC536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2858" y="217494"/>
            <a:ext cx="2238714" cy="2976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3EE609A5-65FE-AF75-B8A8-5705775FD1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0217" y="5098854"/>
            <a:ext cx="1083012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D50B5A3F-29E8-4EED-B7D5-5E26B1BA68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95429" y="3296182"/>
            <a:ext cx="1288204" cy="17128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B9DE822A-2BE1-51E0-A958-3F4185B1C5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11477" y="3283990"/>
            <a:ext cx="1288204" cy="17128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3AB6CFD6-2C7D-66F9-310A-C09045A747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1321" y="3283989"/>
            <a:ext cx="1288204" cy="17128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4</xdr:col>
      <xdr:colOff>693530</xdr:colOff>
      <xdr:row>30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vQfVzg6fryZNNKz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6"/>
  <sheetViews>
    <sheetView tabSelected="1" view="pageBreakPreview" topLeftCell="A103" zoomScaleNormal="100" zoomScaleSheetLayoutView="100" workbookViewId="0">
      <selection activeCell="J112" sqref="J112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20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17" t="s">
        <v>165</v>
      </c>
      <c r="B1" s="117"/>
      <c r="C1" s="117"/>
      <c r="D1" s="117"/>
      <c r="E1" s="117"/>
      <c r="F1" s="117"/>
      <c r="G1" s="117"/>
      <c r="H1" s="117"/>
    </row>
    <row r="2" spans="1:8" ht="16.5" customHeight="1" x14ac:dyDescent="0.3">
      <c r="A2" s="73" t="s">
        <v>0</v>
      </c>
      <c r="B2" s="73"/>
      <c r="C2" s="73"/>
      <c r="D2" s="73"/>
      <c r="E2" s="73"/>
      <c r="F2" s="73"/>
      <c r="G2" s="73"/>
      <c r="H2" s="73"/>
    </row>
    <row r="3" spans="1:8" x14ac:dyDescent="0.3">
      <c r="A3" s="96" t="s">
        <v>1</v>
      </c>
      <c r="B3" s="96"/>
      <c r="C3" s="96"/>
      <c r="D3" s="96"/>
      <c r="E3" s="96" t="str">
        <f ca="1">TEXT(TODAY(),"DD/MM/YYYY")</f>
        <v>14/08/2025</v>
      </c>
      <c r="F3" s="96"/>
      <c r="G3" s="96"/>
      <c r="H3" s="96"/>
    </row>
    <row r="4" spans="1:8" x14ac:dyDescent="0.3">
      <c r="A4" s="96" t="s">
        <v>2</v>
      </c>
      <c r="B4" s="96"/>
      <c r="C4" s="96"/>
      <c r="D4" s="96"/>
      <c r="E4" s="96" t="s">
        <v>166</v>
      </c>
      <c r="F4" s="96"/>
      <c r="G4" s="96"/>
      <c r="H4" s="96"/>
    </row>
    <row r="5" spans="1:8" x14ac:dyDescent="0.3">
      <c r="A5" s="96" t="s">
        <v>3</v>
      </c>
      <c r="B5" s="96"/>
      <c r="C5" s="96"/>
      <c r="D5" s="96"/>
      <c r="E5" s="115">
        <v>45881</v>
      </c>
      <c r="F5" s="96"/>
      <c r="G5" s="96"/>
      <c r="H5" s="96"/>
    </row>
    <row r="6" spans="1:8" ht="16.5" customHeight="1" x14ac:dyDescent="0.3">
      <c r="A6" s="96" t="s">
        <v>4</v>
      </c>
      <c r="B6" s="96"/>
      <c r="C6" s="96"/>
      <c r="D6" s="96"/>
      <c r="E6" s="96" t="s">
        <v>169</v>
      </c>
      <c r="F6" s="96"/>
      <c r="G6" s="96"/>
      <c r="H6" s="96"/>
    </row>
    <row r="7" spans="1:8" x14ac:dyDescent="0.3">
      <c r="A7" s="96" t="s">
        <v>5</v>
      </c>
      <c r="B7" s="96"/>
      <c r="C7" s="96"/>
      <c r="D7" s="96"/>
      <c r="E7" s="96" t="s">
        <v>167</v>
      </c>
      <c r="F7" s="96"/>
      <c r="G7" s="96"/>
      <c r="H7" s="96"/>
    </row>
    <row r="8" spans="1:8" x14ac:dyDescent="0.3">
      <c r="A8" s="96" t="s">
        <v>6</v>
      </c>
      <c r="B8" s="96"/>
      <c r="C8" s="96"/>
      <c r="D8" s="96"/>
      <c r="E8" s="118" t="s">
        <v>168</v>
      </c>
      <c r="F8" s="118"/>
      <c r="G8" s="118"/>
      <c r="H8" s="118"/>
    </row>
    <row r="9" spans="1:8" x14ac:dyDescent="0.3">
      <c r="A9" s="96" t="s">
        <v>162</v>
      </c>
      <c r="B9" s="96"/>
      <c r="C9" s="96"/>
      <c r="D9" s="96"/>
      <c r="E9" s="110" t="s">
        <v>209</v>
      </c>
      <c r="F9" s="96"/>
      <c r="G9" s="96"/>
      <c r="H9" s="96"/>
    </row>
    <row r="10" spans="1:8" x14ac:dyDescent="0.3">
      <c r="A10" s="96" t="s">
        <v>163</v>
      </c>
      <c r="B10" s="96"/>
      <c r="C10" s="96"/>
      <c r="D10" s="96"/>
      <c r="E10" s="96" t="s">
        <v>30</v>
      </c>
      <c r="F10" s="96"/>
      <c r="G10" s="96"/>
      <c r="H10" s="96"/>
    </row>
    <row r="11" spans="1:8" x14ac:dyDescent="0.3">
      <c r="A11" s="96" t="s">
        <v>7</v>
      </c>
      <c r="B11" s="96"/>
      <c r="C11" s="96"/>
      <c r="D11" s="96"/>
      <c r="E11" s="96" t="s">
        <v>124</v>
      </c>
      <c r="F11" s="96"/>
      <c r="G11" s="96"/>
      <c r="H11" s="96"/>
    </row>
    <row r="12" spans="1:8" x14ac:dyDescent="0.3">
      <c r="A12" s="67" t="s">
        <v>8</v>
      </c>
      <c r="B12" s="67"/>
      <c r="C12" s="67"/>
      <c r="D12" s="67"/>
      <c r="E12" s="110" t="s">
        <v>190</v>
      </c>
      <c r="F12" s="116"/>
      <c r="G12" s="116"/>
      <c r="H12" s="116"/>
    </row>
    <row r="13" spans="1:8" x14ac:dyDescent="0.3">
      <c r="A13" s="67" t="s">
        <v>9</v>
      </c>
      <c r="B13" s="67"/>
      <c r="C13" s="67"/>
      <c r="D13" s="67"/>
      <c r="E13" s="110" t="s">
        <v>170</v>
      </c>
      <c r="F13" s="96"/>
      <c r="G13" s="96"/>
      <c r="H13" s="96"/>
    </row>
    <row r="14" spans="1:8" ht="36.75" customHeight="1" x14ac:dyDescent="0.3">
      <c r="A14" s="113" t="s">
        <v>10</v>
      </c>
      <c r="B14" s="113"/>
      <c r="C14" s="11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Krishnapingaksha, Survey No.51, H.No. 2/A/26, Plot No. 26, near New Villa Apartment, Internal Road, Aptewadi, Ramnagar, Shirgaon, Badlapur, Ambarnath, Thane - 421503.</v>
      </c>
      <c r="D14" s="113"/>
      <c r="E14" s="113"/>
      <c r="F14" s="113"/>
      <c r="G14" s="113"/>
      <c r="H14" s="113"/>
    </row>
    <row r="15" spans="1:8" x14ac:dyDescent="0.3">
      <c r="A15" s="110" t="s">
        <v>172</v>
      </c>
      <c r="B15" s="110"/>
      <c r="C15" s="110" t="s">
        <v>171</v>
      </c>
      <c r="D15" s="110"/>
      <c r="E15" s="110"/>
      <c r="F15" s="110"/>
      <c r="G15" s="110"/>
      <c r="H15" s="110"/>
    </row>
    <row r="16" spans="1:8" ht="15.75" customHeight="1" x14ac:dyDescent="0.3">
      <c r="A16" s="110" t="s">
        <v>161</v>
      </c>
      <c r="B16" s="110"/>
      <c r="C16" s="110" t="s">
        <v>200</v>
      </c>
      <c r="D16" s="110"/>
      <c r="E16" s="110"/>
      <c r="F16" s="110"/>
      <c r="G16" s="110"/>
      <c r="H16" s="110"/>
    </row>
    <row r="17" spans="1:8" ht="15.75" customHeight="1" x14ac:dyDescent="0.3">
      <c r="A17" s="113" t="s">
        <v>11</v>
      </c>
      <c r="B17" s="113"/>
      <c r="C17" s="96" t="s">
        <v>194</v>
      </c>
      <c r="D17" s="96"/>
      <c r="E17" s="113" t="s">
        <v>75</v>
      </c>
      <c r="F17" s="113"/>
      <c r="G17" s="110" t="s">
        <v>173</v>
      </c>
      <c r="H17" s="110"/>
    </row>
    <row r="18" spans="1:8" x14ac:dyDescent="0.3">
      <c r="A18" s="67" t="s">
        <v>13</v>
      </c>
      <c r="B18" s="67"/>
      <c r="C18" s="110" t="s">
        <v>197</v>
      </c>
      <c r="D18" s="110"/>
      <c r="E18" s="113" t="s">
        <v>12</v>
      </c>
      <c r="F18" s="113"/>
      <c r="G18" s="114" t="s">
        <v>174</v>
      </c>
      <c r="H18" s="114"/>
    </row>
    <row r="19" spans="1:8" x14ac:dyDescent="0.3">
      <c r="A19" s="67" t="s">
        <v>76</v>
      </c>
      <c r="B19" s="67"/>
      <c r="C19" s="110" t="s">
        <v>175</v>
      </c>
      <c r="D19" s="110"/>
      <c r="E19" s="113" t="s">
        <v>14</v>
      </c>
      <c r="F19" s="113"/>
      <c r="G19" s="110">
        <v>421503</v>
      </c>
      <c r="H19" s="110"/>
    </row>
    <row r="20" spans="1:8" ht="32.25" customHeight="1" x14ac:dyDescent="0.3">
      <c r="A20" s="67" t="s">
        <v>125</v>
      </c>
      <c r="B20" s="67"/>
      <c r="C20" s="110" t="s">
        <v>193</v>
      </c>
      <c r="D20" s="110"/>
      <c r="E20" s="113" t="s">
        <v>15</v>
      </c>
      <c r="F20" s="113"/>
      <c r="G20" s="110" t="s">
        <v>198</v>
      </c>
      <c r="H20" s="110"/>
    </row>
    <row r="21" spans="1:8" ht="15" customHeight="1" x14ac:dyDescent="0.3">
      <c r="A21" s="113" t="s">
        <v>78</v>
      </c>
      <c r="B21" s="113"/>
      <c r="C21" s="113"/>
      <c r="D21" s="113"/>
      <c r="E21" s="96" t="s">
        <v>16</v>
      </c>
      <c r="F21" s="96"/>
      <c r="G21" s="96"/>
      <c r="H21" s="96"/>
    </row>
    <row r="22" spans="1:8" ht="18.75" customHeight="1" x14ac:dyDescent="0.3">
      <c r="A22" s="113"/>
      <c r="B22" s="113"/>
      <c r="C22" s="113"/>
      <c r="D22" s="113"/>
      <c r="E22" s="96"/>
      <c r="F22" s="96"/>
      <c r="G22" s="96"/>
      <c r="H22" s="96"/>
    </row>
    <row r="23" spans="1:8" ht="15" customHeight="1" x14ac:dyDescent="0.3">
      <c r="A23" s="113" t="s">
        <v>17</v>
      </c>
      <c r="B23" s="113"/>
      <c r="C23" s="113"/>
      <c r="D23" s="113"/>
      <c r="E23" s="110" t="s">
        <v>18</v>
      </c>
      <c r="F23" s="110"/>
      <c r="G23" s="110"/>
      <c r="H23" s="110"/>
    </row>
    <row r="24" spans="1:8" ht="15" customHeight="1" x14ac:dyDescent="0.3">
      <c r="A24" s="67" t="s">
        <v>19</v>
      </c>
      <c r="B24" s="67"/>
      <c r="C24" s="67"/>
      <c r="D24" s="67"/>
      <c r="E24" s="110" t="str">
        <f>IF(AND(G18="Mumbai"),"Upper Class","Middle Class")</f>
        <v>Middle Class</v>
      </c>
      <c r="F24" s="110"/>
      <c r="G24" s="110"/>
      <c r="H24" s="110"/>
    </row>
    <row r="25" spans="1:8" x14ac:dyDescent="0.3">
      <c r="A25" s="67" t="s">
        <v>20</v>
      </c>
      <c r="B25" s="67"/>
      <c r="C25" s="67"/>
      <c r="D25" s="67"/>
      <c r="E25" s="110" t="s">
        <v>21</v>
      </c>
      <c r="F25" s="110"/>
      <c r="G25" s="110"/>
      <c r="H25" s="110"/>
    </row>
    <row r="26" spans="1:8" ht="15.75" customHeight="1" x14ac:dyDescent="0.3">
      <c r="A26" s="67" t="s">
        <v>22</v>
      </c>
      <c r="B26" s="67"/>
      <c r="C26" s="67"/>
      <c r="D26" s="67"/>
      <c r="E26" s="110" t="str">
        <f>IF(AND(G18="Mumbai"),"Developed","Developing")</f>
        <v>Developing</v>
      </c>
      <c r="F26" s="110"/>
      <c r="G26" s="110"/>
      <c r="H26" s="110"/>
    </row>
    <row r="27" spans="1:8" x14ac:dyDescent="0.3">
      <c r="A27" s="67" t="s">
        <v>23</v>
      </c>
      <c r="B27" s="67"/>
      <c r="C27" s="67"/>
      <c r="D27" s="67"/>
      <c r="E27" s="110" t="s">
        <v>24</v>
      </c>
      <c r="F27" s="110"/>
      <c r="G27" s="110"/>
      <c r="H27" s="110"/>
    </row>
    <row r="28" spans="1:8" ht="15.75" customHeight="1" x14ac:dyDescent="0.3">
      <c r="A28" s="67" t="s">
        <v>83</v>
      </c>
      <c r="B28" s="67"/>
      <c r="C28" s="67"/>
      <c r="D28" s="67"/>
      <c r="E28" s="110" t="s">
        <v>84</v>
      </c>
      <c r="F28" s="110"/>
      <c r="G28" s="110"/>
      <c r="H28" s="110"/>
    </row>
    <row r="29" spans="1:8" ht="15" customHeight="1" x14ac:dyDescent="0.3">
      <c r="A29" s="67" t="s">
        <v>33</v>
      </c>
      <c r="B29" s="67"/>
      <c r="C29" s="67"/>
      <c r="D29" s="67"/>
      <c r="E29" s="11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10"/>
      <c r="G29" s="110"/>
      <c r="H29" s="110"/>
    </row>
    <row r="30" spans="1:8" ht="15.75" customHeight="1" x14ac:dyDescent="0.3">
      <c r="A30" s="67" t="s">
        <v>95</v>
      </c>
      <c r="B30" s="67"/>
      <c r="C30" s="67"/>
      <c r="D30" s="67"/>
      <c r="E30" s="110" t="s">
        <v>34</v>
      </c>
      <c r="F30" s="110"/>
      <c r="G30" s="110"/>
      <c r="H30" s="110"/>
    </row>
    <row r="31" spans="1:8" s="20" customFormat="1" x14ac:dyDescent="0.3">
      <c r="A31" s="112" t="s">
        <v>96</v>
      </c>
      <c r="B31" s="112"/>
      <c r="C31" s="111" t="s">
        <v>29</v>
      </c>
      <c r="D31" s="111"/>
      <c r="E31" s="111"/>
      <c r="F31" s="111" t="s">
        <v>31</v>
      </c>
      <c r="G31" s="111"/>
      <c r="H31" s="111"/>
    </row>
    <row r="32" spans="1:8" s="20" customFormat="1" x14ac:dyDescent="0.3">
      <c r="A32" s="103" t="s">
        <v>25</v>
      </c>
      <c r="B32" s="103" t="s">
        <v>30</v>
      </c>
      <c r="C32" s="104" t="s">
        <v>30</v>
      </c>
      <c r="D32" s="104"/>
      <c r="E32" s="104"/>
      <c r="F32" s="104" t="s">
        <v>193</v>
      </c>
      <c r="G32" s="104"/>
      <c r="H32" s="104"/>
    </row>
    <row r="33" spans="1:8" x14ac:dyDescent="0.3">
      <c r="A33" s="103" t="s">
        <v>26</v>
      </c>
      <c r="B33" s="103" t="s">
        <v>30</v>
      </c>
      <c r="C33" s="104" t="s">
        <v>30</v>
      </c>
      <c r="D33" s="104"/>
      <c r="E33" s="104"/>
      <c r="F33" s="104" t="s">
        <v>194</v>
      </c>
      <c r="G33" s="104"/>
      <c r="H33" s="104"/>
    </row>
    <row r="34" spans="1:8" s="20" customFormat="1" x14ac:dyDescent="0.3">
      <c r="A34" s="103" t="s">
        <v>28</v>
      </c>
      <c r="B34" s="103" t="s">
        <v>30</v>
      </c>
      <c r="C34" s="104" t="s">
        <v>30</v>
      </c>
      <c r="D34" s="104"/>
      <c r="E34" s="104"/>
      <c r="F34" s="104" t="s">
        <v>195</v>
      </c>
      <c r="G34" s="104"/>
      <c r="H34" s="104"/>
    </row>
    <row r="35" spans="1:8" x14ac:dyDescent="0.3">
      <c r="A35" s="103" t="s">
        <v>27</v>
      </c>
      <c r="B35" s="103" t="s">
        <v>30</v>
      </c>
      <c r="C35" s="104" t="s">
        <v>30</v>
      </c>
      <c r="D35" s="104"/>
      <c r="E35" s="104"/>
      <c r="F35" s="104" t="s">
        <v>196</v>
      </c>
      <c r="G35" s="104"/>
      <c r="H35" s="104"/>
    </row>
    <row r="36" spans="1:8" x14ac:dyDescent="0.3">
      <c r="A36" s="67" t="s">
        <v>32</v>
      </c>
      <c r="B36" s="67"/>
      <c r="C36" s="67"/>
      <c r="D36" s="67"/>
      <c r="E36" s="67"/>
      <c r="F36" s="67"/>
      <c r="G36" s="67"/>
      <c r="H36" s="67"/>
    </row>
    <row r="37" spans="1:8" ht="15.75" customHeight="1" x14ac:dyDescent="0.3">
      <c r="A37" s="73" t="s">
        <v>203</v>
      </c>
      <c r="B37" s="73"/>
      <c r="C37" s="107" t="s">
        <v>204</v>
      </c>
      <c r="D37" s="108"/>
      <c r="E37" s="108"/>
      <c r="F37" s="108"/>
      <c r="G37" s="108"/>
      <c r="H37" s="109"/>
    </row>
    <row r="38" spans="1:8" x14ac:dyDescent="0.3">
      <c r="A38" s="73" t="s">
        <v>160</v>
      </c>
      <c r="B38" s="73"/>
      <c r="C38" s="74" t="s">
        <v>192</v>
      </c>
      <c r="D38" s="75"/>
      <c r="E38" s="75"/>
      <c r="F38" s="75"/>
      <c r="G38" s="75"/>
      <c r="H38" s="75"/>
    </row>
    <row r="39" spans="1:8" x14ac:dyDescent="0.3">
      <c r="A39" s="105" t="s">
        <v>35</v>
      </c>
      <c r="B39" s="105"/>
      <c r="C39" s="105"/>
      <c r="D39" s="105"/>
      <c r="E39" s="105"/>
      <c r="F39" s="105"/>
      <c r="G39" s="105"/>
      <c r="H39" s="105"/>
    </row>
    <row r="40" spans="1:8" x14ac:dyDescent="0.3">
      <c r="A40" s="67" t="s">
        <v>36</v>
      </c>
      <c r="B40" s="67"/>
      <c r="C40" s="67"/>
      <c r="D40" s="67"/>
      <c r="E40" s="90">
        <v>332</v>
      </c>
      <c r="F40" s="90"/>
      <c r="G40" s="90"/>
      <c r="H40" s="90"/>
    </row>
    <row r="41" spans="1:8" x14ac:dyDescent="0.3">
      <c r="A41" s="67" t="s">
        <v>37</v>
      </c>
      <c r="B41" s="67"/>
      <c r="C41" s="67"/>
      <c r="D41" s="67"/>
      <c r="E41" s="94">
        <v>1.1000000000000001</v>
      </c>
      <c r="F41" s="94"/>
      <c r="G41" s="94"/>
      <c r="H41" s="94"/>
    </row>
    <row r="42" spans="1:8" x14ac:dyDescent="0.3">
      <c r="A42" s="67" t="s">
        <v>38</v>
      </c>
      <c r="B42" s="67"/>
      <c r="C42" s="67"/>
      <c r="D42" s="67"/>
      <c r="E42" s="94">
        <f>E44/E40-E41</f>
        <v>0.65584337349397592</v>
      </c>
      <c r="F42" s="94"/>
      <c r="G42" s="94"/>
      <c r="H42" s="94"/>
    </row>
    <row r="43" spans="1:8" x14ac:dyDescent="0.3">
      <c r="A43" s="67" t="s">
        <v>39</v>
      </c>
      <c r="B43" s="67"/>
      <c r="C43" s="67"/>
      <c r="D43" s="67"/>
      <c r="E43" s="94">
        <f>E41+E42</f>
        <v>1.755843373493976</v>
      </c>
      <c r="F43" s="94"/>
      <c r="G43" s="94"/>
      <c r="H43" s="94"/>
    </row>
    <row r="44" spans="1:8" x14ac:dyDescent="0.3">
      <c r="A44" s="67" t="s">
        <v>94</v>
      </c>
      <c r="B44" s="67"/>
      <c r="C44" s="67"/>
      <c r="D44" s="67"/>
      <c r="E44" s="95">
        <v>582.94000000000005</v>
      </c>
      <c r="F44" s="95"/>
      <c r="G44" s="95"/>
      <c r="H44" s="95"/>
    </row>
    <row r="45" spans="1:8" x14ac:dyDescent="0.3">
      <c r="A45" s="96" t="s">
        <v>40</v>
      </c>
      <c r="B45" s="96"/>
      <c r="C45" s="96"/>
      <c r="D45" s="96"/>
      <c r="E45" s="96" t="s">
        <v>124</v>
      </c>
      <c r="F45" s="96"/>
      <c r="G45" s="96"/>
      <c r="H45" s="96"/>
    </row>
    <row r="46" spans="1:8" x14ac:dyDescent="0.3">
      <c r="A46" s="105" t="s">
        <v>41</v>
      </c>
      <c r="B46" s="105"/>
      <c r="C46" s="105"/>
      <c r="D46" s="105"/>
      <c r="E46" s="105"/>
      <c r="F46" s="105"/>
      <c r="G46" s="105"/>
      <c r="H46" s="105"/>
    </row>
    <row r="47" spans="1:8" ht="33.75" customHeight="1" x14ac:dyDescent="0.3">
      <c r="A47" s="97" t="s">
        <v>152</v>
      </c>
      <c r="B47" s="98"/>
      <c r="C47" s="99" t="s">
        <v>182</v>
      </c>
      <c r="D47" s="100"/>
      <c r="E47" s="100"/>
      <c r="F47" s="100"/>
      <c r="G47" s="100"/>
      <c r="H47" s="101"/>
    </row>
    <row r="48" spans="1:8" ht="15.75" customHeight="1" x14ac:dyDescent="0.3">
      <c r="A48" s="97" t="s">
        <v>42</v>
      </c>
      <c r="B48" s="98"/>
      <c r="C48" s="97" t="s">
        <v>183</v>
      </c>
      <c r="D48" s="102"/>
      <c r="E48" s="98"/>
      <c r="F48" s="18" t="s">
        <v>43</v>
      </c>
      <c r="G48" s="124">
        <v>44586</v>
      </c>
      <c r="H48" s="98"/>
    </row>
    <row r="49" spans="1:14" x14ac:dyDescent="0.3">
      <c r="A49" s="97" t="s">
        <v>44</v>
      </c>
      <c r="B49" s="98"/>
      <c r="C49" s="97" t="str">
        <f>C48</f>
        <v>KBNP/NRV/BP/0774-188</v>
      </c>
      <c r="D49" s="102"/>
      <c r="E49" s="98"/>
      <c r="F49" s="18" t="s">
        <v>43</v>
      </c>
      <c r="G49" s="124">
        <f>G48</f>
        <v>44586</v>
      </c>
      <c r="H49" s="125"/>
    </row>
    <row r="50" spans="1:14" s="21" customFormat="1" ht="31.5" customHeight="1" x14ac:dyDescent="0.3">
      <c r="A50" s="126" t="s">
        <v>185</v>
      </c>
      <c r="B50" s="127"/>
      <c r="C50" s="97" t="s">
        <v>184</v>
      </c>
      <c r="D50" s="102"/>
      <c r="E50" s="98"/>
      <c r="F50" s="18" t="s">
        <v>43</v>
      </c>
      <c r="G50" s="124">
        <f>G49</f>
        <v>44586</v>
      </c>
      <c r="H50" s="125"/>
    </row>
    <row r="51" spans="1:14" s="21" customFormat="1" x14ac:dyDescent="0.3">
      <c r="A51" s="128"/>
      <c r="B51" s="129"/>
      <c r="C51" s="97" t="s">
        <v>186</v>
      </c>
      <c r="D51" s="102"/>
      <c r="E51" s="102"/>
      <c r="F51" s="102"/>
      <c r="G51" s="102"/>
      <c r="H51" s="98"/>
    </row>
    <row r="52" spans="1:14" x14ac:dyDescent="0.3">
      <c r="A52" s="172" t="s">
        <v>45</v>
      </c>
      <c r="B52" s="173"/>
      <c r="C52" s="172" t="s">
        <v>108</v>
      </c>
      <c r="D52" s="174"/>
      <c r="E52" s="173"/>
      <c r="F52" s="42" t="s">
        <v>43</v>
      </c>
      <c r="G52" s="149" t="s">
        <v>30</v>
      </c>
      <c r="H52" s="150"/>
    </row>
    <row r="53" spans="1:14" x14ac:dyDescent="0.3">
      <c r="A53" s="139" t="s">
        <v>47</v>
      </c>
      <c r="B53" s="139"/>
      <c r="C53" s="139"/>
      <c r="D53" s="139"/>
      <c r="E53" s="139"/>
      <c r="F53" s="139"/>
      <c r="G53" s="139"/>
      <c r="H53" s="139"/>
    </row>
    <row r="54" spans="1:14" x14ac:dyDescent="0.3">
      <c r="A54" s="113" t="s">
        <v>93</v>
      </c>
      <c r="B54" s="113"/>
      <c r="C54" s="113"/>
      <c r="D54" s="67">
        <f>E44</f>
        <v>582.94000000000005</v>
      </c>
      <c r="E54" s="67"/>
      <c r="F54" s="67"/>
      <c r="G54" s="67"/>
      <c r="H54" s="67"/>
    </row>
    <row r="55" spans="1:14" x14ac:dyDescent="0.3">
      <c r="A55" s="110" t="s">
        <v>48</v>
      </c>
      <c r="B55" s="96"/>
      <c r="C55" s="96"/>
      <c r="D55" s="96" t="s">
        <v>191</v>
      </c>
      <c r="E55" s="96"/>
      <c r="F55" s="96"/>
      <c r="G55" s="96"/>
      <c r="H55" s="96"/>
      <c r="I55" s="22"/>
    </row>
    <row r="56" spans="1:14" x14ac:dyDescent="0.3">
      <c r="A56" s="121" t="s">
        <v>49</v>
      </c>
      <c r="B56" s="122"/>
      <c r="C56" s="123"/>
      <c r="D56" s="119" t="s">
        <v>187</v>
      </c>
      <c r="E56" s="120"/>
      <c r="F56" s="120"/>
      <c r="G56" s="120"/>
      <c r="H56" s="120"/>
    </row>
    <row r="57" spans="1:14" ht="15.75" customHeight="1" x14ac:dyDescent="0.3">
      <c r="A57" s="121" t="s">
        <v>91</v>
      </c>
      <c r="B57" s="122"/>
      <c r="C57" s="122"/>
      <c r="D57" s="110" t="s">
        <v>187</v>
      </c>
      <c r="E57" s="96"/>
      <c r="F57" s="96"/>
      <c r="G57" s="96"/>
      <c r="H57" s="96"/>
    </row>
    <row r="58" spans="1:14" ht="15.75" customHeight="1" x14ac:dyDescent="0.3">
      <c r="A58" s="67" t="s">
        <v>46</v>
      </c>
      <c r="B58" s="67"/>
      <c r="C58" s="67"/>
      <c r="D58" s="106" t="s">
        <v>188</v>
      </c>
      <c r="E58" s="106"/>
      <c r="F58" s="106"/>
      <c r="G58" s="106"/>
      <c r="H58" s="106"/>
      <c r="J58" s="23"/>
      <c r="K58" s="22"/>
      <c r="N58" s="22"/>
    </row>
    <row r="59" spans="1:14" ht="15.75" customHeight="1" x14ac:dyDescent="0.3">
      <c r="A59" s="67" t="s">
        <v>89</v>
      </c>
      <c r="B59" s="67"/>
      <c r="C59" s="67"/>
      <c r="D59" s="93" t="str">
        <f>(IF(G52="NA","60 Years After Completion",IF(G52&lt;&gt;"NA",""&amp;60-ROUNDDOWN((E3-G52)/360,0)&amp;" Years"," ")))</f>
        <v>60 Years After Completion</v>
      </c>
      <c r="E59" s="93"/>
      <c r="F59" s="93"/>
      <c r="G59" s="93"/>
      <c r="H59" s="93"/>
      <c r="N59" s="22"/>
    </row>
    <row r="60" spans="1:14" ht="15.75" customHeight="1" x14ac:dyDescent="0.3">
      <c r="A60" s="67" t="s">
        <v>90</v>
      </c>
      <c r="B60" s="67"/>
      <c r="C60" s="67"/>
      <c r="D60" s="113" t="s">
        <v>24</v>
      </c>
      <c r="E60" s="113"/>
      <c r="F60" s="113"/>
      <c r="G60" s="113"/>
      <c r="H60" s="113"/>
      <c r="J60" s="24"/>
      <c r="K60" s="24"/>
    </row>
    <row r="61" spans="1:14" x14ac:dyDescent="0.3">
      <c r="A61" s="67" t="s">
        <v>77</v>
      </c>
      <c r="B61" s="67"/>
      <c r="C61" s="67"/>
      <c r="D61" s="110" t="s">
        <v>189</v>
      </c>
      <c r="E61" s="113"/>
      <c r="F61" s="113"/>
      <c r="G61" s="113"/>
      <c r="H61" s="113"/>
    </row>
    <row r="62" spans="1:14" x14ac:dyDescent="0.3">
      <c r="A62" s="113" t="s">
        <v>151</v>
      </c>
      <c r="B62" s="113"/>
      <c r="C62" s="113"/>
      <c r="D62" s="113" t="s">
        <v>30</v>
      </c>
      <c r="E62" s="113"/>
      <c r="F62" s="113"/>
      <c r="G62" s="113"/>
      <c r="H62" s="113"/>
      <c r="I62" s="25"/>
      <c r="J62" s="25"/>
      <c r="K62" s="25"/>
      <c r="L62" s="25"/>
      <c r="M62" s="25"/>
      <c r="N62" s="25"/>
    </row>
    <row r="63" spans="1:14" ht="15.75" customHeight="1" x14ac:dyDescent="0.3">
      <c r="A63" s="156" t="s">
        <v>88</v>
      </c>
      <c r="B63" s="156"/>
      <c r="C63" s="156"/>
      <c r="D63" s="119" t="str">
        <f ca="1">(IF(G69&gt;95%,"Nothing",IF(G69&gt;0%,"Cement, Aggregate, Steel, etc",IF(G69=0%,"Work not yet Started"))))</f>
        <v>Cement, Aggregate, Steel, etc</v>
      </c>
      <c r="E63" s="119"/>
      <c r="F63" s="119"/>
      <c r="G63" s="119"/>
      <c r="H63" s="119"/>
      <c r="J63" s="24"/>
    </row>
    <row r="64" spans="1:14" ht="33.75" customHeight="1" thickBot="1" x14ac:dyDescent="0.35">
      <c r="A64" s="138" t="s">
        <v>121</v>
      </c>
      <c r="B64" s="138"/>
      <c r="C64" s="138"/>
      <c r="D64" s="119" t="str">
        <f ca="1">(IF(D63="Nothing","Yes",IF(D63="Cement, Aggregate, Steel, etc","Under Construction",IF(D63="Work not yet Started","Work not yet Started"))))</f>
        <v>Under Construction</v>
      </c>
      <c r="E64" s="119"/>
      <c r="F64" s="119" t="str">
        <f ca="1">(IF(D63="Nothing","Yes",IF(D63="Cement, Aggregate, Steel, etc","Under Construction",IF(D63="Work not yet Started","Work not yet Started"))))</f>
        <v>Under Construction</v>
      </c>
      <c r="G64" s="119"/>
      <c r="H64" s="119"/>
    </row>
    <row r="65" spans="1:13" ht="15.75" customHeight="1" x14ac:dyDescent="0.3">
      <c r="A65" s="131" t="s">
        <v>143</v>
      </c>
      <c r="B65" s="132"/>
      <c r="C65" s="133" t="str">
        <f>D57</f>
        <v>Gr/Stilt + 1st to 6th Floor</v>
      </c>
      <c r="D65" s="134"/>
      <c r="E65" s="134"/>
      <c r="F65" s="134"/>
      <c r="G65" s="134"/>
      <c r="H65" s="135"/>
      <c r="I65" s="44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3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3 Floor</v>
      </c>
    </row>
    <row r="66" spans="1:13" x14ac:dyDescent="0.3">
      <c r="A66" s="16" t="s">
        <v>145</v>
      </c>
      <c r="B66" s="48">
        <v>0</v>
      </c>
      <c r="C66" s="48" t="s">
        <v>74</v>
      </c>
      <c r="D66" s="48">
        <v>1</v>
      </c>
      <c r="E66" s="48" t="s">
        <v>73</v>
      </c>
      <c r="F66" s="48">
        <v>0</v>
      </c>
      <c r="G66" s="48" t="s">
        <v>82</v>
      </c>
      <c r="H66" s="17">
        <f ca="1">--TRIM(RIGHT(SUBSTITUTE(LEFT(C65,_xlfn.AGGREGATE(16,6,FIND({0,1,2,3,4,5,6,7,8,9},C65,ROW(INDIRECT("1:"&amp;LEN(C65)))),1))," ",REPT(" ",LEN(C65))),LEN(C65)))</f>
        <v>6</v>
      </c>
      <c r="I66" s="4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3" customHeight="1" x14ac:dyDescent="0.3">
      <c r="A67" s="130" t="s">
        <v>92</v>
      </c>
      <c r="B67" s="118"/>
      <c r="C67" s="136" t="str">
        <f ca="1">I65</f>
        <v>Excavation, Plinth, RCC Slab, Brickwork, Internal Plaster, External Plaster, Flooring, Painting Completed, Finishing upto 3 Floor Completed</v>
      </c>
      <c r="D67" s="136"/>
      <c r="E67" s="136"/>
      <c r="F67" s="136"/>
      <c r="G67" s="136"/>
      <c r="H67" s="137"/>
      <c r="I67" s="46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3" ht="15.75" customHeight="1" x14ac:dyDescent="0.3">
      <c r="A68" s="85" t="s">
        <v>50</v>
      </c>
      <c r="B68" s="86"/>
      <c r="C68" s="52" t="s">
        <v>142</v>
      </c>
      <c r="D68" s="52" t="s">
        <v>85</v>
      </c>
      <c r="E68" s="86" t="s">
        <v>87</v>
      </c>
      <c r="F68" s="86"/>
      <c r="G68" s="86" t="s">
        <v>86</v>
      </c>
      <c r="H68" s="157"/>
      <c r="I68" s="14" t="s">
        <v>144</v>
      </c>
      <c r="J68" s="26">
        <f ca="1">H66*25%</f>
        <v>1.5</v>
      </c>
    </row>
    <row r="69" spans="1:13" x14ac:dyDescent="0.3">
      <c r="A69" s="85" t="s">
        <v>131</v>
      </c>
      <c r="B69" s="86"/>
      <c r="C69" s="52">
        <f ca="1">J70</f>
        <v>6</v>
      </c>
      <c r="D69" s="53">
        <f ca="1">((100/H66)*C69)/100</f>
        <v>1</v>
      </c>
      <c r="E69" s="158">
        <f ca="1">(((C70/H66*10)+(40/(D66+F66+H66)*C71)+(7.5/(H66)*C72)+(7.5/(H66)*C73)+(10/H66*C74)+(10/H66*C75)+(5/H66*C76)+(5/H66*C77)+(5/H66*C78))/100)</f>
        <v>0.92500000000000004</v>
      </c>
      <c r="F69" s="159"/>
      <c r="G69" s="158">
        <f ca="1">((((C69/H66)*20)+((C70/H66)*25)+(30/(H66+F66+D66)*C71)+(5/H66*C72)+(5/H66*C73)+(5/H66*C74)+(5/H66*C75)+(0/H66*C76)+(0/H66*C77)+(5/H66*C78))/100)</f>
        <v>0.95</v>
      </c>
      <c r="H69" s="164"/>
      <c r="I69" s="14" t="s">
        <v>103</v>
      </c>
      <c r="J69" s="27">
        <f ca="1">H66*50%</f>
        <v>3</v>
      </c>
    </row>
    <row r="70" spans="1:13" x14ac:dyDescent="0.3">
      <c r="A70" s="85" t="s">
        <v>51</v>
      </c>
      <c r="B70" s="86"/>
      <c r="C70" s="52">
        <f ca="1">J78</f>
        <v>6</v>
      </c>
      <c r="D70" s="53">
        <f ca="1">((100/H66)*C70)/100</f>
        <v>1</v>
      </c>
      <c r="E70" s="160"/>
      <c r="F70" s="161"/>
      <c r="G70" s="160"/>
      <c r="H70" s="165"/>
      <c r="I70" s="14" t="s">
        <v>104</v>
      </c>
      <c r="J70" s="27">
        <f ca="1">H66</f>
        <v>6</v>
      </c>
    </row>
    <row r="71" spans="1:13" ht="15.75" customHeight="1" x14ac:dyDescent="0.3">
      <c r="A71" s="85" t="s">
        <v>132</v>
      </c>
      <c r="B71" s="86"/>
      <c r="C71" s="52">
        <v>7</v>
      </c>
      <c r="D71" s="53">
        <f ca="1">((100/(D66+F66+H66))*C71)/100</f>
        <v>1</v>
      </c>
      <c r="E71" s="160"/>
      <c r="F71" s="161"/>
      <c r="G71" s="160"/>
      <c r="H71" s="165"/>
      <c r="I71" s="14" t="s">
        <v>105</v>
      </c>
      <c r="J71" s="28">
        <f ca="1">(IF(B66&gt;1,(H66/(B66+2)),H66/4))</f>
        <v>1.5</v>
      </c>
    </row>
    <row r="72" spans="1:13" ht="15.75" customHeight="1" x14ac:dyDescent="0.3">
      <c r="A72" s="85" t="s">
        <v>139</v>
      </c>
      <c r="B72" s="86" t="s">
        <v>133</v>
      </c>
      <c r="C72" s="52">
        <v>6</v>
      </c>
      <c r="D72" s="53">
        <f ca="1">((100/H66)*C72)/100</f>
        <v>1</v>
      </c>
      <c r="E72" s="160"/>
      <c r="F72" s="161"/>
      <c r="G72" s="160"/>
      <c r="H72" s="165"/>
      <c r="I72" s="14" t="s">
        <v>106</v>
      </c>
      <c r="J72" s="28">
        <f ca="1">(IF(B66&gt;1,(H66/(B66+2)+J71),H66/4+J71))</f>
        <v>3</v>
      </c>
    </row>
    <row r="73" spans="1:13" ht="15.75" customHeight="1" x14ac:dyDescent="0.3">
      <c r="A73" s="85" t="s">
        <v>140</v>
      </c>
      <c r="B73" s="86" t="s">
        <v>133</v>
      </c>
      <c r="C73" s="52">
        <v>6</v>
      </c>
      <c r="D73" s="53">
        <f ca="1">((100/H66)*C73)/100</f>
        <v>1</v>
      </c>
      <c r="E73" s="160"/>
      <c r="F73" s="161"/>
      <c r="G73" s="160"/>
      <c r="H73" s="165"/>
      <c r="I73" s="14" t="s">
        <v>149</v>
      </c>
      <c r="J73" s="28">
        <f>(IF(B66&gt;1,(H66/(B66+2)+J72),0))</f>
        <v>0</v>
      </c>
    </row>
    <row r="74" spans="1:13" ht="15" customHeight="1" x14ac:dyDescent="0.3">
      <c r="A74" s="85" t="s">
        <v>138</v>
      </c>
      <c r="B74" s="86" t="s">
        <v>135</v>
      </c>
      <c r="C74" s="52">
        <v>6</v>
      </c>
      <c r="D74" s="53">
        <f ca="1">((100/(H66))*C74)/100</f>
        <v>1</v>
      </c>
      <c r="E74" s="160"/>
      <c r="F74" s="161"/>
      <c r="G74" s="160"/>
      <c r="H74" s="165"/>
      <c r="I74" s="14" t="s">
        <v>146</v>
      </c>
      <c r="J74" s="28">
        <f>(IF(B66&gt;2,(H66/(B66+2)+J73),0))</f>
        <v>0</v>
      </c>
    </row>
    <row r="75" spans="1:13" ht="15.75" customHeight="1" x14ac:dyDescent="0.3">
      <c r="A75" s="85" t="s">
        <v>134</v>
      </c>
      <c r="B75" s="86" t="s">
        <v>134</v>
      </c>
      <c r="C75" s="52">
        <v>6</v>
      </c>
      <c r="D75" s="53">
        <f ca="1">((100/H66)*C75)/100</f>
        <v>1</v>
      </c>
      <c r="E75" s="160"/>
      <c r="F75" s="161"/>
      <c r="G75" s="160"/>
      <c r="H75" s="165"/>
      <c r="I75" s="14" t="s">
        <v>147</v>
      </c>
      <c r="J75" s="29">
        <f>(IF(B66&gt;3,(H66/(B66+2)+J74),0))</f>
        <v>0</v>
      </c>
    </row>
    <row r="76" spans="1:13" ht="15.75" customHeight="1" x14ac:dyDescent="0.3">
      <c r="A76" s="85" t="s">
        <v>141</v>
      </c>
      <c r="B76" s="86"/>
      <c r="C76" s="52">
        <v>6</v>
      </c>
      <c r="D76" s="53">
        <f ca="1">((100/H66)*C76)/100</f>
        <v>1</v>
      </c>
      <c r="E76" s="160"/>
      <c r="F76" s="161"/>
      <c r="G76" s="160"/>
      <c r="H76" s="165"/>
      <c r="I76" s="14" t="s">
        <v>148</v>
      </c>
      <c r="J76" s="28">
        <f>(IF(B66&gt;4,(H66/(B66+2)+J75),0))</f>
        <v>0</v>
      </c>
    </row>
    <row r="77" spans="1:13" ht="15.75" customHeight="1" x14ac:dyDescent="0.3">
      <c r="A77" s="85" t="s">
        <v>136</v>
      </c>
      <c r="B77" s="86" t="s">
        <v>136</v>
      </c>
      <c r="C77" s="52">
        <v>3</v>
      </c>
      <c r="D77" s="53">
        <f ca="1">((100/(H66))*C77)/100</f>
        <v>0.5</v>
      </c>
      <c r="E77" s="160"/>
      <c r="F77" s="161"/>
      <c r="G77" s="160"/>
      <c r="H77" s="165"/>
      <c r="I77" s="14" t="s">
        <v>150</v>
      </c>
      <c r="J77" s="28">
        <f ca="1">(IF(B66=1,(H66/(B66+3)+J72),IF(B66=0,(H66/4+J72),IF(B66&gt;1,0))))</f>
        <v>4.5</v>
      </c>
    </row>
    <row r="78" spans="1:13" ht="16.2" thickBot="1" x14ac:dyDescent="0.35">
      <c r="A78" s="91" t="s">
        <v>137</v>
      </c>
      <c r="B78" s="92"/>
      <c r="C78" s="54">
        <v>0</v>
      </c>
      <c r="D78" s="55">
        <f ca="1">((100/(H66))*C78)/100</f>
        <v>0</v>
      </c>
      <c r="E78" s="162"/>
      <c r="F78" s="163"/>
      <c r="G78" s="162"/>
      <c r="H78" s="166"/>
      <c r="I78" s="15" t="s">
        <v>107</v>
      </c>
      <c r="J78" s="30">
        <f ca="1">(IF(B66&gt;1.5,(H66/(B66+2)+J72+MAX(0,J73-J72)+MAX(0,J74-J73)+MAX(0,J75-J74)+MAX(0,J76-J75)+MAX(0,J77-J76)),IF(B66=1,(H66/(B66+3)+J77),IF(B66=0,H66/4+J77))))</f>
        <v>6</v>
      </c>
    </row>
    <row r="79" spans="1:13" x14ac:dyDescent="0.3">
      <c r="A79" s="61" t="s">
        <v>156</v>
      </c>
      <c r="B79" s="61"/>
      <c r="C79" s="61"/>
      <c r="D79" s="61"/>
      <c r="E79" s="61"/>
      <c r="F79" s="69" t="s">
        <v>158</v>
      </c>
      <c r="G79" s="69"/>
      <c r="H79" s="69"/>
      <c r="I79" s="35"/>
      <c r="J79" s="35"/>
      <c r="K79" s="35"/>
      <c r="L79" s="35"/>
      <c r="M79" s="72"/>
    </row>
    <row r="80" spans="1:13" x14ac:dyDescent="0.3">
      <c r="A80" s="67" t="s">
        <v>157</v>
      </c>
      <c r="B80" s="67"/>
      <c r="C80" s="67"/>
      <c r="D80" s="67"/>
      <c r="E80" s="67"/>
      <c r="F80" s="68">
        <v>5000</v>
      </c>
      <c r="G80" s="68"/>
      <c r="H80" s="68"/>
      <c r="I80" s="70" t="s">
        <v>207</v>
      </c>
      <c r="J80" s="71"/>
      <c r="K80" s="71"/>
      <c r="L80" s="71"/>
      <c r="M80" s="72"/>
    </row>
    <row r="81" spans="1:11" s="31" customFormat="1" x14ac:dyDescent="0.25">
      <c r="A81" s="67" t="s">
        <v>97</v>
      </c>
      <c r="B81" s="67"/>
      <c r="C81" s="67"/>
      <c r="D81" s="67"/>
      <c r="E81" s="67"/>
      <c r="F81" s="68">
        <v>200000</v>
      </c>
      <c r="G81" s="68"/>
      <c r="H81" s="68"/>
    </row>
    <row r="82" spans="1:11" s="31" customFormat="1" hidden="1" x14ac:dyDescent="0.25">
      <c r="A82" s="67" t="s">
        <v>98</v>
      </c>
      <c r="B82" s="67"/>
      <c r="C82" s="67"/>
      <c r="D82" s="67"/>
      <c r="E82" s="67"/>
      <c r="F82" s="68"/>
      <c r="G82" s="68"/>
      <c r="H82" s="68"/>
    </row>
    <row r="83" spans="1:11" s="31" customFormat="1" hidden="1" x14ac:dyDescent="0.25">
      <c r="A83" s="67" t="s">
        <v>159</v>
      </c>
      <c r="B83" s="67"/>
      <c r="C83" s="67"/>
      <c r="D83" s="67"/>
      <c r="E83" s="67"/>
      <c r="F83" s="68"/>
      <c r="G83" s="68"/>
      <c r="H83" s="68"/>
    </row>
    <row r="84" spans="1:11" s="31" customFormat="1" hidden="1" x14ac:dyDescent="0.25">
      <c r="A84" s="67" t="s">
        <v>99</v>
      </c>
      <c r="B84" s="67"/>
      <c r="C84" s="67"/>
      <c r="D84" s="67"/>
      <c r="E84" s="67"/>
      <c r="F84" s="68"/>
      <c r="G84" s="68"/>
      <c r="H84" s="68"/>
    </row>
    <row r="85" spans="1:11" s="31" customFormat="1" hidden="1" x14ac:dyDescent="0.25">
      <c r="A85" s="67" t="s">
        <v>100</v>
      </c>
      <c r="B85" s="67"/>
      <c r="C85" s="67"/>
      <c r="D85" s="67"/>
      <c r="E85" s="67"/>
      <c r="F85" s="68"/>
      <c r="G85" s="68"/>
      <c r="H85" s="68"/>
    </row>
    <row r="86" spans="1:11" s="31" customFormat="1" hidden="1" x14ac:dyDescent="0.25">
      <c r="A86" s="67" t="s">
        <v>101</v>
      </c>
      <c r="B86" s="67"/>
      <c r="C86" s="67"/>
      <c r="D86" s="67"/>
      <c r="E86" s="67"/>
      <c r="F86" s="68"/>
      <c r="G86" s="68"/>
      <c r="H86" s="68"/>
    </row>
    <row r="87" spans="1:11" s="31" customFormat="1" hidden="1" x14ac:dyDescent="0.25">
      <c r="A87" s="67" t="s">
        <v>102</v>
      </c>
      <c r="B87" s="67"/>
      <c r="C87" s="67"/>
      <c r="D87" s="67"/>
      <c r="E87" s="67"/>
      <c r="F87" s="68"/>
      <c r="G87" s="68"/>
      <c r="H87" s="68"/>
    </row>
    <row r="88" spans="1:11" x14ac:dyDescent="0.3">
      <c r="A88" s="67" t="s">
        <v>52</v>
      </c>
      <c r="B88" s="67"/>
      <c r="C88" s="67"/>
      <c r="D88" s="67"/>
      <c r="E88" s="67"/>
      <c r="F88" s="68">
        <v>200000</v>
      </c>
      <c r="G88" s="68"/>
      <c r="H88" s="68"/>
      <c r="K88" s="19" t="s">
        <v>201</v>
      </c>
    </row>
    <row r="89" spans="1:11" s="32" customFormat="1" x14ac:dyDescent="0.3">
      <c r="A89" s="105" t="s">
        <v>53</v>
      </c>
      <c r="B89" s="105"/>
      <c r="C89" s="105"/>
      <c r="D89" s="105"/>
      <c r="E89" s="105"/>
      <c r="F89" s="68">
        <f>F80*0.8</f>
        <v>4000</v>
      </c>
      <c r="G89" s="68"/>
      <c r="H89" s="68"/>
    </row>
    <row r="90" spans="1:11" s="33" customFormat="1" x14ac:dyDescent="0.3">
      <c r="A90" s="143" t="s">
        <v>72</v>
      </c>
      <c r="B90" s="143"/>
      <c r="C90" s="143"/>
      <c r="D90" s="143"/>
      <c r="E90" s="143"/>
      <c r="F90" s="143"/>
      <c r="G90" s="143"/>
      <c r="H90" s="143"/>
    </row>
    <row r="91" spans="1:11" s="33" customFormat="1" ht="15.75" customHeight="1" x14ac:dyDescent="0.3">
      <c r="A91" s="89" t="s">
        <v>54</v>
      </c>
      <c r="B91" s="89"/>
      <c r="C91" s="88" t="s">
        <v>80</v>
      </c>
      <c r="D91" s="88"/>
      <c r="E91" s="144" t="s">
        <v>55</v>
      </c>
      <c r="F91" s="144"/>
      <c r="G91" s="89" t="s">
        <v>56</v>
      </c>
      <c r="H91" s="89"/>
    </row>
    <row r="92" spans="1:11" s="33" customFormat="1" x14ac:dyDescent="0.3">
      <c r="A92" s="142" t="s">
        <v>71</v>
      </c>
      <c r="B92" s="142"/>
      <c r="C92" s="87">
        <f>COUNT(D99:D101)*5+COUNT(D103:D105)</f>
        <v>18</v>
      </c>
      <c r="D92" s="87"/>
      <c r="E92" s="60">
        <f>SUM(D99:D101)*5+SUM(D103:D105)</f>
        <v>5822.8934400000007</v>
      </c>
      <c r="F92" s="60"/>
      <c r="G92" s="60">
        <f>SUM(F99:F101)*5+SUM(F103:F105)</f>
        <v>8647.7114880000008</v>
      </c>
      <c r="H92" s="60"/>
    </row>
    <row r="93" spans="1:11" s="32" customFormat="1" x14ac:dyDescent="0.3">
      <c r="A93" s="73" t="s">
        <v>57</v>
      </c>
      <c r="B93" s="73"/>
      <c r="C93" s="73"/>
      <c r="D93" s="73"/>
      <c r="E93" s="73"/>
      <c r="F93" s="73"/>
      <c r="G93" s="73"/>
      <c r="H93" s="73"/>
    </row>
    <row r="94" spans="1:11" x14ac:dyDescent="0.3">
      <c r="A94" s="73" t="s">
        <v>58</v>
      </c>
      <c r="B94" s="73"/>
      <c r="C94" s="73"/>
      <c r="D94" s="73"/>
      <c r="E94" s="73"/>
      <c r="F94" s="73"/>
      <c r="G94" s="73"/>
      <c r="H94" s="73"/>
    </row>
    <row r="95" spans="1:11" ht="47.25" customHeight="1" x14ac:dyDescent="0.3">
      <c r="A95" s="62" t="s">
        <v>122</v>
      </c>
      <c r="B95" s="62" t="s">
        <v>123</v>
      </c>
      <c r="C95" s="154" t="s">
        <v>59</v>
      </c>
      <c r="D95" s="154" t="s">
        <v>60</v>
      </c>
      <c r="E95" s="168" t="s">
        <v>61</v>
      </c>
      <c r="F95" s="41" t="s">
        <v>205</v>
      </c>
      <c r="G95" s="62" t="s">
        <v>62</v>
      </c>
      <c r="H95" s="170"/>
      <c r="I95" s="34"/>
    </row>
    <row r="96" spans="1:11" s="35" customFormat="1" x14ac:dyDescent="0.3">
      <c r="A96" s="63"/>
      <c r="B96" s="63"/>
      <c r="C96" s="155"/>
      <c r="D96" s="155"/>
      <c r="E96" s="169"/>
      <c r="F96" s="13">
        <v>0.45</v>
      </c>
      <c r="G96" s="63"/>
      <c r="H96" s="171"/>
      <c r="I96" s="34"/>
    </row>
    <row r="97" spans="1:14" s="35" customFormat="1" x14ac:dyDescent="0.3">
      <c r="A97" s="76" t="s">
        <v>176</v>
      </c>
      <c r="B97" s="77"/>
      <c r="C97" s="77"/>
      <c r="D97" s="77"/>
      <c r="E97" s="77"/>
      <c r="F97" s="77"/>
      <c r="G97" s="77"/>
      <c r="H97" s="78"/>
      <c r="J97" s="34"/>
    </row>
    <row r="98" spans="1:14" s="35" customFormat="1" x14ac:dyDescent="0.3">
      <c r="A98" s="76" t="s">
        <v>177</v>
      </c>
      <c r="B98" s="77"/>
      <c r="C98" s="77"/>
      <c r="D98" s="77"/>
      <c r="E98" s="77"/>
      <c r="F98" s="77"/>
      <c r="G98" s="77"/>
      <c r="H98" s="78"/>
      <c r="J98" s="34"/>
    </row>
    <row r="99" spans="1:14" s="35" customFormat="1" ht="15.75" customHeight="1" x14ac:dyDescent="0.3">
      <c r="A99" s="65">
        <v>1</v>
      </c>
      <c r="B99" s="66"/>
      <c r="C99" s="40" t="s">
        <v>178</v>
      </c>
      <c r="D99" s="50">
        <f>(2.7*3.95+2.1*2.5+3*2.7+1.2*1.5+0.9*1.2+0.9*1.4+0.9*1.2+0.75*(2.7+2.5+2.7))*10.764</f>
        <v>378.46224000000007</v>
      </c>
      <c r="E99" s="50">
        <v>0</v>
      </c>
      <c r="F99" s="50">
        <f>D99*1.45+E99</f>
        <v>548.77024800000004</v>
      </c>
      <c r="G99" s="79" t="str">
        <f>A98</f>
        <v>1st to 5th Floor for Residential</v>
      </c>
      <c r="H99" s="80"/>
      <c r="I99" s="34">
        <f>3200000/F99</f>
        <v>5831.2199170097865</v>
      </c>
      <c r="J99" s="50">
        <v>650</v>
      </c>
      <c r="K99" s="51">
        <f>J99/D99</f>
        <v>1.7174764911817884</v>
      </c>
      <c r="L99" s="64">
        <f>5000*F99</f>
        <v>2743851.24</v>
      </c>
      <c r="M99" s="64"/>
      <c r="N99" s="34"/>
    </row>
    <row r="100" spans="1:14" s="35" customFormat="1" x14ac:dyDescent="0.3">
      <c r="A100" s="65">
        <f t="shared" ref="A100:A101" si="0">A99+1</f>
        <v>2</v>
      </c>
      <c r="B100" s="66"/>
      <c r="C100" s="40" t="s">
        <v>178</v>
      </c>
      <c r="D100" s="50">
        <f>(2.7*3.95+2.1*2.5+3*2.7+1.2*1.5+0.9*1.2+0.9*1.4+0.9*1.2+0.75*(2.7+2.5+2.7))*10.764</f>
        <v>378.46224000000007</v>
      </c>
      <c r="E100" s="50">
        <v>0</v>
      </c>
      <c r="F100" s="50">
        <f t="shared" ref="F100:F105" si="1">D100*1.45+E100</f>
        <v>548.77024800000004</v>
      </c>
      <c r="G100" s="81"/>
      <c r="H100" s="82"/>
      <c r="I100" s="34"/>
      <c r="J100" s="50">
        <v>650</v>
      </c>
      <c r="K100" s="51">
        <f t="shared" ref="K100:K105" si="2">J100/D100</f>
        <v>1.7174764911817884</v>
      </c>
      <c r="L100" s="64">
        <f>5000*F101</f>
        <v>1772655.8849999998</v>
      </c>
      <c r="M100" s="64"/>
      <c r="N100" s="34"/>
    </row>
    <row r="101" spans="1:14" s="35" customFormat="1" x14ac:dyDescent="0.3">
      <c r="A101" s="65">
        <f t="shared" si="0"/>
        <v>3</v>
      </c>
      <c r="B101" s="66"/>
      <c r="C101" s="40" t="s">
        <v>179</v>
      </c>
      <c r="D101" s="50">
        <f>(2.7*3.95+2.2*2.1+1.2*1.5+1.2*0.9+1*0.95+0.75*(2.7+2.1))*10.764</f>
        <v>244.50425999999999</v>
      </c>
      <c r="E101" s="50">
        <v>0</v>
      </c>
      <c r="F101" s="50">
        <f t="shared" si="1"/>
        <v>354.53117699999996</v>
      </c>
      <c r="G101" s="83"/>
      <c r="H101" s="84"/>
      <c r="I101" s="34"/>
      <c r="J101" s="49">
        <v>490</v>
      </c>
      <c r="K101" s="51">
        <f t="shared" si="2"/>
        <v>2.0040550622717168</v>
      </c>
      <c r="L101" s="64"/>
      <c r="M101" s="64"/>
      <c r="N101" s="34"/>
    </row>
    <row r="102" spans="1:14" s="35" customFormat="1" x14ac:dyDescent="0.3">
      <c r="A102" s="76" t="s">
        <v>180</v>
      </c>
      <c r="B102" s="77"/>
      <c r="C102" s="77"/>
      <c r="D102" s="77"/>
      <c r="E102" s="77"/>
      <c r="F102" s="77"/>
      <c r="G102" s="77"/>
      <c r="H102" s="78"/>
      <c r="J102" s="34"/>
      <c r="K102" s="51"/>
    </row>
    <row r="103" spans="1:14" s="35" customFormat="1" ht="15.75" customHeight="1" x14ac:dyDescent="0.3">
      <c r="A103" s="65">
        <v>1</v>
      </c>
      <c r="B103" s="66"/>
      <c r="C103" s="40" t="s">
        <v>179</v>
      </c>
      <c r="D103" s="50">
        <f>(2.7*3.95+2.1*2.5+1.2*1.5+0.9*1.2+0.9*1.4+0.9*1.2+0.75*(2.7+2.5))*10.764</f>
        <v>269.47674000000001</v>
      </c>
      <c r="E103" s="50">
        <f>(3.65*2.7)*10.764</f>
        <v>106.07921999999999</v>
      </c>
      <c r="F103" s="50">
        <f t="shared" si="1"/>
        <v>496.82049299999994</v>
      </c>
      <c r="G103" s="79" t="str">
        <f>A102</f>
        <v>6th Floor</v>
      </c>
      <c r="H103" s="80"/>
      <c r="I103" s="34"/>
      <c r="J103" s="49">
        <v>490</v>
      </c>
      <c r="K103" s="51">
        <f t="shared" si="2"/>
        <v>1.81833875532263</v>
      </c>
      <c r="L103" s="64"/>
      <c r="M103" s="64"/>
      <c r="N103" s="34"/>
    </row>
    <row r="104" spans="1:14" s="35" customFormat="1" x14ac:dyDescent="0.3">
      <c r="A104" s="65">
        <f t="shared" ref="A104:A105" si="3">A103+1</f>
        <v>2</v>
      </c>
      <c r="B104" s="66"/>
      <c r="C104" s="40" t="s">
        <v>179</v>
      </c>
      <c r="D104" s="50">
        <f>(2.7*3.95+3*2.7+1.2*1.5+0.9*1.2+0.9*1.4+0.9*1.2+0.75*(2.7+2.7))*10.764</f>
        <v>301.76874000000004</v>
      </c>
      <c r="E104" s="50">
        <f>(2.95*3.1)*10.764</f>
        <v>98.436780000000013</v>
      </c>
      <c r="F104" s="50">
        <f t="shared" si="1"/>
        <v>536.00145300000008</v>
      </c>
      <c r="G104" s="81"/>
      <c r="H104" s="82"/>
      <c r="I104" s="34"/>
      <c r="J104" s="49">
        <v>490</v>
      </c>
      <c r="K104" s="51">
        <f t="shared" si="2"/>
        <v>1.6237599693062972</v>
      </c>
      <c r="L104" s="64"/>
      <c r="M104" s="64"/>
      <c r="N104" s="34"/>
    </row>
    <row r="105" spans="1:14" s="35" customFormat="1" x14ac:dyDescent="0.3">
      <c r="A105" s="65">
        <f t="shared" si="3"/>
        <v>3</v>
      </c>
      <c r="B105" s="66"/>
      <c r="C105" s="40" t="s">
        <v>179</v>
      </c>
      <c r="D105" s="50">
        <f>(2.7*3.95+2.2*2.1+1.2*1.5+1.2*0.9+1*0.95+0.75*(2.7+2.1))*10.764</f>
        <v>244.50425999999999</v>
      </c>
      <c r="E105" s="50">
        <v>0</v>
      </c>
      <c r="F105" s="50">
        <f t="shared" si="1"/>
        <v>354.53117699999996</v>
      </c>
      <c r="G105" s="83"/>
      <c r="H105" s="84"/>
      <c r="I105" s="34"/>
      <c r="J105" s="49">
        <v>490</v>
      </c>
      <c r="K105" s="51">
        <f t="shared" si="2"/>
        <v>2.0040550622717168</v>
      </c>
      <c r="L105" s="64"/>
      <c r="M105" s="64"/>
      <c r="N105" s="34"/>
    </row>
    <row r="106" spans="1:14" s="33" customFormat="1" x14ac:dyDescent="0.3">
      <c r="A106" s="148" t="s">
        <v>70</v>
      </c>
      <c r="B106" s="148"/>
      <c r="C106" s="148"/>
      <c r="D106" s="148"/>
      <c r="E106" s="148"/>
      <c r="F106" s="148"/>
      <c r="G106" s="148"/>
      <c r="H106" s="148"/>
      <c r="I106" s="33" t="s">
        <v>202</v>
      </c>
    </row>
    <row r="107" spans="1:14" s="33" customFormat="1" ht="33" customHeight="1" x14ac:dyDescent="0.3">
      <c r="A107" s="43" t="s">
        <v>154</v>
      </c>
      <c r="B107" s="151" t="s">
        <v>211</v>
      </c>
      <c r="C107" s="152"/>
      <c r="D107" s="152"/>
      <c r="E107" s="152"/>
      <c r="F107" s="152"/>
      <c r="G107" s="152"/>
      <c r="H107" s="153"/>
    </row>
    <row r="108" spans="1:14" s="33" customFormat="1" x14ac:dyDescent="0.3">
      <c r="A108" s="43" t="s">
        <v>154</v>
      </c>
      <c r="B108" s="151" t="s">
        <v>206</v>
      </c>
      <c r="C108" s="152"/>
      <c r="D108" s="152"/>
      <c r="E108" s="152"/>
      <c r="F108" s="152"/>
      <c r="G108" s="152"/>
      <c r="H108" s="153"/>
    </row>
    <row r="109" spans="1:14" s="33" customFormat="1" x14ac:dyDescent="0.3">
      <c r="A109" s="43" t="s">
        <v>154</v>
      </c>
      <c r="B109" s="145" t="s">
        <v>126</v>
      </c>
      <c r="C109" s="146"/>
      <c r="D109" s="146"/>
      <c r="E109" s="146"/>
      <c r="F109" s="146"/>
      <c r="G109" s="146"/>
      <c r="H109" s="147"/>
    </row>
    <row r="110" spans="1:14" s="33" customFormat="1" x14ac:dyDescent="0.3">
      <c r="A110" s="43" t="s">
        <v>154</v>
      </c>
      <c r="B110" s="145" t="s">
        <v>181</v>
      </c>
      <c r="C110" s="146"/>
      <c r="D110" s="146"/>
      <c r="E110" s="146"/>
      <c r="F110" s="146"/>
      <c r="G110" s="146"/>
      <c r="H110" s="147"/>
    </row>
    <row r="111" spans="1:14" s="33" customFormat="1" x14ac:dyDescent="0.3">
      <c r="A111" s="43" t="s">
        <v>154</v>
      </c>
      <c r="B111" s="145" t="s">
        <v>153</v>
      </c>
      <c r="C111" s="146"/>
      <c r="D111" s="146"/>
      <c r="E111" s="146"/>
      <c r="F111" s="146"/>
      <c r="G111" s="146"/>
      <c r="H111" s="147"/>
    </row>
    <row r="112" spans="1:14" s="33" customFormat="1" x14ac:dyDescent="0.3">
      <c r="A112" s="43" t="s">
        <v>154</v>
      </c>
      <c r="B112" s="145" t="s">
        <v>127</v>
      </c>
      <c r="C112" s="146"/>
      <c r="D112" s="146"/>
      <c r="E112" s="146"/>
      <c r="F112" s="146"/>
      <c r="G112" s="146"/>
      <c r="H112" s="147"/>
    </row>
    <row r="113" spans="1:8" s="33" customFormat="1" ht="34.5" customHeight="1" x14ac:dyDescent="0.3">
      <c r="A113" s="43" t="s">
        <v>154</v>
      </c>
      <c r="B113" s="145" t="s">
        <v>155</v>
      </c>
      <c r="C113" s="146"/>
      <c r="D113" s="146"/>
      <c r="E113" s="146"/>
      <c r="F113" s="146"/>
      <c r="G113" s="146"/>
      <c r="H113" s="147"/>
    </row>
    <row r="114" spans="1:8" s="33" customFormat="1" x14ac:dyDescent="0.3">
      <c r="A114" s="43" t="s">
        <v>154</v>
      </c>
      <c r="B114" s="145" t="s">
        <v>128</v>
      </c>
      <c r="C114" s="146"/>
      <c r="D114" s="146"/>
      <c r="E114" s="146"/>
      <c r="F114" s="146"/>
      <c r="G114" s="146"/>
      <c r="H114" s="147"/>
    </row>
    <row r="115" spans="1:8" s="33" customFormat="1" x14ac:dyDescent="0.3">
      <c r="A115" s="56" t="s">
        <v>154</v>
      </c>
      <c r="B115" s="57" t="s">
        <v>208</v>
      </c>
      <c r="C115" s="58"/>
      <c r="D115" s="58"/>
      <c r="E115" s="58"/>
      <c r="F115" s="58"/>
      <c r="G115" s="58"/>
      <c r="H115" s="59"/>
    </row>
    <row r="116" spans="1:8" x14ac:dyDescent="0.3">
      <c r="A116" s="139" t="s">
        <v>63</v>
      </c>
      <c r="B116" s="139"/>
      <c r="C116" s="139"/>
      <c r="D116" s="139"/>
      <c r="E116" s="139"/>
      <c r="F116" s="139"/>
      <c r="G116" s="139"/>
      <c r="H116" s="139"/>
    </row>
    <row r="117" spans="1:8" x14ac:dyDescent="0.3">
      <c r="A117" s="67" t="s">
        <v>64</v>
      </c>
      <c r="B117" s="67"/>
      <c r="C117" s="67"/>
      <c r="D117" s="67"/>
      <c r="E117" s="67"/>
      <c r="F117" s="67"/>
      <c r="G117" s="67"/>
      <c r="H117" s="67"/>
    </row>
    <row r="118" spans="1:8" ht="15.75" customHeight="1" x14ac:dyDescent="0.3">
      <c r="A118" s="167" t="s">
        <v>65</v>
      </c>
      <c r="B118" s="167"/>
      <c r="C118" s="167"/>
      <c r="D118" s="167"/>
      <c r="E118" s="167"/>
      <c r="F118" s="167"/>
      <c r="G118" s="167"/>
      <c r="H118" s="167"/>
    </row>
    <row r="119" spans="1:8" x14ac:dyDescent="0.3">
      <c r="A119" s="67" t="s">
        <v>66</v>
      </c>
      <c r="B119" s="67"/>
      <c r="C119" s="67"/>
      <c r="D119" s="67"/>
      <c r="E119" s="67"/>
      <c r="F119" s="67"/>
      <c r="G119" s="67"/>
      <c r="H119" s="67"/>
    </row>
    <row r="120" spans="1:8" x14ac:dyDescent="0.3">
      <c r="A120" s="67" t="s">
        <v>67</v>
      </c>
      <c r="B120" s="67"/>
      <c r="C120" s="67"/>
      <c r="D120" s="67"/>
      <c r="E120" s="67"/>
      <c r="F120" s="67"/>
      <c r="G120" s="67"/>
      <c r="H120" s="67"/>
    </row>
    <row r="121" spans="1:8" x14ac:dyDescent="0.3">
      <c r="A121" s="67" t="s">
        <v>129</v>
      </c>
      <c r="B121" s="67"/>
      <c r="C121" s="67"/>
      <c r="D121" s="67"/>
      <c r="E121" s="67"/>
      <c r="F121" s="67"/>
      <c r="G121" s="67"/>
      <c r="H121" s="67"/>
    </row>
    <row r="122" spans="1:8" x14ac:dyDescent="0.3">
      <c r="A122" s="113" t="s">
        <v>130</v>
      </c>
      <c r="B122" s="113"/>
      <c r="C122" s="113"/>
      <c r="D122" s="113"/>
      <c r="E122" s="113"/>
      <c r="F122" s="113"/>
      <c r="G122" s="113"/>
      <c r="H122" s="113"/>
    </row>
    <row r="123" spans="1:8" x14ac:dyDescent="0.3">
      <c r="A123" s="141" t="s">
        <v>79</v>
      </c>
      <c r="B123" s="141"/>
      <c r="C123" s="141" t="s">
        <v>199</v>
      </c>
      <c r="D123" s="141"/>
      <c r="E123" s="141" t="s">
        <v>109</v>
      </c>
      <c r="F123" s="141"/>
      <c r="G123" s="141" t="s">
        <v>210</v>
      </c>
      <c r="H123" s="141"/>
    </row>
    <row r="124" spans="1:8" x14ac:dyDescent="0.3">
      <c r="A124" s="140" t="s">
        <v>81</v>
      </c>
      <c r="B124" s="140"/>
      <c r="C124" s="140"/>
      <c r="D124" s="140"/>
      <c r="E124" s="140"/>
      <c r="F124" s="140"/>
      <c r="G124" s="140"/>
      <c r="H124" s="140"/>
    </row>
    <row r="125" spans="1:8" x14ac:dyDescent="0.3">
      <c r="A125" s="140"/>
      <c r="B125" s="140"/>
      <c r="C125" s="140"/>
      <c r="D125" s="140"/>
      <c r="E125" s="140"/>
      <c r="F125" s="140"/>
      <c r="G125" s="140"/>
      <c r="H125" s="140"/>
    </row>
    <row r="126" spans="1:8" x14ac:dyDescent="0.3">
      <c r="A126" s="140"/>
      <c r="B126" s="140"/>
      <c r="C126" s="140"/>
      <c r="D126" s="140"/>
      <c r="E126" s="140"/>
      <c r="F126" s="140"/>
      <c r="G126" s="140"/>
      <c r="H126" s="140"/>
    </row>
    <row r="127" spans="1:8" x14ac:dyDescent="0.3">
      <c r="A127" s="140"/>
      <c r="B127" s="140"/>
      <c r="C127" s="140"/>
      <c r="D127" s="140"/>
      <c r="E127" s="140"/>
      <c r="F127" s="140"/>
      <c r="G127" s="140"/>
      <c r="H127" s="140"/>
    </row>
    <row r="128" spans="1:8" x14ac:dyDescent="0.3">
      <c r="A128" s="36" t="s">
        <v>68</v>
      </c>
      <c r="B128" s="37"/>
      <c r="C128" s="37"/>
      <c r="D128" s="36" t="str">
        <f>E8</f>
        <v>Krishnapingaksha</v>
      </c>
      <c r="F128" s="37"/>
      <c r="G128" s="37"/>
      <c r="H128" s="37"/>
    </row>
    <row r="129" spans="1:8" x14ac:dyDescent="0.3">
      <c r="A129" s="37"/>
      <c r="B129" s="37"/>
      <c r="C129" s="37"/>
      <c r="D129" s="37"/>
      <c r="E129" s="37"/>
      <c r="F129" s="37"/>
      <c r="G129" s="37"/>
      <c r="H129" s="37"/>
    </row>
    <row r="130" spans="1:8" x14ac:dyDescent="0.3">
      <c r="A130" s="37"/>
      <c r="B130" s="37"/>
      <c r="C130" s="37"/>
      <c r="D130" s="37"/>
      <c r="E130" s="37"/>
      <c r="F130" s="37"/>
      <c r="G130" s="37"/>
      <c r="H130" s="37"/>
    </row>
    <row r="131" spans="1:8" ht="15" customHeight="1" x14ac:dyDescent="0.3"/>
    <row r="172" spans="1:1" x14ac:dyDescent="0.3">
      <c r="A172" s="39" t="s">
        <v>164</v>
      </c>
    </row>
    <row r="216" spans="1:1" x14ac:dyDescent="0.3">
      <c r="A216" s="39" t="s">
        <v>69</v>
      </c>
    </row>
  </sheetData>
  <mergeCells count="235">
    <mergeCell ref="F83:H83"/>
    <mergeCell ref="E69:F78"/>
    <mergeCell ref="G69:H78"/>
    <mergeCell ref="A16:B16"/>
    <mergeCell ref="C16:H16"/>
    <mergeCell ref="E41:H41"/>
    <mergeCell ref="A41:D41"/>
    <mergeCell ref="A121:H121"/>
    <mergeCell ref="A118:H118"/>
    <mergeCell ref="A91:B91"/>
    <mergeCell ref="D95:D96"/>
    <mergeCell ref="E95:E96"/>
    <mergeCell ref="G95:H96"/>
    <mergeCell ref="A74:B74"/>
    <mergeCell ref="F80:H80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B107:H107"/>
    <mergeCell ref="B108:H108"/>
    <mergeCell ref="F84:H84"/>
    <mergeCell ref="F87:H87"/>
    <mergeCell ref="F85:H85"/>
    <mergeCell ref="A94:H94"/>
    <mergeCell ref="A86:E86"/>
    <mergeCell ref="C95:C96"/>
    <mergeCell ref="A98:H98"/>
    <mergeCell ref="F86:H86"/>
    <mergeCell ref="A124:H127"/>
    <mergeCell ref="A123:B123"/>
    <mergeCell ref="E123:F123"/>
    <mergeCell ref="C123:D123"/>
    <mergeCell ref="G123:H123"/>
    <mergeCell ref="A88:E88"/>
    <mergeCell ref="F88:H88"/>
    <mergeCell ref="A89:E89"/>
    <mergeCell ref="F89:H89"/>
    <mergeCell ref="A92:B92"/>
    <mergeCell ref="A119:H119"/>
    <mergeCell ref="A90:H90"/>
    <mergeCell ref="A122:H122"/>
    <mergeCell ref="A120:H120"/>
    <mergeCell ref="A116:H116"/>
    <mergeCell ref="A117:H117"/>
    <mergeCell ref="E91:F91"/>
    <mergeCell ref="B114:H114"/>
    <mergeCell ref="G92:H92"/>
    <mergeCell ref="B113:H113"/>
    <mergeCell ref="B111:H111"/>
    <mergeCell ref="B109:H109"/>
    <mergeCell ref="B110:H110"/>
    <mergeCell ref="A106:H106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F32:H32"/>
    <mergeCell ref="F33:H33"/>
    <mergeCell ref="A39:H39"/>
    <mergeCell ref="A58:C58"/>
    <mergeCell ref="A59:C59"/>
    <mergeCell ref="D58:H58"/>
    <mergeCell ref="F35:H35"/>
    <mergeCell ref="A37:B37"/>
    <mergeCell ref="C37:H37"/>
    <mergeCell ref="A46:H46"/>
    <mergeCell ref="D56:H56"/>
    <mergeCell ref="A56:C56"/>
    <mergeCell ref="G49:H49"/>
    <mergeCell ref="A50:B51"/>
    <mergeCell ref="A53:H53"/>
    <mergeCell ref="A54:C54"/>
    <mergeCell ref="A55:C55"/>
    <mergeCell ref="D55:H55"/>
    <mergeCell ref="G52:H52"/>
    <mergeCell ref="A52:B52"/>
    <mergeCell ref="C52:E52"/>
    <mergeCell ref="E43:H43"/>
    <mergeCell ref="E44:H44"/>
    <mergeCell ref="E45:H45"/>
    <mergeCell ref="A43:D43"/>
    <mergeCell ref="A47:B47"/>
    <mergeCell ref="C47:H47"/>
    <mergeCell ref="A44:D44"/>
    <mergeCell ref="A45:D45"/>
    <mergeCell ref="C51:H51"/>
    <mergeCell ref="A49:B49"/>
    <mergeCell ref="A38:B38"/>
    <mergeCell ref="C38:H38"/>
    <mergeCell ref="A99:B99"/>
    <mergeCell ref="A97:H97"/>
    <mergeCell ref="G99:H101"/>
    <mergeCell ref="A102:H102"/>
    <mergeCell ref="A103:B103"/>
    <mergeCell ref="G103:H105"/>
    <mergeCell ref="A95:A96"/>
    <mergeCell ref="A100:B100"/>
    <mergeCell ref="A101:B101"/>
    <mergeCell ref="A76:B76"/>
    <mergeCell ref="C92:D92"/>
    <mergeCell ref="A81:E81"/>
    <mergeCell ref="A87:E87"/>
    <mergeCell ref="C91:D91"/>
    <mergeCell ref="G91:H91"/>
    <mergeCell ref="A40:D40"/>
    <mergeCell ref="E40:H40"/>
    <mergeCell ref="A77:B77"/>
    <mergeCell ref="A78:B78"/>
    <mergeCell ref="D59:H59"/>
    <mergeCell ref="A42:D42"/>
    <mergeCell ref="E42:H42"/>
    <mergeCell ref="B115:H115"/>
    <mergeCell ref="E92:F92"/>
    <mergeCell ref="A79:E79"/>
    <mergeCell ref="B95:B96"/>
    <mergeCell ref="L103:M103"/>
    <mergeCell ref="A104:B104"/>
    <mergeCell ref="L104:M104"/>
    <mergeCell ref="A82:E82"/>
    <mergeCell ref="F82:H82"/>
    <mergeCell ref="A83:E83"/>
    <mergeCell ref="A85:E85"/>
    <mergeCell ref="A84:E84"/>
    <mergeCell ref="A80:E80"/>
    <mergeCell ref="F79:H79"/>
    <mergeCell ref="F81:H81"/>
    <mergeCell ref="I80:L80"/>
    <mergeCell ref="A105:B105"/>
    <mergeCell ref="L105:M105"/>
    <mergeCell ref="M79:M80"/>
    <mergeCell ref="L99:M99"/>
    <mergeCell ref="L100:M100"/>
    <mergeCell ref="L101:M101"/>
    <mergeCell ref="B112:H112"/>
    <mergeCell ref="A93:H93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8" max="7" man="1"/>
    <brk id="105" max="7" man="1"/>
    <brk id="127" max="16383" man="1"/>
    <brk id="171" max="16383" man="1"/>
    <brk id="2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7" zoomScaleNormal="100" workbookViewId="0">
      <selection activeCell="G19" sqref="G19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5" t="s">
        <v>110</v>
      </c>
      <c r="C3" s="175"/>
      <c r="D3" s="175"/>
      <c r="E3" s="175"/>
      <c r="F3" s="175"/>
      <c r="G3" s="175"/>
      <c r="H3" s="175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2025-08-14T12:54:45Z</cp:lastPrinted>
  <dcterms:created xsi:type="dcterms:W3CDTF">2019-07-16T09:29:46Z</dcterms:created>
  <dcterms:modified xsi:type="dcterms:W3CDTF">2025-08-14T13:00:55Z</dcterms:modified>
</cp:coreProperties>
</file>