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30ACF513-1671-4FC0-AB03-01535802A16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3" i="1" l="1"/>
  <c r="I121" i="1"/>
  <c r="I120" i="1"/>
  <c r="C65" i="1" l="1"/>
  <c r="J104" i="1" l="1"/>
  <c r="E122" i="1"/>
  <c r="E119" i="1"/>
  <c r="E118" i="1"/>
  <c r="E117" i="1"/>
  <c r="D122" i="1"/>
  <c r="F122" i="1" s="1"/>
  <c r="H122" i="1" s="1"/>
  <c r="D119" i="1"/>
  <c r="D118" i="1"/>
  <c r="F118" i="1" s="1"/>
  <c r="H118" i="1" s="1"/>
  <c r="D117" i="1"/>
  <c r="E115" i="1"/>
  <c r="E114" i="1"/>
  <c r="E113" i="1"/>
  <c r="E112" i="1"/>
  <c r="E111" i="1"/>
  <c r="E110" i="1"/>
  <c r="D115" i="1"/>
  <c r="D114" i="1"/>
  <c r="D113" i="1"/>
  <c r="D112" i="1"/>
  <c r="D111" i="1"/>
  <c r="D110" i="1"/>
  <c r="G104" i="1"/>
  <c r="G103" i="1"/>
  <c r="E108" i="1"/>
  <c r="E107" i="1"/>
  <c r="E106" i="1"/>
  <c r="E105" i="1"/>
  <c r="E104" i="1"/>
  <c r="E103" i="1"/>
  <c r="D108" i="1"/>
  <c r="D107" i="1"/>
  <c r="D106" i="1"/>
  <c r="D105" i="1"/>
  <c r="D104" i="1"/>
  <c r="D103" i="1"/>
  <c r="J99" i="1"/>
  <c r="I119" i="1"/>
  <c r="I117" i="1"/>
  <c r="A118" i="1"/>
  <c r="I112" i="1"/>
  <c r="A111" i="1"/>
  <c r="A112" i="1" s="1"/>
  <c r="A113" i="1" s="1"/>
  <c r="A114" i="1" s="1"/>
  <c r="A115" i="1" s="1"/>
  <c r="I110" i="1"/>
  <c r="I105" i="1"/>
  <c r="I103" i="1"/>
  <c r="A104" i="1"/>
  <c r="A105" i="1" s="1"/>
  <c r="A106" i="1" s="1"/>
  <c r="A107" i="1" s="1"/>
  <c r="A108" i="1" s="1"/>
  <c r="A119" i="1" l="1"/>
  <c r="A122" i="1" s="1"/>
  <c r="F117" i="1"/>
  <c r="H117" i="1" s="1"/>
  <c r="F115" i="1"/>
  <c r="H115" i="1" s="1"/>
  <c r="C92" i="1"/>
  <c r="C93" i="1" s="1"/>
  <c r="C94" i="1" s="1"/>
  <c r="F107" i="1"/>
  <c r="H107" i="1" s="1"/>
  <c r="F114" i="1"/>
  <c r="H114" i="1" s="1"/>
  <c r="F112" i="1"/>
  <c r="H112" i="1" s="1"/>
  <c r="F104" i="1"/>
  <c r="H104" i="1" s="1"/>
  <c r="F108" i="1"/>
  <c r="H108" i="1" s="1"/>
  <c r="F113" i="1"/>
  <c r="H113" i="1" s="1"/>
  <c r="F111" i="1"/>
  <c r="H111" i="1" s="1"/>
  <c r="F106" i="1"/>
  <c r="H106" i="1" s="1"/>
  <c r="F119" i="1"/>
  <c r="H119" i="1" s="1"/>
  <c r="F110" i="1"/>
  <c r="H110" i="1" s="1"/>
  <c r="F105" i="1"/>
  <c r="H105" i="1" s="1"/>
  <c r="F103" i="1"/>
  <c r="H103" i="1" l="1"/>
  <c r="G92" i="1" s="1"/>
  <c r="G93" i="1" s="1"/>
  <c r="G94" i="1" s="1"/>
  <c r="E92" i="1"/>
  <c r="E93" i="1" s="1"/>
  <c r="E94" i="1" s="1"/>
  <c r="C66" i="1" l="1"/>
  <c r="I74" i="1" l="1"/>
  <c r="D56" i="1" l="1"/>
  <c r="C59" i="1" l="1"/>
  <c r="J70" i="1"/>
  <c r="J69" i="1"/>
  <c r="H60" i="1"/>
  <c r="D65" i="1" l="1"/>
  <c r="D71" i="1"/>
  <c r="J63" i="1"/>
  <c r="D72" i="1"/>
  <c r="D68" i="1"/>
  <c r="J64" i="1"/>
  <c r="C63" i="1" s="1"/>
  <c r="D63" i="1" s="1"/>
  <c r="J62" i="1"/>
  <c r="D67" i="1"/>
  <c r="D70" i="1"/>
  <c r="D66" i="1"/>
  <c r="J65" i="1"/>
  <c r="J66" i="1" s="1"/>
  <c r="J71" i="1" s="1"/>
  <c r="D69" i="1"/>
  <c r="G46" i="1"/>
  <c r="J67" i="1" l="1"/>
  <c r="J68" i="1" s="1"/>
  <c r="A126" i="1"/>
  <c r="A127" i="1" s="1"/>
  <c r="A128" i="1" s="1"/>
  <c r="A129" i="1" s="1"/>
  <c r="A130" i="1" s="1"/>
  <c r="A131" i="1" s="1"/>
  <c r="A132" i="1" s="1"/>
  <c r="J72" i="1" l="1"/>
  <c r="C64" i="1" s="1"/>
  <c r="E63" i="1" l="1"/>
  <c r="I59" i="1" s="1"/>
  <c r="C61" i="1" s="1"/>
  <c r="D64" i="1"/>
  <c r="G63" i="1"/>
  <c r="D58" i="1" l="1"/>
  <c r="F73" i="1" s="1"/>
  <c r="E40" i="1" l="1"/>
  <c r="E41" i="1" s="1"/>
  <c r="E3" i="1" l="1"/>
  <c r="E24" i="1" l="1"/>
  <c r="E22" i="1"/>
  <c r="F6" i="5" l="1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G12" i="5" l="1"/>
  <c r="E7" i="1" l="1"/>
  <c r="D146" i="1" l="1"/>
  <c r="F89" i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H9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<sst xmlns="http://schemas.openxmlformats.org/spreadsheetml/2006/main" count="308" uniqueCount="241">
  <si>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</si>
  <si>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</si>
  <si>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</si>
  <si>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</si>
  <si>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</si>
  <si>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</si>
  <si>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</si>
  <si>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</si>
  <si>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</si>
  <si>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</si>
  <si>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</si>
  <si>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</si>
  <si>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</si>
  <si>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</si>
  <si>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</si>
  <si>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</si>
  <si>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</si>
  <si>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</si>
  <si>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</si>
  <si>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</si>
  <si>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</si>
  <si>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</si>
  <si>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</si>
  <si>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</si>
  <si>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</si>
  <si>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</si>
  <si>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</si>
  <si>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</si>
  <si>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</si>
  <si>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</si>
  <si>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</si>
  <si>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</si>
  <si>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</si>
  <si>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</si>
  <si>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</si>
  <si>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</si>
  <si>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</si>
  <si>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</si>
  <si>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</si>
  <si>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</si>
  <si>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</si>
  <si>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</si>
  <si>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</si>
  <si>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</si>
  <si>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</si>
  <si>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</si>
  <si>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</si>
  <si>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</si>
  <si>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</si>
  <si>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</si>
  <si>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</si>
  <si>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</si>
  <si>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</si>
  <si>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</si>
  <si>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</si>
  <si>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</si>
  <si>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</si>
  <si>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</si>
  <si>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</si>
  <si>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</si>
  <si>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</si>
  <si>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</si>
  <si>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</si>
  <si>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</si>
  <si>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</si>
  <si>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</si>
  <si>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</si>
  <si>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</si>
  <si>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</si>
  <si>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</si>
  <si>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</si>
  <si>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</si>
  <si>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</si>
  <si>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</si>
  <si>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</si>
  <si>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</si>
  <si>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</si>
  <si>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</si>
  <si>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</si>
  <si>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</si>
  <si>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</si>
  <si>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</si>
  <si>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</si>
  <si>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</si>
  <si>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</si>
  <si>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</si>
  <si>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</si>
  <si>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</si>
  <si>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</si>
  <si>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</si>
  <si>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</si>
  <si>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</si>
  <si>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</si>
  <si>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</si>
  <si>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</si>
  <si>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</si>
  <si>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</si>
  <si>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</si>
  <si>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</si>
  <si>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</si>
  <si>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</si>
  <si>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</si>
  <si>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</si>
  <si>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</si>
  <si>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</si>
  <si>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</si>
  <si>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</si>
  <si>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</si>
  <si>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</si>
  <si>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</si>
  <si>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</si>
  <si>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</si>
  <si>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</si>
  <si>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</si>
  <si>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</si>
  <si>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</si>
  <si>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</si>
  <si>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</si>
  <si>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</si>
  <si>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</si>
  <si>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</si>
  <si>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</si>
  <si>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</si>
  <si>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</si>
  <si>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</si>
  <si>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</si>
  <si>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</si>
  <si>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</si>
  <si>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</si>
  <si>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</si>
  <si>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</si>
  <si>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</si>
  <si>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</si>
  <si>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</si>
  <si>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</si>
  <si>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</si>
  <si>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</si>
  <si>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</si>
  <si>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</si>
  <si>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</si>
  <si>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</si>
  <si>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</si>
  <si>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</si>
  <si>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</si>
  <si>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</si>
  <si>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</si>
  <si>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</si>
  <si>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</si>
  <si>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</si>
  <si>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</si>
  <si>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</si>
  <si>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</si>
  <si>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</si>
  <si>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</si>
  <si>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</si>
  <si>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</si>
  <si>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</si>
  <si>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</si>
  <si>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</si>
  <si>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</si>
  <si>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</si>
  <si>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</si>
  <si>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</si>
  <si>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</si>
  <si>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</si>
  <si>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</si>
  <si>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</si>
  <si>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</si>
  <si>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</si>
  <si>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</si>
  <si>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</si>
  <si>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</si>
  <si>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</si>
  <si>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</si>
  <si>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</si>
  <si>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</si>
  <si>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</si>
  <si>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</si>
  <si>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</si>
  <si>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</si>
  <si>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</si>
  <si>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</si>
  <si>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</si>
  <si>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</si>
  <si>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</si>
  <si>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</si>
  <si>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Goregaon</t>
  </si>
  <si>
    <t>M/s.Rohan Developers Pvt Ltd</t>
  </si>
  <si>
    <t>P51900002696</t>
  </si>
  <si>
    <t>CTS No</t>
  </si>
  <si>
    <t>585,588 &amp; 589</t>
  </si>
  <si>
    <t>Girgaon</t>
  </si>
  <si>
    <t>Mumbai</t>
  </si>
  <si>
    <t>V.P. Road</t>
  </si>
  <si>
    <t>Residential</t>
  </si>
  <si>
    <t>CHE/CITY/1015/D/337 (NEW)</t>
  </si>
  <si>
    <t>We considered  Saleable area  as per our calculation.</t>
  </si>
  <si>
    <t>Approved Plans, CC.</t>
  </si>
  <si>
    <t>Building No.02 (Sale)</t>
  </si>
  <si>
    <t>Charni Road</t>
  </si>
  <si>
    <t>1.5km from Charni Road Railway Station</t>
  </si>
  <si>
    <t>Alaknanda Society</t>
  </si>
  <si>
    <t>Kalpana building</t>
  </si>
  <si>
    <t>Building</t>
  </si>
  <si>
    <t>1st to 4th Podium For Parking</t>
  </si>
  <si>
    <t>2BHK</t>
  </si>
  <si>
    <t xml:space="preserve"> </t>
  </si>
  <si>
    <t>Lifescapes Shubham</t>
  </si>
  <si>
    <t>8,00,000/-</t>
  </si>
  <si>
    <t>Karan Misal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</si>
  <si>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</si>
  <si>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Location Link</t>
  </si>
  <si>
    <t>https://goo.gl/maps/191Ni5Ws4bQ2KvMB6</t>
  </si>
  <si>
    <t>Valid Up to: This CC is extended upto top of 28th floor + LMR + OHT i.e. Full CC as per amended approved plans dated 14.01.2022.</t>
  </si>
  <si>
    <t>CHE/CTY/1015/D/337(NEW)/FCC/5/Amend</t>
  </si>
  <si>
    <t>We have considered proposed No. of Floor for Stage Calculation.</t>
  </si>
  <si>
    <t>Construction work is in process at the time of Visit. Internal photographs was not allowed.</t>
  </si>
  <si>
    <t>1B + G/St + P1 to P4 + 1st to 28th Floor</t>
  </si>
  <si>
    <t>Carpet area</t>
  </si>
  <si>
    <t>Saleable area Loading :</t>
  </si>
  <si>
    <t>Flat No. (Sale Plan)</t>
  </si>
  <si>
    <t>Building No.2 (Sale Building)</t>
  </si>
  <si>
    <t>Basement For Parking &amp; Pump Room</t>
  </si>
  <si>
    <t>Ground Floor For Sub Station, Meter Room &amp; Parking</t>
  </si>
  <si>
    <t>1st Floor For Residential</t>
  </si>
  <si>
    <t>Open Balcony + Dry Balcony</t>
  </si>
  <si>
    <t xml:space="preserve">2nd, 4th to 9th, 11th to 16th, 18th to 23rd, 25th to 27th Floor </t>
  </si>
  <si>
    <t>3rd, 10th, 17th &amp; 24th Floor (Refuge Area At Midlanding)</t>
  </si>
  <si>
    <t>Grand Total</t>
  </si>
  <si>
    <t xml:space="preserve">Flat </t>
  </si>
  <si>
    <t>Layout :</t>
  </si>
  <si>
    <t>We considered Gross carpet area = Net carpet + Open Balcony + Dry Balcony.</t>
  </si>
  <si>
    <t>Flats - 154</t>
  </si>
  <si>
    <t>Lifescapes Shubham, Redevelopment on plot bearing C.S. No.585, 588 &amp; 589 of Girgaon division, situated at V.P. Road, Girgaon, Mumbai-400004</t>
  </si>
  <si>
    <t>As per RERA - 31/05/2025</t>
  </si>
  <si>
    <t>We have updated Revised approved plan &amp; CC (15/02/2025).</t>
  </si>
  <si>
    <t>-</t>
  </si>
  <si>
    <t>Refuge Area</t>
  </si>
  <si>
    <t>28th Floor for Yogalay and part Terrace</t>
  </si>
  <si>
    <t>As per RERA, completion period of project Lifescapes Shubham is expired on 31/05/2025 but still project is under construction</t>
  </si>
  <si>
    <t>Pranita Mhatre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</si>
</sst>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75">
    <xf numFmtId="0" fontId="0" fillId="0" borderId="0" xfId="0"/>
    <xf numFmtId="0" fontId="6" fillId="0" borderId="0" xfId="0" applyFont="1" applyAlignment="1">
      <alignment horizontal="center" vertical="center"/>
    </xf>
    <xf numFmtId="0" fontId="0" fillId="2" borderId="1" xfId="0" applyFill="1" applyBorder="1"/>
    <xf numFmtId="0" fontId="0" fillId="0" borderId="2" xfId="0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Border="1"/>
    <xf numFmtId="0" fontId="6" fillId="0" borderId="0" xfId="1" applyFont="1"/>
    <xf numFmtId="0" fontId="5" fillId="0" borderId="0" xfId="2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6" fillId="0" borderId="0" xfId="1" applyFont="1" applyProtection="1">
      <protection locked="0"/>
    </xf>
    <xf numFmtId="0" fontId="6" fillId="0" borderId="0" xfId="1" applyFont="1" applyProtection="1">
      <protection hidden="1"/>
    </xf>
    <xf numFmtId="0" fontId="6" fillId="0" borderId="9" xfId="1" applyFont="1" applyBorder="1" applyProtection="1">
      <protection hidden="1"/>
    </xf>
    <xf numFmtId="0" fontId="6" fillId="0" borderId="10" xfId="1" applyFont="1" applyBorder="1" applyProtection="1">
      <protection hidden="1"/>
    </xf>
    <xf numFmtId="0" fontId="6" fillId="0" borderId="10" xfId="1" applyFont="1" applyBorder="1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16" fillId="0" borderId="0" xfId="0" applyFont="1" applyProtection="1">
      <protection hidden="1"/>
    </xf>
    <xf numFmtId="14" fontId="6" fillId="0" borderId="0" xfId="1" applyNumberFormat="1" applyFont="1"/>
    <xf numFmtId="1" fontId="6" fillId="0" borderId="0" xfId="1" applyNumberFormat="1" applyFont="1"/>
    <xf numFmtId="0" fontId="16" fillId="0" borderId="10" xfId="0" applyFont="1" applyBorder="1" applyProtection="1">
      <protection hidden="1"/>
    </xf>
    <xf numFmtId="0" fontId="6" fillId="0" borderId="8" xfId="1" applyFont="1" applyBorder="1" applyProtection="1">
      <protection hidden="1"/>
    </xf>
    <xf numFmtId="0" fontId="16" fillId="0" borderId="11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1" fillId="0" borderId="4" xfId="1" applyFont="1" applyBorder="1" applyAlignment="1" applyProtection="1">
      <alignment horizontal="center" vertical="top"/>
      <protection locked="0"/>
    </xf>
    <xf numFmtId="0" fontId="11" fillId="0" borderId="5" xfId="1" applyFont="1" applyBorder="1" applyAlignment="1" applyProtection="1">
      <alignment horizontal="center" vertical="top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vertical="top" wrapText="1"/>
      <protection locked="0"/>
    </xf>
    <xf numFmtId="0" fontId="11" fillId="0" borderId="1" xfId="1" applyFont="1" applyBorder="1" applyAlignment="1" applyProtection="1">
      <alignment horizontal="center" wrapText="1"/>
      <protection locked="0"/>
    </xf>
    <xf numFmtId="9" fontId="11" fillId="0" borderId="1" xfId="1" applyNumberFormat="1" applyFont="1" applyBorder="1" applyAlignment="1" applyProtection="1">
      <alignment horizontal="center" vertical="center" wrapText="1"/>
      <protection hidden="1"/>
    </xf>
    <xf numFmtId="1" fontId="11" fillId="0" borderId="1" xfId="1" applyNumberFormat="1" applyFont="1" applyBorder="1" applyAlignment="1" applyProtection="1">
      <alignment horizontal="center" wrapText="1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9" fillId="0" borderId="0" xfId="1" applyFont="1" applyProtection="1">
      <protection locked="0"/>
    </xf>
    <xf numFmtId="1" fontId="5" fillId="0" borderId="6" xfId="1" applyNumberFormat="1" applyFont="1" applyBorder="1" applyAlignment="1" applyProtection="1">
      <alignment horizontal="center" vertical="center" wrapText="1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Font="1" applyAlignment="1">
      <alignment horizontal="center" vertical="center"/>
    </xf>
    <xf numFmtId="1" fontId="5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>
      <alignment horizontal="left" vertical="center"/>
    </xf>
    <xf numFmtId="1" fontId="6" fillId="0" borderId="1" xfId="1" applyNumberFormat="1" applyFont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1" fontId="12" fillId="0" borderId="3" xfId="1" applyNumberFormat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top" wrapText="1"/>
      <protection locked="0"/>
    </xf>
    <xf numFmtId="0" fontId="11" fillId="0" borderId="0" xfId="0" applyFont="1" applyAlignment="1">
      <alignment horizontal="center" vertical="center"/>
    </xf>
    <xf numFmtId="0" fontId="11" fillId="0" borderId="3" xfId="1" applyFont="1" applyBorder="1" applyAlignment="1" applyProtection="1">
      <alignment horizontal="center" wrapText="1"/>
      <protection locked="0"/>
    </xf>
    <xf numFmtId="9" fontId="11" fillId="0" borderId="3" xfId="1" applyNumberFormat="1" applyFont="1" applyBorder="1" applyAlignment="1" applyProtection="1">
      <alignment horizontal="center" vertical="center" wrapText="1"/>
      <protection hidden="1"/>
    </xf>
    <xf numFmtId="0" fontId="6" fillId="0" borderId="0" xfId="1" applyFont="1" applyAlignment="1">
      <alignment horizontal="center" vertical="center"/>
    </xf>
    <xf numFmtId="1" fontId="5" fillId="0" borderId="6" xfId="1" applyNumberFormat="1" applyFont="1" applyBorder="1" applyAlignment="1" applyProtection="1">
      <alignment horizontal="center" vertical="center" wrapText="1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9" fillId="0" borderId="3" xfId="0" applyNumberFormat="1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1" fontId="9" fillId="0" borderId="3" xfId="0" applyNumberFormat="1" applyFont="1" applyBorder="1" applyAlignment="1" applyProtection="1">
      <alignment horizontal="center" vertical="top" wrapText="1"/>
      <protection locked="0"/>
    </xf>
    <xf numFmtId="0" fontId="9" fillId="0" borderId="3" xfId="0" applyFont="1" applyBorder="1" applyAlignment="1" applyProtection="1">
      <alignment horizontal="center" vertical="top" wrapText="1"/>
      <protection locked="0"/>
    </xf>
    <xf numFmtId="1" fontId="7" fillId="0" borderId="3" xfId="0" applyNumberFormat="1" applyFont="1" applyBorder="1" applyAlignment="1" applyProtection="1">
      <alignment horizontal="center" vertical="top" wrapText="1"/>
      <protection locked="0"/>
    </xf>
    <xf numFmtId="1" fontId="9" fillId="0" borderId="26" xfId="0" applyNumberFormat="1" applyFont="1" applyBorder="1" applyAlignment="1" applyProtection="1">
      <alignment horizontal="center" vertical="center"/>
      <protection locked="0"/>
    </xf>
    <xf numFmtId="0" fontId="9" fillId="0" borderId="26" xfId="0" applyFont="1" applyBorder="1" applyAlignment="1" applyProtection="1">
      <alignment horizontal="center" vertical="center"/>
      <protection locked="0"/>
    </xf>
    <xf numFmtId="1" fontId="9" fillId="0" borderId="26" xfId="0" applyNumberFormat="1" applyFont="1" applyBorder="1" applyAlignment="1" applyProtection="1">
      <alignment horizontal="center" vertical="top" wrapText="1"/>
      <protection locked="0"/>
    </xf>
    <xf numFmtId="0" fontId="9" fillId="0" borderId="26" xfId="0" applyFont="1" applyBorder="1" applyAlignment="1" applyProtection="1">
      <alignment horizontal="center" vertical="top" wrapText="1"/>
      <protection locked="0"/>
    </xf>
    <xf numFmtId="1" fontId="7" fillId="0" borderId="26" xfId="0" applyNumberFormat="1" applyFont="1" applyBorder="1" applyAlignment="1" applyProtection="1">
      <alignment horizontal="center" vertical="top" wrapText="1"/>
      <protection locked="0"/>
    </xf>
    <xf numFmtId="1" fontId="7" fillId="0" borderId="27" xfId="0" applyNumberFormat="1" applyFont="1" applyBorder="1" applyAlignment="1" applyProtection="1">
      <alignment horizontal="center" vertical="top" wrapText="1"/>
      <protection locked="0"/>
    </xf>
    <xf numFmtId="1" fontId="7" fillId="0" borderId="6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1" fontId="12" fillId="0" borderId="1" xfId="0" applyNumberFormat="1" applyFont="1" applyBorder="1" applyAlignment="1" applyProtection="1">
      <alignment vertical="top" wrapText="1"/>
      <protection locked="0"/>
    </xf>
    <xf numFmtId="1" fontId="7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25" xfId="0" applyNumberFormat="1" applyFont="1" applyBorder="1" applyAlignment="1" applyProtection="1">
      <alignment horizontal="center" vertical="center" wrapText="1"/>
      <protection locked="0"/>
    </xf>
    <xf numFmtId="1" fontId="7" fillId="0" borderId="26" xfId="0" applyNumberFormat="1" applyFont="1" applyBorder="1" applyAlignment="1" applyProtection="1">
      <alignment horizontal="center" vertical="center" wrapText="1"/>
      <protection locked="0"/>
    </xf>
    <xf numFmtId="1" fontId="12" fillId="0" borderId="3" xfId="1" applyNumberFormat="1" applyFont="1" applyBorder="1" applyAlignment="1" applyProtection="1">
      <alignment horizontal="center" vertical="top" wrapText="1"/>
      <protection locked="0"/>
    </xf>
    <xf numFmtId="1" fontId="12" fillId="0" borderId="16" xfId="1" applyNumberFormat="1" applyFont="1" applyBorder="1" applyAlignment="1" applyProtection="1">
      <alignment horizontal="center" vertical="top" wrapText="1"/>
      <protection locked="0"/>
    </xf>
    <xf numFmtId="1" fontId="25" fillId="0" borderId="3" xfId="1" applyNumberFormat="1" applyFont="1" applyBorder="1" applyAlignment="1" applyProtection="1">
      <alignment horizontal="center" vertical="top" wrapText="1"/>
      <protection locked="0"/>
    </xf>
    <xf numFmtId="1" fontId="25" fillId="0" borderId="16" xfId="1" applyNumberFormat="1" applyFont="1" applyBorder="1" applyAlignment="1" applyProtection="1">
      <alignment horizontal="center" vertical="top" wrapText="1"/>
      <protection locked="0"/>
    </xf>
    <xf numFmtId="0" fontId="11" fillId="0" borderId="0" xfId="1" applyFont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22" fillId="0" borderId="1" xfId="9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left"/>
      <protection locked="0"/>
    </xf>
    <xf numFmtId="165" fontId="11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1" fontId="11" fillId="0" borderId="1" xfId="1" applyNumberFormat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7" fillId="0" borderId="6" xfId="0" applyNumberFormat="1" applyFont="1" applyBorder="1" applyAlignment="1" applyProtection="1">
      <alignment vertical="top" wrapText="1"/>
      <protection locked="0"/>
    </xf>
    <xf numFmtId="1" fontId="7" fillId="0" borderId="21" xfId="0" applyNumberFormat="1" applyFont="1" applyBorder="1" applyAlignment="1" applyProtection="1">
      <alignment vertical="top" wrapText="1"/>
      <protection locked="0"/>
    </xf>
    <xf numFmtId="1" fontId="7" fillId="0" borderId="7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vertical="top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9" fontId="11" fillId="0" borderId="1" xfId="1" applyNumberFormat="1" applyFont="1" applyBorder="1" applyAlignment="1" applyProtection="1">
      <alignment horizontal="center" vertical="center" wrapText="1"/>
      <protection hidden="1"/>
    </xf>
    <xf numFmtId="9" fontId="11" fillId="0" borderId="5" xfId="1" applyNumberFormat="1" applyFont="1" applyBorder="1" applyAlignment="1" applyProtection="1">
      <alignment horizontal="center" vertical="center" wrapText="1"/>
      <protection hidden="1"/>
    </xf>
    <xf numFmtId="9" fontId="11" fillId="0" borderId="3" xfId="1" applyNumberFormat="1" applyFont="1" applyBorder="1" applyAlignment="1" applyProtection="1">
      <alignment horizontal="center" vertical="center" wrapText="1"/>
      <protection hidden="1"/>
    </xf>
    <xf numFmtId="9" fontId="11" fillId="0" borderId="29" xfId="1" applyNumberFormat="1" applyFont="1" applyBorder="1" applyAlignment="1" applyProtection="1">
      <alignment horizontal="center" vertical="center" wrapText="1"/>
      <protection hidden="1"/>
    </xf>
    <xf numFmtId="0" fontId="11" fillId="0" borderId="4" xfId="1" applyFont="1" applyBorder="1" applyAlignment="1" applyProtection="1">
      <alignment horizontal="center" vertical="top" wrapText="1"/>
      <protection locked="0"/>
    </xf>
    <xf numFmtId="0" fontId="11" fillId="0" borderId="28" xfId="1" applyFont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67" fontId="5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center" wrapText="1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11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11" fillId="0" borderId="24" xfId="1" applyFont="1" applyBorder="1" applyAlignment="1" applyProtection="1">
      <alignment horizontal="left" vertical="top" wrapText="1"/>
      <protection locked="0"/>
    </xf>
    <xf numFmtId="0" fontId="11" fillId="0" borderId="18" xfId="1" applyFont="1" applyBorder="1" applyAlignment="1" applyProtection="1">
      <alignment horizontal="left" vertical="top" wrapText="1"/>
      <protection locked="0"/>
    </xf>
    <xf numFmtId="167" fontId="11" fillId="0" borderId="1" xfId="1" applyNumberFormat="1" applyFont="1" applyBorder="1" applyAlignment="1" applyProtection="1">
      <alignment horizontal="left" vertical="top" wrapText="1"/>
      <protection locked="0"/>
    </xf>
    <xf numFmtId="2" fontId="11" fillId="0" borderId="1" xfId="1" applyNumberFormat="1" applyFont="1" applyBorder="1" applyAlignment="1" applyProtection="1">
      <alignment horizontal="left" vertical="top"/>
      <protection locked="0"/>
    </xf>
    <xf numFmtId="0" fontId="5" fillId="0" borderId="3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11" fillId="0" borderId="5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7" xfId="1" applyNumberFormat="1" applyFont="1" applyBorder="1" applyAlignment="1" applyProtection="1">
      <alignment horizontal="center" vertical="center" wrapText="1"/>
      <protection locked="0"/>
    </xf>
    <xf numFmtId="1" fontId="5" fillId="0" borderId="24" xfId="1" applyNumberFormat="1" applyFont="1" applyBorder="1" applyAlignment="1" applyProtection="1">
      <alignment horizontal="center" vertical="center" wrapText="1"/>
      <protection locked="0"/>
    </xf>
    <xf numFmtId="1" fontId="5" fillId="0" borderId="18" xfId="1" applyNumberFormat="1" applyFont="1" applyBorder="1" applyAlignment="1" applyProtection="1">
      <alignment horizontal="center" vertical="center" wrapText="1"/>
      <protection locked="0"/>
    </xf>
    <xf numFmtId="1" fontId="5" fillId="0" borderId="19" xfId="1" applyNumberFormat="1" applyFont="1" applyBorder="1" applyAlignment="1" applyProtection="1">
      <alignment horizontal="center" vertical="center" wrapText="1"/>
      <protection locked="0"/>
    </xf>
    <xf numFmtId="1" fontId="5" fillId="0" borderId="2" xfId="1" applyNumberFormat="1" applyFont="1" applyBorder="1" applyAlignment="1" applyProtection="1">
      <alignment horizontal="center" vertical="center" wrapText="1"/>
      <protection locked="0"/>
    </xf>
    <xf numFmtId="1" fontId="5" fillId="0" borderId="20" xfId="1" applyNumberFormat="1" applyFont="1" applyBorder="1" applyAlignment="1" applyProtection="1">
      <alignment horizontal="center" vertical="center" wrapText="1"/>
      <protection locked="0"/>
    </xf>
    <xf numFmtId="1" fontId="5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9" xfId="1" applyNumberFormat="1" applyFont="1" applyBorder="1" applyAlignment="1" applyProtection="1">
      <alignment horizontal="center" vertical="top" wrapText="1"/>
      <protection locked="0"/>
    </xf>
    <xf numFmtId="0" fontId="0" fillId="2" borderId="1" xfId="0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26" fillId="0" borderId="6" xfId="0" applyNumberFormat="1" applyFont="1" applyBorder="1" applyAlignment="1" applyProtection="1">
      <alignment vertical="top" wrapText="1"/>
      <protection locked="0"/>
    </xf>
    <xf numFmtId="1" fontId="26" fillId="0" borderId="21" xfId="0" applyNumberFormat="1" applyFont="1" applyBorder="1" applyAlignment="1" applyProtection="1">
      <alignment vertical="top" wrapText="1"/>
      <protection locked="0"/>
    </xf>
    <xf numFmtId="1" fontId="26" fillId="0" borderId="7" xfId="0" applyNumberFormat="1" applyFont="1" applyBorder="1" applyAlignment="1" applyProtection="1">
      <alignment vertical="top" wrapText="1"/>
      <protection locked="0"/>
    </xf>
    <xf numFmtId="1" fontId="26" fillId="0" borderId="1" xfId="0" applyNumberFormat="1" applyFont="1" applyBorder="1" applyAlignment="1" applyProtection="1">
      <alignment horizontal="center" vertical="center" wrapText="1"/>
      <protection locked="0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9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694772</xdr:colOff>
      <xdr:row>233</xdr:row>
      <xdr:rowOff>11208</xdr:rowOff>
    </xdr:from>
    <xdr:to>
      <xdr:col>7</xdr:col>
      <xdr:colOff>122191</xdr:colOff>
      <xdr:row>252</xdr:row>
      <xdr:rowOff>138796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4772" y="40856649"/>
          <a:ext cx="5557037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501650</xdr:colOff>
      <xdr:row>60</xdr:row>
      <xdr:rowOff>250825</xdr:rowOff>
    </xdr:from>
    <xdr:to>
      <xdr:col>18</xdr:col>
      <xdr:colOff>93681</xdr:colOff>
      <xdr:row>70</xdr:row>
      <xdr:rowOff>26400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0325" y="13909675"/>
          <a:ext cx="3011506" cy="21758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323850</xdr:colOff>
      <xdr:row>41</xdr:row>
      <xdr:rowOff>9525</xdr:rowOff>
    </xdr:from>
    <xdr:to>
      <xdr:col>16</xdr:col>
      <xdr:colOff>190500</xdr:colOff>
      <xdr:row>45</xdr:row>
      <xdr:rowOff>123681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475" y="9029700"/>
          <a:ext cx="3990975" cy="91425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46</xdr:row>
      <xdr:rowOff>104775</xdr:rowOff>
    </xdr:from>
    <xdr:to>
      <xdr:col>16</xdr:col>
      <xdr:colOff>495300</xdr:colOff>
      <xdr:row>53</xdr:row>
      <xdr:rowOff>151509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25" y="10125075"/>
          <a:ext cx="4238625" cy="228510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189</xdr:row>
      <xdr:rowOff>19051</xdr:rowOff>
    </xdr:from>
    <xdr:to>
      <xdr:col>7</xdr:col>
      <xdr:colOff>190500</xdr:colOff>
      <xdr:row>208</xdr:row>
      <xdr:rowOff>66202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3875" y="36937951"/>
          <a:ext cx="5362575" cy="384762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714375</xdr:colOff>
      <xdr:row>87</xdr:row>
      <xdr:rowOff>133350</xdr:rowOff>
    </xdr:from>
    <xdr:to>
      <xdr:col>12</xdr:col>
      <xdr:colOff>47292</xdr:colOff>
      <xdr:row>90</xdr:row>
      <xdr:rowOff>47561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9000" y="17592675"/>
          <a:ext cx="2666667" cy="514286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209</xdr:row>
      <xdr:rowOff>19051</xdr:rowOff>
    </xdr:from>
    <xdr:to>
      <xdr:col>5</xdr:col>
      <xdr:colOff>657225</xdr:colOff>
      <xdr:row>228</xdr:row>
      <xdr:rowOff>90952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1546860" y="40930831"/>
          <a:ext cx="3377565" cy="3836181"/>
          <a:chOff x="1524000" y="41138476"/>
          <a:chExt cx="3267075" cy="3872376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524000" y="41138476"/>
            <a:ext cx="3267075" cy="387237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2000250" y="42995850"/>
            <a:ext cx="1600200" cy="10287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2</xdr:col>
      <xdr:colOff>76200</xdr:colOff>
      <xdr:row>215</xdr:row>
      <xdr:rowOff>161924</xdr:rowOff>
    </xdr:from>
    <xdr:to>
      <xdr:col>4</xdr:col>
      <xdr:colOff>114300</xdr:colOff>
      <xdr:row>218</xdr:row>
      <xdr:rowOff>161924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638300" y="42481499"/>
          <a:ext cx="18288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600">
              <a:solidFill>
                <a:srgbClr val="FF0000"/>
              </a:solidFill>
            </a:rPr>
            <a:t>Building No.2</a:t>
          </a:r>
          <a:r>
            <a:rPr lang="en-IN" sz="1600" baseline="0">
              <a:solidFill>
                <a:srgbClr val="FF0000"/>
              </a:solidFill>
            </a:rPr>
            <a:t> (Sale)</a:t>
          </a:r>
          <a:endParaRPr lang="en-IN" sz="16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295275</xdr:colOff>
      <xdr:row>253</xdr:row>
      <xdr:rowOff>57150</xdr:rowOff>
    </xdr:from>
    <xdr:to>
      <xdr:col>7</xdr:col>
      <xdr:colOff>514350</xdr:colOff>
      <xdr:row>271</xdr:row>
      <xdr:rowOff>140148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95275" y="49686210"/>
          <a:ext cx="6101715" cy="3649158"/>
          <a:chOff x="295275" y="49977675"/>
          <a:chExt cx="5915025" cy="3683448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5275" y="49977675"/>
            <a:ext cx="5915025" cy="368344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 rot="948981">
            <a:off x="2818733" y="51388323"/>
            <a:ext cx="900707" cy="510071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8</xdr:col>
      <xdr:colOff>904240</xdr:colOff>
      <xdr:row>147</xdr:row>
      <xdr:rowOff>46990</xdr:rowOff>
    </xdr:from>
    <xdr:to>
      <xdr:col>20</xdr:col>
      <xdr:colOff>120420</xdr:colOff>
      <xdr:row>179</xdr:row>
      <xdr:rowOff>20589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640320" y="29871670"/>
          <a:ext cx="5982740" cy="6305819"/>
          <a:chOff x="393700" y="29413200"/>
          <a:chExt cx="6075450" cy="6266449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2243" y="3351964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3700" y="294132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2243" y="294132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42294" y="3351964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381000</xdr:colOff>
      <xdr:row>146</xdr:row>
      <xdr:rowOff>53340</xdr:rowOff>
    </xdr:from>
    <xdr:to>
      <xdr:col>7</xdr:col>
      <xdr:colOff>274320</xdr:colOff>
      <xdr:row>186</xdr:row>
      <xdr:rowOff>137160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237A5BD-AE07-79A8-EAF3-6636273DEEA5}"/>
            </a:ext>
          </a:extLst>
        </xdr:cNvPr>
        <xdr:cNvGrpSpPr/>
      </xdr:nvGrpSpPr>
      <xdr:grpSpPr>
        <a:xfrm>
          <a:off x="381000" y="29679900"/>
          <a:ext cx="5775960" cy="6812280"/>
          <a:chOff x="417608" y="120905"/>
          <a:chExt cx="5649476" cy="7133620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9F3EA600-915C-5D23-A241-F30DE4859F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174" y="509452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72852A5-99B6-AD92-72EA-1268FCD83B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2452" y="2607715"/>
            <a:ext cx="1774632" cy="236837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24E47F85-8973-FFD1-7419-531834E4FF5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917" b="14330"/>
          <a:stretch>
            <a:fillRect/>
          </a:stretch>
        </xdr:blipFill>
        <xdr:spPr bwMode="auto">
          <a:xfrm>
            <a:off x="417608" y="120905"/>
            <a:ext cx="3698018" cy="48551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7E7B19C-9857-7A78-B701-192EE0A663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2452" y="120905"/>
            <a:ext cx="1774632" cy="236837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BE9FCAED-BEB4-14BE-BD79-1D6E212A2F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9641" y="509452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E752D5E-545F-68CB-A0B7-8539BC8DCF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6312" y="509452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91Ni5Ws4bQ2KvMB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232"/>
  <sheetViews>
    <sheetView tabSelected="1" view="pageBreakPreview" zoomScaleNormal="100" zoomScaleSheetLayoutView="100" zoomScalePageLayoutView="85" workbookViewId="0">
      <selection activeCell="K6" sqref="K6"/>
    </sheetView>
  </sheetViews>
  <sheetFormatPr defaultColWidth="9.21875" defaultRowHeight="15.6" x14ac:dyDescent="0.3"/>
  <cols>
    <col min="1" max="1" width="11.44140625" style="12" customWidth="1"/>
    <col min="2" max="2" width="12" style="12" customWidth="1"/>
    <col min="3" max="3" width="12.77734375" style="12" customWidth="1"/>
    <col min="4" max="4" width="14.21875" style="12" customWidth="1"/>
    <col min="5" max="7" width="11.77734375" style="12" customWidth="1"/>
    <col min="8" max="8" width="12.44140625" style="12" customWidth="1"/>
    <col min="9" max="9" width="17.44140625" style="7" customWidth="1"/>
    <col min="10" max="10" width="11.44140625" style="7" customWidth="1"/>
    <col min="11" max="11" width="10.5546875" style="7" bestFit="1" customWidth="1"/>
    <col min="12" max="12" width="10.5546875" style="7" customWidth="1"/>
    <col min="13" max="13" width="11.77734375" style="7" customWidth="1"/>
    <col min="14" max="14" width="12.5546875" style="7" hidden="1" customWidth="1"/>
    <col min="15" max="15" width="9.77734375" style="7" hidden="1" customWidth="1"/>
    <col min="16" max="16" width="10.44140625" style="7" hidden="1" customWidth="1"/>
    <col min="17" max="247" width="9.21875" style="7"/>
    <col min="248" max="248" width="8.77734375" style="7" customWidth="1"/>
    <col min="249" max="249" width="9.77734375" style="7" customWidth="1"/>
    <col min="250" max="250" width="14.44140625" style="7" customWidth="1"/>
    <col min="251" max="251" width="7.21875" style="7" customWidth="1"/>
    <col min="252" max="252" width="5.5546875" style="7" customWidth="1"/>
    <col min="253" max="253" width="9" style="7" customWidth="1"/>
    <col min="254" max="255" width="9.77734375" style="7" customWidth="1"/>
    <col min="256" max="256" width="11.21875" style="7" customWidth="1"/>
    <col min="257" max="257" width="2.77734375" style="7" customWidth="1"/>
    <col min="258" max="258" width="3.5546875" style="7" customWidth="1"/>
    <col min="259" max="503" width="9.21875" style="7"/>
    <col min="504" max="504" width="8.77734375" style="7" customWidth="1"/>
    <col min="505" max="505" width="9.77734375" style="7" customWidth="1"/>
    <col min="506" max="506" width="14.44140625" style="7" customWidth="1"/>
    <col min="507" max="507" width="7.21875" style="7" customWidth="1"/>
    <col min="508" max="508" width="5.5546875" style="7" customWidth="1"/>
    <col min="509" max="509" width="9" style="7" customWidth="1"/>
    <col min="510" max="511" width="9.77734375" style="7" customWidth="1"/>
    <col min="512" max="512" width="11.21875" style="7" customWidth="1"/>
    <col min="513" max="513" width="2.77734375" style="7" customWidth="1"/>
    <col min="514" max="514" width="3.5546875" style="7" customWidth="1"/>
    <col min="515" max="759" width="9.21875" style="7"/>
    <col min="760" max="760" width="8.77734375" style="7" customWidth="1"/>
    <col min="761" max="761" width="9.77734375" style="7" customWidth="1"/>
    <col min="762" max="762" width="14.44140625" style="7" customWidth="1"/>
    <col min="763" max="763" width="7.21875" style="7" customWidth="1"/>
    <col min="764" max="764" width="5.5546875" style="7" customWidth="1"/>
    <col min="765" max="765" width="9" style="7" customWidth="1"/>
    <col min="766" max="767" width="9.77734375" style="7" customWidth="1"/>
    <col min="768" max="768" width="11.21875" style="7" customWidth="1"/>
    <col min="769" max="769" width="2.77734375" style="7" customWidth="1"/>
    <col min="770" max="770" width="3.5546875" style="7" customWidth="1"/>
    <col min="771" max="1015" width="9.21875" style="7"/>
    <col min="1016" max="1016" width="8.77734375" style="7" customWidth="1"/>
    <col min="1017" max="1017" width="9.77734375" style="7" customWidth="1"/>
    <col min="1018" max="1018" width="14.44140625" style="7" customWidth="1"/>
    <col min="1019" max="1019" width="7.21875" style="7" customWidth="1"/>
    <col min="1020" max="1020" width="5.5546875" style="7" customWidth="1"/>
    <col min="1021" max="1021" width="9" style="7" customWidth="1"/>
    <col min="1022" max="1023" width="9.77734375" style="7" customWidth="1"/>
    <col min="1024" max="1024" width="11.21875" style="7" customWidth="1"/>
    <col min="1025" max="1025" width="2.77734375" style="7" customWidth="1"/>
    <col min="1026" max="1026" width="3.5546875" style="7" customWidth="1"/>
    <col min="1027" max="1271" width="9.21875" style="7"/>
    <col min="1272" max="1272" width="8.77734375" style="7" customWidth="1"/>
    <col min="1273" max="1273" width="9.77734375" style="7" customWidth="1"/>
    <col min="1274" max="1274" width="14.44140625" style="7" customWidth="1"/>
    <col min="1275" max="1275" width="7.21875" style="7" customWidth="1"/>
    <col min="1276" max="1276" width="5.5546875" style="7" customWidth="1"/>
    <col min="1277" max="1277" width="9" style="7" customWidth="1"/>
    <col min="1278" max="1279" width="9.77734375" style="7" customWidth="1"/>
    <col min="1280" max="1280" width="11.21875" style="7" customWidth="1"/>
    <col min="1281" max="1281" width="2.77734375" style="7" customWidth="1"/>
    <col min="1282" max="1282" width="3.5546875" style="7" customWidth="1"/>
    <col min="1283" max="1527" width="9.21875" style="7"/>
    <col min="1528" max="1528" width="8.77734375" style="7" customWidth="1"/>
    <col min="1529" max="1529" width="9.77734375" style="7" customWidth="1"/>
    <col min="1530" max="1530" width="14.44140625" style="7" customWidth="1"/>
    <col min="1531" max="1531" width="7.21875" style="7" customWidth="1"/>
    <col min="1532" max="1532" width="5.5546875" style="7" customWidth="1"/>
    <col min="1533" max="1533" width="9" style="7" customWidth="1"/>
    <col min="1534" max="1535" width="9.77734375" style="7" customWidth="1"/>
    <col min="1536" max="1536" width="11.21875" style="7" customWidth="1"/>
    <col min="1537" max="1537" width="2.77734375" style="7" customWidth="1"/>
    <col min="1538" max="1538" width="3.5546875" style="7" customWidth="1"/>
    <col min="1539" max="1783" width="9.21875" style="7"/>
    <col min="1784" max="1784" width="8.77734375" style="7" customWidth="1"/>
    <col min="1785" max="1785" width="9.77734375" style="7" customWidth="1"/>
    <col min="1786" max="1786" width="14.44140625" style="7" customWidth="1"/>
    <col min="1787" max="1787" width="7.21875" style="7" customWidth="1"/>
    <col min="1788" max="1788" width="5.5546875" style="7" customWidth="1"/>
    <col min="1789" max="1789" width="9" style="7" customWidth="1"/>
    <col min="1790" max="1791" width="9.77734375" style="7" customWidth="1"/>
    <col min="1792" max="1792" width="11.21875" style="7" customWidth="1"/>
    <col min="1793" max="1793" width="2.77734375" style="7" customWidth="1"/>
    <col min="1794" max="1794" width="3.5546875" style="7" customWidth="1"/>
    <col min="1795" max="2039" width="9.21875" style="7"/>
    <col min="2040" max="2040" width="8.77734375" style="7" customWidth="1"/>
    <col min="2041" max="2041" width="9.77734375" style="7" customWidth="1"/>
    <col min="2042" max="2042" width="14.44140625" style="7" customWidth="1"/>
    <col min="2043" max="2043" width="7.21875" style="7" customWidth="1"/>
    <col min="2044" max="2044" width="5.5546875" style="7" customWidth="1"/>
    <col min="2045" max="2045" width="9" style="7" customWidth="1"/>
    <col min="2046" max="2047" width="9.77734375" style="7" customWidth="1"/>
    <col min="2048" max="2048" width="11.21875" style="7" customWidth="1"/>
    <col min="2049" max="2049" width="2.77734375" style="7" customWidth="1"/>
    <col min="2050" max="2050" width="3.5546875" style="7" customWidth="1"/>
    <col min="2051" max="2295" width="9.21875" style="7"/>
    <col min="2296" max="2296" width="8.77734375" style="7" customWidth="1"/>
    <col min="2297" max="2297" width="9.77734375" style="7" customWidth="1"/>
    <col min="2298" max="2298" width="14.44140625" style="7" customWidth="1"/>
    <col min="2299" max="2299" width="7.21875" style="7" customWidth="1"/>
    <col min="2300" max="2300" width="5.5546875" style="7" customWidth="1"/>
    <col min="2301" max="2301" width="9" style="7" customWidth="1"/>
    <col min="2302" max="2303" width="9.77734375" style="7" customWidth="1"/>
    <col min="2304" max="2304" width="11.21875" style="7" customWidth="1"/>
    <col min="2305" max="2305" width="2.77734375" style="7" customWidth="1"/>
    <col min="2306" max="2306" width="3.5546875" style="7" customWidth="1"/>
    <col min="2307" max="2551" width="9.21875" style="7"/>
    <col min="2552" max="2552" width="8.77734375" style="7" customWidth="1"/>
    <col min="2553" max="2553" width="9.77734375" style="7" customWidth="1"/>
    <col min="2554" max="2554" width="14.44140625" style="7" customWidth="1"/>
    <col min="2555" max="2555" width="7.21875" style="7" customWidth="1"/>
    <col min="2556" max="2556" width="5.5546875" style="7" customWidth="1"/>
    <col min="2557" max="2557" width="9" style="7" customWidth="1"/>
    <col min="2558" max="2559" width="9.77734375" style="7" customWidth="1"/>
    <col min="2560" max="2560" width="11.21875" style="7" customWidth="1"/>
    <col min="2561" max="2561" width="2.77734375" style="7" customWidth="1"/>
    <col min="2562" max="2562" width="3.5546875" style="7" customWidth="1"/>
    <col min="2563" max="2807" width="9.21875" style="7"/>
    <col min="2808" max="2808" width="8.77734375" style="7" customWidth="1"/>
    <col min="2809" max="2809" width="9.77734375" style="7" customWidth="1"/>
    <col min="2810" max="2810" width="14.44140625" style="7" customWidth="1"/>
    <col min="2811" max="2811" width="7.21875" style="7" customWidth="1"/>
    <col min="2812" max="2812" width="5.5546875" style="7" customWidth="1"/>
    <col min="2813" max="2813" width="9" style="7" customWidth="1"/>
    <col min="2814" max="2815" width="9.77734375" style="7" customWidth="1"/>
    <col min="2816" max="2816" width="11.21875" style="7" customWidth="1"/>
    <col min="2817" max="2817" width="2.77734375" style="7" customWidth="1"/>
    <col min="2818" max="2818" width="3.5546875" style="7" customWidth="1"/>
    <col min="2819" max="3063" width="9.21875" style="7"/>
    <col min="3064" max="3064" width="8.77734375" style="7" customWidth="1"/>
    <col min="3065" max="3065" width="9.77734375" style="7" customWidth="1"/>
    <col min="3066" max="3066" width="14.44140625" style="7" customWidth="1"/>
    <col min="3067" max="3067" width="7.21875" style="7" customWidth="1"/>
    <col min="3068" max="3068" width="5.5546875" style="7" customWidth="1"/>
    <col min="3069" max="3069" width="9" style="7" customWidth="1"/>
    <col min="3070" max="3071" width="9.77734375" style="7" customWidth="1"/>
    <col min="3072" max="3072" width="11.21875" style="7" customWidth="1"/>
    <col min="3073" max="3073" width="2.77734375" style="7" customWidth="1"/>
    <col min="3074" max="3074" width="3.5546875" style="7" customWidth="1"/>
    <col min="3075" max="3319" width="9.21875" style="7"/>
    <col min="3320" max="3320" width="8.77734375" style="7" customWidth="1"/>
    <col min="3321" max="3321" width="9.77734375" style="7" customWidth="1"/>
    <col min="3322" max="3322" width="14.44140625" style="7" customWidth="1"/>
    <col min="3323" max="3323" width="7.21875" style="7" customWidth="1"/>
    <col min="3324" max="3324" width="5.5546875" style="7" customWidth="1"/>
    <col min="3325" max="3325" width="9" style="7" customWidth="1"/>
    <col min="3326" max="3327" width="9.77734375" style="7" customWidth="1"/>
    <col min="3328" max="3328" width="11.21875" style="7" customWidth="1"/>
    <col min="3329" max="3329" width="2.77734375" style="7" customWidth="1"/>
    <col min="3330" max="3330" width="3.5546875" style="7" customWidth="1"/>
    <col min="3331" max="3575" width="9.21875" style="7"/>
    <col min="3576" max="3576" width="8.77734375" style="7" customWidth="1"/>
    <col min="3577" max="3577" width="9.77734375" style="7" customWidth="1"/>
    <col min="3578" max="3578" width="14.44140625" style="7" customWidth="1"/>
    <col min="3579" max="3579" width="7.21875" style="7" customWidth="1"/>
    <col min="3580" max="3580" width="5.5546875" style="7" customWidth="1"/>
    <col min="3581" max="3581" width="9" style="7" customWidth="1"/>
    <col min="3582" max="3583" width="9.77734375" style="7" customWidth="1"/>
    <col min="3584" max="3584" width="11.21875" style="7" customWidth="1"/>
    <col min="3585" max="3585" width="2.77734375" style="7" customWidth="1"/>
    <col min="3586" max="3586" width="3.5546875" style="7" customWidth="1"/>
    <col min="3587" max="3831" width="9.21875" style="7"/>
    <col min="3832" max="3832" width="8.77734375" style="7" customWidth="1"/>
    <col min="3833" max="3833" width="9.77734375" style="7" customWidth="1"/>
    <col min="3834" max="3834" width="14.44140625" style="7" customWidth="1"/>
    <col min="3835" max="3835" width="7.21875" style="7" customWidth="1"/>
    <col min="3836" max="3836" width="5.5546875" style="7" customWidth="1"/>
    <col min="3837" max="3837" width="9" style="7" customWidth="1"/>
    <col min="3838" max="3839" width="9.77734375" style="7" customWidth="1"/>
    <col min="3840" max="3840" width="11.21875" style="7" customWidth="1"/>
    <col min="3841" max="3841" width="2.77734375" style="7" customWidth="1"/>
    <col min="3842" max="3842" width="3.5546875" style="7" customWidth="1"/>
    <col min="3843" max="4087" width="9.21875" style="7"/>
    <col min="4088" max="4088" width="8.77734375" style="7" customWidth="1"/>
    <col min="4089" max="4089" width="9.77734375" style="7" customWidth="1"/>
    <col min="4090" max="4090" width="14.44140625" style="7" customWidth="1"/>
    <col min="4091" max="4091" width="7.21875" style="7" customWidth="1"/>
    <col min="4092" max="4092" width="5.5546875" style="7" customWidth="1"/>
    <col min="4093" max="4093" width="9" style="7" customWidth="1"/>
    <col min="4094" max="4095" width="9.77734375" style="7" customWidth="1"/>
    <col min="4096" max="4096" width="11.21875" style="7" customWidth="1"/>
    <col min="4097" max="4097" width="2.77734375" style="7" customWidth="1"/>
    <col min="4098" max="4098" width="3.5546875" style="7" customWidth="1"/>
    <col min="4099" max="4343" width="9.21875" style="7"/>
    <col min="4344" max="4344" width="8.77734375" style="7" customWidth="1"/>
    <col min="4345" max="4345" width="9.77734375" style="7" customWidth="1"/>
    <col min="4346" max="4346" width="14.44140625" style="7" customWidth="1"/>
    <col min="4347" max="4347" width="7.21875" style="7" customWidth="1"/>
    <col min="4348" max="4348" width="5.5546875" style="7" customWidth="1"/>
    <col min="4349" max="4349" width="9" style="7" customWidth="1"/>
    <col min="4350" max="4351" width="9.77734375" style="7" customWidth="1"/>
    <col min="4352" max="4352" width="11.21875" style="7" customWidth="1"/>
    <col min="4353" max="4353" width="2.77734375" style="7" customWidth="1"/>
    <col min="4354" max="4354" width="3.5546875" style="7" customWidth="1"/>
    <col min="4355" max="4599" width="9.21875" style="7"/>
    <col min="4600" max="4600" width="8.77734375" style="7" customWidth="1"/>
    <col min="4601" max="4601" width="9.77734375" style="7" customWidth="1"/>
    <col min="4602" max="4602" width="14.44140625" style="7" customWidth="1"/>
    <col min="4603" max="4603" width="7.21875" style="7" customWidth="1"/>
    <col min="4604" max="4604" width="5.5546875" style="7" customWidth="1"/>
    <col min="4605" max="4605" width="9" style="7" customWidth="1"/>
    <col min="4606" max="4607" width="9.77734375" style="7" customWidth="1"/>
    <col min="4608" max="4608" width="11.21875" style="7" customWidth="1"/>
    <col min="4609" max="4609" width="2.77734375" style="7" customWidth="1"/>
    <col min="4610" max="4610" width="3.5546875" style="7" customWidth="1"/>
    <col min="4611" max="4855" width="9.21875" style="7"/>
    <col min="4856" max="4856" width="8.77734375" style="7" customWidth="1"/>
    <col min="4857" max="4857" width="9.77734375" style="7" customWidth="1"/>
    <col min="4858" max="4858" width="14.44140625" style="7" customWidth="1"/>
    <col min="4859" max="4859" width="7.21875" style="7" customWidth="1"/>
    <col min="4860" max="4860" width="5.5546875" style="7" customWidth="1"/>
    <col min="4861" max="4861" width="9" style="7" customWidth="1"/>
    <col min="4862" max="4863" width="9.77734375" style="7" customWidth="1"/>
    <col min="4864" max="4864" width="11.21875" style="7" customWidth="1"/>
    <col min="4865" max="4865" width="2.77734375" style="7" customWidth="1"/>
    <col min="4866" max="4866" width="3.5546875" style="7" customWidth="1"/>
    <col min="4867" max="5111" width="9.21875" style="7"/>
    <col min="5112" max="5112" width="8.77734375" style="7" customWidth="1"/>
    <col min="5113" max="5113" width="9.77734375" style="7" customWidth="1"/>
    <col min="5114" max="5114" width="14.44140625" style="7" customWidth="1"/>
    <col min="5115" max="5115" width="7.21875" style="7" customWidth="1"/>
    <col min="5116" max="5116" width="5.5546875" style="7" customWidth="1"/>
    <col min="5117" max="5117" width="9" style="7" customWidth="1"/>
    <col min="5118" max="5119" width="9.77734375" style="7" customWidth="1"/>
    <col min="5120" max="5120" width="11.21875" style="7" customWidth="1"/>
    <col min="5121" max="5121" width="2.77734375" style="7" customWidth="1"/>
    <col min="5122" max="5122" width="3.5546875" style="7" customWidth="1"/>
    <col min="5123" max="5367" width="9.21875" style="7"/>
    <col min="5368" max="5368" width="8.77734375" style="7" customWidth="1"/>
    <col min="5369" max="5369" width="9.77734375" style="7" customWidth="1"/>
    <col min="5370" max="5370" width="14.44140625" style="7" customWidth="1"/>
    <col min="5371" max="5371" width="7.21875" style="7" customWidth="1"/>
    <col min="5372" max="5372" width="5.5546875" style="7" customWidth="1"/>
    <col min="5373" max="5373" width="9" style="7" customWidth="1"/>
    <col min="5374" max="5375" width="9.77734375" style="7" customWidth="1"/>
    <col min="5376" max="5376" width="11.21875" style="7" customWidth="1"/>
    <col min="5377" max="5377" width="2.77734375" style="7" customWidth="1"/>
    <col min="5378" max="5378" width="3.5546875" style="7" customWidth="1"/>
    <col min="5379" max="5623" width="9.21875" style="7"/>
    <col min="5624" max="5624" width="8.77734375" style="7" customWidth="1"/>
    <col min="5625" max="5625" width="9.77734375" style="7" customWidth="1"/>
    <col min="5626" max="5626" width="14.44140625" style="7" customWidth="1"/>
    <col min="5627" max="5627" width="7.21875" style="7" customWidth="1"/>
    <col min="5628" max="5628" width="5.5546875" style="7" customWidth="1"/>
    <col min="5629" max="5629" width="9" style="7" customWidth="1"/>
    <col min="5630" max="5631" width="9.77734375" style="7" customWidth="1"/>
    <col min="5632" max="5632" width="11.21875" style="7" customWidth="1"/>
    <col min="5633" max="5633" width="2.77734375" style="7" customWidth="1"/>
    <col min="5634" max="5634" width="3.5546875" style="7" customWidth="1"/>
    <col min="5635" max="5879" width="9.21875" style="7"/>
    <col min="5880" max="5880" width="8.77734375" style="7" customWidth="1"/>
    <col min="5881" max="5881" width="9.77734375" style="7" customWidth="1"/>
    <col min="5882" max="5882" width="14.44140625" style="7" customWidth="1"/>
    <col min="5883" max="5883" width="7.21875" style="7" customWidth="1"/>
    <col min="5884" max="5884" width="5.5546875" style="7" customWidth="1"/>
    <col min="5885" max="5885" width="9" style="7" customWidth="1"/>
    <col min="5886" max="5887" width="9.77734375" style="7" customWidth="1"/>
    <col min="5888" max="5888" width="11.21875" style="7" customWidth="1"/>
    <col min="5889" max="5889" width="2.77734375" style="7" customWidth="1"/>
    <col min="5890" max="5890" width="3.5546875" style="7" customWidth="1"/>
    <col min="5891" max="6135" width="9.21875" style="7"/>
    <col min="6136" max="6136" width="8.77734375" style="7" customWidth="1"/>
    <col min="6137" max="6137" width="9.77734375" style="7" customWidth="1"/>
    <col min="6138" max="6138" width="14.44140625" style="7" customWidth="1"/>
    <col min="6139" max="6139" width="7.21875" style="7" customWidth="1"/>
    <col min="6140" max="6140" width="5.5546875" style="7" customWidth="1"/>
    <col min="6141" max="6141" width="9" style="7" customWidth="1"/>
    <col min="6142" max="6143" width="9.77734375" style="7" customWidth="1"/>
    <col min="6144" max="6144" width="11.21875" style="7" customWidth="1"/>
    <col min="6145" max="6145" width="2.77734375" style="7" customWidth="1"/>
    <col min="6146" max="6146" width="3.5546875" style="7" customWidth="1"/>
    <col min="6147" max="6391" width="9.21875" style="7"/>
    <col min="6392" max="6392" width="8.77734375" style="7" customWidth="1"/>
    <col min="6393" max="6393" width="9.77734375" style="7" customWidth="1"/>
    <col min="6394" max="6394" width="14.44140625" style="7" customWidth="1"/>
    <col min="6395" max="6395" width="7.21875" style="7" customWidth="1"/>
    <col min="6396" max="6396" width="5.5546875" style="7" customWidth="1"/>
    <col min="6397" max="6397" width="9" style="7" customWidth="1"/>
    <col min="6398" max="6399" width="9.77734375" style="7" customWidth="1"/>
    <col min="6400" max="6400" width="11.21875" style="7" customWidth="1"/>
    <col min="6401" max="6401" width="2.77734375" style="7" customWidth="1"/>
    <col min="6402" max="6402" width="3.5546875" style="7" customWidth="1"/>
    <col min="6403" max="6647" width="9.21875" style="7"/>
    <col min="6648" max="6648" width="8.77734375" style="7" customWidth="1"/>
    <col min="6649" max="6649" width="9.77734375" style="7" customWidth="1"/>
    <col min="6650" max="6650" width="14.44140625" style="7" customWidth="1"/>
    <col min="6651" max="6651" width="7.21875" style="7" customWidth="1"/>
    <col min="6652" max="6652" width="5.5546875" style="7" customWidth="1"/>
    <col min="6653" max="6653" width="9" style="7" customWidth="1"/>
    <col min="6654" max="6655" width="9.77734375" style="7" customWidth="1"/>
    <col min="6656" max="6656" width="11.21875" style="7" customWidth="1"/>
    <col min="6657" max="6657" width="2.77734375" style="7" customWidth="1"/>
    <col min="6658" max="6658" width="3.5546875" style="7" customWidth="1"/>
    <col min="6659" max="6903" width="9.21875" style="7"/>
    <col min="6904" max="6904" width="8.77734375" style="7" customWidth="1"/>
    <col min="6905" max="6905" width="9.77734375" style="7" customWidth="1"/>
    <col min="6906" max="6906" width="14.44140625" style="7" customWidth="1"/>
    <col min="6907" max="6907" width="7.21875" style="7" customWidth="1"/>
    <col min="6908" max="6908" width="5.5546875" style="7" customWidth="1"/>
    <col min="6909" max="6909" width="9" style="7" customWidth="1"/>
    <col min="6910" max="6911" width="9.77734375" style="7" customWidth="1"/>
    <col min="6912" max="6912" width="11.21875" style="7" customWidth="1"/>
    <col min="6913" max="6913" width="2.77734375" style="7" customWidth="1"/>
    <col min="6914" max="6914" width="3.5546875" style="7" customWidth="1"/>
    <col min="6915" max="7159" width="9.21875" style="7"/>
    <col min="7160" max="7160" width="8.77734375" style="7" customWidth="1"/>
    <col min="7161" max="7161" width="9.77734375" style="7" customWidth="1"/>
    <col min="7162" max="7162" width="14.44140625" style="7" customWidth="1"/>
    <col min="7163" max="7163" width="7.21875" style="7" customWidth="1"/>
    <col min="7164" max="7164" width="5.5546875" style="7" customWidth="1"/>
    <col min="7165" max="7165" width="9" style="7" customWidth="1"/>
    <col min="7166" max="7167" width="9.77734375" style="7" customWidth="1"/>
    <col min="7168" max="7168" width="11.21875" style="7" customWidth="1"/>
    <col min="7169" max="7169" width="2.77734375" style="7" customWidth="1"/>
    <col min="7170" max="7170" width="3.5546875" style="7" customWidth="1"/>
    <col min="7171" max="7415" width="9.21875" style="7"/>
    <col min="7416" max="7416" width="8.77734375" style="7" customWidth="1"/>
    <col min="7417" max="7417" width="9.77734375" style="7" customWidth="1"/>
    <col min="7418" max="7418" width="14.44140625" style="7" customWidth="1"/>
    <col min="7419" max="7419" width="7.21875" style="7" customWidth="1"/>
    <col min="7420" max="7420" width="5.5546875" style="7" customWidth="1"/>
    <col min="7421" max="7421" width="9" style="7" customWidth="1"/>
    <col min="7422" max="7423" width="9.77734375" style="7" customWidth="1"/>
    <col min="7424" max="7424" width="11.21875" style="7" customWidth="1"/>
    <col min="7425" max="7425" width="2.77734375" style="7" customWidth="1"/>
    <col min="7426" max="7426" width="3.5546875" style="7" customWidth="1"/>
    <col min="7427" max="7671" width="9.21875" style="7"/>
    <col min="7672" max="7672" width="8.77734375" style="7" customWidth="1"/>
    <col min="7673" max="7673" width="9.77734375" style="7" customWidth="1"/>
    <col min="7674" max="7674" width="14.44140625" style="7" customWidth="1"/>
    <col min="7675" max="7675" width="7.21875" style="7" customWidth="1"/>
    <col min="7676" max="7676" width="5.5546875" style="7" customWidth="1"/>
    <col min="7677" max="7677" width="9" style="7" customWidth="1"/>
    <col min="7678" max="7679" width="9.77734375" style="7" customWidth="1"/>
    <col min="7680" max="7680" width="11.21875" style="7" customWidth="1"/>
    <col min="7681" max="7681" width="2.77734375" style="7" customWidth="1"/>
    <col min="7682" max="7682" width="3.5546875" style="7" customWidth="1"/>
    <col min="7683" max="7927" width="9.21875" style="7"/>
    <col min="7928" max="7928" width="8.77734375" style="7" customWidth="1"/>
    <col min="7929" max="7929" width="9.77734375" style="7" customWidth="1"/>
    <col min="7930" max="7930" width="14.44140625" style="7" customWidth="1"/>
    <col min="7931" max="7931" width="7.21875" style="7" customWidth="1"/>
    <col min="7932" max="7932" width="5.5546875" style="7" customWidth="1"/>
    <col min="7933" max="7933" width="9" style="7" customWidth="1"/>
    <col min="7934" max="7935" width="9.77734375" style="7" customWidth="1"/>
    <col min="7936" max="7936" width="11.21875" style="7" customWidth="1"/>
    <col min="7937" max="7937" width="2.77734375" style="7" customWidth="1"/>
    <col min="7938" max="7938" width="3.5546875" style="7" customWidth="1"/>
    <col min="7939" max="8183" width="9.21875" style="7"/>
    <col min="8184" max="8184" width="8.77734375" style="7" customWidth="1"/>
    <col min="8185" max="8185" width="9.77734375" style="7" customWidth="1"/>
    <col min="8186" max="8186" width="14.44140625" style="7" customWidth="1"/>
    <col min="8187" max="8187" width="7.21875" style="7" customWidth="1"/>
    <col min="8188" max="8188" width="5.5546875" style="7" customWidth="1"/>
    <col min="8189" max="8189" width="9" style="7" customWidth="1"/>
    <col min="8190" max="8191" width="9.77734375" style="7" customWidth="1"/>
    <col min="8192" max="8192" width="11.21875" style="7" customWidth="1"/>
    <col min="8193" max="8193" width="2.77734375" style="7" customWidth="1"/>
    <col min="8194" max="8194" width="3.5546875" style="7" customWidth="1"/>
    <col min="8195" max="8439" width="9.21875" style="7"/>
    <col min="8440" max="8440" width="8.77734375" style="7" customWidth="1"/>
    <col min="8441" max="8441" width="9.77734375" style="7" customWidth="1"/>
    <col min="8442" max="8442" width="14.44140625" style="7" customWidth="1"/>
    <col min="8443" max="8443" width="7.21875" style="7" customWidth="1"/>
    <col min="8444" max="8444" width="5.5546875" style="7" customWidth="1"/>
    <col min="8445" max="8445" width="9" style="7" customWidth="1"/>
    <col min="8446" max="8447" width="9.77734375" style="7" customWidth="1"/>
    <col min="8448" max="8448" width="11.21875" style="7" customWidth="1"/>
    <col min="8449" max="8449" width="2.77734375" style="7" customWidth="1"/>
    <col min="8450" max="8450" width="3.5546875" style="7" customWidth="1"/>
    <col min="8451" max="8695" width="9.21875" style="7"/>
    <col min="8696" max="8696" width="8.77734375" style="7" customWidth="1"/>
    <col min="8697" max="8697" width="9.77734375" style="7" customWidth="1"/>
    <col min="8698" max="8698" width="14.44140625" style="7" customWidth="1"/>
    <col min="8699" max="8699" width="7.21875" style="7" customWidth="1"/>
    <col min="8700" max="8700" width="5.5546875" style="7" customWidth="1"/>
    <col min="8701" max="8701" width="9" style="7" customWidth="1"/>
    <col min="8702" max="8703" width="9.77734375" style="7" customWidth="1"/>
    <col min="8704" max="8704" width="11.21875" style="7" customWidth="1"/>
    <col min="8705" max="8705" width="2.77734375" style="7" customWidth="1"/>
    <col min="8706" max="8706" width="3.5546875" style="7" customWidth="1"/>
    <col min="8707" max="8951" width="9.21875" style="7"/>
    <col min="8952" max="8952" width="8.77734375" style="7" customWidth="1"/>
    <col min="8953" max="8953" width="9.77734375" style="7" customWidth="1"/>
    <col min="8954" max="8954" width="14.44140625" style="7" customWidth="1"/>
    <col min="8955" max="8955" width="7.21875" style="7" customWidth="1"/>
    <col min="8956" max="8956" width="5.5546875" style="7" customWidth="1"/>
    <col min="8957" max="8957" width="9" style="7" customWidth="1"/>
    <col min="8958" max="8959" width="9.77734375" style="7" customWidth="1"/>
    <col min="8960" max="8960" width="11.21875" style="7" customWidth="1"/>
    <col min="8961" max="8961" width="2.77734375" style="7" customWidth="1"/>
    <col min="8962" max="8962" width="3.5546875" style="7" customWidth="1"/>
    <col min="8963" max="9207" width="9.21875" style="7"/>
    <col min="9208" max="9208" width="8.77734375" style="7" customWidth="1"/>
    <col min="9209" max="9209" width="9.77734375" style="7" customWidth="1"/>
    <col min="9210" max="9210" width="14.44140625" style="7" customWidth="1"/>
    <col min="9211" max="9211" width="7.21875" style="7" customWidth="1"/>
    <col min="9212" max="9212" width="5.5546875" style="7" customWidth="1"/>
    <col min="9213" max="9213" width="9" style="7" customWidth="1"/>
    <col min="9214" max="9215" width="9.77734375" style="7" customWidth="1"/>
    <col min="9216" max="9216" width="11.21875" style="7" customWidth="1"/>
    <col min="9217" max="9217" width="2.77734375" style="7" customWidth="1"/>
    <col min="9218" max="9218" width="3.5546875" style="7" customWidth="1"/>
    <col min="9219" max="9463" width="9.21875" style="7"/>
    <col min="9464" max="9464" width="8.77734375" style="7" customWidth="1"/>
    <col min="9465" max="9465" width="9.77734375" style="7" customWidth="1"/>
    <col min="9466" max="9466" width="14.44140625" style="7" customWidth="1"/>
    <col min="9467" max="9467" width="7.21875" style="7" customWidth="1"/>
    <col min="9468" max="9468" width="5.5546875" style="7" customWidth="1"/>
    <col min="9469" max="9469" width="9" style="7" customWidth="1"/>
    <col min="9470" max="9471" width="9.77734375" style="7" customWidth="1"/>
    <col min="9472" max="9472" width="11.21875" style="7" customWidth="1"/>
    <col min="9473" max="9473" width="2.77734375" style="7" customWidth="1"/>
    <col min="9474" max="9474" width="3.5546875" style="7" customWidth="1"/>
    <col min="9475" max="9719" width="9.21875" style="7"/>
    <col min="9720" max="9720" width="8.77734375" style="7" customWidth="1"/>
    <col min="9721" max="9721" width="9.77734375" style="7" customWidth="1"/>
    <col min="9722" max="9722" width="14.44140625" style="7" customWidth="1"/>
    <col min="9723" max="9723" width="7.21875" style="7" customWidth="1"/>
    <col min="9724" max="9724" width="5.5546875" style="7" customWidth="1"/>
    <col min="9725" max="9725" width="9" style="7" customWidth="1"/>
    <col min="9726" max="9727" width="9.77734375" style="7" customWidth="1"/>
    <col min="9728" max="9728" width="11.21875" style="7" customWidth="1"/>
    <col min="9729" max="9729" width="2.77734375" style="7" customWidth="1"/>
    <col min="9730" max="9730" width="3.5546875" style="7" customWidth="1"/>
    <col min="9731" max="9975" width="9.21875" style="7"/>
    <col min="9976" max="9976" width="8.77734375" style="7" customWidth="1"/>
    <col min="9977" max="9977" width="9.77734375" style="7" customWidth="1"/>
    <col min="9978" max="9978" width="14.44140625" style="7" customWidth="1"/>
    <col min="9979" max="9979" width="7.21875" style="7" customWidth="1"/>
    <col min="9980" max="9980" width="5.5546875" style="7" customWidth="1"/>
    <col min="9981" max="9981" width="9" style="7" customWidth="1"/>
    <col min="9982" max="9983" width="9.77734375" style="7" customWidth="1"/>
    <col min="9984" max="9984" width="11.21875" style="7" customWidth="1"/>
    <col min="9985" max="9985" width="2.77734375" style="7" customWidth="1"/>
    <col min="9986" max="9986" width="3.5546875" style="7" customWidth="1"/>
    <col min="9987" max="10231" width="9.21875" style="7"/>
    <col min="10232" max="10232" width="8.77734375" style="7" customWidth="1"/>
    <col min="10233" max="10233" width="9.77734375" style="7" customWidth="1"/>
    <col min="10234" max="10234" width="14.44140625" style="7" customWidth="1"/>
    <col min="10235" max="10235" width="7.21875" style="7" customWidth="1"/>
    <col min="10236" max="10236" width="5.5546875" style="7" customWidth="1"/>
    <col min="10237" max="10237" width="9" style="7" customWidth="1"/>
    <col min="10238" max="10239" width="9.77734375" style="7" customWidth="1"/>
    <col min="10240" max="10240" width="11.21875" style="7" customWidth="1"/>
    <col min="10241" max="10241" width="2.77734375" style="7" customWidth="1"/>
    <col min="10242" max="10242" width="3.5546875" style="7" customWidth="1"/>
    <col min="10243" max="10487" width="9.21875" style="7"/>
    <col min="10488" max="10488" width="8.77734375" style="7" customWidth="1"/>
    <col min="10489" max="10489" width="9.77734375" style="7" customWidth="1"/>
    <col min="10490" max="10490" width="14.44140625" style="7" customWidth="1"/>
    <col min="10491" max="10491" width="7.21875" style="7" customWidth="1"/>
    <col min="10492" max="10492" width="5.5546875" style="7" customWidth="1"/>
    <col min="10493" max="10493" width="9" style="7" customWidth="1"/>
    <col min="10494" max="10495" width="9.77734375" style="7" customWidth="1"/>
    <col min="10496" max="10496" width="11.21875" style="7" customWidth="1"/>
    <col min="10497" max="10497" width="2.77734375" style="7" customWidth="1"/>
    <col min="10498" max="10498" width="3.5546875" style="7" customWidth="1"/>
    <col min="10499" max="10743" width="9.21875" style="7"/>
    <col min="10744" max="10744" width="8.77734375" style="7" customWidth="1"/>
    <col min="10745" max="10745" width="9.77734375" style="7" customWidth="1"/>
    <col min="10746" max="10746" width="14.44140625" style="7" customWidth="1"/>
    <col min="10747" max="10747" width="7.21875" style="7" customWidth="1"/>
    <col min="10748" max="10748" width="5.5546875" style="7" customWidth="1"/>
    <col min="10749" max="10749" width="9" style="7" customWidth="1"/>
    <col min="10750" max="10751" width="9.77734375" style="7" customWidth="1"/>
    <col min="10752" max="10752" width="11.21875" style="7" customWidth="1"/>
    <col min="10753" max="10753" width="2.77734375" style="7" customWidth="1"/>
    <col min="10754" max="10754" width="3.5546875" style="7" customWidth="1"/>
    <col min="10755" max="10999" width="9.21875" style="7"/>
    <col min="11000" max="11000" width="8.77734375" style="7" customWidth="1"/>
    <col min="11001" max="11001" width="9.77734375" style="7" customWidth="1"/>
    <col min="11002" max="11002" width="14.44140625" style="7" customWidth="1"/>
    <col min="11003" max="11003" width="7.21875" style="7" customWidth="1"/>
    <col min="11004" max="11004" width="5.5546875" style="7" customWidth="1"/>
    <col min="11005" max="11005" width="9" style="7" customWidth="1"/>
    <col min="11006" max="11007" width="9.77734375" style="7" customWidth="1"/>
    <col min="11008" max="11008" width="11.21875" style="7" customWidth="1"/>
    <col min="11009" max="11009" width="2.77734375" style="7" customWidth="1"/>
    <col min="11010" max="11010" width="3.5546875" style="7" customWidth="1"/>
    <col min="11011" max="11255" width="9.21875" style="7"/>
    <col min="11256" max="11256" width="8.77734375" style="7" customWidth="1"/>
    <col min="11257" max="11257" width="9.77734375" style="7" customWidth="1"/>
    <col min="11258" max="11258" width="14.44140625" style="7" customWidth="1"/>
    <col min="11259" max="11259" width="7.21875" style="7" customWidth="1"/>
    <col min="11260" max="11260" width="5.5546875" style="7" customWidth="1"/>
    <col min="11261" max="11261" width="9" style="7" customWidth="1"/>
    <col min="11262" max="11263" width="9.77734375" style="7" customWidth="1"/>
    <col min="11264" max="11264" width="11.21875" style="7" customWidth="1"/>
    <col min="11265" max="11265" width="2.77734375" style="7" customWidth="1"/>
    <col min="11266" max="11266" width="3.5546875" style="7" customWidth="1"/>
    <col min="11267" max="11511" width="9.21875" style="7"/>
    <col min="11512" max="11512" width="8.77734375" style="7" customWidth="1"/>
    <col min="11513" max="11513" width="9.77734375" style="7" customWidth="1"/>
    <col min="11514" max="11514" width="14.44140625" style="7" customWidth="1"/>
    <col min="11515" max="11515" width="7.21875" style="7" customWidth="1"/>
    <col min="11516" max="11516" width="5.5546875" style="7" customWidth="1"/>
    <col min="11517" max="11517" width="9" style="7" customWidth="1"/>
    <col min="11518" max="11519" width="9.77734375" style="7" customWidth="1"/>
    <col min="11520" max="11520" width="11.21875" style="7" customWidth="1"/>
    <col min="11521" max="11521" width="2.77734375" style="7" customWidth="1"/>
    <col min="11522" max="11522" width="3.5546875" style="7" customWidth="1"/>
    <col min="11523" max="11767" width="9.21875" style="7"/>
    <col min="11768" max="11768" width="8.77734375" style="7" customWidth="1"/>
    <col min="11769" max="11769" width="9.77734375" style="7" customWidth="1"/>
    <col min="11770" max="11770" width="14.44140625" style="7" customWidth="1"/>
    <col min="11771" max="11771" width="7.21875" style="7" customWidth="1"/>
    <col min="11772" max="11772" width="5.5546875" style="7" customWidth="1"/>
    <col min="11773" max="11773" width="9" style="7" customWidth="1"/>
    <col min="11774" max="11775" width="9.77734375" style="7" customWidth="1"/>
    <col min="11776" max="11776" width="11.21875" style="7" customWidth="1"/>
    <col min="11777" max="11777" width="2.77734375" style="7" customWidth="1"/>
    <col min="11778" max="11778" width="3.5546875" style="7" customWidth="1"/>
    <col min="11779" max="12023" width="9.21875" style="7"/>
    <col min="12024" max="12024" width="8.77734375" style="7" customWidth="1"/>
    <col min="12025" max="12025" width="9.77734375" style="7" customWidth="1"/>
    <col min="12026" max="12026" width="14.44140625" style="7" customWidth="1"/>
    <col min="12027" max="12027" width="7.21875" style="7" customWidth="1"/>
    <col min="12028" max="12028" width="5.5546875" style="7" customWidth="1"/>
    <col min="12029" max="12029" width="9" style="7" customWidth="1"/>
    <col min="12030" max="12031" width="9.77734375" style="7" customWidth="1"/>
    <col min="12032" max="12032" width="11.21875" style="7" customWidth="1"/>
    <col min="12033" max="12033" width="2.77734375" style="7" customWidth="1"/>
    <col min="12034" max="12034" width="3.5546875" style="7" customWidth="1"/>
    <col min="12035" max="12279" width="9.21875" style="7"/>
    <col min="12280" max="12280" width="8.77734375" style="7" customWidth="1"/>
    <col min="12281" max="12281" width="9.77734375" style="7" customWidth="1"/>
    <col min="12282" max="12282" width="14.44140625" style="7" customWidth="1"/>
    <col min="12283" max="12283" width="7.21875" style="7" customWidth="1"/>
    <col min="12284" max="12284" width="5.5546875" style="7" customWidth="1"/>
    <col min="12285" max="12285" width="9" style="7" customWidth="1"/>
    <col min="12286" max="12287" width="9.77734375" style="7" customWidth="1"/>
    <col min="12288" max="12288" width="11.21875" style="7" customWidth="1"/>
    <col min="12289" max="12289" width="2.77734375" style="7" customWidth="1"/>
    <col min="12290" max="12290" width="3.5546875" style="7" customWidth="1"/>
    <col min="12291" max="12535" width="9.21875" style="7"/>
    <col min="12536" max="12536" width="8.77734375" style="7" customWidth="1"/>
    <col min="12537" max="12537" width="9.77734375" style="7" customWidth="1"/>
    <col min="12538" max="12538" width="14.44140625" style="7" customWidth="1"/>
    <col min="12539" max="12539" width="7.21875" style="7" customWidth="1"/>
    <col min="12540" max="12540" width="5.5546875" style="7" customWidth="1"/>
    <col min="12541" max="12541" width="9" style="7" customWidth="1"/>
    <col min="12542" max="12543" width="9.77734375" style="7" customWidth="1"/>
    <col min="12544" max="12544" width="11.21875" style="7" customWidth="1"/>
    <col min="12545" max="12545" width="2.77734375" style="7" customWidth="1"/>
    <col min="12546" max="12546" width="3.5546875" style="7" customWidth="1"/>
    <col min="12547" max="12791" width="9.21875" style="7"/>
    <col min="12792" max="12792" width="8.77734375" style="7" customWidth="1"/>
    <col min="12793" max="12793" width="9.77734375" style="7" customWidth="1"/>
    <col min="12794" max="12794" width="14.44140625" style="7" customWidth="1"/>
    <col min="12795" max="12795" width="7.21875" style="7" customWidth="1"/>
    <col min="12796" max="12796" width="5.5546875" style="7" customWidth="1"/>
    <col min="12797" max="12797" width="9" style="7" customWidth="1"/>
    <col min="12798" max="12799" width="9.77734375" style="7" customWidth="1"/>
    <col min="12800" max="12800" width="11.21875" style="7" customWidth="1"/>
    <col min="12801" max="12801" width="2.77734375" style="7" customWidth="1"/>
    <col min="12802" max="12802" width="3.5546875" style="7" customWidth="1"/>
    <col min="12803" max="13047" width="9.21875" style="7"/>
    <col min="13048" max="13048" width="8.77734375" style="7" customWidth="1"/>
    <col min="13049" max="13049" width="9.77734375" style="7" customWidth="1"/>
    <col min="13050" max="13050" width="14.44140625" style="7" customWidth="1"/>
    <col min="13051" max="13051" width="7.21875" style="7" customWidth="1"/>
    <col min="13052" max="13052" width="5.5546875" style="7" customWidth="1"/>
    <col min="13053" max="13053" width="9" style="7" customWidth="1"/>
    <col min="13054" max="13055" width="9.77734375" style="7" customWidth="1"/>
    <col min="13056" max="13056" width="11.21875" style="7" customWidth="1"/>
    <col min="13057" max="13057" width="2.77734375" style="7" customWidth="1"/>
    <col min="13058" max="13058" width="3.5546875" style="7" customWidth="1"/>
    <col min="13059" max="13303" width="9.21875" style="7"/>
    <col min="13304" max="13304" width="8.77734375" style="7" customWidth="1"/>
    <col min="13305" max="13305" width="9.77734375" style="7" customWidth="1"/>
    <col min="13306" max="13306" width="14.44140625" style="7" customWidth="1"/>
    <col min="13307" max="13307" width="7.21875" style="7" customWidth="1"/>
    <col min="13308" max="13308" width="5.5546875" style="7" customWidth="1"/>
    <col min="13309" max="13309" width="9" style="7" customWidth="1"/>
    <col min="13310" max="13311" width="9.77734375" style="7" customWidth="1"/>
    <col min="13312" max="13312" width="11.21875" style="7" customWidth="1"/>
    <col min="13313" max="13313" width="2.77734375" style="7" customWidth="1"/>
    <col min="13314" max="13314" width="3.5546875" style="7" customWidth="1"/>
    <col min="13315" max="13559" width="9.21875" style="7"/>
    <col min="13560" max="13560" width="8.77734375" style="7" customWidth="1"/>
    <col min="13561" max="13561" width="9.77734375" style="7" customWidth="1"/>
    <col min="13562" max="13562" width="14.44140625" style="7" customWidth="1"/>
    <col min="13563" max="13563" width="7.21875" style="7" customWidth="1"/>
    <col min="13564" max="13564" width="5.5546875" style="7" customWidth="1"/>
    <col min="13565" max="13565" width="9" style="7" customWidth="1"/>
    <col min="13566" max="13567" width="9.77734375" style="7" customWidth="1"/>
    <col min="13568" max="13568" width="11.21875" style="7" customWidth="1"/>
    <col min="13569" max="13569" width="2.77734375" style="7" customWidth="1"/>
    <col min="13570" max="13570" width="3.5546875" style="7" customWidth="1"/>
    <col min="13571" max="13815" width="9.21875" style="7"/>
    <col min="13816" max="13816" width="8.77734375" style="7" customWidth="1"/>
    <col min="13817" max="13817" width="9.77734375" style="7" customWidth="1"/>
    <col min="13818" max="13818" width="14.44140625" style="7" customWidth="1"/>
    <col min="13819" max="13819" width="7.21875" style="7" customWidth="1"/>
    <col min="13820" max="13820" width="5.5546875" style="7" customWidth="1"/>
    <col min="13821" max="13821" width="9" style="7" customWidth="1"/>
    <col min="13822" max="13823" width="9.77734375" style="7" customWidth="1"/>
    <col min="13824" max="13824" width="11.21875" style="7" customWidth="1"/>
    <col min="13825" max="13825" width="2.77734375" style="7" customWidth="1"/>
    <col min="13826" max="13826" width="3.5546875" style="7" customWidth="1"/>
    <col min="13827" max="14071" width="9.21875" style="7"/>
    <col min="14072" max="14072" width="8.77734375" style="7" customWidth="1"/>
    <col min="14073" max="14073" width="9.77734375" style="7" customWidth="1"/>
    <col min="14074" max="14074" width="14.44140625" style="7" customWidth="1"/>
    <col min="14075" max="14075" width="7.21875" style="7" customWidth="1"/>
    <col min="14076" max="14076" width="5.5546875" style="7" customWidth="1"/>
    <col min="14077" max="14077" width="9" style="7" customWidth="1"/>
    <col min="14078" max="14079" width="9.77734375" style="7" customWidth="1"/>
    <col min="14080" max="14080" width="11.21875" style="7" customWidth="1"/>
    <col min="14081" max="14081" width="2.77734375" style="7" customWidth="1"/>
    <col min="14082" max="14082" width="3.5546875" style="7" customWidth="1"/>
    <col min="14083" max="14327" width="9.21875" style="7"/>
    <col min="14328" max="14328" width="8.77734375" style="7" customWidth="1"/>
    <col min="14329" max="14329" width="9.77734375" style="7" customWidth="1"/>
    <col min="14330" max="14330" width="14.44140625" style="7" customWidth="1"/>
    <col min="14331" max="14331" width="7.21875" style="7" customWidth="1"/>
    <col min="14332" max="14332" width="5.5546875" style="7" customWidth="1"/>
    <col min="14333" max="14333" width="9" style="7" customWidth="1"/>
    <col min="14334" max="14335" width="9.77734375" style="7" customWidth="1"/>
    <col min="14336" max="14336" width="11.21875" style="7" customWidth="1"/>
    <col min="14337" max="14337" width="2.77734375" style="7" customWidth="1"/>
    <col min="14338" max="14338" width="3.5546875" style="7" customWidth="1"/>
    <col min="14339" max="14583" width="9.21875" style="7"/>
    <col min="14584" max="14584" width="8.77734375" style="7" customWidth="1"/>
    <col min="14585" max="14585" width="9.77734375" style="7" customWidth="1"/>
    <col min="14586" max="14586" width="14.44140625" style="7" customWidth="1"/>
    <col min="14587" max="14587" width="7.21875" style="7" customWidth="1"/>
    <col min="14588" max="14588" width="5.5546875" style="7" customWidth="1"/>
    <col min="14589" max="14589" width="9" style="7" customWidth="1"/>
    <col min="14590" max="14591" width="9.77734375" style="7" customWidth="1"/>
    <col min="14592" max="14592" width="11.21875" style="7" customWidth="1"/>
    <col min="14593" max="14593" width="2.77734375" style="7" customWidth="1"/>
    <col min="14594" max="14594" width="3.5546875" style="7" customWidth="1"/>
    <col min="14595" max="14839" width="9.21875" style="7"/>
    <col min="14840" max="14840" width="8.77734375" style="7" customWidth="1"/>
    <col min="14841" max="14841" width="9.77734375" style="7" customWidth="1"/>
    <col min="14842" max="14842" width="14.44140625" style="7" customWidth="1"/>
    <col min="14843" max="14843" width="7.21875" style="7" customWidth="1"/>
    <col min="14844" max="14844" width="5.5546875" style="7" customWidth="1"/>
    <col min="14845" max="14845" width="9" style="7" customWidth="1"/>
    <col min="14846" max="14847" width="9.77734375" style="7" customWidth="1"/>
    <col min="14848" max="14848" width="11.21875" style="7" customWidth="1"/>
    <col min="14849" max="14849" width="2.77734375" style="7" customWidth="1"/>
    <col min="14850" max="14850" width="3.5546875" style="7" customWidth="1"/>
    <col min="14851" max="15095" width="9.21875" style="7"/>
    <col min="15096" max="15096" width="8.77734375" style="7" customWidth="1"/>
    <col min="15097" max="15097" width="9.77734375" style="7" customWidth="1"/>
    <col min="15098" max="15098" width="14.44140625" style="7" customWidth="1"/>
    <col min="15099" max="15099" width="7.21875" style="7" customWidth="1"/>
    <col min="15100" max="15100" width="5.5546875" style="7" customWidth="1"/>
    <col min="15101" max="15101" width="9" style="7" customWidth="1"/>
    <col min="15102" max="15103" width="9.77734375" style="7" customWidth="1"/>
    <col min="15104" max="15104" width="11.21875" style="7" customWidth="1"/>
    <col min="15105" max="15105" width="2.77734375" style="7" customWidth="1"/>
    <col min="15106" max="15106" width="3.5546875" style="7" customWidth="1"/>
    <col min="15107" max="15351" width="9.21875" style="7"/>
    <col min="15352" max="15352" width="8.77734375" style="7" customWidth="1"/>
    <col min="15353" max="15353" width="9.77734375" style="7" customWidth="1"/>
    <col min="15354" max="15354" width="14.44140625" style="7" customWidth="1"/>
    <col min="15355" max="15355" width="7.21875" style="7" customWidth="1"/>
    <col min="15356" max="15356" width="5.5546875" style="7" customWidth="1"/>
    <col min="15357" max="15357" width="9" style="7" customWidth="1"/>
    <col min="15358" max="15359" width="9.77734375" style="7" customWidth="1"/>
    <col min="15360" max="15360" width="11.21875" style="7" customWidth="1"/>
    <col min="15361" max="15361" width="2.77734375" style="7" customWidth="1"/>
    <col min="15362" max="15362" width="3.5546875" style="7" customWidth="1"/>
    <col min="15363" max="15607" width="9.21875" style="7"/>
    <col min="15608" max="15608" width="8.77734375" style="7" customWidth="1"/>
    <col min="15609" max="15609" width="9.77734375" style="7" customWidth="1"/>
    <col min="15610" max="15610" width="14.44140625" style="7" customWidth="1"/>
    <col min="15611" max="15611" width="7.21875" style="7" customWidth="1"/>
    <col min="15612" max="15612" width="5.5546875" style="7" customWidth="1"/>
    <col min="15613" max="15613" width="9" style="7" customWidth="1"/>
    <col min="15614" max="15615" width="9.77734375" style="7" customWidth="1"/>
    <col min="15616" max="15616" width="11.21875" style="7" customWidth="1"/>
    <col min="15617" max="15617" width="2.77734375" style="7" customWidth="1"/>
    <col min="15618" max="15618" width="3.5546875" style="7" customWidth="1"/>
    <col min="15619" max="15863" width="9.21875" style="7"/>
    <col min="15864" max="15864" width="8.77734375" style="7" customWidth="1"/>
    <col min="15865" max="15865" width="9.77734375" style="7" customWidth="1"/>
    <col min="15866" max="15866" width="14.44140625" style="7" customWidth="1"/>
    <col min="15867" max="15867" width="7.21875" style="7" customWidth="1"/>
    <col min="15868" max="15868" width="5.5546875" style="7" customWidth="1"/>
    <col min="15869" max="15869" width="9" style="7" customWidth="1"/>
    <col min="15870" max="15871" width="9.77734375" style="7" customWidth="1"/>
    <col min="15872" max="15872" width="11.21875" style="7" customWidth="1"/>
    <col min="15873" max="15873" width="2.77734375" style="7" customWidth="1"/>
    <col min="15874" max="15874" width="3.5546875" style="7" customWidth="1"/>
    <col min="15875" max="16119" width="9.21875" style="7"/>
    <col min="16120" max="16120" width="8.77734375" style="7" customWidth="1"/>
    <col min="16121" max="16121" width="9.77734375" style="7" customWidth="1"/>
    <col min="16122" max="16122" width="14.44140625" style="7" customWidth="1"/>
    <col min="16123" max="16123" width="7.21875" style="7" customWidth="1"/>
    <col min="16124" max="16124" width="5.5546875" style="7" customWidth="1"/>
    <col min="16125" max="16125" width="9" style="7" customWidth="1"/>
    <col min="16126" max="16127" width="9.77734375" style="7" customWidth="1"/>
    <col min="16128" max="16128" width="11.21875" style="7" customWidth="1"/>
    <col min="16129" max="16129" width="2.77734375" style="7" customWidth="1"/>
    <col min="16130" max="16130" width="3.5546875" style="7" customWidth="1"/>
    <col min="16131" max="16384" width="9.21875" style="7"/>
  </cols>
  <sheetData>
    <row r="1" spans="1:8" ht="46.5" customHeight="1" x14ac:dyDescent="0.3">
      <c r="A1" s="133" t="s">
        <v>210</v>
      </c>
      <c r="B1" s="133"/>
      <c r="C1" s="133"/>
      <c r="D1" s="133"/>
      <c r="E1" s="133"/>
      <c r="F1" s="133"/>
      <c r="G1" s="133"/>
      <c r="H1" s="133"/>
    </row>
    <row r="2" spans="1:8" ht="16.5" customHeight="1" x14ac:dyDescent="0.3">
      <c r="A2" s="104" t="s">
        <v>0</v>
      </c>
      <c r="B2" s="104"/>
      <c r="C2" s="104"/>
      <c r="D2" s="104"/>
      <c r="E2" s="104"/>
      <c r="F2" s="104"/>
      <c r="G2" s="104"/>
      <c r="H2" s="104"/>
    </row>
    <row r="3" spans="1:8" x14ac:dyDescent="0.3">
      <c r="A3" s="94" t="s">
        <v>1</v>
      </c>
      <c r="B3" s="94"/>
      <c r="C3" s="94"/>
      <c r="D3" s="94"/>
      <c r="E3" s="132" t="str">
        <f ca="1">TEXT(TODAY(),"DD/MM/YYYY")</f>
        <v>15/08/2025</v>
      </c>
      <c r="F3" s="132"/>
      <c r="G3" s="132"/>
      <c r="H3" s="132"/>
    </row>
    <row r="4" spans="1:8" ht="15" customHeight="1" x14ac:dyDescent="0.3">
      <c r="A4" s="94" t="s">
        <v>2</v>
      </c>
      <c r="B4" s="94"/>
      <c r="C4" s="94"/>
      <c r="D4" s="94"/>
      <c r="E4" s="134" t="s">
        <v>186</v>
      </c>
      <c r="F4" s="134"/>
      <c r="G4" s="134"/>
      <c r="H4" s="134"/>
    </row>
    <row r="5" spans="1:8" x14ac:dyDescent="0.3">
      <c r="A5" s="94" t="s">
        <v>3</v>
      </c>
      <c r="B5" s="94"/>
      <c r="C5" s="94"/>
      <c r="D5" s="94"/>
      <c r="E5" s="132">
        <v>45881</v>
      </c>
      <c r="F5" s="132"/>
      <c r="G5" s="132"/>
      <c r="H5" s="132"/>
    </row>
    <row r="6" spans="1:8" ht="16.5" customHeight="1" x14ac:dyDescent="0.3">
      <c r="A6" s="94" t="s">
        <v>4</v>
      </c>
      <c r="B6" s="94"/>
      <c r="C6" s="94"/>
      <c r="D6" s="94"/>
      <c r="E6" s="90" t="s">
        <v>187</v>
      </c>
      <c r="F6" s="90"/>
      <c r="G6" s="90"/>
      <c r="H6" s="90"/>
    </row>
    <row r="7" spans="1:8" ht="15" customHeight="1" x14ac:dyDescent="0.3">
      <c r="A7" s="94" t="s">
        <v>5</v>
      </c>
      <c r="B7" s="94"/>
      <c r="C7" s="94"/>
      <c r="D7" s="94"/>
      <c r="E7" s="90" t="str">
        <f>E6</f>
        <v>M/s.Rohan Developers Pvt Ltd</v>
      </c>
      <c r="F7" s="90"/>
      <c r="G7" s="90"/>
      <c r="H7" s="90"/>
    </row>
    <row r="8" spans="1:8" x14ac:dyDescent="0.3">
      <c r="A8" s="94" t="s">
        <v>6</v>
      </c>
      <c r="B8" s="94"/>
      <c r="C8" s="94"/>
      <c r="D8" s="94"/>
      <c r="E8" s="120" t="s">
        <v>207</v>
      </c>
      <c r="F8" s="120"/>
      <c r="G8" s="120"/>
      <c r="H8" s="120"/>
    </row>
    <row r="9" spans="1:8" x14ac:dyDescent="0.3">
      <c r="A9" s="94" t="s">
        <v>157</v>
      </c>
      <c r="B9" s="94"/>
      <c r="C9" s="94"/>
      <c r="D9" s="94"/>
      <c r="E9" s="94">
        <v>9167209944</v>
      </c>
      <c r="F9" s="94"/>
      <c r="G9" s="94"/>
      <c r="H9" s="94"/>
    </row>
    <row r="10" spans="1:8" x14ac:dyDescent="0.3">
      <c r="A10" s="108" t="s">
        <v>7</v>
      </c>
      <c r="B10" s="108"/>
      <c r="C10" s="108"/>
      <c r="D10" s="108"/>
      <c r="E10" s="108" t="s">
        <v>198</v>
      </c>
      <c r="F10" s="108"/>
      <c r="G10" s="108"/>
      <c r="H10" s="108"/>
    </row>
    <row r="11" spans="1:8" x14ac:dyDescent="0.3">
      <c r="A11" s="94" t="s">
        <v>8</v>
      </c>
      <c r="B11" s="94"/>
      <c r="C11" s="94"/>
      <c r="D11" s="94"/>
      <c r="E11" s="109" t="s">
        <v>197</v>
      </c>
      <c r="F11" s="109"/>
      <c r="G11" s="109"/>
      <c r="H11" s="109"/>
    </row>
    <row r="12" spans="1:8" x14ac:dyDescent="0.3">
      <c r="A12" s="94" t="s">
        <v>9</v>
      </c>
      <c r="B12" s="94"/>
      <c r="C12" s="94"/>
      <c r="D12" s="94"/>
      <c r="E12" s="109" t="s">
        <v>188</v>
      </c>
      <c r="F12" s="108"/>
      <c r="G12" s="108"/>
      <c r="H12" s="108"/>
    </row>
    <row r="13" spans="1:8" ht="33" customHeight="1" x14ac:dyDescent="0.3">
      <c r="A13" s="90" t="s">
        <v>10</v>
      </c>
      <c r="B13" s="90"/>
      <c r="C13" s="90" t="s">
        <v>233</v>
      </c>
      <c r="D13" s="90"/>
      <c r="E13" s="90"/>
      <c r="F13" s="90"/>
      <c r="G13" s="90"/>
      <c r="H13" s="90"/>
    </row>
    <row r="14" spans="1:8" x14ac:dyDescent="0.3">
      <c r="A14" s="109" t="s">
        <v>189</v>
      </c>
      <c r="B14" s="109"/>
      <c r="C14" s="109" t="s">
        <v>190</v>
      </c>
      <c r="D14" s="109"/>
      <c r="E14" s="109"/>
      <c r="F14" s="109"/>
      <c r="G14" s="109"/>
      <c r="H14" s="109"/>
    </row>
    <row r="15" spans="1:8" ht="15.75" customHeight="1" x14ac:dyDescent="0.3">
      <c r="A15" s="90" t="s">
        <v>11</v>
      </c>
      <c r="B15" s="90"/>
      <c r="C15" s="108" t="s">
        <v>193</v>
      </c>
      <c r="D15" s="108"/>
      <c r="E15" s="90" t="s">
        <v>101</v>
      </c>
      <c r="F15" s="90"/>
      <c r="G15" s="109" t="s">
        <v>191</v>
      </c>
      <c r="H15" s="109"/>
    </row>
    <row r="16" spans="1:8" x14ac:dyDescent="0.3">
      <c r="A16" s="94" t="s">
        <v>13</v>
      </c>
      <c r="B16" s="94"/>
      <c r="C16" s="109" t="s">
        <v>199</v>
      </c>
      <c r="D16" s="109"/>
      <c r="E16" s="90" t="s">
        <v>12</v>
      </c>
      <c r="F16" s="90"/>
      <c r="G16" s="135" t="s">
        <v>192</v>
      </c>
      <c r="H16" s="135"/>
    </row>
    <row r="17" spans="1:8" x14ac:dyDescent="0.3">
      <c r="A17" s="94" t="s">
        <v>102</v>
      </c>
      <c r="B17" s="94"/>
      <c r="C17" s="109" t="s">
        <v>192</v>
      </c>
      <c r="D17" s="109"/>
      <c r="E17" s="90" t="s">
        <v>14</v>
      </c>
      <c r="F17" s="90"/>
      <c r="G17" s="109">
        <v>400004</v>
      </c>
      <c r="H17" s="109"/>
    </row>
    <row r="18" spans="1:8" ht="32.25" customHeight="1" x14ac:dyDescent="0.3">
      <c r="A18" s="94" t="s">
        <v>160</v>
      </c>
      <c r="B18" s="94"/>
      <c r="C18" s="90" t="s">
        <v>201</v>
      </c>
      <c r="D18" s="90"/>
      <c r="E18" s="90" t="s">
        <v>15</v>
      </c>
      <c r="F18" s="90"/>
      <c r="G18" s="109" t="s">
        <v>200</v>
      </c>
      <c r="H18" s="109"/>
    </row>
    <row r="19" spans="1:8" ht="15" customHeight="1" x14ac:dyDescent="0.3">
      <c r="A19" s="90" t="s">
        <v>106</v>
      </c>
      <c r="B19" s="90"/>
      <c r="C19" s="90"/>
      <c r="D19" s="90"/>
      <c r="E19" s="108" t="s">
        <v>16</v>
      </c>
      <c r="F19" s="108"/>
      <c r="G19" s="108"/>
      <c r="H19" s="108"/>
    </row>
    <row r="20" spans="1:8" ht="18.75" customHeight="1" x14ac:dyDescent="0.3">
      <c r="A20" s="90"/>
      <c r="B20" s="90"/>
      <c r="C20" s="90"/>
      <c r="D20" s="90"/>
      <c r="E20" s="108"/>
      <c r="F20" s="108"/>
      <c r="G20" s="108"/>
      <c r="H20" s="108"/>
    </row>
    <row r="21" spans="1:8" ht="15" customHeight="1" x14ac:dyDescent="0.3">
      <c r="A21" s="90" t="s">
        <v>17</v>
      </c>
      <c r="B21" s="90"/>
      <c r="C21" s="90"/>
      <c r="D21" s="90"/>
      <c r="E21" s="109" t="s">
        <v>18</v>
      </c>
      <c r="F21" s="109"/>
      <c r="G21" s="109"/>
      <c r="H21" s="109"/>
    </row>
    <row r="22" spans="1:8" ht="15" customHeight="1" x14ac:dyDescent="0.3">
      <c r="A22" s="94" t="s">
        <v>19</v>
      </c>
      <c r="B22" s="94"/>
      <c r="C22" s="94"/>
      <c r="D22" s="94"/>
      <c r="E22" s="109" t="str">
        <f>IF(AND(G16="Mumbai"),"Upper Class","Middle Class")</f>
        <v>Upper Class</v>
      </c>
      <c r="F22" s="109"/>
      <c r="G22" s="109"/>
      <c r="H22" s="109"/>
    </row>
    <row r="23" spans="1:8" x14ac:dyDescent="0.3">
      <c r="A23" s="94" t="s">
        <v>20</v>
      </c>
      <c r="B23" s="94"/>
      <c r="C23" s="94"/>
      <c r="D23" s="94"/>
      <c r="E23" s="109" t="s">
        <v>21</v>
      </c>
      <c r="F23" s="109"/>
      <c r="G23" s="109"/>
      <c r="H23" s="109"/>
    </row>
    <row r="24" spans="1:8" ht="15.75" customHeight="1" x14ac:dyDescent="0.3">
      <c r="A24" s="94" t="s">
        <v>22</v>
      </c>
      <c r="B24" s="94"/>
      <c r="C24" s="94"/>
      <c r="D24" s="94"/>
      <c r="E24" s="109" t="str">
        <f>IF(AND(G16="Mumbai"),"Developed","Developing")</f>
        <v>Developed</v>
      </c>
      <c r="F24" s="109"/>
      <c r="G24" s="109"/>
      <c r="H24" s="109"/>
    </row>
    <row r="25" spans="1:8" x14ac:dyDescent="0.3">
      <c r="A25" s="94" t="s">
        <v>23</v>
      </c>
      <c r="B25" s="94"/>
      <c r="C25" s="94"/>
      <c r="D25" s="94"/>
      <c r="E25" s="109" t="s">
        <v>24</v>
      </c>
      <c r="F25" s="109"/>
      <c r="G25" s="109"/>
      <c r="H25" s="109"/>
    </row>
    <row r="26" spans="1:8" x14ac:dyDescent="0.3">
      <c r="A26" s="94" t="s">
        <v>113</v>
      </c>
      <c r="B26" s="94"/>
      <c r="C26" s="94"/>
      <c r="D26" s="94"/>
      <c r="E26" s="109" t="s">
        <v>114</v>
      </c>
      <c r="F26" s="109"/>
      <c r="G26" s="109"/>
      <c r="H26" s="109"/>
    </row>
    <row r="27" spans="1:8" ht="15" customHeight="1" x14ac:dyDescent="0.3">
      <c r="A27" s="90" t="s">
        <v>35</v>
      </c>
      <c r="B27" s="90"/>
      <c r="C27" s="90"/>
      <c r="D27" s="90"/>
      <c r="E27" s="134" t="s">
        <v>194</v>
      </c>
      <c r="F27" s="134"/>
      <c r="G27" s="134"/>
      <c r="H27" s="134"/>
    </row>
    <row r="28" spans="1:8" x14ac:dyDescent="0.3">
      <c r="A28" s="90" t="s">
        <v>125</v>
      </c>
      <c r="B28" s="90"/>
      <c r="C28" s="90"/>
      <c r="D28" s="90"/>
      <c r="E28" s="90" t="s">
        <v>36</v>
      </c>
      <c r="F28" s="90"/>
      <c r="G28" s="90"/>
      <c r="H28" s="90"/>
    </row>
    <row r="29" spans="1:8" s="10" customFormat="1" x14ac:dyDescent="0.3">
      <c r="A29" s="139" t="s">
        <v>126</v>
      </c>
      <c r="B29" s="139"/>
      <c r="C29" s="138" t="s">
        <v>29</v>
      </c>
      <c r="D29" s="138"/>
      <c r="E29" s="138"/>
      <c r="F29" s="138" t="s">
        <v>31</v>
      </c>
      <c r="G29" s="138"/>
      <c r="H29" s="138"/>
    </row>
    <row r="30" spans="1:8" s="10" customFormat="1" x14ac:dyDescent="0.3">
      <c r="A30" s="136" t="s">
        <v>25</v>
      </c>
      <c r="B30" s="136" t="s">
        <v>30</v>
      </c>
      <c r="C30" s="137" t="s">
        <v>30</v>
      </c>
      <c r="D30" s="137"/>
      <c r="E30" s="137"/>
      <c r="F30" s="137" t="s">
        <v>203</v>
      </c>
      <c r="G30" s="137"/>
      <c r="H30" s="137"/>
    </row>
    <row r="31" spans="1:8" x14ac:dyDescent="0.3">
      <c r="A31" s="136" t="s">
        <v>26</v>
      </c>
      <c r="B31" s="136" t="s">
        <v>30</v>
      </c>
      <c r="C31" s="137" t="s">
        <v>30</v>
      </c>
      <c r="D31" s="137"/>
      <c r="E31" s="137"/>
      <c r="F31" s="137" t="s">
        <v>203</v>
      </c>
      <c r="G31" s="137"/>
      <c r="H31" s="137"/>
    </row>
    <row r="32" spans="1:8" s="10" customFormat="1" x14ac:dyDescent="0.3">
      <c r="A32" s="136" t="s">
        <v>28</v>
      </c>
      <c r="B32" s="136" t="s">
        <v>30</v>
      </c>
      <c r="C32" s="137" t="s">
        <v>30</v>
      </c>
      <c r="D32" s="137"/>
      <c r="E32" s="137"/>
      <c r="F32" s="137" t="s">
        <v>202</v>
      </c>
      <c r="G32" s="137"/>
      <c r="H32" s="137"/>
    </row>
    <row r="33" spans="1:12" x14ac:dyDescent="0.3">
      <c r="A33" s="136" t="s">
        <v>27</v>
      </c>
      <c r="B33" s="136" t="s">
        <v>30</v>
      </c>
      <c r="C33" s="137" t="s">
        <v>30</v>
      </c>
      <c r="D33" s="137"/>
      <c r="E33" s="137"/>
      <c r="F33" s="137" t="s">
        <v>193</v>
      </c>
      <c r="G33" s="137"/>
      <c r="H33" s="137"/>
    </row>
    <row r="34" spans="1:12" x14ac:dyDescent="0.3">
      <c r="A34" s="94" t="s">
        <v>32</v>
      </c>
      <c r="B34" s="94"/>
      <c r="C34" s="94"/>
      <c r="D34" s="94"/>
      <c r="E34" s="94"/>
      <c r="F34" s="94"/>
      <c r="G34" s="94"/>
      <c r="H34" s="94"/>
    </row>
    <row r="35" spans="1:12" ht="15.75" customHeight="1" x14ac:dyDescent="0.3">
      <c r="A35" s="104" t="s">
        <v>33</v>
      </c>
      <c r="B35" s="104"/>
      <c r="C35" s="141">
        <v>18.956882400000001</v>
      </c>
      <c r="D35" s="141"/>
      <c r="E35" s="104" t="s">
        <v>34</v>
      </c>
      <c r="F35" s="104"/>
      <c r="G35" s="142">
        <v>72.821933799999996</v>
      </c>
      <c r="H35" s="142"/>
    </row>
    <row r="36" spans="1:12" ht="15.75" customHeight="1" x14ac:dyDescent="0.3">
      <c r="A36" s="104" t="s">
        <v>211</v>
      </c>
      <c r="B36" s="104"/>
      <c r="C36" s="105" t="s">
        <v>212</v>
      </c>
      <c r="D36" s="106"/>
      <c r="E36" s="106"/>
      <c r="F36" s="106"/>
      <c r="G36" s="106"/>
      <c r="H36" s="106"/>
      <c r="J36" s="103"/>
      <c r="K36" s="103"/>
      <c r="L36" s="103"/>
    </row>
    <row r="37" spans="1:12" x14ac:dyDescent="0.3">
      <c r="A37" s="117" t="s">
        <v>37</v>
      </c>
      <c r="B37" s="117"/>
      <c r="C37" s="117"/>
      <c r="D37" s="117"/>
      <c r="E37" s="117"/>
      <c r="F37" s="117"/>
      <c r="G37" s="117"/>
      <c r="H37" s="117"/>
    </row>
    <row r="38" spans="1:12" x14ac:dyDescent="0.3">
      <c r="A38" s="108" t="s">
        <v>38</v>
      </c>
      <c r="B38" s="108"/>
      <c r="C38" s="108"/>
      <c r="D38" s="108"/>
      <c r="E38" s="140">
        <v>5133.08</v>
      </c>
      <c r="F38" s="140"/>
      <c r="G38" s="140"/>
      <c r="H38" s="140"/>
    </row>
    <row r="39" spans="1:12" x14ac:dyDescent="0.3">
      <c r="A39" s="108" t="s">
        <v>39</v>
      </c>
      <c r="B39" s="108"/>
      <c r="C39" s="108"/>
      <c r="D39" s="108"/>
      <c r="E39" s="107">
        <v>4.72</v>
      </c>
      <c r="F39" s="107"/>
      <c r="G39" s="107"/>
      <c r="H39" s="107"/>
    </row>
    <row r="40" spans="1:12" x14ac:dyDescent="0.3">
      <c r="A40" s="108" t="s">
        <v>40</v>
      </c>
      <c r="B40" s="108"/>
      <c r="C40" s="108"/>
      <c r="D40" s="108"/>
      <c r="E40" s="107">
        <f>E42/E38-E39</f>
        <v>1.3430557092427948</v>
      </c>
      <c r="F40" s="107"/>
      <c r="G40" s="107"/>
      <c r="H40" s="107"/>
    </row>
    <row r="41" spans="1:12" x14ac:dyDescent="0.3">
      <c r="A41" s="108" t="s">
        <v>41</v>
      </c>
      <c r="B41" s="108"/>
      <c r="C41" s="108"/>
      <c r="D41" s="108"/>
      <c r="E41" s="107">
        <f>E39+E40</f>
        <v>6.0630557092427946</v>
      </c>
      <c r="F41" s="107"/>
      <c r="G41" s="107"/>
      <c r="H41" s="107"/>
    </row>
    <row r="42" spans="1:12" x14ac:dyDescent="0.3">
      <c r="A42" s="108" t="s">
        <v>124</v>
      </c>
      <c r="B42" s="108"/>
      <c r="C42" s="108"/>
      <c r="D42" s="108"/>
      <c r="E42" s="148">
        <v>31122.15</v>
      </c>
      <c r="F42" s="148"/>
      <c r="G42" s="148"/>
      <c r="H42" s="148"/>
    </row>
    <row r="43" spans="1:12" x14ac:dyDescent="0.3">
      <c r="A43" s="108" t="s">
        <v>42</v>
      </c>
      <c r="B43" s="108"/>
      <c r="C43" s="108"/>
      <c r="D43" s="108"/>
      <c r="E43" s="108" t="s">
        <v>158</v>
      </c>
      <c r="F43" s="108"/>
      <c r="G43" s="108"/>
      <c r="H43" s="108"/>
    </row>
    <row r="44" spans="1:12" x14ac:dyDescent="0.3">
      <c r="A44" s="120" t="s">
        <v>43</v>
      </c>
      <c r="B44" s="120"/>
      <c r="C44" s="120"/>
      <c r="D44" s="120"/>
      <c r="E44" s="120"/>
      <c r="F44" s="120"/>
      <c r="G44" s="120"/>
      <c r="H44" s="120"/>
    </row>
    <row r="45" spans="1:12" x14ac:dyDescent="0.3">
      <c r="A45" s="109" t="s">
        <v>44</v>
      </c>
      <c r="B45" s="109"/>
      <c r="C45" s="109" t="s">
        <v>195</v>
      </c>
      <c r="D45" s="109"/>
      <c r="E45" s="109"/>
      <c r="F45" s="43" t="s">
        <v>45</v>
      </c>
      <c r="G45" s="147">
        <v>44575</v>
      </c>
      <c r="H45" s="147"/>
    </row>
    <row r="46" spans="1:12" x14ac:dyDescent="0.3">
      <c r="A46" s="108" t="s">
        <v>46</v>
      </c>
      <c r="B46" s="108"/>
      <c r="C46" s="109" t="str">
        <f>C45</f>
        <v>CHE/CITY/1015/D/337 (NEW)</v>
      </c>
      <c r="D46" s="109"/>
      <c r="E46" s="109"/>
      <c r="F46" s="43" t="s">
        <v>45</v>
      </c>
      <c r="G46" s="147">
        <f>G45</f>
        <v>44575</v>
      </c>
      <c r="H46" s="147"/>
    </row>
    <row r="47" spans="1:12" s="9" customFormat="1" ht="31.5" customHeight="1" x14ac:dyDescent="0.3">
      <c r="A47" s="109" t="s">
        <v>47</v>
      </c>
      <c r="B47" s="109"/>
      <c r="C47" s="109" t="s">
        <v>214</v>
      </c>
      <c r="D47" s="108"/>
      <c r="E47" s="108"/>
      <c r="F47" s="47" t="s">
        <v>45</v>
      </c>
      <c r="G47" s="147">
        <v>45355</v>
      </c>
      <c r="H47" s="147"/>
    </row>
    <row r="48" spans="1:12" s="9" customFormat="1" ht="66" customHeight="1" x14ac:dyDescent="0.3">
      <c r="A48" s="109"/>
      <c r="B48" s="109"/>
      <c r="C48" s="109" t="s">
        <v>213</v>
      </c>
      <c r="D48" s="108"/>
      <c r="E48" s="108"/>
      <c r="F48" s="48" t="s">
        <v>159</v>
      </c>
      <c r="G48" s="147">
        <v>45578</v>
      </c>
      <c r="H48" s="147"/>
    </row>
    <row r="49" spans="1:14" x14ac:dyDescent="0.3">
      <c r="A49" s="91" t="s">
        <v>48</v>
      </c>
      <c r="B49" s="91"/>
      <c r="C49" s="91" t="s">
        <v>141</v>
      </c>
      <c r="D49" s="117"/>
      <c r="E49" s="117" t="s">
        <v>49</v>
      </c>
      <c r="F49" s="44" t="s">
        <v>45</v>
      </c>
      <c r="G49" s="119" t="s">
        <v>30</v>
      </c>
      <c r="H49" s="119"/>
    </row>
    <row r="50" spans="1:14" x14ac:dyDescent="0.3">
      <c r="A50" s="118" t="s">
        <v>51</v>
      </c>
      <c r="B50" s="118"/>
      <c r="C50" s="118"/>
      <c r="D50" s="118"/>
      <c r="E50" s="118"/>
      <c r="F50" s="118"/>
      <c r="G50" s="118"/>
      <c r="H50" s="118"/>
    </row>
    <row r="51" spans="1:14" x14ac:dyDescent="0.3">
      <c r="A51" s="109" t="s">
        <v>123</v>
      </c>
      <c r="B51" s="109"/>
      <c r="C51" s="109"/>
      <c r="D51" s="108">
        <f>E42</f>
        <v>31122.15</v>
      </c>
      <c r="E51" s="108"/>
      <c r="F51" s="108"/>
      <c r="G51" s="108"/>
      <c r="H51" s="108"/>
      <c r="I51" s="7" t="s">
        <v>206</v>
      </c>
    </row>
    <row r="52" spans="1:14" x14ac:dyDescent="0.3">
      <c r="A52" s="109" t="s">
        <v>52</v>
      </c>
      <c r="B52" s="108"/>
      <c r="C52" s="108"/>
      <c r="D52" s="108" t="s">
        <v>232</v>
      </c>
      <c r="E52" s="108"/>
      <c r="F52" s="108"/>
      <c r="G52" s="108"/>
      <c r="H52" s="108"/>
      <c r="I52" s="32"/>
    </row>
    <row r="53" spans="1:14" ht="15.75" customHeight="1" x14ac:dyDescent="0.3">
      <c r="A53" s="144" t="s">
        <v>53</v>
      </c>
      <c r="B53" s="145"/>
      <c r="C53" s="146"/>
      <c r="D53" s="143" t="s">
        <v>217</v>
      </c>
      <c r="E53" s="143"/>
      <c r="F53" s="143"/>
      <c r="G53" s="143"/>
      <c r="H53" s="143"/>
    </row>
    <row r="54" spans="1:14" ht="15.75" customHeight="1" x14ac:dyDescent="0.3">
      <c r="A54" s="144" t="s">
        <v>121</v>
      </c>
      <c r="B54" s="145"/>
      <c r="C54" s="145"/>
      <c r="D54" s="143" t="s">
        <v>217</v>
      </c>
      <c r="E54" s="143"/>
      <c r="F54" s="143"/>
      <c r="G54" s="143"/>
      <c r="H54" s="143"/>
    </row>
    <row r="55" spans="1:14" ht="15.75" customHeight="1" x14ac:dyDescent="0.3">
      <c r="A55" s="94" t="s">
        <v>50</v>
      </c>
      <c r="B55" s="94"/>
      <c r="C55" s="94"/>
      <c r="D55" s="109" t="s">
        <v>234</v>
      </c>
      <c r="E55" s="109"/>
      <c r="F55" s="109"/>
      <c r="G55" s="109"/>
      <c r="H55" s="109"/>
      <c r="J55" s="31"/>
      <c r="K55" s="32"/>
      <c r="N55" s="32"/>
    </row>
    <row r="56" spans="1:14" ht="15.75" customHeight="1" x14ac:dyDescent="0.3">
      <c r="A56" s="94" t="s">
        <v>119</v>
      </c>
      <c r="B56" s="94"/>
      <c r="C56" s="94"/>
      <c r="D56" s="110" t="str">
        <f>(IF(G49="NA","60 Years After Completion",IF(G49&lt;&gt;"NA",""&amp;60-ROUNDDOWN((E3-G49)/360,0)&amp;" Years"," ")))</f>
        <v>60 Years After Completion</v>
      </c>
      <c r="E56" s="110"/>
      <c r="F56" s="110"/>
      <c r="G56" s="110"/>
      <c r="H56" s="110"/>
      <c r="N56" s="32"/>
    </row>
    <row r="57" spans="1:14" ht="15.75" customHeight="1" x14ac:dyDescent="0.3">
      <c r="A57" s="94" t="s">
        <v>120</v>
      </c>
      <c r="B57" s="94"/>
      <c r="C57" s="94"/>
      <c r="D57" s="90" t="s">
        <v>24</v>
      </c>
      <c r="E57" s="90"/>
      <c r="F57" s="90"/>
      <c r="G57" s="90"/>
      <c r="H57" s="90"/>
      <c r="J57" s="13"/>
      <c r="K57" s="13"/>
    </row>
    <row r="58" spans="1:14" ht="15.75" customHeight="1" thickBot="1" x14ac:dyDescent="0.35">
      <c r="A58" s="149" t="s">
        <v>118</v>
      </c>
      <c r="B58" s="149"/>
      <c r="C58" s="149"/>
      <c r="D58" s="150" t="str">
        <f ca="1">(IF(G63&gt;95%,"Nothing",IF(G63&gt;0%,"Cement, Aggregate, Steel, etc",IF(G63=0%,"Work not yet Started"))))</f>
        <v>Cement, Aggregate, Steel, etc</v>
      </c>
      <c r="E58" s="150"/>
      <c r="F58" s="150"/>
      <c r="G58" s="150"/>
      <c r="H58" s="150"/>
      <c r="J58" s="13"/>
    </row>
    <row r="59" spans="1:14" ht="15.75" customHeight="1" x14ac:dyDescent="0.3">
      <c r="A59" s="153" t="s">
        <v>178</v>
      </c>
      <c r="B59" s="154"/>
      <c r="C59" s="155" t="str">
        <f>D54</f>
        <v>1B + G/St + P1 to P4 + 1st to 28th Floor</v>
      </c>
      <c r="D59" s="156"/>
      <c r="E59" s="156"/>
      <c r="F59" s="156"/>
      <c r="G59" s="156"/>
      <c r="H59" s="157"/>
      <c r="I59" s="34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Brickwork, Internal Plaster, External Plaster, Flooring upto 26 Floor, Painting upto 23 Floor, Finishing upto 5 Floor Completed</v>
      </c>
      <c r="J59" s="14"/>
    </row>
    <row r="60" spans="1:14" x14ac:dyDescent="0.3">
      <c r="A60" s="39" t="s">
        <v>180</v>
      </c>
      <c r="B60" s="45">
        <v>1</v>
      </c>
      <c r="C60" s="45" t="s">
        <v>100</v>
      </c>
      <c r="D60" s="45">
        <v>1</v>
      </c>
      <c r="E60" s="45" t="s">
        <v>99</v>
      </c>
      <c r="F60" s="45">
        <v>4</v>
      </c>
      <c r="G60" s="45" t="s">
        <v>112</v>
      </c>
      <c r="H60" s="40">
        <f ca="1">--TRIM(RIGHT(SUBSTITUTE(LEFT(C59,_xlfn.AGGREGATE(16,6,FIND({0,1,2,3,4,5,6,7,8,9},C59,ROW(INDIRECT("1:"&amp;LEN(C59)))),1))," ",REPT(" ",LEN(C59))),LEN(C59)))</f>
        <v>28</v>
      </c>
      <c r="I60" s="13"/>
      <c r="J60" s="15"/>
    </row>
    <row r="61" spans="1:14" ht="48.6" customHeight="1" x14ac:dyDescent="0.3">
      <c r="A61" s="152" t="s">
        <v>122</v>
      </c>
      <c r="B61" s="117"/>
      <c r="C61" s="91" t="str">
        <f ca="1">I59</f>
        <v>Excavation work Completed. Plinth work completed, RCC Slab, Brickwork, Internal Plaster, External Plaster, Flooring upto 26 Floor, Painting upto 23 Floor, Finishing upto 5 Floor Completed</v>
      </c>
      <c r="D61" s="91"/>
      <c r="E61" s="91"/>
      <c r="F61" s="91"/>
      <c r="G61" s="91"/>
      <c r="H61" s="92"/>
      <c r="I61" s="13" t="s">
        <v>140</v>
      </c>
      <c r="J61" s="15"/>
    </row>
    <row r="62" spans="1:14" ht="15.75" customHeight="1" x14ac:dyDescent="0.3">
      <c r="A62" s="125" t="s">
        <v>54</v>
      </c>
      <c r="B62" s="93"/>
      <c r="C62" s="42" t="s">
        <v>177</v>
      </c>
      <c r="D62" s="42" t="s">
        <v>115</v>
      </c>
      <c r="E62" s="93" t="s">
        <v>117</v>
      </c>
      <c r="F62" s="93"/>
      <c r="G62" s="93" t="s">
        <v>116</v>
      </c>
      <c r="H62" s="151"/>
      <c r="I62" s="30" t="s">
        <v>179</v>
      </c>
      <c r="J62" s="16">
        <f ca="1">H60*25%</f>
        <v>7</v>
      </c>
    </row>
    <row r="63" spans="1:14" x14ac:dyDescent="0.3">
      <c r="A63" s="125" t="s">
        <v>166</v>
      </c>
      <c r="B63" s="93"/>
      <c r="C63" s="49">
        <f ca="1">J64</f>
        <v>28</v>
      </c>
      <c r="D63" s="50">
        <f ca="1">((100/H60)*C63)/100</f>
        <v>1</v>
      </c>
      <c r="E63" s="121">
        <f ca="1">(((C64/H60*10)+(40/(D60+F60+H60)*C65)+(7.5/(H60)*C66)+(7.5/(H60)*C67)+(10/H60*C68)+(10/H60*C69)+(5/H60*C70)+(5/H60*C71)+(5/H60*C72))/100)</f>
        <v>0.8928571428571429</v>
      </c>
      <c r="F63" s="121"/>
      <c r="G63" s="121">
        <f ca="1">((((C63/H60)*20)+((C64/H60)*25)+(30/(H60+F60+D60)*C65)+(5/H60*C66)+(5/H60*C67)+(5/H60*C68)+(5/H60*C69)+(0/H60*C70)+(0/H60*C71)+(5/H60*C72))/100)</f>
        <v>0.9464285714285714</v>
      </c>
      <c r="H63" s="122"/>
      <c r="I63" s="30" t="s">
        <v>135</v>
      </c>
      <c r="J63" s="33">
        <f ca="1">H60*50%</f>
        <v>14</v>
      </c>
    </row>
    <row r="64" spans="1:14" x14ac:dyDescent="0.3">
      <c r="A64" s="125" t="s">
        <v>55</v>
      </c>
      <c r="B64" s="93"/>
      <c r="C64" s="51">
        <f ca="1">J72</f>
        <v>28</v>
      </c>
      <c r="D64" s="50">
        <f ca="1">((100/H60)*C64)/100</f>
        <v>1</v>
      </c>
      <c r="E64" s="121"/>
      <c r="F64" s="121"/>
      <c r="G64" s="121"/>
      <c r="H64" s="122"/>
      <c r="I64" s="30" t="s">
        <v>136</v>
      </c>
      <c r="J64" s="33">
        <f ca="1">H60</f>
        <v>28</v>
      </c>
    </row>
    <row r="65" spans="1:10" ht="15.75" customHeight="1" x14ac:dyDescent="0.3">
      <c r="A65" s="125" t="s">
        <v>167</v>
      </c>
      <c r="B65" s="93"/>
      <c r="C65" s="51">
        <f>D60+F60+28</f>
        <v>33</v>
      </c>
      <c r="D65" s="50">
        <f ca="1">((100/(D60+F60+H60))*C65)/100</f>
        <v>1</v>
      </c>
      <c r="E65" s="121"/>
      <c r="F65" s="121"/>
      <c r="G65" s="121"/>
      <c r="H65" s="122"/>
      <c r="I65" s="30" t="s">
        <v>137</v>
      </c>
      <c r="J65" s="36">
        <f ca="1">(IF(B60&gt;1,(H60/(B60+2)),H60/4))</f>
        <v>7</v>
      </c>
    </row>
    <row r="66" spans="1:10" ht="15.75" customHeight="1" x14ac:dyDescent="0.3">
      <c r="A66" s="125" t="s">
        <v>174</v>
      </c>
      <c r="B66" s="93" t="s">
        <v>168</v>
      </c>
      <c r="C66" s="51">
        <f>C65-F60-D60</f>
        <v>28</v>
      </c>
      <c r="D66" s="50">
        <f ca="1">((100/H60)*C66)/100</f>
        <v>1</v>
      </c>
      <c r="E66" s="121"/>
      <c r="F66" s="121"/>
      <c r="G66" s="121"/>
      <c r="H66" s="122"/>
      <c r="I66" s="30" t="s">
        <v>138</v>
      </c>
      <c r="J66" s="36">
        <f ca="1">(IF(B60&gt;1,(H60/(B60+2)+J65),H60/4+J65))</f>
        <v>14</v>
      </c>
    </row>
    <row r="67" spans="1:10" ht="15.75" customHeight="1" x14ac:dyDescent="0.3">
      <c r="A67" s="125" t="s">
        <v>175</v>
      </c>
      <c r="B67" s="93" t="s">
        <v>168</v>
      </c>
      <c r="C67" s="51">
        <v>28</v>
      </c>
      <c r="D67" s="50">
        <f ca="1">((100/H60)*C67)/100</f>
        <v>1</v>
      </c>
      <c r="E67" s="121"/>
      <c r="F67" s="121"/>
      <c r="G67" s="121"/>
      <c r="H67" s="122"/>
      <c r="I67" s="30" t="s">
        <v>184</v>
      </c>
      <c r="J67" s="36">
        <f>(IF(B60&gt;1,(H60/(B60+2)+J66),0))</f>
        <v>0</v>
      </c>
    </row>
    <row r="68" spans="1:10" ht="15" customHeight="1" x14ac:dyDescent="0.3">
      <c r="A68" s="125" t="s">
        <v>173</v>
      </c>
      <c r="B68" s="93" t="s">
        <v>170</v>
      </c>
      <c r="C68" s="51">
        <v>28</v>
      </c>
      <c r="D68" s="50">
        <f ca="1">((100/(H60))*C68)/100</f>
        <v>1</v>
      </c>
      <c r="E68" s="121"/>
      <c r="F68" s="121"/>
      <c r="G68" s="121"/>
      <c r="H68" s="122"/>
      <c r="I68" s="30" t="s">
        <v>181</v>
      </c>
      <c r="J68" s="36">
        <f>(IF(B60&gt;2,(H60/(B60+2)+J67),0))</f>
        <v>0</v>
      </c>
    </row>
    <row r="69" spans="1:10" ht="15.75" customHeight="1" x14ac:dyDescent="0.3">
      <c r="A69" s="125" t="s">
        <v>169</v>
      </c>
      <c r="B69" s="93" t="s">
        <v>169</v>
      </c>
      <c r="C69" s="49">
        <v>26</v>
      </c>
      <c r="D69" s="50">
        <f ca="1">((100/H60)*C69)/100</f>
        <v>0.9285714285714286</v>
      </c>
      <c r="E69" s="121"/>
      <c r="F69" s="121"/>
      <c r="G69" s="121"/>
      <c r="H69" s="122"/>
      <c r="I69" s="30" t="s">
        <v>182</v>
      </c>
      <c r="J69" s="37">
        <f>(IF(B60&gt;3,(H60/(B60+2)+J68),0))</f>
        <v>0</v>
      </c>
    </row>
    <row r="70" spans="1:10" ht="15.75" customHeight="1" x14ac:dyDescent="0.3">
      <c r="A70" s="125" t="s">
        <v>176</v>
      </c>
      <c r="B70" s="93"/>
      <c r="C70" s="49">
        <v>23</v>
      </c>
      <c r="D70" s="50">
        <f ca="1">((100/H60)*C70)/100</f>
        <v>0.82142857142857151</v>
      </c>
      <c r="E70" s="121"/>
      <c r="F70" s="121"/>
      <c r="G70" s="121"/>
      <c r="H70" s="122"/>
      <c r="I70" s="30" t="s">
        <v>183</v>
      </c>
      <c r="J70" s="36">
        <f>(IF(B60&gt;4,(H60/(B60+2)+J69),0))</f>
        <v>0</v>
      </c>
    </row>
    <row r="71" spans="1:10" ht="15.75" customHeight="1" x14ac:dyDescent="0.3">
      <c r="A71" s="125" t="s">
        <v>171</v>
      </c>
      <c r="B71" s="93" t="s">
        <v>171</v>
      </c>
      <c r="C71" s="49">
        <v>5</v>
      </c>
      <c r="D71" s="50">
        <f ca="1">((100/(H60))*C71)/100</f>
        <v>0.17857142857142858</v>
      </c>
      <c r="E71" s="121"/>
      <c r="F71" s="121"/>
      <c r="G71" s="121"/>
      <c r="H71" s="122"/>
      <c r="I71" s="30" t="s">
        <v>185</v>
      </c>
      <c r="J71" s="36">
        <f ca="1">(IF(B60=1,(H60/(B60+3)+J66),IF(B60=0,(H60/4+J66),IF(B60&gt;1,0))))</f>
        <v>21</v>
      </c>
    </row>
    <row r="72" spans="1:10" ht="16.2" thickBot="1" x14ac:dyDescent="0.35">
      <c r="A72" s="126" t="s">
        <v>172</v>
      </c>
      <c r="B72" s="127"/>
      <c r="C72" s="66">
        <v>0</v>
      </c>
      <c r="D72" s="67">
        <f ca="1">((100/(H60))*C72)/100</f>
        <v>0</v>
      </c>
      <c r="E72" s="123"/>
      <c r="F72" s="123"/>
      <c r="G72" s="123"/>
      <c r="H72" s="124"/>
      <c r="I72" s="35" t="s">
        <v>139</v>
      </c>
      <c r="J72" s="38">
        <f ca="1">(IF(B60&gt;1.5,(H60/(B60+2)+J66+MAX(0,J67-J66)+MAX(0,J68-J67)+MAX(0,J69-J68)+MAX(0,J70-J69)+MAX(0,J71-J70)),IF(B60=1,(H60/(B60+3)+J71),IF(B60=0,H60/4+J71))))</f>
        <v>28</v>
      </c>
    </row>
    <row r="73" spans="1:10" x14ac:dyDescent="0.3">
      <c r="A73" s="108" t="s">
        <v>155</v>
      </c>
      <c r="B73" s="108"/>
      <c r="C73" s="108"/>
      <c r="D73" s="108"/>
      <c r="E73" s="108"/>
      <c r="F73" s="108" t="str">
        <f ca="1">(IF(D58="Nothing","Yes",IF(D58="Cement, Aggregate, Steel, etc","Under Construction",IF(D58="Work not yet Started","Work not yet Started"))))</f>
        <v>Under Construction</v>
      </c>
      <c r="G73" s="108"/>
      <c r="H73" s="108"/>
    </row>
    <row r="74" spans="1:10" x14ac:dyDescent="0.3">
      <c r="A74" s="94" t="s">
        <v>56</v>
      </c>
      <c r="B74" s="94"/>
      <c r="C74" s="94"/>
      <c r="D74" s="94"/>
      <c r="E74" s="94"/>
      <c r="F74" s="94"/>
      <c r="G74" s="94"/>
      <c r="H74" s="94"/>
      <c r="I74" s="7">
        <f>33*0.78</f>
        <v>25.740000000000002</v>
      </c>
    </row>
    <row r="75" spans="1:10" ht="15" customHeight="1" x14ac:dyDescent="0.3">
      <c r="A75" s="117" t="s">
        <v>103</v>
      </c>
      <c r="B75" s="117"/>
      <c r="C75" s="91" t="s">
        <v>104</v>
      </c>
      <c r="D75" s="91"/>
      <c r="E75" s="91"/>
      <c r="F75" s="91"/>
      <c r="G75" s="91"/>
      <c r="H75" s="91"/>
    </row>
    <row r="76" spans="1:10" x14ac:dyDescent="0.3">
      <c r="A76" s="120" t="s">
        <v>57</v>
      </c>
      <c r="B76" s="120"/>
      <c r="C76" s="120"/>
      <c r="D76" s="120"/>
      <c r="E76" s="120"/>
      <c r="F76" s="120"/>
      <c r="G76" s="120"/>
      <c r="H76" s="120"/>
    </row>
    <row r="77" spans="1:10" x14ac:dyDescent="0.3">
      <c r="A77" s="94" t="s">
        <v>105</v>
      </c>
      <c r="B77" s="94"/>
      <c r="C77" s="94"/>
      <c r="D77" s="94"/>
      <c r="E77" s="94"/>
      <c r="F77" s="117">
        <v>29000</v>
      </c>
      <c r="G77" s="117"/>
      <c r="H77" s="117"/>
    </row>
    <row r="78" spans="1:10" hidden="1" x14ac:dyDescent="0.3">
      <c r="A78" s="94" t="s">
        <v>110</v>
      </c>
      <c r="B78" s="94"/>
      <c r="C78" s="94"/>
      <c r="D78" s="94"/>
      <c r="E78" s="94"/>
      <c r="F78" s="108"/>
      <c r="G78" s="108"/>
      <c r="H78" s="108"/>
    </row>
    <row r="79" spans="1:10" hidden="1" x14ac:dyDescent="0.3">
      <c r="A79" s="94" t="s">
        <v>111</v>
      </c>
      <c r="B79" s="94"/>
      <c r="C79" s="94"/>
      <c r="D79" s="94"/>
      <c r="E79" s="94"/>
      <c r="F79" s="108"/>
      <c r="G79" s="108"/>
      <c r="H79" s="108"/>
    </row>
    <row r="80" spans="1:10" s="11" customFormat="1" hidden="1" x14ac:dyDescent="0.25">
      <c r="A80" s="94" t="s">
        <v>127</v>
      </c>
      <c r="B80" s="94"/>
      <c r="C80" s="94"/>
      <c r="D80" s="94"/>
      <c r="E80" s="94"/>
      <c r="F80" s="108" t="s">
        <v>30</v>
      </c>
      <c r="G80" s="108"/>
      <c r="H80" s="108"/>
    </row>
    <row r="81" spans="1:20" s="11" customFormat="1" hidden="1" x14ac:dyDescent="0.25">
      <c r="A81" s="94" t="s">
        <v>128</v>
      </c>
      <c r="B81" s="94"/>
      <c r="C81" s="94"/>
      <c r="D81" s="94"/>
      <c r="E81" s="94"/>
      <c r="F81" s="108" t="s">
        <v>30</v>
      </c>
      <c r="G81" s="108"/>
      <c r="H81" s="108"/>
    </row>
    <row r="82" spans="1:20" s="11" customFormat="1" hidden="1" x14ac:dyDescent="0.25">
      <c r="A82" s="94" t="s">
        <v>129</v>
      </c>
      <c r="B82" s="94"/>
      <c r="C82" s="94"/>
      <c r="D82" s="94"/>
      <c r="E82" s="94"/>
      <c r="F82" s="108" t="s">
        <v>30</v>
      </c>
      <c r="G82" s="108"/>
      <c r="H82" s="108"/>
    </row>
    <row r="83" spans="1:20" s="11" customFormat="1" hidden="1" x14ac:dyDescent="0.25">
      <c r="A83" s="94" t="s">
        <v>130</v>
      </c>
      <c r="B83" s="94"/>
      <c r="C83" s="94"/>
      <c r="D83" s="94"/>
      <c r="E83" s="94"/>
      <c r="F83" s="108" t="s">
        <v>30</v>
      </c>
      <c r="G83" s="108"/>
      <c r="H83" s="108"/>
    </row>
    <row r="84" spans="1:20" s="11" customFormat="1" hidden="1" x14ac:dyDescent="0.25">
      <c r="A84" s="94" t="s">
        <v>131</v>
      </c>
      <c r="B84" s="94"/>
      <c r="C84" s="94"/>
      <c r="D84" s="94"/>
      <c r="E84" s="94"/>
      <c r="F84" s="108" t="s">
        <v>30</v>
      </c>
      <c r="G84" s="108"/>
      <c r="H84" s="108"/>
    </row>
    <row r="85" spans="1:20" s="11" customFormat="1" hidden="1" x14ac:dyDescent="0.25">
      <c r="A85" s="94" t="s">
        <v>132</v>
      </c>
      <c r="B85" s="94"/>
      <c r="C85" s="94"/>
      <c r="D85" s="94"/>
      <c r="E85" s="94"/>
      <c r="F85" s="108" t="s">
        <v>30</v>
      </c>
      <c r="G85" s="108"/>
      <c r="H85" s="108"/>
    </row>
    <row r="86" spans="1:20" s="11" customFormat="1" hidden="1" x14ac:dyDescent="0.25">
      <c r="A86" s="94" t="s">
        <v>133</v>
      </c>
      <c r="B86" s="94"/>
      <c r="C86" s="94"/>
      <c r="D86" s="94"/>
      <c r="E86" s="94"/>
      <c r="F86" s="108" t="s">
        <v>30</v>
      </c>
      <c r="G86" s="108"/>
      <c r="H86" s="108"/>
    </row>
    <row r="87" spans="1:20" s="11" customFormat="1" hidden="1" x14ac:dyDescent="0.25">
      <c r="A87" s="94" t="s">
        <v>134</v>
      </c>
      <c r="B87" s="94"/>
      <c r="C87" s="94"/>
      <c r="D87" s="94"/>
      <c r="E87" s="94"/>
      <c r="F87" s="108" t="s">
        <v>30</v>
      </c>
      <c r="G87" s="108"/>
      <c r="H87" s="108"/>
    </row>
    <row r="88" spans="1:20" x14ac:dyDescent="0.3">
      <c r="A88" s="94" t="s">
        <v>58</v>
      </c>
      <c r="B88" s="94"/>
      <c r="C88" s="94"/>
      <c r="D88" s="94"/>
      <c r="E88" s="94"/>
      <c r="F88" s="109" t="s">
        <v>208</v>
      </c>
      <c r="G88" s="109"/>
      <c r="H88" s="109"/>
    </row>
    <row r="89" spans="1:20" s="8" customFormat="1" x14ac:dyDescent="0.3">
      <c r="A89" s="120" t="s">
        <v>59</v>
      </c>
      <c r="B89" s="120"/>
      <c r="C89" s="120"/>
      <c r="D89" s="120"/>
      <c r="E89" s="120"/>
      <c r="F89" s="108">
        <f>F77*0.8</f>
        <v>23200</v>
      </c>
      <c r="G89" s="108"/>
      <c r="H89" s="108"/>
    </row>
    <row r="90" spans="1:20" s="1" customFormat="1" x14ac:dyDescent="0.3">
      <c r="A90" s="131" t="s">
        <v>98</v>
      </c>
      <c r="B90" s="131"/>
      <c r="C90" s="131"/>
      <c r="D90" s="131"/>
      <c r="E90" s="131"/>
      <c r="F90" s="131"/>
      <c r="G90" s="131"/>
      <c r="H90" s="131"/>
      <c r="T90"/>
    </row>
    <row r="91" spans="1:20" s="1" customFormat="1" ht="15.75" customHeight="1" x14ac:dyDescent="0.3">
      <c r="A91" s="71" t="s">
        <v>60</v>
      </c>
      <c r="B91" s="71"/>
      <c r="C91" s="72" t="s">
        <v>108</v>
      </c>
      <c r="D91" s="72"/>
      <c r="E91" s="73" t="s">
        <v>61</v>
      </c>
      <c r="F91" s="73"/>
      <c r="G91" s="71" t="s">
        <v>62</v>
      </c>
      <c r="H91" s="71"/>
      <c r="T91"/>
    </row>
    <row r="92" spans="1:20" s="1" customFormat="1" x14ac:dyDescent="0.3">
      <c r="A92" s="74" t="s">
        <v>229</v>
      </c>
      <c r="B92" s="74"/>
      <c r="C92" s="75">
        <f>COUNT(D103:D108)+COUNT(D110:D115)*22+COUNT(D117:D122)*4</f>
        <v>154</v>
      </c>
      <c r="D92" s="75"/>
      <c r="E92" s="75">
        <f>SUM(F103:F108)+SUM(F110:F115)*22+SUM(F117:F122)*4</f>
        <v>149929.05854159998</v>
      </c>
      <c r="F92" s="75"/>
      <c r="G92" s="75">
        <f t="shared" ref="G92" si="0">SUM(H103:H108)+SUM(H110:H115)*22+SUM(H117:H122)*4</f>
        <v>224920.69156440001</v>
      </c>
      <c r="H92" s="75"/>
      <c r="T92"/>
    </row>
    <row r="93" spans="1:20" s="1" customFormat="1" ht="16.2" thickBot="1" x14ac:dyDescent="0.35">
      <c r="A93" s="96" t="s">
        <v>64</v>
      </c>
      <c r="B93" s="96"/>
      <c r="C93" s="76">
        <f>SUM(C92)</f>
        <v>154</v>
      </c>
      <c r="D93" s="77"/>
      <c r="E93" s="78">
        <f>SUM(E92)</f>
        <v>149929.05854159998</v>
      </c>
      <c r="F93" s="79"/>
      <c r="G93" s="80">
        <f>SUM(G92)</f>
        <v>224920.69156440001</v>
      </c>
      <c r="H93" s="80"/>
      <c r="T93"/>
    </row>
    <row r="94" spans="1:20" s="1" customFormat="1" ht="16.2" thickBot="1" x14ac:dyDescent="0.35">
      <c r="A94" s="97" t="s">
        <v>228</v>
      </c>
      <c r="B94" s="98"/>
      <c r="C94" s="81">
        <f>SUM(C93)</f>
        <v>154</v>
      </c>
      <c r="D94" s="82"/>
      <c r="E94" s="83">
        <f>SUM(E93)</f>
        <v>149929.05854159998</v>
      </c>
      <c r="F94" s="84"/>
      <c r="G94" s="85">
        <f>SUM(G93)</f>
        <v>224920.69156440001</v>
      </c>
      <c r="H94" s="86"/>
      <c r="T94"/>
    </row>
    <row r="95" spans="1:20" s="58" customFormat="1" x14ac:dyDescent="0.3">
      <c r="A95" s="69"/>
      <c r="B95" s="165"/>
      <c r="C95" s="165"/>
      <c r="D95" s="165"/>
      <c r="E95" s="165"/>
      <c r="F95" s="165"/>
      <c r="G95" s="165"/>
      <c r="H95" s="70"/>
      <c r="I95" s="29"/>
      <c r="N95" s="29"/>
    </row>
    <row r="96" spans="1:20" ht="47.25" customHeight="1" x14ac:dyDescent="0.3">
      <c r="A96" s="166" t="s">
        <v>156</v>
      </c>
      <c r="B96" s="99" t="s">
        <v>220</v>
      </c>
      <c r="C96" s="99" t="s">
        <v>65</v>
      </c>
      <c r="D96" s="99" t="s">
        <v>218</v>
      </c>
      <c r="E96" s="99" t="s">
        <v>225</v>
      </c>
      <c r="F96" s="99" t="s">
        <v>66</v>
      </c>
      <c r="G96" s="101" t="s">
        <v>67</v>
      </c>
      <c r="H96" s="63" t="s">
        <v>219</v>
      </c>
      <c r="I96" s="29"/>
      <c r="T96" s="58"/>
    </row>
    <row r="97" spans="1:20" s="58" customFormat="1" x14ac:dyDescent="0.3">
      <c r="A97" s="167"/>
      <c r="B97" s="100"/>
      <c r="C97" s="100"/>
      <c r="D97" s="100"/>
      <c r="E97" s="100"/>
      <c r="F97" s="100"/>
      <c r="G97" s="102"/>
      <c r="H97" s="64">
        <v>0.5</v>
      </c>
      <c r="I97" s="29"/>
    </row>
    <row r="98" spans="1:20" s="58" customFormat="1" x14ac:dyDescent="0.3">
      <c r="A98" s="87" t="s">
        <v>221</v>
      </c>
      <c r="B98" s="88"/>
      <c r="C98" s="88"/>
      <c r="D98" s="88"/>
      <c r="E98" s="88"/>
      <c r="F98" s="88"/>
      <c r="G98" s="88"/>
      <c r="H98" s="89"/>
      <c r="J98" s="29"/>
      <c r="T98" s="1"/>
    </row>
    <row r="99" spans="1:20" s="58" customFormat="1" x14ac:dyDescent="0.3">
      <c r="A99" s="87" t="s">
        <v>222</v>
      </c>
      <c r="B99" s="88"/>
      <c r="C99" s="88"/>
      <c r="D99" s="88"/>
      <c r="E99" s="88"/>
      <c r="F99" s="88"/>
      <c r="G99" s="88"/>
      <c r="H99" s="89"/>
      <c r="J99" s="29">
        <f>10.764</f>
        <v>10.763999999999999</v>
      </c>
      <c r="T99" s="1"/>
    </row>
    <row r="100" spans="1:20" s="58" customFormat="1" x14ac:dyDescent="0.3">
      <c r="A100" s="87" t="s">
        <v>223</v>
      </c>
      <c r="B100" s="88"/>
      <c r="C100" s="88"/>
      <c r="D100" s="88"/>
      <c r="E100" s="88"/>
      <c r="F100" s="88"/>
      <c r="G100" s="88"/>
      <c r="H100" s="89"/>
      <c r="J100" s="29"/>
      <c r="T100" s="1"/>
    </row>
    <row r="101" spans="1:20" s="58" customFormat="1" x14ac:dyDescent="0.3">
      <c r="A101" s="87" t="s">
        <v>204</v>
      </c>
      <c r="B101" s="88"/>
      <c r="C101" s="88"/>
      <c r="D101" s="88"/>
      <c r="E101" s="88"/>
      <c r="F101" s="88"/>
      <c r="G101" s="88"/>
      <c r="H101" s="89"/>
      <c r="J101" s="29"/>
      <c r="T101" s="1"/>
    </row>
    <row r="102" spans="1:20" s="58" customFormat="1" x14ac:dyDescent="0.3">
      <c r="A102" s="87" t="s">
        <v>224</v>
      </c>
      <c r="B102" s="88"/>
      <c r="C102" s="88"/>
      <c r="D102" s="88"/>
      <c r="E102" s="88"/>
      <c r="F102" s="88"/>
      <c r="G102" s="88"/>
      <c r="H102" s="89"/>
      <c r="I102" s="62">
        <v>1</v>
      </c>
      <c r="J102" s="29"/>
      <c r="T102" s="1"/>
    </row>
    <row r="103" spans="1:20" s="58" customFormat="1" ht="15.75" customHeight="1" x14ac:dyDescent="0.3">
      <c r="A103" s="69">
        <v>1</v>
      </c>
      <c r="B103" s="70"/>
      <c r="C103" s="55" t="s">
        <v>149</v>
      </c>
      <c r="D103" s="61">
        <f>(103.15)*(10.764)</f>
        <v>1110.3065999999999</v>
      </c>
      <c r="E103" s="61">
        <f>(3.93*1.2+2.21*1.05)*(10.764)</f>
        <v>75.740886000000003</v>
      </c>
      <c r="F103" s="59">
        <f t="shared" ref="F103:F108" si="1">D103+E103</f>
        <v>1186.0474859999999</v>
      </c>
      <c r="G103" s="61">
        <f>(1.27*1.2)*(10.764)</f>
        <v>16.404336000000001</v>
      </c>
      <c r="H103" s="56">
        <f>F103*(($H$97)+1)+(IF(G103&lt;101,G103,IF(G103&lt;201,G103/2,IF(G103&lt;=301,G103/3,G103/4))))</f>
        <v>1795.475565</v>
      </c>
      <c r="I103" s="60">
        <f>3.01*3.93+2.19*3.5+4.11*3.05+2.49*1.56+4.11*3.35+2.39*1.52+3.2*3.36+2.19*1.24+2.19*1.22+2.19*2.39+2.81*4.54+0.91*4.47+1.52*1.71+0.91*1.33+2.39*1.13</f>
        <v>98.024300000000011</v>
      </c>
      <c r="L103" s="68"/>
      <c r="M103" s="68"/>
      <c r="N103" s="29"/>
    </row>
    <row r="104" spans="1:20" s="58" customFormat="1" ht="15.75" customHeight="1" x14ac:dyDescent="0.3">
      <c r="A104" s="69">
        <f>A103+1</f>
        <v>2</v>
      </c>
      <c r="B104" s="70"/>
      <c r="C104" s="55" t="s">
        <v>149</v>
      </c>
      <c r="D104" s="61">
        <f>(104.33)*(10.764)</f>
        <v>1123.00812</v>
      </c>
      <c r="E104" s="61">
        <f>(3.93*1.2+2.29*1.05)*(10.764)</f>
        <v>76.645061999999996</v>
      </c>
      <c r="F104" s="59">
        <f t="shared" si="1"/>
        <v>1199.653182</v>
      </c>
      <c r="G104" s="61">
        <f>(1.42*0.7)*(10.764)</f>
        <v>10.699415999999998</v>
      </c>
      <c r="H104" s="56">
        <f>F104*(($H$97)+1)+(IF(G104&lt;101,G104,IF(G104&lt;201,G104/2,IF(G104&lt;=301,G104/3,G104/4))))</f>
        <v>1810.179189</v>
      </c>
      <c r="I104" s="29"/>
      <c r="J104" s="58">
        <f>6+22*6+4*4</f>
        <v>154</v>
      </c>
      <c r="L104" s="68"/>
      <c r="M104" s="68"/>
      <c r="N104" s="29"/>
    </row>
    <row r="105" spans="1:20" s="58" customFormat="1" ht="15.75" customHeight="1" x14ac:dyDescent="0.3">
      <c r="A105" s="69">
        <f>A104+1</f>
        <v>3</v>
      </c>
      <c r="B105" s="70"/>
      <c r="C105" s="55" t="s">
        <v>205</v>
      </c>
      <c r="D105" s="61">
        <f>(77.75)*(10.764)</f>
        <v>836.90099999999995</v>
      </c>
      <c r="E105" s="61">
        <f>(2.09*1.06+2.29*1.05)*(10.764)</f>
        <v>49.728603599999992</v>
      </c>
      <c r="F105" s="56">
        <f t="shared" si="1"/>
        <v>886.6296036</v>
      </c>
      <c r="G105" s="57">
        <v>0</v>
      </c>
      <c r="H105" s="56">
        <f t="shared" ref="H105:H108" si="2">F105*(($H$97)+1)+(IF(G105&lt;101,G105,IF(G105&lt;201,G105/2,IF(G105&lt;=301,G105/3,G105/4))))</f>
        <v>1329.9444054000001</v>
      </c>
      <c r="I105" s="60">
        <f>3.68*4.12+2.44*3.1+3.05*3.24+2.04*1.22+3.6*3.2+1.52*1.02+1.32*1.43+1.43*1.22+2.44*1.99+0.91*0.87+0.91*1.36+1.53*0.91+0.66*2.75+0.91*1.22+2.64*0.91+3.68*2.09+1.13*1.85</f>
        <v>75.18549999999999</v>
      </c>
      <c r="L105" s="68"/>
      <c r="M105" s="68"/>
      <c r="N105" s="29"/>
    </row>
    <row r="106" spans="1:20" s="58" customFormat="1" ht="15.75" customHeight="1" x14ac:dyDescent="0.3">
      <c r="A106" s="69">
        <f>A105+1</f>
        <v>4</v>
      </c>
      <c r="B106" s="70"/>
      <c r="C106" s="55" t="s">
        <v>205</v>
      </c>
      <c r="D106" s="61">
        <f>(78.13)*(10.764)</f>
        <v>840.99131999999986</v>
      </c>
      <c r="E106" s="61">
        <f>(2.09*1.06)*(10.764)</f>
        <v>23.846565599999998</v>
      </c>
      <c r="F106" s="56">
        <f t="shared" si="1"/>
        <v>864.83788559999982</v>
      </c>
      <c r="G106" s="57">
        <v>0</v>
      </c>
      <c r="H106" s="56">
        <f t="shared" si="2"/>
        <v>1297.2568283999997</v>
      </c>
      <c r="I106" s="29"/>
      <c r="L106" s="68"/>
      <c r="M106" s="68"/>
      <c r="N106" s="29"/>
      <c r="T106" s="7"/>
    </row>
    <row r="107" spans="1:20" s="58" customFormat="1" ht="15.75" customHeight="1" x14ac:dyDescent="0.3">
      <c r="A107" s="69">
        <f>A106+1</f>
        <v>5</v>
      </c>
      <c r="B107" s="70"/>
      <c r="C107" s="55" t="s">
        <v>205</v>
      </c>
      <c r="D107" s="61">
        <f>(75.04)*(10.764)</f>
        <v>807.73055999999997</v>
      </c>
      <c r="E107" s="61">
        <f>(2.34*0.91)*(10.764)</f>
        <v>22.920861599999999</v>
      </c>
      <c r="F107" s="56">
        <f t="shared" si="1"/>
        <v>830.65142159999994</v>
      </c>
      <c r="G107" s="57">
        <v>0</v>
      </c>
      <c r="H107" s="56">
        <f t="shared" si="2"/>
        <v>1245.9771323999998</v>
      </c>
      <c r="I107" s="29"/>
      <c r="L107" s="68"/>
      <c r="M107" s="68"/>
      <c r="N107" s="29"/>
    </row>
    <row r="108" spans="1:20" s="58" customFormat="1" ht="15.75" customHeight="1" x14ac:dyDescent="0.3">
      <c r="A108" s="69">
        <f>A107+1</f>
        <v>6</v>
      </c>
      <c r="B108" s="70"/>
      <c r="C108" s="55" t="s">
        <v>205</v>
      </c>
      <c r="D108" s="61">
        <f>(78.36)*(10.764)</f>
        <v>843.46704</v>
      </c>
      <c r="E108" s="61">
        <f>(2.31*0.91)*(10.764)</f>
        <v>22.627004400000001</v>
      </c>
      <c r="F108" s="56">
        <f t="shared" si="1"/>
        <v>866.09404440000003</v>
      </c>
      <c r="G108" s="57">
        <v>0</v>
      </c>
      <c r="H108" s="56">
        <f t="shared" si="2"/>
        <v>1299.1410666000002</v>
      </c>
      <c r="I108" s="29"/>
      <c r="L108" s="68"/>
      <c r="M108" s="68"/>
      <c r="N108" s="29"/>
      <c r="T108" s="7"/>
    </row>
    <row r="109" spans="1:20" s="58" customFormat="1" x14ac:dyDescent="0.3">
      <c r="A109" s="87" t="s">
        <v>226</v>
      </c>
      <c r="B109" s="88"/>
      <c r="C109" s="88"/>
      <c r="D109" s="88"/>
      <c r="E109" s="88"/>
      <c r="F109" s="88"/>
      <c r="G109" s="88"/>
      <c r="H109" s="89"/>
      <c r="I109" s="62">
        <v>22</v>
      </c>
      <c r="J109" s="29"/>
      <c r="T109" s="1"/>
    </row>
    <row r="110" spans="1:20" s="58" customFormat="1" ht="15.75" customHeight="1" x14ac:dyDescent="0.3">
      <c r="A110" s="69">
        <v>1</v>
      </c>
      <c r="B110" s="70"/>
      <c r="C110" s="55" t="s">
        <v>149</v>
      </c>
      <c r="D110" s="61">
        <f>(103.15)*(10.764)</f>
        <v>1110.3065999999999</v>
      </c>
      <c r="E110" s="61">
        <f>(3.93*1.2+2.21*1.05)*(10.764)</f>
        <v>75.740886000000003</v>
      </c>
      <c r="F110" s="56">
        <f t="shared" ref="F110:F115" si="3">D110+E110</f>
        <v>1186.0474859999999</v>
      </c>
      <c r="G110" s="57">
        <v>0</v>
      </c>
      <c r="H110" s="56">
        <f t="shared" ref="H110:H115" si="4">F110*(($H$97)+1)+(IF(G110&lt;101,G110,IF(G110&lt;201,G110/2,IF(G110&lt;=301,G110/3,G110/4))))</f>
        <v>1779.0712289999999</v>
      </c>
      <c r="I110" s="60">
        <f>3.01*3.93+2.19*3.5+4.11*3.05+2.49*1.56+4.11*3.35+2.39*1.52+3.2*3.36+2.19*1.24+2.19*1.22+2.19*2.39+2.81*4.54+0.91*4.47+1.52*1.71+0.91*1.33+2.39*1.13</f>
        <v>98.024300000000011</v>
      </c>
      <c r="L110" s="68"/>
      <c r="M110" s="68"/>
      <c r="N110" s="29"/>
    </row>
    <row r="111" spans="1:20" s="58" customFormat="1" ht="15.75" customHeight="1" x14ac:dyDescent="0.3">
      <c r="A111" s="69">
        <f>A110+1</f>
        <v>2</v>
      </c>
      <c r="B111" s="70"/>
      <c r="C111" s="55" t="s">
        <v>149</v>
      </c>
      <c r="D111" s="61">
        <f>(104.33)*(10.764)</f>
        <v>1123.00812</v>
      </c>
      <c r="E111" s="61">
        <f>(3.93*1.2)*(10.764)</f>
        <v>50.763024000000001</v>
      </c>
      <c r="F111" s="56">
        <f t="shared" si="3"/>
        <v>1173.771144</v>
      </c>
      <c r="G111" s="57">
        <v>0</v>
      </c>
      <c r="H111" s="56">
        <f t="shared" si="4"/>
        <v>1760.656716</v>
      </c>
      <c r="I111" s="29"/>
      <c r="L111" s="68"/>
      <c r="M111" s="68"/>
      <c r="N111" s="29"/>
    </row>
    <row r="112" spans="1:20" s="58" customFormat="1" ht="15.75" customHeight="1" x14ac:dyDescent="0.3">
      <c r="A112" s="69">
        <f>A111+1</f>
        <v>3</v>
      </c>
      <c r="B112" s="70"/>
      <c r="C112" s="55" t="s">
        <v>205</v>
      </c>
      <c r="D112" s="61">
        <f>(77.75)*(10.764)</f>
        <v>836.90099999999995</v>
      </c>
      <c r="E112" s="61">
        <f>(2.09*1.06)*(10.764)</f>
        <v>23.846565599999998</v>
      </c>
      <c r="F112" s="56">
        <f t="shared" si="3"/>
        <v>860.74756559999992</v>
      </c>
      <c r="G112" s="57">
        <v>0</v>
      </c>
      <c r="H112" s="56">
        <f t="shared" si="4"/>
        <v>1291.1213484</v>
      </c>
      <c r="I112" s="60">
        <f>3.68*4.12+2.44*3.1+3.05*3.24+2.04*1.22+3.6*3.2+1.52*1.02+1.32*1.43+1.43*1.22+2.44*1.99+0.91*0.87+0.91*1.36+1.53*0.91+0.66*2.75+0.91*1.22+2.64*0.91+3.68*2.09+1.13*1.85</f>
        <v>75.18549999999999</v>
      </c>
      <c r="L112" s="68"/>
      <c r="M112" s="68"/>
      <c r="N112" s="29"/>
    </row>
    <row r="113" spans="1:20" s="58" customFormat="1" ht="15.75" customHeight="1" x14ac:dyDescent="0.3">
      <c r="A113" s="69">
        <f>A112+1</f>
        <v>4</v>
      </c>
      <c r="B113" s="70"/>
      <c r="C113" s="55" t="s">
        <v>205</v>
      </c>
      <c r="D113" s="61">
        <f>(78.13)*(10.764)</f>
        <v>840.99131999999986</v>
      </c>
      <c r="E113" s="61">
        <f>(2.09*1.06)*(10.764)</f>
        <v>23.846565599999998</v>
      </c>
      <c r="F113" s="56">
        <f t="shared" si="3"/>
        <v>864.83788559999982</v>
      </c>
      <c r="G113" s="57">
        <v>0</v>
      </c>
      <c r="H113" s="56">
        <f t="shared" si="4"/>
        <v>1297.2568283999997</v>
      </c>
      <c r="I113" s="29"/>
      <c r="L113" s="68"/>
      <c r="M113" s="68"/>
      <c r="N113" s="29"/>
      <c r="T113" s="7"/>
    </row>
    <row r="114" spans="1:20" s="58" customFormat="1" ht="15.75" customHeight="1" x14ac:dyDescent="0.3">
      <c r="A114" s="69">
        <f>A113+1</f>
        <v>5</v>
      </c>
      <c r="B114" s="70"/>
      <c r="C114" s="55" t="s">
        <v>205</v>
      </c>
      <c r="D114" s="61">
        <f>(75.04)*(10.764)</f>
        <v>807.73055999999997</v>
      </c>
      <c r="E114" s="61">
        <f>(2.34*0.91)*(10.764)</f>
        <v>22.920861599999999</v>
      </c>
      <c r="F114" s="56">
        <f t="shared" si="3"/>
        <v>830.65142159999994</v>
      </c>
      <c r="G114" s="57">
        <v>0</v>
      </c>
      <c r="H114" s="56">
        <f t="shared" si="4"/>
        <v>1245.9771323999998</v>
      </c>
      <c r="I114" s="29"/>
      <c r="L114" s="68"/>
      <c r="M114" s="68"/>
      <c r="N114" s="29"/>
    </row>
    <row r="115" spans="1:20" s="58" customFormat="1" ht="15.75" customHeight="1" x14ac:dyDescent="0.3">
      <c r="A115" s="69">
        <f>A114+1</f>
        <v>6</v>
      </c>
      <c r="B115" s="70"/>
      <c r="C115" s="55" t="s">
        <v>205</v>
      </c>
      <c r="D115" s="61">
        <f>(78.36)*(10.764)</f>
        <v>843.46704</v>
      </c>
      <c r="E115" s="61">
        <f>(2.31*0.91)*(10.764)</f>
        <v>22.627004400000001</v>
      </c>
      <c r="F115" s="56">
        <f t="shared" si="3"/>
        <v>866.09404440000003</v>
      </c>
      <c r="G115" s="57">
        <v>0</v>
      </c>
      <c r="H115" s="56">
        <f t="shared" si="4"/>
        <v>1299.1410666000002</v>
      </c>
      <c r="I115" s="29"/>
      <c r="L115" s="68"/>
      <c r="M115" s="68"/>
      <c r="N115" s="29"/>
      <c r="T115" s="7"/>
    </row>
    <row r="116" spans="1:20" s="58" customFormat="1" x14ac:dyDescent="0.3">
      <c r="A116" s="87" t="s">
        <v>227</v>
      </c>
      <c r="B116" s="88"/>
      <c r="C116" s="88"/>
      <c r="D116" s="88"/>
      <c r="E116" s="88"/>
      <c r="F116" s="88"/>
      <c r="G116" s="88"/>
      <c r="H116" s="89"/>
      <c r="I116" s="62">
        <v>4</v>
      </c>
      <c r="J116" s="29"/>
      <c r="T116" s="1"/>
    </row>
    <row r="117" spans="1:20" s="58" customFormat="1" ht="15.75" customHeight="1" x14ac:dyDescent="0.3">
      <c r="A117" s="69">
        <v>1</v>
      </c>
      <c r="B117" s="70"/>
      <c r="C117" s="55" t="s">
        <v>149</v>
      </c>
      <c r="D117" s="61">
        <f>(103.15)*(10.764)</f>
        <v>1110.3065999999999</v>
      </c>
      <c r="E117" s="61">
        <f>(3.93*1.2+2.21*1.05)*(10.764)</f>
        <v>75.740886000000003</v>
      </c>
      <c r="F117" s="56">
        <f>D117+E117</f>
        <v>1186.0474859999999</v>
      </c>
      <c r="G117" s="57">
        <v>0</v>
      </c>
      <c r="H117" s="56">
        <f t="shared" ref="H117:H122" si="5">F117*(($H$97)+1)+(IF(G117&lt;101,G117,IF(G117&lt;201,G117/2,IF(G117&lt;=301,G117/3,G117/4))))</f>
        <v>1779.0712289999999</v>
      </c>
      <c r="I117" s="60">
        <f>3.01*3.93+2.19*3.5+4.11*3.05+2.49*1.56+4.11*3.35+2.39*1.52+3.2*3.36+2.19*1.24+2.19*1.22+2.19*2.39+2.81*4.54+0.91*4.47+1.52*1.71+0.91*1.33+2.39*1.13</f>
        <v>98.024300000000011</v>
      </c>
      <c r="L117" s="68"/>
      <c r="M117" s="68"/>
      <c r="N117" s="29"/>
    </row>
    <row r="118" spans="1:20" s="58" customFormat="1" ht="15.75" customHeight="1" x14ac:dyDescent="0.3">
      <c r="A118" s="69">
        <f>A117+1</f>
        <v>2</v>
      </c>
      <c r="B118" s="70"/>
      <c r="C118" s="55" t="s">
        <v>149</v>
      </c>
      <c r="D118" s="61">
        <f>(104.33)*(10.764)</f>
        <v>1123.00812</v>
      </c>
      <c r="E118" s="61">
        <f>(3.93*1.2)*(10.764)</f>
        <v>50.763024000000001</v>
      </c>
      <c r="F118" s="56">
        <f>D118+E118</f>
        <v>1173.771144</v>
      </c>
      <c r="G118" s="57">
        <v>0</v>
      </c>
      <c r="H118" s="56">
        <f t="shared" si="5"/>
        <v>1760.656716</v>
      </c>
      <c r="I118" s="29"/>
      <c r="L118" s="68"/>
      <c r="M118" s="68"/>
      <c r="N118" s="29"/>
    </row>
    <row r="119" spans="1:20" s="58" customFormat="1" ht="15.75" customHeight="1" x14ac:dyDescent="0.3">
      <c r="A119" s="69">
        <f>A118+1</f>
        <v>3</v>
      </c>
      <c r="B119" s="70"/>
      <c r="C119" s="55" t="s">
        <v>205</v>
      </c>
      <c r="D119" s="61">
        <f>(84.04)*(10.764)</f>
        <v>904.60656000000006</v>
      </c>
      <c r="E119" s="61">
        <f>(2.09*1.06)*(10.764)</f>
        <v>23.846565599999998</v>
      </c>
      <c r="F119" s="56">
        <f>D119+E119</f>
        <v>928.45312560000002</v>
      </c>
      <c r="G119" s="57">
        <v>0</v>
      </c>
      <c r="H119" s="56">
        <f t="shared" si="5"/>
        <v>1392.6796884</v>
      </c>
      <c r="I119" s="60">
        <f>3.68*4.12+2.06*3.05+2.44*3.1+3.05*3.24+2.04*1.22+3.6*3.2+1.52*1.02+1.32*1.43+1.43*1.22+2.44*1.99+3.69*2.09+0.91*0.87+0.91*1.36+1.53*0.91+0.66*2.75+0.91*1.22+2.64*0.91+1.13*1.85</f>
        <v>81.489400000000018</v>
      </c>
      <c r="L119" s="68"/>
      <c r="M119" s="68"/>
      <c r="N119" s="29"/>
    </row>
    <row r="120" spans="1:20" s="58" customFormat="1" ht="15.75" customHeight="1" x14ac:dyDescent="0.3">
      <c r="A120" s="69" t="s">
        <v>236</v>
      </c>
      <c r="B120" s="70"/>
      <c r="C120" s="159" t="s">
        <v>237</v>
      </c>
      <c r="D120" s="160"/>
      <c r="E120" s="160"/>
      <c r="F120" s="160"/>
      <c r="G120" s="160"/>
      <c r="H120" s="161"/>
      <c r="I120" s="60">
        <f>3.68*4.12+2.06*3.05+2.44*3.1+3.05*3.24+2.04*1.22+3.6*3.2+1.52*1.02+1.32*1.43+1.43*1.22+2.44*1.99+3.69*2.09+0.91*0.87+0.91*1.36+1.53*0.91+0.66*2.75+0.91*1.22+2.64*0.91+1.13*1.85</f>
        <v>81.489400000000018</v>
      </c>
      <c r="L120" s="68"/>
      <c r="M120" s="68"/>
      <c r="N120" s="29"/>
    </row>
    <row r="121" spans="1:20" s="58" customFormat="1" ht="15.75" customHeight="1" x14ac:dyDescent="0.3">
      <c r="A121" s="69" t="s">
        <v>236</v>
      </c>
      <c r="B121" s="70"/>
      <c r="C121" s="162"/>
      <c r="D121" s="163"/>
      <c r="E121" s="163"/>
      <c r="F121" s="163"/>
      <c r="G121" s="163"/>
      <c r="H121" s="164"/>
      <c r="I121" s="60">
        <f>3.68*4.12+2.06*3.05+2.44*3.1+3.05*3.24+2.04*1.22+3.6*3.2+1.52*1.02+1.32*1.43+1.43*1.22+2.44*1.99+3.69*2.09+0.91*0.87+0.91*1.36+1.53*0.91+0.66*2.75+0.91*1.22+2.64*0.91+1.13*1.85</f>
        <v>81.489400000000018</v>
      </c>
      <c r="L121" s="68"/>
      <c r="M121" s="68"/>
      <c r="N121" s="29"/>
    </row>
    <row r="122" spans="1:20" s="58" customFormat="1" ht="15.75" customHeight="1" x14ac:dyDescent="0.3">
      <c r="A122" s="69">
        <f>A119+1</f>
        <v>4</v>
      </c>
      <c r="B122" s="70"/>
      <c r="C122" s="55" t="s">
        <v>205</v>
      </c>
      <c r="D122" s="61">
        <f>(84.64)*(10.764)</f>
        <v>911.06495999999993</v>
      </c>
      <c r="E122" s="61">
        <f>(2.31*0.91)*(10.764)</f>
        <v>22.627004400000001</v>
      </c>
      <c r="F122" s="56">
        <f>D122+E122</f>
        <v>933.69196439999996</v>
      </c>
      <c r="G122" s="57">
        <v>0</v>
      </c>
      <c r="H122" s="56">
        <f t="shared" si="5"/>
        <v>1400.5379465999999</v>
      </c>
      <c r="I122" s="29"/>
      <c r="L122" s="68"/>
      <c r="M122" s="68"/>
      <c r="N122" s="29"/>
      <c r="T122" s="7"/>
    </row>
    <row r="123" spans="1:20" s="58" customFormat="1" x14ac:dyDescent="0.3">
      <c r="A123" s="158" t="s">
        <v>238</v>
      </c>
      <c r="B123" s="158"/>
      <c r="C123" s="158"/>
      <c r="D123" s="158"/>
      <c r="E123" s="158"/>
      <c r="F123" s="158"/>
      <c r="G123" s="158"/>
      <c r="H123" s="158"/>
      <c r="I123" s="62">
        <v>4</v>
      </c>
      <c r="J123" s="29"/>
      <c r="T123" s="1"/>
    </row>
    <row r="124" spans="1:20" s="1" customFormat="1" x14ac:dyDescent="0.3">
      <c r="A124" s="130" t="s">
        <v>75</v>
      </c>
      <c r="B124" s="130"/>
      <c r="C124" s="130"/>
      <c r="D124" s="130"/>
      <c r="E124" s="130"/>
      <c r="F124" s="130"/>
      <c r="G124" s="130"/>
      <c r="H124" s="130"/>
    </row>
    <row r="125" spans="1:20" s="1" customFormat="1" x14ac:dyDescent="0.3">
      <c r="A125" s="41">
        <v>1</v>
      </c>
      <c r="B125" s="95" t="s">
        <v>216</v>
      </c>
      <c r="C125" s="95"/>
      <c r="D125" s="95"/>
      <c r="E125" s="95"/>
      <c r="F125" s="95"/>
      <c r="G125" s="95"/>
      <c r="H125" s="95"/>
    </row>
    <row r="126" spans="1:20" s="1" customFormat="1" x14ac:dyDescent="0.3">
      <c r="A126" s="41">
        <f>A125+1</f>
        <v>2</v>
      </c>
      <c r="B126" s="95" t="s">
        <v>196</v>
      </c>
      <c r="C126" s="95"/>
      <c r="D126" s="95"/>
      <c r="E126" s="95"/>
      <c r="F126" s="95"/>
      <c r="G126" s="95"/>
      <c r="H126" s="95"/>
    </row>
    <row r="127" spans="1:20" s="1" customFormat="1" x14ac:dyDescent="0.3">
      <c r="A127" s="41">
        <f t="shared" ref="A127:A133" si="6">A126+1</f>
        <v>3</v>
      </c>
      <c r="B127" s="95" t="s">
        <v>161</v>
      </c>
      <c r="C127" s="95"/>
      <c r="D127" s="95"/>
      <c r="E127" s="95"/>
      <c r="F127" s="95"/>
      <c r="G127" s="95"/>
      <c r="H127" s="95"/>
    </row>
    <row r="128" spans="1:20" s="65" customFormat="1" x14ac:dyDescent="0.3">
      <c r="A128" s="41">
        <f t="shared" si="6"/>
        <v>4</v>
      </c>
      <c r="B128" s="95" t="s">
        <v>231</v>
      </c>
      <c r="C128" s="95"/>
      <c r="D128" s="95"/>
      <c r="E128" s="95"/>
      <c r="F128" s="95"/>
      <c r="G128" s="95"/>
      <c r="H128" s="95"/>
    </row>
    <row r="129" spans="1:8" s="1" customFormat="1" x14ac:dyDescent="0.3">
      <c r="A129" s="41">
        <f t="shared" si="6"/>
        <v>5</v>
      </c>
      <c r="B129" s="95" t="s">
        <v>162</v>
      </c>
      <c r="C129" s="95"/>
      <c r="D129" s="95"/>
      <c r="E129" s="95"/>
      <c r="F129" s="95"/>
      <c r="G129" s="95"/>
      <c r="H129" s="95"/>
    </row>
    <row r="130" spans="1:8" s="1" customFormat="1" x14ac:dyDescent="0.3">
      <c r="A130" s="46">
        <f t="shared" si="6"/>
        <v>6</v>
      </c>
      <c r="B130" s="112" t="s">
        <v>163</v>
      </c>
      <c r="C130" s="112"/>
      <c r="D130" s="112"/>
      <c r="E130" s="112"/>
      <c r="F130" s="112"/>
      <c r="G130" s="112"/>
      <c r="H130" s="112"/>
    </row>
    <row r="131" spans="1:8" s="1" customFormat="1" x14ac:dyDescent="0.3">
      <c r="A131" s="46">
        <f t="shared" si="6"/>
        <v>7</v>
      </c>
      <c r="B131" s="112" t="s">
        <v>235</v>
      </c>
      <c r="C131" s="112"/>
      <c r="D131" s="112"/>
      <c r="E131" s="112"/>
      <c r="F131" s="112"/>
      <c r="G131" s="112"/>
      <c r="H131" s="112"/>
    </row>
    <row r="132" spans="1:8" s="1" customFormat="1" ht="15.75" customHeight="1" x14ac:dyDescent="0.3">
      <c r="A132" s="46">
        <f t="shared" si="6"/>
        <v>8</v>
      </c>
      <c r="B132" s="114" t="s">
        <v>215</v>
      </c>
      <c r="C132" s="115"/>
      <c r="D132" s="115"/>
      <c r="E132" s="115"/>
      <c r="F132" s="115"/>
      <c r="G132" s="115"/>
      <c r="H132" s="116"/>
    </row>
    <row r="133" spans="1:8" ht="31.2" customHeight="1" x14ac:dyDescent="0.3">
      <c r="A133" s="174">
        <f t="shared" si="6"/>
        <v>9</v>
      </c>
      <c r="B133" s="171" t="s">
        <v>239</v>
      </c>
      <c r="C133" s="172"/>
      <c r="D133" s="172"/>
      <c r="E133" s="172"/>
      <c r="F133" s="172"/>
      <c r="G133" s="172"/>
      <c r="H133" s="173"/>
    </row>
    <row r="134" spans="1:8" x14ac:dyDescent="0.3">
      <c r="A134" s="113" t="s">
        <v>68</v>
      </c>
      <c r="B134" s="113"/>
      <c r="C134" s="113"/>
      <c r="D134" s="113"/>
      <c r="E134" s="113"/>
      <c r="F134" s="113"/>
      <c r="G134" s="113"/>
      <c r="H134" s="113"/>
    </row>
    <row r="135" spans="1:8" ht="15.75" customHeight="1" x14ac:dyDescent="0.3">
      <c r="A135" s="94" t="s">
        <v>69</v>
      </c>
      <c r="B135" s="94"/>
      <c r="C135" s="94"/>
      <c r="D135" s="94"/>
      <c r="E135" s="94"/>
      <c r="F135" s="94"/>
      <c r="G135" s="94"/>
      <c r="H135" s="94"/>
    </row>
    <row r="136" spans="1:8" x14ac:dyDescent="0.3">
      <c r="A136" s="111" t="s">
        <v>70</v>
      </c>
      <c r="B136" s="111"/>
      <c r="C136" s="111"/>
      <c r="D136" s="111"/>
      <c r="E136" s="111"/>
      <c r="F136" s="111"/>
      <c r="G136" s="111"/>
      <c r="H136" s="111"/>
    </row>
    <row r="137" spans="1:8" x14ac:dyDescent="0.3">
      <c r="A137" s="94" t="s">
        <v>71</v>
      </c>
      <c r="B137" s="94"/>
      <c r="C137" s="94"/>
      <c r="D137" s="94"/>
      <c r="E137" s="94"/>
      <c r="F137" s="94"/>
      <c r="G137" s="94"/>
      <c r="H137" s="94"/>
    </row>
    <row r="138" spans="1:8" x14ac:dyDescent="0.3">
      <c r="A138" s="94" t="s">
        <v>72</v>
      </c>
      <c r="B138" s="94"/>
      <c r="C138" s="94"/>
      <c r="D138" s="94"/>
      <c r="E138" s="94"/>
      <c r="F138" s="94"/>
      <c r="G138" s="94"/>
      <c r="H138" s="94"/>
    </row>
    <row r="139" spans="1:8" x14ac:dyDescent="0.3">
      <c r="A139" s="94" t="s">
        <v>164</v>
      </c>
      <c r="B139" s="94"/>
      <c r="C139" s="94"/>
      <c r="D139" s="94"/>
      <c r="E139" s="94"/>
      <c r="F139" s="94"/>
      <c r="G139" s="94"/>
      <c r="H139" s="94"/>
    </row>
    <row r="140" spans="1:8" x14ac:dyDescent="0.3">
      <c r="A140" s="90" t="s">
        <v>165</v>
      </c>
      <c r="B140" s="90"/>
      <c r="C140" s="90"/>
      <c r="D140" s="90"/>
      <c r="E140" s="90"/>
      <c r="F140" s="90"/>
      <c r="G140" s="90"/>
      <c r="H140" s="90"/>
    </row>
    <row r="141" spans="1:8" x14ac:dyDescent="0.3">
      <c r="A141" s="129" t="s">
        <v>107</v>
      </c>
      <c r="B141" s="129"/>
      <c r="C141" s="129" t="s">
        <v>209</v>
      </c>
      <c r="D141" s="129"/>
      <c r="E141" s="129" t="s">
        <v>142</v>
      </c>
      <c r="F141" s="129"/>
      <c r="G141" s="129" t="s">
        <v>240</v>
      </c>
      <c r="H141" s="129"/>
    </row>
    <row r="142" spans="1:8" x14ac:dyDescent="0.3">
      <c r="A142" s="128" t="s">
        <v>109</v>
      </c>
      <c r="B142" s="128"/>
      <c r="C142" s="128"/>
      <c r="D142" s="128"/>
      <c r="E142" s="128"/>
      <c r="F142" s="128"/>
      <c r="G142" s="128"/>
      <c r="H142" s="128"/>
    </row>
    <row r="143" spans="1:8" x14ac:dyDescent="0.3">
      <c r="A143" s="128"/>
      <c r="B143" s="128"/>
      <c r="C143" s="128"/>
      <c r="D143" s="128"/>
      <c r="E143" s="128"/>
      <c r="F143" s="128"/>
      <c r="G143" s="128"/>
      <c r="H143" s="128"/>
    </row>
    <row r="144" spans="1:8" x14ac:dyDescent="0.3">
      <c r="A144" s="128"/>
      <c r="B144" s="128"/>
      <c r="C144" s="128"/>
      <c r="D144" s="128"/>
      <c r="E144" s="128"/>
      <c r="F144" s="128"/>
      <c r="G144" s="128"/>
      <c r="H144" s="128"/>
    </row>
    <row r="145" spans="1:8" x14ac:dyDescent="0.3">
      <c r="A145" s="128"/>
      <c r="B145" s="128"/>
      <c r="C145" s="128"/>
      <c r="D145" s="128"/>
      <c r="E145" s="128"/>
      <c r="F145" s="128"/>
      <c r="G145" s="128"/>
      <c r="H145" s="128"/>
    </row>
    <row r="146" spans="1:8" x14ac:dyDescent="0.3">
      <c r="A146" s="52" t="s">
        <v>73</v>
      </c>
      <c r="B146" s="53"/>
      <c r="C146" s="53"/>
      <c r="D146" s="52" t="str">
        <f>E8</f>
        <v>Lifescapes Shubham</v>
      </c>
      <c r="F146" s="53"/>
      <c r="G146" s="53"/>
      <c r="H146" s="53"/>
    </row>
    <row r="147" spans="1:8" x14ac:dyDescent="0.3">
      <c r="A147" s="53"/>
      <c r="B147" s="53"/>
      <c r="C147" s="53"/>
      <c r="D147" s="53"/>
      <c r="E147" s="53"/>
      <c r="F147" s="53"/>
      <c r="G147" s="53"/>
      <c r="H147" s="53"/>
    </row>
    <row r="148" spans="1:8" ht="15" customHeight="1" x14ac:dyDescent="0.3">
      <c r="A148" s="53"/>
      <c r="B148" s="53"/>
      <c r="C148" s="53"/>
      <c r="D148" s="53"/>
      <c r="E148" s="53"/>
      <c r="F148" s="53"/>
      <c r="G148" s="53"/>
      <c r="H148" s="53"/>
    </row>
    <row r="157" spans="1:8" x14ac:dyDescent="0.3">
      <c r="G157"/>
    </row>
    <row r="161" spans="4:4" x14ac:dyDescent="0.3">
      <c r="D161"/>
    </row>
    <row r="181" spans="1:1" hidden="1" x14ac:dyDescent="0.3"/>
    <row r="182" spans="1:1" hidden="1" x14ac:dyDescent="0.3"/>
    <row r="183" spans="1:1" hidden="1" x14ac:dyDescent="0.3"/>
    <row r="184" spans="1:1" hidden="1" x14ac:dyDescent="0.3"/>
    <row r="185" spans="1:1" hidden="1" x14ac:dyDescent="0.3"/>
    <row r="186" spans="1:1" hidden="1" x14ac:dyDescent="0.3"/>
    <row r="189" spans="1:1" x14ac:dyDescent="0.3">
      <c r="A189" s="54" t="s">
        <v>230</v>
      </c>
    </row>
    <row r="232" spans="1:1" x14ac:dyDescent="0.3">
      <c r="A232" s="54" t="s">
        <v>74</v>
      </c>
    </row>
  </sheetData>
  <mergeCells count="271">
    <mergeCell ref="L122:M122"/>
    <mergeCell ref="L111:M111"/>
    <mergeCell ref="L112:M112"/>
    <mergeCell ref="L113:M113"/>
    <mergeCell ref="B133:H133"/>
    <mergeCell ref="L120:M120"/>
    <mergeCell ref="A121:B121"/>
    <mergeCell ref="L121:M121"/>
    <mergeCell ref="C120:H121"/>
    <mergeCell ref="A82:E82"/>
    <mergeCell ref="F82:H82"/>
    <mergeCell ref="A83:E83"/>
    <mergeCell ref="A85:E85"/>
    <mergeCell ref="A95:H95"/>
    <mergeCell ref="A96:A97"/>
    <mergeCell ref="B96:B97"/>
    <mergeCell ref="A106:B106"/>
    <mergeCell ref="L107:M107"/>
    <mergeCell ref="L108:M108"/>
    <mergeCell ref="L110:M110"/>
    <mergeCell ref="L117:M117"/>
    <mergeCell ref="L118:M118"/>
    <mergeCell ref="L119:M119"/>
    <mergeCell ref="F79:H79"/>
    <mergeCell ref="A84:E84"/>
    <mergeCell ref="F83:H83"/>
    <mergeCell ref="A81:E81"/>
    <mergeCell ref="F81:H81"/>
    <mergeCell ref="F86:H86"/>
    <mergeCell ref="A80:E80"/>
    <mergeCell ref="F80:H80"/>
    <mergeCell ref="F87:H87"/>
    <mergeCell ref="F85:H85"/>
    <mergeCell ref="A86:E86"/>
    <mergeCell ref="F84:H84"/>
    <mergeCell ref="A70:B70"/>
    <mergeCell ref="A69:B69"/>
    <mergeCell ref="A62:B62"/>
    <mergeCell ref="A65:B65"/>
    <mergeCell ref="A58:C58"/>
    <mergeCell ref="D58:H58"/>
    <mergeCell ref="A63:B63"/>
    <mergeCell ref="G62:H62"/>
    <mergeCell ref="A61:B61"/>
    <mergeCell ref="A59:B59"/>
    <mergeCell ref="C59:H59"/>
    <mergeCell ref="A67:B67"/>
    <mergeCell ref="E63:F72"/>
    <mergeCell ref="A34:H34"/>
    <mergeCell ref="A33:B33"/>
    <mergeCell ref="C33:E33"/>
    <mergeCell ref="A38:D38"/>
    <mergeCell ref="E38:H38"/>
    <mergeCell ref="F30:H30"/>
    <mergeCell ref="F31:H31"/>
    <mergeCell ref="A37:H37"/>
    <mergeCell ref="A55:C55"/>
    <mergeCell ref="F33:H33"/>
    <mergeCell ref="A35:B35"/>
    <mergeCell ref="E35:F35"/>
    <mergeCell ref="C35:D35"/>
    <mergeCell ref="G35:H35"/>
    <mergeCell ref="A41:D41"/>
    <mergeCell ref="A42:D42"/>
    <mergeCell ref="A43:D43"/>
    <mergeCell ref="A44:H44"/>
    <mergeCell ref="D53:H53"/>
    <mergeCell ref="A53:C53"/>
    <mergeCell ref="G46:H46"/>
    <mergeCell ref="A47:B48"/>
    <mergeCell ref="A54:C54"/>
    <mergeCell ref="D54:H54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A29:B29"/>
    <mergeCell ref="C30:E30"/>
    <mergeCell ref="A31:B31"/>
    <mergeCell ref="C31:E31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42:H145"/>
    <mergeCell ref="A141:B141"/>
    <mergeCell ref="E141:F141"/>
    <mergeCell ref="C141:D141"/>
    <mergeCell ref="G141:H141"/>
    <mergeCell ref="A88:E88"/>
    <mergeCell ref="F88:H88"/>
    <mergeCell ref="A89:E89"/>
    <mergeCell ref="F89:H89"/>
    <mergeCell ref="A137:H137"/>
    <mergeCell ref="A140:H140"/>
    <mergeCell ref="A138:H138"/>
    <mergeCell ref="A124:H124"/>
    <mergeCell ref="A90:H90"/>
    <mergeCell ref="A123:H123"/>
    <mergeCell ref="A120:B120"/>
    <mergeCell ref="F77:H77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A74:H74"/>
    <mergeCell ref="A75:B75"/>
    <mergeCell ref="A76:H76"/>
    <mergeCell ref="G63:H72"/>
    <mergeCell ref="A71:B71"/>
    <mergeCell ref="A72:B72"/>
    <mergeCell ref="A64:B64"/>
    <mergeCell ref="A66:B66"/>
    <mergeCell ref="A68:B68"/>
    <mergeCell ref="A73:E73"/>
    <mergeCell ref="F73:H73"/>
    <mergeCell ref="C75:H75"/>
    <mergeCell ref="A77:E77"/>
    <mergeCell ref="A57:C57"/>
    <mergeCell ref="A78:E78"/>
    <mergeCell ref="A87:E87"/>
    <mergeCell ref="A79:E79"/>
    <mergeCell ref="F78:H78"/>
    <mergeCell ref="A117:B117"/>
    <mergeCell ref="B128:H128"/>
    <mergeCell ref="B129:H129"/>
    <mergeCell ref="A139:H139"/>
    <mergeCell ref="A136:H136"/>
    <mergeCell ref="B131:H131"/>
    <mergeCell ref="B130:H130"/>
    <mergeCell ref="A134:H134"/>
    <mergeCell ref="A135:H135"/>
    <mergeCell ref="B132:H132"/>
    <mergeCell ref="A116:H116"/>
    <mergeCell ref="A108:B108"/>
    <mergeCell ref="A109:H109"/>
    <mergeCell ref="A110:B110"/>
    <mergeCell ref="A118:B118"/>
    <mergeCell ref="A119:B119"/>
    <mergeCell ref="A122:B122"/>
    <mergeCell ref="A112:B112"/>
    <mergeCell ref="A113:B113"/>
    <mergeCell ref="A114:B114"/>
    <mergeCell ref="J36:L36"/>
    <mergeCell ref="A36:B36"/>
    <mergeCell ref="C36:H36"/>
    <mergeCell ref="E39:H39"/>
    <mergeCell ref="A39:D39"/>
    <mergeCell ref="A45:B45"/>
    <mergeCell ref="C45:E45"/>
    <mergeCell ref="C48:E48"/>
    <mergeCell ref="D56:H56"/>
    <mergeCell ref="A40:D40"/>
    <mergeCell ref="E40:H40"/>
    <mergeCell ref="E41:H41"/>
    <mergeCell ref="E42:H42"/>
    <mergeCell ref="E43:H43"/>
    <mergeCell ref="G48:H48"/>
    <mergeCell ref="G45:H45"/>
    <mergeCell ref="G47:H47"/>
    <mergeCell ref="D55:H55"/>
    <mergeCell ref="D51:H51"/>
    <mergeCell ref="C47:E47"/>
    <mergeCell ref="D57:H57"/>
    <mergeCell ref="C61:H61"/>
    <mergeCell ref="E62:F62"/>
    <mergeCell ref="A56:C56"/>
    <mergeCell ref="B125:H125"/>
    <mergeCell ref="B126:H126"/>
    <mergeCell ref="B127:H127"/>
    <mergeCell ref="L106:M106"/>
    <mergeCell ref="A102:H102"/>
    <mergeCell ref="A93:B93"/>
    <mergeCell ref="A94:B94"/>
    <mergeCell ref="A103:B103"/>
    <mergeCell ref="C96:C97"/>
    <mergeCell ref="D96:D97"/>
    <mergeCell ref="E96:E97"/>
    <mergeCell ref="F96:F97"/>
    <mergeCell ref="G96:G97"/>
    <mergeCell ref="L103:M103"/>
    <mergeCell ref="L104:M104"/>
    <mergeCell ref="A105:B105"/>
    <mergeCell ref="L105:M105"/>
    <mergeCell ref="A104:B104"/>
    <mergeCell ref="A100:H100"/>
    <mergeCell ref="A111:B111"/>
    <mergeCell ref="L114:M114"/>
    <mergeCell ref="A115:B115"/>
    <mergeCell ref="L115:M115"/>
    <mergeCell ref="A91:B91"/>
    <mergeCell ref="C91:D91"/>
    <mergeCell ref="E91:F91"/>
    <mergeCell ref="G91:H91"/>
    <mergeCell ref="A92:B92"/>
    <mergeCell ref="C92:D92"/>
    <mergeCell ref="E92:F92"/>
    <mergeCell ref="G92:H92"/>
    <mergeCell ref="C93:D93"/>
    <mergeCell ref="E93:F93"/>
    <mergeCell ref="G93:H93"/>
    <mergeCell ref="C94:D94"/>
    <mergeCell ref="E94:F94"/>
    <mergeCell ref="G94:H94"/>
    <mergeCell ref="A98:H98"/>
    <mergeCell ref="A99:H99"/>
    <mergeCell ref="A101:H101"/>
    <mergeCell ref="A107:B107"/>
  </mergeCells>
  <dataValidations count="5">
    <dataValidation type="list" allowBlank="1" showInputMessage="1" showErrorMessage="1" sqref="D96:D97" xr:uid="{00000000-0002-0000-0000-000000000000}">
      <formula1>"Carpet area,RERA Carpet area"</formula1>
    </dataValidation>
    <dataValidation type="list" allowBlank="1" showInputMessage="1" showErrorMessage="1" sqref="H96" xr:uid="{00000000-0002-0000-0000-000001000000}">
      <formula1>"Saleable area Loading :,Builder Saleable Area"</formula1>
    </dataValidation>
    <dataValidation type="list" allowBlank="1" showInputMessage="1" showErrorMessage="1" sqref="H97" xr:uid="{00000000-0002-0000-0000-000002000000}">
      <formula1>".45,.50,.55,.60"</formula1>
    </dataValidation>
    <dataValidation type="list" allowBlank="1" showInputMessage="1" showErrorMessage="1" sqref="E96:E97" xr:uid="{00000000-0002-0000-0000-000003000000}">
      <formula1>"Fungible area,Balcony Area,Open Balcony + Dry Balcony, Chajja Area,Cornice Area,AP Area,WS Area"</formula1>
    </dataValidation>
    <dataValidation type="list" allowBlank="1" showInputMessage="1" showErrorMessage="1" sqref="B96:B97" xr:uid="{00000000-0002-0000-0000-000004000000}">
      <formula1>"Flat No. (Sale Plan),Sale / Rehab,Sale / Mhada"</formula1>
    </dataValidation>
  </dataValidations>
  <hyperlinks>
    <hyperlink ref="C36" r:id="rId1" xr:uid="{00000000-0004-0000-0000-000000000000}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&amp;P</oddFooter>
  </headerFooter>
  <rowBreaks count="4" manualBreakCount="4">
    <brk id="123" max="7" man="1"/>
    <brk id="145" max="7" man="1"/>
    <brk id="188" max="7" man="1"/>
    <brk id="231" max="7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L36"/>
  <sheetViews>
    <sheetView workbookViewId="0">
      <selection activeCell="F21" sqref="F21"/>
    </sheetView>
  </sheetViews>
  <sheetFormatPr defaultRowHeight="14.4" x14ac:dyDescent="0.3"/>
  <cols>
    <col min="2" max="2" width="12.21875" customWidth="1"/>
  </cols>
  <sheetData>
    <row r="2" spans="1:12" x14ac:dyDescent="0.3">
      <c r="B2" s="2" t="s">
        <v>76</v>
      </c>
      <c r="C2" s="168"/>
      <c r="D2" s="168"/>
    </row>
    <row r="3" spans="1:12" x14ac:dyDescent="0.3">
      <c r="D3" s="3"/>
      <c r="E3" s="3"/>
      <c r="F3" s="3"/>
      <c r="G3" s="3"/>
      <c r="H3" s="3"/>
      <c r="I3" s="3"/>
    </row>
    <row r="4" spans="1:12" x14ac:dyDescent="0.3">
      <c r="A4" s="2" t="s">
        <v>77</v>
      </c>
      <c r="B4" s="4" t="s">
        <v>78</v>
      </c>
      <c r="C4" s="169" t="s">
        <v>79</v>
      </c>
      <c r="D4" s="169"/>
      <c r="E4" s="169"/>
      <c r="F4" s="5"/>
      <c r="G4" s="169" t="s">
        <v>80</v>
      </c>
      <c r="H4" s="169"/>
      <c r="I4" s="169"/>
      <c r="J4" s="169" t="s">
        <v>81</v>
      </c>
      <c r="K4" s="169"/>
      <c r="L4" s="169"/>
    </row>
    <row r="5" spans="1:12" x14ac:dyDescent="0.3">
      <c r="A5" s="2">
        <v>202</v>
      </c>
      <c r="B5" s="4"/>
      <c r="C5" s="4" t="s">
        <v>82</v>
      </c>
      <c r="D5" s="4" t="s">
        <v>83</v>
      </c>
      <c r="E5" s="4" t="s">
        <v>63</v>
      </c>
      <c r="F5" s="4"/>
      <c r="G5" s="4" t="s">
        <v>82</v>
      </c>
      <c r="H5" s="4" t="s">
        <v>83</v>
      </c>
      <c r="I5" s="4" t="s">
        <v>63</v>
      </c>
      <c r="J5" s="4" t="s">
        <v>82</v>
      </c>
      <c r="K5" s="4" t="s">
        <v>83</v>
      </c>
      <c r="L5" s="4" t="s">
        <v>63</v>
      </c>
    </row>
    <row r="6" spans="1:12" x14ac:dyDescent="0.3">
      <c r="B6" s="6" t="s">
        <v>84</v>
      </c>
      <c r="C6" s="6"/>
      <c r="D6" s="6"/>
      <c r="E6" s="6">
        <f>C6*D6</f>
        <v>0</v>
      </c>
      <c r="F6" s="6" t="s">
        <v>85</v>
      </c>
      <c r="G6" s="6"/>
      <c r="H6" s="6"/>
      <c r="I6" s="6">
        <f>G6*H6</f>
        <v>0</v>
      </c>
      <c r="J6" s="6"/>
      <c r="K6" s="6"/>
      <c r="L6" s="6">
        <f>J6*K6</f>
        <v>0</v>
      </c>
    </row>
    <row r="7" spans="1:12" x14ac:dyDescent="0.3">
      <c r="B7" s="6"/>
      <c r="C7" s="6"/>
      <c r="D7" s="6"/>
      <c r="E7" s="6">
        <f t="shared" ref="E7:E33" si="0">C7*D7</f>
        <v>0</v>
      </c>
      <c r="F7" s="6" t="s">
        <v>86</v>
      </c>
      <c r="G7" s="6"/>
      <c r="H7" s="6"/>
      <c r="I7" s="6">
        <f t="shared" ref="I7:I29" si="1">G7*H7</f>
        <v>0</v>
      </c>
      <c r="J7" s="6"/>
      <c r="K7" s="6"/>
      <c r="L7" s="6">
        <f t="shared" ref="L7:L29" si="2">J7*K7</f>
        <v>0</v>
      </c>
    </row>
    <row r="8" spans="1:12" x14ac:dyDescent="0.3">
      <c r="B8" s="6"/>
      <c r="C8" s="6"/>
      <c r="D8" s="6"/>
      <c r="E8" s="6">
        <f t="shared" si="0"/>
        <v>0</v>
      </c>
      <c r="F8" s="6"/>
      <c r="G8" s="6"/>
      <c r="H8" s="6"/>
      <c r="I8" s="6">
        <f t="shared" si="1"/>
        <v>0</v>
      </c>
      <c r="J8" s="6"/>
      <c r="K8" s="6"/>
      <c r="L8" s="6">
        <f t="shared" si="2"/>
        <v>0</v>
      </c>
    </row>
    <row r="9" spans="1:12" x14ac:dyDescent="0.3">
      <c r="B9" s="6" t="s">
        <v>87</v>
      </c>
      <c r="C9" s="6"/>
      <c r="D9" s="6"/>
      <c r="E9" s="6">
        <f t="shared" si="0"/>
        <v>0</v>
      </c>
      <c r="F9" s="6" t="s">
        <v>85</v>
      </c>
      <c r="G9" s="6"/>
      <c r="H9" s="6"/>
      <c r="I9" s="6">
        <f t="shared" si="1"/>
        <v>0</v>
      </c>
      <c r="J9" s="6"/>
      <c r="K9" s="6"/>
      <c r="L9" s="6">
        <f t="shared" si="2"/>
        <v>0</v>
      </c>
    </row>
    <row r="10" spans="1:12" x14ac:dyDescent="0.3">
      <c r="B10" s="6"/>
      <c r="C10" s="6"/>
      <c r="D10" s="6"/>
      <c r="E10" s="6">
        <f t="shared" si="0"/>
        <v>0</v>
      </c>
      <c r="F10" s="6" t="s">
        <v>86</v>
      </c>
      <c r="G10" s="6"/>
      <c r="H10" s="6"/>
      <c r="I10" s="6">
        <f t="shared" si="1"/>
        <v>0</v>
      </c>
      <c r="J10" s="6"/>
      <c r="K10" s="6"/>
      <c r="L10" s="6">
        <f t="shared" si="2"/>
        <v>0</v>
      </c>
    </row>
    <row r="11" spans="1:12" x14ac:dyDescent="0.3">
      <c r="B11" s="6"/>
      <c r="C11" s="6"/>
      <c r="D11" s="6"/>
      <c r="E11" s="6">
        <f t="shared" si="0"/>
        <v>0</v>
      </c>
      <c r="F11" s="6"/>
      <c r="G11" s="6"/>
      <c r="H11" s="6"/>
      <c r="I11" s="6">
        <f t="shared" si="1"/>
        <v>0</v>
      </c>
      <c r="J11" s="6"/>
      <c r="K11" s="6"/>
      <c r="L11" s="6">
        <f t="shared" si="2"/>
        <v>0</v>
      </c>
    </row>
    <row r="12" spans="1:12" x14ac:dyDescent="0.3">
      <c r="B12" s="6"/>
      <c r="C12" s="6"/>
      <c r="D12" s="6"/>
      <c r="E12" s="6">
        <f t="shared" si="0"/>
        <v>0</v>
      </c>
      <c r="F12" s="6"/>
      <c r="G12" s="6"/>
      <c r="H12" s="6"/>
      <c r="I12" s="6">
        <f t="shared" si="1"/>
        <v>0</v>
      </c>
      <c r="J12" s="6"/>
      <c r="K12" s="6"/>
      <c r="L12" s="6">
        <f t="shared" si="2"/>
        <v>0</v>
      </c>
    </row>
    <row r="13" spans="1:12" x14ac:dyDescent="0.3">
      <c r="B13" s="6" t="s">
        <v>88</v>
      </c>
      <c r="C13" s="6"/>
      <c r="D13" s="6"/>
      <c r="E13" s="6">
        <f t="shared" si="0"/>
        <v>0</v>
      </c>
      <c r="F13" s="6" t="s">
        <v>85</v>
      </c>
      <c r="G13" s="6"/>
      <c r="H13" s="6"/>
      <c r="I13" s="6">
        <f t="shared" si="1"/>
        <v>0</v>
      </c>
      <c r="J13" s="6"/>
      <c r="K13" s="6"/>
      <c r="L13" s="6">
        <f t="shared" si="2"/>
        <v>0</v>
      </c>
    </row>
    <row r="14" spans="1:12" x14ac:dyDescent="0.3">
      <c r="B14" s="6"/>
      <c r="C14" s="6"/>
      <c r="D14" s="6"/>
      <c r="E14" s="6">
        <f t="shared" si="0"/>
        <v>0</v>
      </c>
      <c r="F14" s="6" t="s">
        <v>86</v>
      </c>
      <c r="G14" s="6"/>
      <c r="H14" s="6"/>
      <c r="I14" s="6">
        <f t="shared" si="1"/>
        <v>0</v>
      </c>
      <c r="J14" s="6"/>
      <c r="K14" s="6"/>
      <c r="L14" s="6">
        <f t="shared" si="2"/>
        <v>0</v>
      </c>
    </row>
    <row r="15" spans="1:12" x14ac:dyDescent="0.3">
      <c r="B15" s="6"/>
      <c r="C15" s="6"/>
      <c r="D15" s="6"/>
      <c r="E15" s="6">
        <f t="shared" si="0"/>
        <v>0</v>
      </c>
      <c r="F15" s="6"/>
      <c r="G15" s="6"/>
      <c r="H15" s="6"/>
      <c r="I15" s="6">
        <f t="shared" si="1"/>
        <v>0</v>
      </c>
      <c r="J15" s="6"/>
      <c r="K15" s="6"/>
      <c r="L15" s="6">
        <f t="shared" si="2"/>
        <v>0</v>
      </c>
    </row>
    <row r="16" spans="1:12" x14ac:dyDescent="0.3">
      <c r="B16" s="6"/>
      <c r="C16" s="6"/>
      <c r="D16" s="6"/>
      <c r="E16" s="6">
        <f t="shared" si="0"/>
        <v>0</v>
      </c>
      <c r="F16" s="6"/>
      <c r="G16" s="6"/>
      <c r="H16" s="6"/>
      <c r="I16" s="6">
        <f t="shared" si="1"/>
        <v>0</v>
      </c>
      <c r="J16" s="6"/>
      <c r="K16" s="6"/>
      <c r="L16" s="6">
        <f t="shared" si="2"/>
        <v>0</v>
      </c>
    </row>
    <row r="17" spans="2:12" x14ac:dyDescent="0.3">
      <c r="B17" s="6" t="s">
        <v>89</v>
      </c>
      <c r="C17" s="6"/>
      <c r="D17" s="6"/>
      <c r="E17" s="6">
        <f t="shared" si="0"/>
        <v>0</v>
      </c>
      <c r="F17" s="6" t="s">
        <v>85</v>
      </c>
      <c r="G17" s="6"/>
      <c r="H17" s="6"/>
      <c r="I17" s="6">
        <f t="shared" si="1"/>
        <v>0</v>
      </c>
      <c r="J17" s="6"/>
      <c r="K17" s="6"/>
      <c r="L17" s="6">
        <f t="shared" si="2"/>
        <v>0</v>
      </c>
    </row>
    <row r="18" spans="2:12" x14ac:dyDescent="0.3">
      <c r="B18" s="6"/>
      <c r="C18" s="6"/>
      <c r="D18" s="6"/>
      <c r="E18" s="6">
        <f t="shared" si="0"/>
        <v>0</v>
      </c>
      <c r="F18" s="6" t="s">
        <v>86</v>
      </c>
      <c r="G18" s="6"/>
      <c r="H18" s="6"/>
      <c r="I18" s="6">
        <f t="shared" si="1"/>
        <v>0</v>
      </c>
      <c r="J18" s="6"/>
      <c r="K18" s="6"/>
      <c r="L18" s="6">
        <f t="shared" si="2"/>
        <v>0</v>
      </c>
    </row>
    <row r="19" spans="2:12" x14ac:dyDescent="0.3">
      <c r="B19" s="6"/>
      <c r="C19" s="6"/>
      <c r="D19" s="6"/>
      <c r="E19" s="6">
        <f t="shared" si="0"/>
        <v>0</v>
      </c>
      <c r="F19" s="6"/>
      <c r="G19" s="6"/>
      <c r="H19" s="6"/>
      <c r="I19" s="6">
        <f t="shared" si="1"/>
        <v>0</v>
      </c>
      <c r="J19" s="6"/>
      <c r="K19" s="6"/>
      <c r="L19" s="6">
        <f t="shared" si="2"/>
        <v>0</v>
      </c>
    </row>
    <row r="20" spans="2:12" x14ac:dyDescent="0.3">
      <c r="B20" s="6" t="s">
        <v>89</v>
      </c>
      <c r="C20" s="6"/>
      <c r="D20" s="6"/>
      <c r="E20" s="6">
        <f t="shared" si="0"/>
        <v>0</v>
      </c>
      <c r="F20" s="6" t="s">
        <v>85</v>
      </c>
      <c r="G20" s="6"/>
      <c r="H20" s="6"/>
      <c r="I20" s="6">
        <f t="shared" si="1"/>
        <v>0</v>
      </c>
      <c r="J20" s="6"/>
      <c r="K20" s="6"/>
      <c r="L20" s="6">
        <f t="shared" si="2"/>
        <v>0</v>
      </c>
    </row>
    <row r="21" spans="2:12" x14ac:dyDescent="0.3">
      <c r="B21" s="6"/>
      <c r="C21" s="6"/>
      <c r="D21" s="6"/>
      <c r="E21" s="6">
        <f t="shared" si="0"/>
        <v>0</v>
      </c>
      <c r="F21" s="6" t="s">
        <v>86</v>
      </c>
      <c r="G21" s="6"/>
      <c r="H21" s="6"/>
      <c r="I21" s="6">
        <f t="shared" si="1"/>
        <v>0</v>
      </c>
      <c r="J21" s="6"/>
      <c r="K21" s="6"/>
      <c r="L21" s="6">
        <f t="shared" si="2"/>
        <v>0</v>
      </c>
    </row>
    <row r="22" spans="2:12" x14ac:dyDescent="0.3">
      <c r="B22" s="6"/>
      <c r="C22" s="6"/>
      <c r="D22" s="6"/>
      <c r="E22" s="6">
        <f t="shared" si="0"/>
        <v>0</v>
      </c>
      <c r="F22" s="6"/>
      <c r="G22" s="6"/>
      <c r="H22" s="6"/>
      <c r="I22" s="6">
        <f t="shared" si="1"/>
        <v>0</v>
      </c>
      <c r="J22" s="6"/>
      <c r="K22" s="6"/>
      <c r="L22" s="6">
        <f t="shared" si="2"/>
        <v>0</v>
      </c>
    </row>
    <row r="23" spans="2:12" x14ac:dyDescent="0.3">
      <c r="B23" s="6" t="s">
        <v>90</v>
      </c>
      <c r="C23" s="6"/>
      <c r="D23" s="6"/>
      <c r="E23" s="6">
        <f t="shared" si="0"/>
        <v>0</v>
      </c>
      <c r="F23" s="6" t="s">
        <v>91</v>
      </c>
      <c r="G23" s="6"/>
      <c r="H23" s="6"/>
      <c r="I23" s="6">
        <f t="shared" si="1"/>
        <v>0</v>
      </c>
      <c r="J23" s="6"/>
      <c r="K23" s="6"/>
      <c r="L23" s="6">
        <f t="shared" si="2"/>
        <v>0</v>
      </c>
    </row>
    <row r="24" spans="2:12" x14ac:dyDescent="0.3">
      <c r="B24" s="6" t="s">
        <v>92</v>
      </c>
      <c r="C24" s="6"/>
      <c r="D24" s="6"/>
      <c r="E24" s="6">
        <f t="shared" si="0"/>
        <v>0</v>
      </c>
      <c r="F24" s="6" t="s">
        <v>91</v>
      </c>
      <c r="G24" s="6"/>
      <c r="H24" s="6"/>
      <c r="I24" s="6">
        <f t="shared" si="1"/>
        <v>0</v>
      </c>
      <c r="J24" s="6"/>
      <c r="K24" s="6"/>
      <c r="L24" s="6">
        <f t="shared" si="2"/>
        <v>0</v>
      </c>
    </row>
    <row r="25" spans="2:12" x14ac:dyDescent="0.3">
      <c r="B25" s="6" t="s">
        <v>93</v>
      </c>
      <c r="C25" s="6"/>
      <c r="D25" s="6"/>
      <c r="E25" s="6">
        <f t="shared" si="0"/>
        <v>0</v>
      </c>
      <c r="F25" s="6" t="s">
        <v>91</v>
      </c>
      <c r="G25" s="6"/>
      <c r="H25" s="6"/>
      <c r="I25" s="6">
        <f t="shared" si="1"/>
        <v>0</v>
      </c>
      <c r="J25" s="6"/>
      <c r="K25" s="6"/>
      <c r="L25" s="6">
        <f t="shared" si="2"/>
        <v>0</v>
      </c>
    </row>
    <row r="26" spans="2:12" x14ac:dyDescent="0.3">
      <c r="B26" s="6"/>
      <c r="C26" s="6"/>
      <c r="D26" s="6"/>
      <c r="E26" s="6">
        <f t="shared" si="0"/>
        <v>0</v>
      </c>
      <c r="F26" s="6"/>
      <c r="G26" s="6"/>
      <c r="H26" s="6"/>
      <c r="I26" s="6">
        <f t="shared" si="1"/>
        <v>0</v>
      </c>
      <c r="J26" s="6"/>
      <c r="K26" s="6"/>
      <c r="L26" s="6">
        <f t="shared" si="2"/>
        <v>0</v>
      </c>
    </row>
    <row r="27" spans="2:12" x14ac:dyDescent="0.3">
      <c r="B27" s="6" t="s">
        <v>94</v>
      </c>
      <c r="C27" s="6"/>
      <c r="D27" s="6"/>
      <c r="E27" s="6">
        <f t="shared" si="0"/>
        <v>0</v>
      </c>
      <c r="F27" s="6"/>
      <c r="G27" s="6"/>
      <c r="H27" s="6"/>
      <c r="I27" s="6">
        <f t="shared" si="1"/>
        <v>0</v>
      </c>
      <c r="J27" s="6"/>
      <c r="K27" s="6"/>
      <c r="L27" s="6">
        <f t="shared" si="2"/>
        <v>0</v>
      </c>
    </row>
    <row r="28" spans="2:12" x14ac:dyDescent="0.3">
      <c r="B28" s="6" t="s">
        <v>95</v>
      </c>
      <c r="C28" s="6"/>
      <c r="D28" s="6"/>
      <c r="E28" s="6">
        <f t="shared" si="0"/>
        <v>0</v>
      </c>
      <c r="F28" s="6"/>
      <c r="G28" s="6"/>
      <c r="H28" s="6"/>
      <c r="I28" s="6">
        <f t="shared" si="1"/>
        <v>0</v>
      </c>
      <c r="J28" s="6"/>
      <c r="K28" s="6"/>
      <c r="L28" s="6">
        <f t="shared" si="2"/>
        <v>0</v>
      </c>
    </row>
    <row r="29" spans="2:12" x14ac:dyDescent="0.3">
      <c r="B29" s="6" t="s">
        <v>96</v>
      </c>
      <c r="C29" s="6"/>
      <c r="D29" s="6"/>
      <c r="E29" s="6">
        <f t="shared" si="0"/>
        <v>0</v>
      </c>
      <c r="F29" s="6"/>
      <c r="G29" s="6"/>
      <c r="H29" s="6"/>
      <c r="I29" s="6">
        <f t="shared" si="1"/>
        <v>0</v>
      </c>
      <c r="J29" s="6"/>
      <c r="K29" s="6"/>
      <c r="L29" s="6">
        <f t="shared" si="2"/>
        <v>0</v>
      </c>
    </row>
    <row r="30" spans="2:12" x14ac:dyDescent="0.3">
      <c r="B30" s="6" t="s">
        <v>97</v>
      </c>
      <c r="C30" s="6"/>
      <c r="D30" s="6"/>
      <c r="E30" s="6">
        <f t="shared" si="0"/>
        <v>0</v>
      </c>
      <c r="F30" s="6"/>
      <c r="G30" s="6"/>
      <c r="H30" s="6"/>
      <c r="I30" s="6">
        <f>G30*H30</f>
        <v>0</v>
      </c>
      <c r="J30" s="6"/>
      <c r="K30" s="6"/>
      <c r="L30" s="6">
        <f>J30*K30</f>
        <v>0</v>
      </c>
    </row>
    <row r="31" spans="2:12" x14ac:dyDescent="0.3">
      <c r="B31" s="6"/>
      <c r="C31" s="6"/>
      <c r="D31" s="6"/>
      <c r="E31" s="6">
        <f t="shared" si="0"/>
        <v>0</v>
      </c>
      <c r="F31" s="6"/>
      <c r="G31" s="6"/>
      <c r="H31" s="6"/>
      <c r="I31" s="6">
        <f>G31*H31</f>
        <v>0</v>
      </c>
      <c r="J31" s="6"/>
      <c r="K31" s="6"/>
      <c r="L31" s="6">
        <f>J31*K31</f>
        <v>0</v>
      </c>
    </row>
    <row r="32" spans="2:12" x14ac:dyDescent="0.3">
      <c r="B32" s="6"/>
      <c r="C32" s="6"/>
      <c r="D32" s="6"/>
      <c r="E32" s="6">
        <f t="shared" si="0"/>
        <v>0</v>
      </c>
      <c r="F32" s="6"/>
      <c r="G32" s="6"/>
      <c r="H32" s="6"/>
      <c r="I32" s="6">
        <f>G32*H32</f>
        <v>0</v>
      </c>
      <c r="J32" s="6"/>
      <c r="K32" s="6"/>
      <c r="L32" s="6">
        <f>J32*K32</f>
        <v>0</v>
      </c>
    </row>
    <row r="33" spans="2:12" x14ac:dyDescent="0.3">
      <c r="B33" s="6"/>
      <c r="C33" s="6"/>
      <c r="D33" s="6"/>
      <c r="E33" s="6">
        <f t="shared" si="0"/>
        <v>0</v>
      </c>
      <c r="F33" s="6"/>
      <c r="G33" s="6"/>
      <c r="H33" s="6"/>
      <c r="I33" s="6">
        <f>G33*H33</f>
        <v>0</v>
      </c>
      <c r="J33" s="6"/>
      <c r="K33" s="6"/>
      <c r="L33" s="6">
        <f>J33*K33</f>
        <v>0</v>
      </c>
    </row>
    <row r="34" spans="2:12" x14ac:dyDescent="0.3">
      <c r="B34" s="6" t="s">
        <v>64</v>
      </c>
      <c r="C34" s="6"/>
      <c r="D34" s="6">
        <f>E34*10.764</f>
        <v>0</v>
      </c>
      <c r="E34" s="6">
        <f>SUM(E6:E33)</f>
        <v>0</v>
      </c>
      <c r="F34" s="6"/>
      <c r="G34" s="6"/>
      <c r="H34" s="6">
        <f>I34*10.764</f>
        <v>0</v>
      </c>
      <c r="I34" s="6">
        <f>SUM(I6:I33)</f>
        <v>0</v>
      </c>
      <c r="J34" s="6"/>
      <c r="K34" s="6">
        <f>L34*10.764</f>
        <v>0</v>
      </c>
      <c r="L34" s="6">
        <f>SUM(L6:L33)</f>
        <v>0</v>
      </c>
    </row>
    <row r="36" spans="2:12" x14ac:dyDescent="0.3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topLeftCell="A13" zoomScale="115" zoomScaleNormal="115" workbookViewId="0">
      <selection activeCell="D13" sqref="D13"/>
    </sheetView>
  </sheetViews>
  <sheetFormatPr defaultColWidth="8.77734375" defaultRowHeight="14.4" x14ac:dyDescent="0.3"/>
  <cols>
    <col min="1" max="1" width="8.77734375" style="17"/>
    <col min="2" max="2" width="22.21875" style="17" customWidth="1"/>
    <col min="3" max="3" width="37" style="17" customWidth="1"/>
    <col min="4" max="5" width="11.44140625" style="17" customWidth="1"/>
    <col min="6" max="6" width="14" style="17" customWidth="1"/>
    <col min="7" max="7" width="20" style="17" customWidth="1"/>
    <col min="8" max="8" width="16.44140625" style="17" customWidth="1"/>
    <col min="9" max="16384" width="8.77734375" style="17"/>
  </cols>
  <sheetData>
    <row r="1" spans="1:9" ht="15" customHeight="1" x14ac:dyDescent="0.3"/>
    <row r="2" spans="1:9" ht="15" customHeight="1" x14ac:dyDescent="0.3">
      <c r="A2" s="18"/>
      <c r="B2" s="18"/>
      <c r="C2" s="18"/>
      <c r="D2" s="18"/>
      <c r="E2" s="18"/>
      <c r="F2" s="18"/>
      <c r="G2" s="18"/>
      <c r="H2" s="18"/>
    </row>
    <row r="3" spans="1:9" ht="15.75" customHeight="1" x14ac:dyDescent="0.3">
      <c r="A3" s="18"/>
      <c r="B3" s="170" t="s">
        <v>143</v>
      </c>
      <c r="C3" s="170"/>
      <c r="D3" s="170"/>
      <c r="E3" s="170"/>
      <c r="F3" s="170"/>
      <c r="G3" s="170"/>
      <c r="H3" s="170"/>
    </row>
    <row r="4" spans="1:9" x14ac:dyDescent="0.3">
      <c r="A4" s="18"/>
      <c r="B4" s="19" t="s">
        <v>144</v>
      </c>
      <c r="C4" s="19" t="s">
        <v>145</v>
      </c>
      <c r="D4" s="19" t="s">
        <v>77</v>
      </c>
      <c r="E4" s="19" t="s">
        <v>146</v>
      </c>
      <c r="F4" s="19" t="s">
        <v>153</v>
      </c>
      <c r="G4" s="19" t="s">
        <v>154</v>
      </c>
      <c r="H4" s="19" t="s">
        <v>147</v>
      </c>
    </row>
    <row r="5" spans="1:9" ht="15" customHeight="1" x14ac:dyDescent="0.3">
      <c r="A5" s="18"/>
      <c r="B5" s="21" t="s">
        <v>148</v>
      </c>
      <c r="C5" s="22"/>
      <c r="D5" s="21" t="s">
        <v>149</v>
      </c>
      <c r="E5" s="21">
        <v>1106</v>
      </c>
      <c r="F5" s="23">
        <f>E5*1.6</f>
        <v>1769.6000000000001</v>
      </c>
      <c r="G5" s="23">
        <f>H5/F5</f>
        <v>31532.549728752259</v>
      </c>
      <c r="H5" s="24">
        <v>55800000</v>
      </c>
    </row>
    <row r="6" spans="1:9" x14ac:dyDescent="0.3">
      <c r="A6" s="18"/>
      <c r="B6" s="21" t="s">
        <v>148</v>
      </c>
      <c r="C6" s="25"/>
      <c r="D6" s="21"/>
      <c r="E6" s="21"/>
      <c r="F6" s="23">
        <f t="shared" ref="F6:F11" si="0">E6*1.6</f>
        <v>0</v>
      </c>
      <c r="G6" s="23" t="e">
        <f t="shared" ref="G6:G11" si="1">H6/F6</f>
        <v>#DIV/0!</v>
      </c>
      <c r="H6" s="24"/>
    </row>
    <row r="7" spans="1:9" ht="15" customHeight="1" x14ac:dyDescent="0.3">
      <c r="A7" s="18"/>
      <c r="B7" s="21" t="s">
        <v>148</v>
      </c>
      <c r="C7" s="22"/>
      <c r="D7" s="21"/>
      <c r="E7" s="21"/>
      <c r="F7" s="23">
        <f t="shared" si="0"/>
        <v>0</v>
      </c>
      <c r="G7" s="23" t="e">
        <f t="shared" si="1"/>
        <v>#DIV/0!</v>
      </c>
      <c r="H7" s="24"/>
    </row>
    <row r="8" spans="1:9" x14ac:dyDescent="0.3">
      <c r="A8" s="18"/>
      <c r="B8" s="21" t="s">
        <v>148</v>
      </c>
      <c r="C8" s="25"/>
      <c r="D8" s="21"/>
      <c r="E8" s="21"/>
      <c r="F8" s="23">
        <f t="shared" si="0"/>
        <v>0</v>
      </c>
      <c r="G8" s="23" t="e">
        <f t="shared" si="1"/>
        <v>#DIV/0!</v>
      </c>
      <c r="H8" s="24"/>
    </row>
    <row r="9" spans="1:9" ht="15" customHeight="1" x14ac:dyDescent="0.3">
      <c r="A9" s="18"/>
      <c r="B9" s="21" t="s">
        <v>148</v>
      </c>
      <c r="C9" s="25"/>
      <c r="D9" s="21"/>
      <c r="E9" s="21"/>
      <c r="F9" s="23">
        <f t="shared" si="0"/>
        <v>0</v>
      </c>
      <c r="G9" s="23" t="e">
        <f t="shared" si="1"/>
        <v>#DIV/0!</v>
      </c>
      <c r="H9" s="24"/>
    </row>
    <row r="10" spans="1:9" ht="15" customHeight="1" x14ac:dyDescent="0.3">
      <c r="A10" s="18"/>
      <c r="B10" s="21" t="s">
        <v>150</v>
      </c>
      <c r="C10" s="22"/>
      <c r="D10" s="21"/>
      <c r="E10" s="21"/>
      <c r="F10" s="23">
        <f t="shared" si="0"/>
        <v>0</v>
      </c>
      <c r="G10" s="23" t="e">
        <f t="shared" si="1"/>
        <v>#DIV/0!</v>
      </c>
      <c r="H10" s="24"/>
    </row>
    <row r="11" spans="1:9" ht="15" customHeight="1" x14ac:dyDescent="0.3">
      <c r="A11" s="18"/>
      <c r="B11" s="21" t="s">
        <v>150</v>
      </c>
      <c r="C11" s="22"/>
      <c r="D11" s="21"/>
      <c r="E11" s="21"/>
      <c r="F11" s="23">
        <f t="shared" si="0"/>
        <v>0</v>
      </c>
      <c r="G11" s="23" t="e">
        <f t="shared" si="1"/>
        <v>#DIV/0!</v>
      </c>
      <c r="H11" s="24"/>
    </row>
    <row r="12" spans="1:9" ht="15" customHeight="1" x14ac:dyDescent="0.3">
      <c r="A12" s="18"/>
      <c r="B12" s="26" t="s">
        <v>151</v>
      </c>
      <c r="C12" s="21"/>
      <c r="D12" s="21"/>
      <c r="E12" s="21"/>
      <c r="F12" s="21"/>
      <c r="G12" s="27" t="e">
        <f>AVERAGE(G5:G11)</f>
        <v>#DIV/0!</v>
      </c>
      <c r="H12" s="21"/>
    </row>
    <row r="13" spans="1:9" ht="15" customHeight="1" x14ac:dyDescent="0.3">
      <c r="B13" s="26" t="s">
        <v>152</v>
      </c>
      <c r="C13" s="21"/>
      <c r="D13" s="21"/>
      <c r="E13" s="21"/>
      <c r="F13" s="28"/>
      <c r="G13" s="26"/>
      <c r="H13" s="26"/>
      <c r="I13" s="20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2025-08-15T06:36:10Z</cp:lastPrinted>
  <dcterms:created xsi:type="dcterms:W3CDTF">2019-07-16T09:29:46Z</dcterms:created>
  <dcterms:modified xsi:type="dcterms:W3CDTF">2025-08-15T06:42:27Z</dcterms:modified>
</cp:coreProperties>
</file>