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prani\Downloads\dump August Miraroad\"/>
    </mc:Choice>
  </mc:AlternateContent>
  <xr:revisionPtr revIDLastSave="0" documentId="13_ncr:1_{4E011457-A6D6-4662-A139-931CCE346B85}" xr6:coauthVersionLast="47" xr6:coauthVersionMax="47" xr10:uidLastSave="{00000000-0000-0000-0000-000000000000}"/>
  <bookViews>
    <workbookView xWindow="-108" yWindow="-108" windowWidth="23256" windowHeight="12456" tabRatio="725" xr2:uid="{00000000-000D-0000-FFFF-FFFF00000000}"/>
  </bookViews>
  <sheets>
    <sheet name="Report" sheetId="1" r:id="rId1"/>
    <sheet name="valuation" sheetId="5" r:id="rId2"/>
    <sheet name="Research" sheetId="4" r:id="rId3"/>
    <sheet name="Remarks" sheetId="6" r:id="rId4"/>
  </sheets>
  <definedNames>
    <definedName name="_xlnm.Print_Area" localSheetId="0">Report!$A$1:$H$331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72" i="1" l="1"/>
  <c r="J172" i="1"/>
  <c r="D173" i="1"/>
  <c r="D170" i="1"/>
  <c r="D175" i="1"/>
  <c r="D174" i="1"/>
  <c r="D163" i="1"/>
  <c r="D156" i="1"/>
  <c r="D155" i="1"/>
  <c r="D154" i="1"/>
  <c r="D153" i="1"/>
  <c r="D150" i="1"/>
  <c r="E177" i="1" l="1"/>
  <c r="D177" i="1"/>
  <c r="E176" i="1"/>
  <c r="D176" i="1"/>
  <c r="E175" i="1"/>
  <c r="F175" i="1" s="1"/>
  <c r="E174" i="1"/>
  <c r="E173" i="1"/>
  <c r="F173" i="1" s="1"/>
  <c r="H173" i="1" s="1"/>
  <c r="K173" i="1" s="1"/>
  <c r="E172" i="1"/>
  <c r="D172" i="1"/>
  <c r="E171" i="1"/>
  <c r="D171" i="1"/>
  <c r="A171" i="1"/>
  <c r="A172" i="1" s="1"/>
  <c r="A173" i="1" s="1"/>
  <c r="A174" i="1" s="1"/>
  <c r="A175" i="1" s="1"/>
  <c r="A176" i="1" s="1"/>
  <c r="A177" i="1" s="1"/>
  <c r="E170" i="1"/>
  <c r="F170" i="1" s="1"/>
  <c r="E166" i="1"/>
  <c r="D166" i="1"/>
  <c r="E165" i="1"/>
  <c r="D165" i="1"/>
  <c r="E163" i="1"/>
  <c r="F163" i="1" s="1"/>
  <c r="E162" i="1"/>
  <c r="D162" i="1"/>
  <c r="E161" i="1"/>
  <c r="D161" i="1"/>
  <c r="E160" i="1"/>
  <c r="D160" i="1"/>
  <c r="A160" i="1"/>
  <c r="A161" i="1" s="1"/>
  <c r="A162" i="1" s="1"/>
  <c r="A163" i="1" s="1"/>
  <c r="A164" i="1" s="1"/>
  <c r="A165" i="1" s="1"/>
  <c r="A166" i="1" s="1"/>
  <c r="E159" i="1"/>
  <c r="D159" i="1"/>
  <c r="E157" i="1"/>
  <c r="D157" i="1"/>
  <c r="E156" i="1"/>
  <c r="F156" i="1" s="1"/>
  <c r="H156" i="1" s="1"/>
  <c r="E155" i="1"/>
  <c r="F155" i="1" s="1"/>
  <c r="J155" i="1" s="1"/>
  <c r="E154" i="1"/>
  <c r="E153" i="1"/>
  <c r="E152" i="1"/>
  <c r="D152" i="1"/>
  <c r="E151" i="1"/>
  <c r="D151" i="1"/>
  <c r="E150" i="1"/>
  <c r="I150" i="1"/>
  <c r="I156" i="1"/>
  <c r="D145" i="1"/>
  <c r="F145" i="1" s="1"/>
  <c r="H145" i="1" s="1"/>
  <c r="D144" i="1"/>
  <c r="F144" i="1" s="1"/>
  <c r="H144" i="1" s="1"/>
  <c r="D143" i="1"/>
  <c r="F143" i="1" s="1"/>
  <c r="H143" i="1" s="1"/>
  <c r="D142" i="1"/>
  <c r="F142" i="1" s="1"/>
  <c r="H142" i="1" s="1"/>
  <c r="D141" i="1"/>
  <c r="F141" i="1" s="1"/>
  <c r="H141" i="1" s="1"/>
  <c r="D140" i="1"/>
  <c r="F140" i="1" s="1"/>
  <c r="H140" i="1" s="1"/>
  <c r="D139" i="1"/>
  <c r="F139" i="1" s="1"/>
  <c r="H139" i="1" s="1"/>
  <c r="D138" i="1"/>
  <c r="F138" i="1" s="1"/>
  <c r="H138" i="1" s="1"/>
  <c r="D137" i="1"/>
  <c r="F137" i="1" s="1"/>
  <c r="H137" i="1" s="1"/>
  <c r="D136" i="1"/>
  <c r="D135" i="1"/>
  <c r="D134" i="1"/>
  <c r="D133" i="1"/>
  <c r="I138" i="1"/>
  <c r="I133" i="1"/>
  <c r="E43" i="1"/>
  <c r="F165" i="1" l="1"/>
  <c r="H165" i="1" s="1"/>
  <c r="C123" i="1"/>
  <c r="F171" i="1"/>
  <c r="F157" i="1"/>
  <c r="J157" i="1" s="1"/>
  <c r="F159" i="1"/>
  <c r="C118" i="1"/>
  <c r="F161" i="1"/>
  <c r="J156" i="1"/>
  <c r="L156" i="1"/>
  <c r="F166" i="1"/>
  <c r="F172" i="1"/>
  <c r="F177" i="1"/>
  <c r="C124" i="1"/>
  <c r="F176" i="1"/>
  <c r="H176" i="1" s="1"/>
  <c r="K176" i="1" s="1"/>
  <c r="L155" i="1"/>
  <c r="F162" i="1"/>
  <c r="H162" i="1" s="1"/>
  <c r="F160" i="1"/>
  <c r="F154" i="1"/>
  <c r="J154" i="1" s="1"/>
  <c r="F174" i="1"/>
  <c r="I45" i="1"/>
  <c r="C125" i="1" l="1"/>
  <c r="C126" i="1" s="1"/>
  <c r="L157" i="1"/>
  <c r="G124" i="1"/>
  <c r="E124" i="1"/>
  <c r="L154" i="1"/>
  <c r="B180" i="1"/>
  <c r="F134" i="1" l="1"/>
  <c r="H134" i="1" s="1"/>
  <c r="F135" i="1"/>
  <c r="H135" i="1" s="1"/>
  <c r="F136" i="1"/>
  <c r="H136" i="1" s="1"/>
  <c r="F133" i="1"/>
  <c r="H133" i="1" l="1"/>
  <c r="G118" i="1" s="1"/>
  <c r="E118" i="1"/>
  <c r="G58" i="1"/>
  <c r="C58" i="1"/>
  <c r="G56" i="1"/>
  <c r="C56" i="1"/>
  <c r="C54" i="1"/>
  <c r="S33" i="1" l="1"/>
  <c r="F11" i="5" l="1"/>
  <c r="G11" i="5" s="1"/>
  <c r="F10" i="5"/>
  <c r="G10" i="5" s="1"/>
  <c r="F9" i="5"/>
  <c r="G9" i="5" s="1"/>
  <c r="F8" i="5"/>
  <c r="G8" i="5" s="1"/>
  <c r="F7" i="5"/>
  <c r="G7" i="5" s="1"/>
  <c r="F6" i="5"/>
  <c r="G6" i="5" s="1"/>
  <c r="F5" i="5"/>
  <c r="G5" i="5" s="1"/>
  <c r="G12" i="5" s="1"/>
  <c r="D206" i="1"/>
  <c r="B181" i="1"/>
  <c r="F153" i="1"/>
  <c r="H153" i="1" s="1"/>
  <c r="G123" i="1" s="1"/>
  <c r="G125" i="1" s="1"/>
  <c r="G126" i="1" s="1"/>
  <c r="F152" i="1"/>
  <c r="F151" i="1"/>
  <c r="A151" i="1"/>
  <c r="A152" i="1" s="1"/>
  <c r="A153" i="1" s="1"/>
  <c r="A154" i="1" s="1"/>
  <c r="A155" i="1" s="1"/>
  <c r="A156" i="1" s="1"/>
  <c r="A157" i="1" s="1"/>
  <c r="F150" i="1"/>
  <c r="A134" i="1"/>
  <c r="A135" i="1" s="1"/>
  <c r="A136" i="1" s="1"/>
  <c r="A137" i="1" s="1"/>
  <c r="A138" i="1" s="1"/>
  <c r="A139" i="1" s="1"/>
  <c r="A140" i="1" s="1"/>
  <c r="A141" i="1" s="1"/>
  <c r="A142" i="1" s="1"/>
  <c r="A143" i="1" s="1"/>
  <c r="A144" i="1" s="1"/>
  <c r="A145" i="1" s="1"/>
  <c r="F115" i="1"/>
  <c r="C89" i="1"/>
  <c r="C75" i="1"/>
  <c r="D69" i="1"/>
  <c r="D62" i="1"/>
  <c r="G51" i="1"/>
  <c r="G52" i="1" s="1"/>
  <c r="C51" i="1"/>
  <c r="C52" i="1" s="1"/>
  <c r="E44" i="1"/>
  <c r="E45" i="1" s="1"/>
  <c r="E31" i="1"/>
  <c r="E28" i="1"/>
  <c r="E26" i="1"/>
  <c r="C16" i="1"/>
  <c r="I15" i="1"/>
  <c r="Z13" i="1"/>
  <c r="E8" i="1"/>
  <c r="E3" i="1"/>
  <c r="H90" i="1"/>
  <c r="H76" i="1"/>
  <c r="E123" i="1" l="1"/>
  <c r="E125" i="1" s="1"/>
  <c r="E126" i="1" s="1"/>
  <c r="J151" i="1"/>
  <c r="L151" i="1"/>
  <c r="J152" i="1"/>
  <c r="L152" i="1"/>
  <c r="J150" i="1"/>
  <c r="L150" i="1"/>
  <c r="J153" i="1"/>
  <c r="L153" i="1"/>
  <c r="J75" i="1"/>
  <c r="J77" i="1" s="1"/>
  <c r="J78" i="1"/>
  <c r="J79" i="1"/>
  <c r="J80" i="1"/>
  <c r="C79" i="1" s="1"/>
  <c r="J94" i="1"/>
  <c r="E93" i="1"/>
  <c r="D98" i="1"/>
  <c r="D100" i="1"/>
  <c r="D94" i="1"/>
  <c r="J93" i="1"/>
  <c r="D99" i="1"/>
  <c r="J89" i="1"/>
  <c r="J91" i="1" s="1"/>
  <c r="D97" i="1"/>
  <c r="J92" i="1"/>
  <c r="D96" i="1"/>
  <c r="D102" i="1"/>
  <c r="D101" i="1"/>
  <c r="D95" i="1"/>
  <c r="D83" i="1"/>
  <c r="D85" i="1"/>
  <c r="D84" i="1"/>
  <c r="D88" i="1"/>
  <c r="D82" i="1"/>
  <c r="D87" i="1"/>
  <c r="D81" i="1"/>
  <c r="D86" i="1"/>
  <c r="B90" i="1"/>
  <c r="B76" i="1"/>
  <c r="J81" i="1" s="1"/>
  <c r="D93" i="1" l="1"/>
  <c r="I90" i="1" s="1"/>
  <c r="I91" i="1" s="1"/>
  <c r="D79" i="1"/>
  <c r="J100" i="1"/>
  <c r="J97" i="1"/>
  <c r="J99" i="1"/>
  <c r="J98" i="1"/>
  <c r="J95" i="1"/>
  <c r="J96" i="1" s="1"/>
  <c r="J85" i="1"/>
  <c r="J83" i="1"/>
  <c r="J84" i="1"/>
  <c r="J82" i="1"/>
  <c r="J87" i="1" s="1"/>
  <c r="J88" i="1" s="1"/>
  <c r="C80" i="1" s="1"/>
  <c r="J86" i="1"/>
  <c r="G93" i="1" l="1"/>
  <c r="J76" i="1"/>
  <c r="J101" i="1"/>
  <c r="J102" i="1" s="1"/>
  <c r="J90" i="1" s="1"/>
  <c r="I89" i="1" s="1"/>
  <c r="C91" i="1" s="1"/>
  <c r="E79" i="1"/>
  <c r="D80" i="1"/>
  <c r="I76" i="1" s="1"/>
  <c r="G79" i="1"/>
  <c r="D73" i="1" s="1"/>
  <c r="F74" i="1" l="1"/>
  <c r="D74" i="1"/>
  <c r="I77" i="1"/>
  <c r="I75" i="1" s="1"/>
  <c r="C7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SACHIN</author>
  </authors>
  <commentList>
    <comment ref="E12" authorId="0" shapeId="0" xr:uid="{00000000-0006-0000-0000-000001000000}">
      <text>
        <r>
          <rPr>
            <b/>
            <sz val="9"/>
            <color indexed="81"/>
            <rFont val="Tahoma"/>
            <family val="2"/>
          </rPr>
          <t>Sachin:</t>
        </r>
        <r>
          <rPr>
            <sz val="9"/>
            <color indexed="81"/>
            <rFont val="Tahoma"/>
            <family val="2"/>
          </rPr>
          <t xml:space="preserve">
Building No. 
Tower No.
Wing 
Bunglow No., etc</t>
        </r>
      </text>
    </comment>
    <comment ref="E13" authorId="0" shapeId="0" xr:uid="{00000000-0006-0000-0000-000002000000}">
      <text>
        <r>
          <rPr>
            <b/>
            <sz val="9"/>
            <color indexed="81"/>
            <rFont val="Tahoma"/>
            <family val="2"/>
          </rPr>
          <t>Sachin:</t>
        </r>
        <r>
          <rPr>
            <sz val="9"/>
            <color indexed="81"/>
            <rFont val="Tahoma"/>
            <family val="2"/>
          </rPr>
          <t xml:space="preserve">
If exisiting Building is provided write it or else
NA</t>
        </r>
      </text>
    </comment>
    <comment ref="C55" authorId="1" shapeId="0" xr:uid="{00000000-0006-0000-0000-000003000000}">
      <text>
        <r>
          <rPr>
            <b/>
            <sz val="9"/>
            <color indexed="81"/>
            <rFont val="Tahoma"/>
            <family val="2"/>
          </rPr>
          <t>SACHIN:</t>
        </r>
        <r>
          <rPr>
            <sz val="9"/>
            <color indexed="81"/>
            <rFont val="Tahoma"/>
            <family val="2"/>
          </rPr>
          <t xml:space="preserve">
Floor with height</t>
        </r>
      </text>
    </comment>
    <comment ref="C57" authorId="1" shapeId="0" xr:uid="{00000000-0006-0000-0000-000004000000}">
      <text>
        <r>
          <rPr>
            <b/>
            <sz val="9"/>
            <color indexed="81"/>
            <rFont val="Tahoma"/>
            <family val="2"/>
          </rPr>
          <t>SACHIN:</t>
        </r>
        <r>
          <rPr>
            <sz val="9"/>
            <color indexed="81"/>
            <rFont val="Tahoma"/>
            <family val="2"/>
          </rPr>
          <t xml:space="preserve">
Survey Nos.</t>
        </r>
      </text>
    </comment>
    <comment ref="C59" authorId="1" shapeId="0" xr:uid="{00000000-0006-0000-0000-000005000000}">
      <text>
        <r>
          <rPr>
            <b/>
            <sz val="9"/>
            <color indexed="81"/>
            <rFont val="Tahoma"/>
            <family val="2"/>
          </rPr>
          <t>SACHIN:</t>
        </r>
        <r>
          <rPr>
            <sz val="9"/>
            <color indexed="81"/>
            <rFont val="Tahoma"/>
            <family val="2"/>
          </rPr>
          <t xml:space="preserve">
Height from AMSL</t>
        </r>
      </text>
    </comment>
    <comment ref="D62" authorId="0" shapeId="0" xr:uid="{00000000-0006-0000-0000-000006000000}">
      <text>
        <r>
          <rPr>
            <b/>
            <sz val="9"/>
            <color indexed="81"/>
            <rFont val="Tahoma"/>
            <family val="2"/>
          </rPr>
          <t>Sachin:</t>
        </r>
        <r>
          <rPr>
            <sz val="9"/>
            <color indexed="81"/>
            <rFont val="Tahoma"/>
            <family val="2"/>
          </rPr>
          <t xml:space="preserve">
If multiple building in project or complex just mention builtup of required building</t>
        </r>
      </text>
    </comment>
    <comment ref="F108" authorId="1" shapeId="0" xr:uid="{00000000-0006-0000-0000-00000700000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C9" authorId="0" shapeId="0" xr:uid="{00000000-0006-0000-0300-000001000000}">
      <text>
        <r>
          <rPr>
            <b/>
            <sz val="9"/>
            <color indexed="81"/>
            <rFont val="Tahoma"/>
            <family val="2"/>
          </rPr>
          <t>SACHIN:</t>
        </r>
        <r>
          <rPr>
            <sz val="9"/>
            <color indexed="81"/>
            <rFont val="Tahoma"/>
            <family val="2"/>
          </rPr>
          <t xml:space="preserve">
If banker changes the rate</t>
        </r>
      </text>
    </comment>
    <comment ref="C10" authorId="0" shapeId="0" xr:uid="{00000000-0006-0000-0300-00000200000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<sst xmlns="http://schemas.openxmlformats.org/spreadsheetml/2006/main" count="613" uniqueCount="363">
  <si>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</si>
  <si>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</si>
  <si>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</si>
  <si>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</si>
  <si>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</si>
  <si>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</si>
  <si>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</si>
  <si>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</si>
  <si>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</si>
  <si>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</si>
  <si>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</si>
  <si>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</si>
  <si>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</si>
  <si>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</si>
  <si>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</si>
  <si>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</si>
  <si>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</si>
  <si>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</si>
  <si>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</si>
  <si>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</si>
  <si>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</si>
  <si>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</si>
  <si>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</si>
  <si>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</si>
  <si>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</si>
  <si>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</si>
  <si>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</si>
  <si>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</si>
  <si>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</si>
  <si>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</si>
  <si>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</si>
  <si>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</si>
  <si>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</si>
  <si>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</si>
  <si>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</si>
  <si>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</si>
  <si>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</si>
  <si>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</si>
  <si>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</si>
  <si>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</si>
  <si>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</si>
  <si>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</si>
  <si>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</si>
  <si>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</si>
  <si>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</si>
  <si>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</si>
  <si>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</si>
  <si>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</si>
  <si>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</si>
  <si>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</si>
  <si>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</si>
  <si>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</si>
  <si>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</si>
  <si>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</si>
  <si>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</si>
  <si>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</si>
  <si>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</si>
  <si>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</si>
  <si>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</si>
  <si>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</si>
  <si>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</si>
  <si>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</si>
  <si>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</si>
  <si>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</si>
  <si>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</si>
  <si>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</si>
  <si>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</si>
  <si>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</si>
  <si>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</si>
  <si>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</si>
  <si>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</si>
  <si>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</si>
  <si>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</si>
  <si>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</si>
  <si>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</si>
  <si>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</si>
  <si>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</si>
  <si>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</si>
  <si>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</si>
  <si>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</si>
  <si>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</si>
  <si>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</si>
  <si>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</si>
  <si>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</si>
  <si>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</si>
  <si>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</si>
  <si>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</si>
  <si>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</si>
  <si>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</si>
  <si>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</si>
  <si>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</si>
  <si>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</si>
  <si>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</si>
  <si>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</si>
  <si>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</si>
  <si>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</si>
  <si>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</si>
  <si>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</si>
  <si>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</si>
  <si>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</si>
  <si>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</si>
  <si>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</si>
  <si>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</si>
  <si>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</si>
  <si>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</si>
  <si>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</si>
  <si>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</si>
  <si>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</si>
  <si>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</si>
  <si>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</si>
  <si>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</si>
  <si>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</si>
  <si>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</si>
  <si>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</si>
  <si>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</si>
  <si>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</si>
  <si>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r>
      <t xml:space="preserve">Shop No.
</t>
    </r>
    <r>
      <rPr>
        <b/>
        <sz val="11"/>
        <color rgb="FF000000"/>
        <rFont val="Times New Roman"/>
        <family val="1"/>
      </rPr>
      <t>(Approved Plan)</t>
    </r>
  </si>
  <si>
    <r>
      <t xml:space="preserve">Flat No.
</t>
    </r>
    <r>
      <rPr>
        <b/>
        <sz val="11"/>
        <color rgb="FF000000"/>
        <rFont val="Times New Roman"/>
        <family val="1"/>
      </rPr>
      <t>(Approved Plan)</t>
    </r>
  </si>
  <si>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</si>
  <si>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</si>
  <si>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</si>
  <si>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</si>
  <si>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</si>
  <si>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</si>
  <si>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</si>
  <si>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</si>
  <si>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</si>
  <si>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</si>
  <si>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</si>
  <si>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</si>
  <si>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</si>
  <si>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</si>
  <si>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</si>
  <si>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</si>
  <si>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</si>
  <si>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</si>
  <si>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</si>
  <si>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</si>
  <si>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</si>
  <si>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</si>
  <si>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</si>
  <si>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</si>
  <si>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</si>
  <si>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</si>
  <si>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</si>
  <si>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</si>
  <si>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</si>
  <si>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</si>
  <si>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</si>
  <si>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</si>
  <si>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</si>
  <si>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</si>
  <si>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</si>
  <si>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</si>
  <si>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</si>
  <si>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</si>
  <si>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</si>
  <si>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</si>
  <si>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</si>
  <si>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</si>
  <si>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</si>
  <si>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</si>
  <si>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</si>
  <si>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</si>
  <si>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</si>
  <si>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</si>
  <si>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C Wing = 1B + G + 1st to 20th Floor</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</si>
  <si>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</si>
  <si>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</si>
  <si>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</si>
  <si>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</si>
  <si>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</si>
  <si>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</si>
  <si>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</si>
  <si>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</si>
  <si>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</si>
  <si>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</si>
  <si>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</si>
  <si>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</si>
  <si>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</si>
  <si>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</si>
  <si>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</si>
  <si>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</si>
  <si>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</si>
  <si>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</si>
  <si>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</si>
  <si>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</si>
  <si>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</si>
  <si>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</si>
  <si>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</si>
  <si>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</si>
  <si>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</si>
  <si>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</si>
  <si>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</si>
  <si>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</si>
  <si>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</si>
  <si>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</si>
  <si>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</si>
  <si>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</si>
  <si>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</si>
  <si>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</si>
  <si>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</si>
  <si>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</si>
  <si>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</si>
  <si>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</si>
  <si>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</si>
  <si>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</si>
  <si>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</si>
  <si>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</si>
  <si>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</si>
  <si>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</si>
  <si>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</si>
  <si>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</si>
  <si>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</si>
  <si>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</si>
  <si>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</si>
  <si>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</si>
  <si>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</si>
  <si>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</si>
  <si>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</si>
  <si>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</si>
  <si>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</si>
  <si>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</si>
  <si>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</si>
  <si>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</si>
  <si>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</si>
  <si>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</si>
  <si>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</si>
  <si>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</si>
  <si>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</si>
  <si>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</si>
  <si>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</si>
  <si>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</si>
  <si>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</si>
  <si>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</si>
  <si>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</si>
  <si>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</si>
  <si>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</si>
  <si>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</si>
  <si>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</si>
  <si>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</si>
  <si>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</si>
  <si>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</si>
  <si>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</si>
  <si>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</si>
  <si>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</si>
  <si>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</si>
  <si>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</si>
  <si>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</si>
  <si>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</si>
  <si>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</si>
  <si>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</si>
  <si>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</si>
  <si>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</si>
  <si>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</si>
  <si>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</si>
  <si>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</si>
  <si>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</si>
  <si>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</si>
  <si>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</si>
  <si>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</si>
  <si>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</si>
  <si>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</si>
  <si>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</si>
  <si>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</si>
  <si>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</si>
  <si>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</si>
  <si>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</si>
  <si>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</si>
  <si>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</si>
  <si>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</si>
  <si>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</si>
  <si>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</si>
  <si>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</si>
  <si>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</si>
  <si>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</si>
  <si>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</si>
  <si>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</si>
  <si>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</si>
  <si>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</si>
  <si>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</si>
  <si>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</si>
  <si>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</si>
  <si>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</si>
  <si>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</si>
  <si>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</si>
  <si>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</si>
  <si>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</si>
  <si>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</si>
  <si>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</si>
  <si>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</si>
  <si>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</si>
  <si>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</si>
  <si>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</si>
  <si>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</si>
  <si>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</si>
  <si>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</si>
  <si>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</si>
  <si>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</si>
  <si>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</si>
  <si>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</si>
  <si>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 xml:space="preserve">Mr. Nikhil Mane 9082574499
</t>
  </si>
  <si>
    <t xml:space="preserve">Om Square </t>
  </si>
  <si>
    <t xml:space="preserve">Buildtech Ventures Realty </t>
  </si>
  <si>
    <t>Mr. Taufiq 9024191678</t>
  </si>
  <si>
    <t>P51700052745</t>
  </si>
  <si>
    <t>Survey No</t>
  </si>
  <si>
    <t>Kalher</t>
  </si>
  <si>
    <t>19.241656,73.010937</t>
  </si>
  <si>
    <t>https://maps.app.goo.gl/bzsftGEjA7tC9t176</t>
  </si>
  <si>
    <t>Kasheli</t>
  </si>
  <si>
    <t>Gali No. 2 Road</t>
  </si>
  <si>
    <t>Om Sai Heritage</t>
  </si>
  <si>
    <t>6.40KM from Bhiwandi Road Railway Station</t>
  </si>
  <si>
    <t>Survey No. 39</t>
  </si>
  <si>
    <t>Survey No. 41</t>
  </si>
  <si>
    <t>Survey No. 38</t>
  </si>
  <si>
    <t>Survey No. 26</t>
  </si>
  <si>
    <t>Open Plot/Om Sai Heritage ️</t>
  </si>
  <si>
    <t>Open Plot</t>
  </si>
  <si>
    <t>02 Building</t>
  </si>
  <si>
    <t>Buidlng No. 1 &amp; 2</t>
  </si>
  <si>
    <t>SROT/BSNA/2501/BP/Kalher-118/
634/CC/2023</t>
  </si>
  <si>
    <t>As per RERA - 31/12/2026</t>
  </si>
  <si>
    <r>
      <t xml:space="preserve">Proposed Amenities :                                                                                                                                                                                                                         </t>
    </r>
    <r>
      <rPr>
        <b/>
        <sz val="12"/>
        <rFont val="Times New Roman"/>
        <family val="1"/>
      </rPr>
      <t xml:space="preserve">                                               </t>
    </r>
  </si>
  <si>
    <t>Club House, Children Play Area, Fitness Centre, Senior Citizen Area, Indoor Games, etc.</t>
  </si>
  <si>
    <t>Building No. 1</t>
  </si>
  <si>
    <t>Ground Floor For Commercial, Drivers Room, Entrance Lobby &amp; Parking</t>
  </si>
  <si>
    <t>Shop</t>
  </si>
  <si>
    <t>RERA Carpet area</t>
  </si>
  <si>
    <t>1st to 7th &amp; 9th to 12th Floor For Residential</t>
  </si>
  <si>
    <t>1BHK</t>
  </si>
  <si>
    <t>2BHK</t>
  </si>
  <si>
    <t>Balcony Area + Chajja Area</t>
  </si>
  <si>
    <t>Refuge Area</t>
  </si>
  <si>
    <t>8th Floor For Residential (Part Refuge Area)</t>
  </si>
  <si>
    <t>Building No. 2</t>
  </si>
  <si>
    <t>1st to 5th Floor For Residential</t>
  </si>
  <si>
    <t>Ground Floor For Entrance Lobby &amp; Parking</t>
  </si>
  <si>
    <t>We considered Gross carpet area = Net carpet + Balcony + Chajja Area.</t>
  </si>
  <si>
    <t>Flats - 135, Shops - 13</t>
  </si>
  <si>
    <t>We have refered approved plans of Building No. 1 from RERA site.</t>
  </si>
  <si>
    <t>40, Hissa No. 3</t>
  </si>
  <si>
    <t>Building No. 1 = Gr/Stilt + 1st to 12th Floor
Building No. 2 = Gr/Stilt + 1st to 5th Floor</t>
  </si>
  <si>
    <t>Building No.1 = Gr/Stilt + 12th Floors
Building No. 2 = Stilt + 5th Floors</t>
  </si>
  <si>
    <t>Buidling No.1</t>
  </si>
  <si>
    <t>Building No.1</t>
  </si>
  <si>
    <t>Building No.2</t>
  </si>
  <si>
    <t>Builder Saleable Area</t>
  </si>
  <si>
    <t>Other Charges</t>
  </si>
  <si>
    <t>Approved Plans, CC, Sale Plan, Builder Saleable Area, Cost Sheet.</t>
  </si>
  <si>
    <t>9500 to 16000</t>
  </si>
  <si>
    <t>Viraj</t>
  </si>
  <si>
    <t>costsheet</t>
  </si>
  <si>
    <t xml:space="preserve"> Rate 6000 + 3L Park Sanjay verbal    27/12/2024</t>
  </si>
  <si>
    <t>Recommended Rates / Other charges of the Property have been revised on 27/12/2024.</t>
  </si>
  <si>
    <t>Building No. 1 = Gr/Stilt + 1st to 13th Floor</t>
  </si>
  <si>
    <t>Building No. 2 = Gr/Stilt + 1st to 13th Floor</t>
  </si>
  <si>
    <t>Construction work of Building No. 1 goes beyond the approved CC. Please provide revised CC and approved plans.</t>
  </si>
  <si>
    <t>Since building no.2 have received CC on 28/04/2023, but as of construction work is not
started.</t>
  </si>
  <si>
    <t>Pranita Mhatre</t>
  </si>
  <si>
    <t xml:space="preserve"> Mangesh Bapardekar </t>
  </si>
  <si>
    <t>Building No. 1 = Construction work is in process at the time of Visit.
Building No. 2 = Work not yet Started.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</si>
</sst>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0.0"/>
    <numFmt numFmtId="166" formatCode="_(* #,##0.00_);_(* \(#,##0.00\);_(* &quot;-&quot;??_);_(@_)"/>
    <numFmt numFmtId="167" formatCode="_(* #,##0_);_(* \(#,##0\);_(* &quot;-&quot;??_);_(@_)"/>
    <numFmt numFmtId="168" formatCode="_ * #,##0_ ;_ * \-#,##0_ ;_ * &quot;-&quot;??_ ;_ @_ "/>
    <numFmt numFmtId="169" formatCode="0.000"/>
  </numFmts>
  <fonts count="31"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s>
  <fills count="3">
    <fill>
      <patternFill patternType="none"/>
    </fill>
    <fill>
      <patternFill patternType="gray125"/>
    </fill>
    <fill>
      <patternFill patternType="solid">
        <fgColor rgb="FFFFFF0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6" fontId="5" fillId="0" borderId="0" applyFont="0" applyFill="0" applyBorder="0" applyAlignment="0" applyProtection="0"/>
    <xf numFmtId="0" fontId="21" fillId="0" borderId="0"/>
    <xf numFmtId="9" fontId="22" fillId="0" borderId="0" applyFont="0" applyFill="0" applyBorder="0" applyAlignment="0" applyProtection="0"/>
    <xf numFmtId="164" fontId="22" fillId="0" borderId="0" applyFont="0" applyFill="0" applyBorder="0" applyAlignment="0" applyProtection="0"/>
    <xf numFmtId="0" fontId="27" fillId="0" borderId="0" applyNumberFormat="0" applyFill="0" applyBorder="0" applyAlignment="0" applyProtection="0"/>
  </cellStyleXfs>
  <cellXfs count="206">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7"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25" fillId="2" borderId="30" xfId="0" applyFont="1" applyFill="1" applyBorder="1"/>
    <xf numFmtId="0" fontId="26" fillId="0" borderId="31" xfId="0" applyFont="1" applyBorder="1"/>
    <xf numFmtId="0" fontId="26" fillId="0" borderId="1" xfId="0" applyFont="1" applyBorder="1"/>
    <xf numFmtId="0" fontId="26" fillId="0" borderId="5" xfId="0" applyFont="1" applyBorder="1"/>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0" fillId="0" borderId="25" xfId="0" applyBorder="1"/>
    <xf numFmtId="0" fontId="0" fillId="0" borderId="8" xfId="0" applyBorder="1"/>
    <xf numFmtId="0" fontId="0" fillId="0" borderId="1" xfId="0" applyBorder="1" applyAlignment="1">
      <alignment vertical="top" wrapText="1"/>
    </xf>
    <xf numFmtId="1" fontId="8" fillId="0" borderId="3" xfId="1" applyNumberFormat="1" applyFont="1" applyBorder="1" applyAlignment="1" applyProtection="1">
      <alignment horizontal="center" vertical="top" wrapText="1"/>
      <protection locked="0"/>
    </xf>
    <xf numFmtId="165" fontId="7" fillId="0" borderId="0" xfId="1" applyNumberFormat="1" applyFont="1"/>
    <xf numFmtId="0" fontId="12" fillId="0" borderId="1" xfId="1" applyFont="1" applyBorder="1" applyAlignment="1" applyProtection="1">
      <alignment horizontal="center" vertical="top" wrapText="1"/>
      <protection locked="0"/>
    </xf>
    <xf numFmtId="1" fontId="12" fillId="0" borderId="1" xfId="1" applyNumberFormat="1" applyFont="1" applyBorder="1" applyAlignment="1" applyProtection="1">
      <alignment horizontal="center" vertical="top" wrapText="1"/>
      <protection locked="0"/>
    </xf>
    <xf numFmtId="0" fontId="7" fillId="0" borderId="0" xfId="1" applyFont="1" applyAlignment="1">
      <alignment vertical="center"/>
    </xf>
    <xf numFmtId="0" fontId="7" fillId="0" borderId="25" xfId="1" applyFont="1" applyBorder="1" applyAlignment="1">
      <alignment vertical="center"/>
    </xf>
    <xf numFmtId="1" fontId="6" fillId="0" borderId="0" xfId="1" applyNumberFormat="1" applyFont="1" applyAlignment="1" applyProtection="1">
      <alignment horizontal="center" vertical="center" wrapText="1"/>
      <protection locked="0"/>
    </xf>
    <xf numFmtId="1" fontId="13" fillId="0" borderId="3" xfId="1" applyNumberFormat="1" applyFont="1" applyBorder="1" applyAlignment="1" applyProtection="1">
      <alignment horizontal="center" vertical="top" wrapText="1"/>
      <protection locked="0"/>
    </xf>
    <xf numFmtId="1" fontId="8" fillId="0" borderId="17" xfId="1" applyNumberFormat="1" applyFont="1" applyBorder="1" applyAlignment="1" applyProtection="1">
      <alignment horizontal="center" vertical="top" wrapText="1"/>
      <protection locked="0"/>
    </xf>
    <xf numFmtId="1" fontId="4" fillId="0" borderId="3" xfId="1" applyNumberFormat="1" applyFont="1" applyBorder="1" applyAlignment="1" applyProtection="1">
      <alignment horizontal="center" vertical="top" wrapText="1"/>
      <protection locked="0"/>
    </xf>
    <xf numFmtId="169" fontId="7" fillId="0" borderId="0" xfId="1" applyNumberFormat="1" applyFont="1" applyAlignment="1">
      <alignment vertical="center"/>
    </xf>
    <xf numFmtId="2" fontId="7" fillId="0" borderId="0" xfId="1" applyNumberFormat="1" applyFont="1" applyAlignment="1">
      <alignment horizontal="center" vertical="center"/>
    </xf>
    <xf numFmtId="165" fontId="7" fillId="0" borderId="0" xfId="1" applyNumberFormat="1" applyFont="1" applyAlignment="1">
      <alignment vertical="center"/>
    </xf>
    <xf numFmtId="1" fontId="13" fillId="0" borderId="1" xfId="1" applyNumberFormat="1" applyFont="1" applyBorder="1" applyAlignment="1" applyProtection="1">
      <alignment horizontal="center" vertical="top" wrapText="1"/>
      <protection locked="0"/>
    </xf>
    <xf numFmtId="9" fontId="13" fillId="0" borderId="1" xfId="8" applyFont="1" applyFill="1" applyBorder="1" applyAlignment="1" applyProtection="1">
      <alignment horizontal="center" vertical="top" wrapText="1"/>
      <protection locked="0"/>
    </xf>
    <xf numFmtId="0" fontId="25" fillId="2" borderId="15" xfId="0" applyFont="1" applyFill="1" applyBorder="1"/>
    <xf numFmtId="0" fontId="26" fillId="0" borderId="9" xfId="0" applyFont="1" applyBorder="1"/>
    <xf numFmtId="0" fontId="7" fillId="0" borderId="1" xfId="0" applyFont="1" applyBorder="1" applyAlignment="1" applyProtection="1">
      <alignment horizontal="center" vertical="center"/>
      <protection locked="0"/>
    </xf>
    <xf numFmtId="1" fontId="7" fillId="0" borderId="1" xfId="0" applyNumberFormat="1" applyFont="1" applyBorder="1" applyAlignment="1" applyProtection="1">
      <alignment horizontal="center" vertical="center"/>
      <protection locked="0"/>
    </xf>
    <xf numFmtId="1" fontId="8" fillId="0" borderId="1" xfId="0" applyNumberFormat="1" applyFont="1" applyBorder="1" applyAlignment="1" applyProtection="1">
      <alignment horizontal="center" vertical="top" wrapText="1"/>
      <protection locked="0"/>
    </xf>
    <xf numFmtId="1" fontId="8" fillId="0" borderId="1" xfId="1" applyNumberFormat="1" applyFont="1" applyBorder="1" applyAlignment="1" applyProtection="1">
      <alignment horizontal="center" vertical="top" wrapText="1"/>
      <protection locked="0"/>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0" fontId="7" fillId="0" borderId="1" xfId="1" applyFont="1" applyBorder="1" applyAlignment="1" applyProtection="1">
      <alignment horizontal="center" vertical="top" wrapText="1"/>
      <protection locked="0"/>
    </xf>
    <xf numFmtId="0" fontId="6" fillId="0" borderId="8"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12" fillId="0" borderId="19" xfId="1" applyFont="1" applyBorder="1" applyAlignment="1" applyProtection="1">
      <alignment horizontal="left" vertical="top"/>
      <protection locked="0"/>
    </xf>
    <xf numFmtId="0" fontId="12" fillId="0" borderId="2" xfId="1" applyFont="1" applyBorder="1" applyAlignment="1" applyProtection="1">
      <alignment horizontal="left" vertical="top"/>
      <protection locked="0"/>
    </xf>
    <xf numFmtId="0" fontId="12" fillId="0" borderId="20" xfId="1" applyFont="1" applyBorder="1" applyAlignment="1" applyProtection="1">
      <alignment horizontal="left" vertical="top"/>
      <protection locked="0"/>
    </xf>
    <xf numFmtId="1" fontId="10" fillId="0" borderId="8" xfId="0" applyNumberFormat="1" applyFont="1" applyBorder="1" applyAlignment="1" applyProtection="1">
      <alignment horizontal="left" vertical="top" wrapText="1"/>
      <protection locked="0"/>
    </xf>
    <xf numFmtId="1" fontId="10" fillId="0" borderId="21" xfId="0" applyNumberFormat="1" applyFont="1" applyBorder="1" applyAlignment="1" applyProtection="1">
      <alignment horizontal="left" vertical="top" wrapText="1"/>
      <protection locked="0"/>
    </xf>
    <xf numFmtId="1" fontId="10" fillId="0" borderId="9" xfId="0" applyNumberFormat="1" applyFont="1" applyBorder="1" applyAlignment="1" applyProtection="1">
      <alignment horizontal="left" vertical="top" wrapText="1"/>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9" fontId="7" fillId="0" borderId="17" xfId="8" applyFont="1" applyFill="1" applyBorder="1" applyAlignment="1" applyProtection="1">
      <alignment horizontal="center" vertical="center" wrapText="1"/>
      <protection locked="0"/>
    </xf>
    <xf numFmtId="9" fontId="7" fillId="0" borderId="27"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0" fontId="7" fillId="0" borderId="4"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1" fontId="10" fillId="0" borderId="1" xfId="0" applyNumberFormat="1" applyFont="1" applyBorder="1" applyAlignment="1" applyProtection="1">
      <alignment horizontal="center" vertical="center"/>
      <protection locked="0"/>
    </xf>
    <xf numFmtId="0" fontId="6" fillId="0" borderId="1" xfId="1" applyFont="1" applyBorder="1" applyAlignment="1" applyProtection="1">
      <alignment horizontal="left" vertical="top"/>
      <protection locked="0"/>
    </xf>
    <xf numFmtId="0" fontId="7"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0" fontId="10" fillId="0" borderId="1" xfId="0" applyFont="1" applyBorder="1" applyAlignment="1" applyProtection="1">
      <alignment horizontal="center" vertical="center"/>
      <protection locked="0"/>
    </xf>
    <xf numFmtId="0" fontId="10"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left" vertical="top"/>
      <protection locked="0"/>
    </xf>
    <xf numFmtId="0" fontId="8" fillId="0" borderId="1" xfId="1" applyFont="1" applyBorder="1" applyAlignment="1" applyProtection="1">
      <alignment horizontal="left" vertical="top"/>
      <protection locked="0"/>
    </xf>
    <xf numFmtId="0" fontId="12" fillId="0" borderId="3" xfId="1" applyFont="1" applyBorder="1" applyAlignment="1" applyProtection="1">
      <alignment horizontal="left" vertical="top" wrapText="1"/>
      <protection locked="0"/>
    </xf>
    <xf numFmtId="0" fontId="12" fillId="0" borderId="3" xfId="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165" fontId="6"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0" fontId="6" fillId="0" borderId="21" xfId="1" applyFont="1" applyBorder="1" applyAlignment="1" applyProtection="1">
      <alignment horizontal="left" vertical="top" wrapText="1"/>
      <protection locked="0"/>
    </xf>
    <xf numFmtId="0" fontId="13" fillId="0" borderId="8" xfId="1" applyFont="1" applyBorder="1" applyAlignment="1" applyProtection="1">
      <alignment horizontal="left" vertical="top"/>
      <protection locked="0"/>
    </xf>
    <xf numFmtId="0" fontId="13" fillId="0" borderId="21"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0" fontId="15" fillId="0" borderId="19" xfId="1" applyFont="1" applyBorder="1" applyAlignment="1" applyProtection="1">
      <alignment horizontal="left" vertical="top"/>
      <protection locked="0"/>
    </xf>
    <xf numFmtId="0" fontId="15" fillId="0" borderId="2" xfId="1" applyFont="1" applyBorder="1" applyAlignment="1" applyProtection="1">
      <alignment horizontal="left" vertical="top"/>
      <protection locked="0"/>
    </xf>
    <xf numFmtId="0" fontId="15" fillId="0" borderId="20" xfId="1" applyFont="1" applyBorder="1" applyAlignment="1" applyProtection="1">
      <alignment horizontal="left" vertical="top"/>
      <protection locked="0"/>
    </xf>
    <xf numFmtId="0" fontId="12" fillId="0" borderId="25"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12" fillId="0" borderId="17" xfId="1" applyFont="1" applyBorder="1" applyAlignment="1" applyProtection="1">
      <alignment horizontal="left" vertical="top"/>
      <protection locked="0"/>
    </xf>
    <xf numFmtId="0" fontId="12" fillId="0" borderId="24" xfId="1" applyFont="1" applyBorder="1" applyAlignment="1" applyProtection="1">
      <alignment horizontal="left" vertical="top"/>
      <protection locked="0"/>
    </xf>
    <xf numFmtId="0" fontId="12" fillId="0" borderId="18" xfId="1" applyFont="1" applyBorder="1" applyAlignment="1" applyProtection="1">
      <alignment horizontal="left" vertical="top"/>
      <protection locked="0"/>
    </xf>
    <xf numFmtId="0" fontId="12" fillId="0" borderId="1"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2" fontId="6" fillId="0" borderId="1" xfId="1" applyNumberFormat="1" applyFont="1" applyBorder="1" applyAlignment="1" applyProtection="1">
      <alignment horizontal="left" vertical="top" wrapText="1"/>
      <protection locked="0"/>
    </xf>
    <xf numFmtId="0" fontId="27" fillId="0" borderId="1" xfId="10" applyFill="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0" fontId="13" fillId="0" borderId="1"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6" fillId="0" borderId="1" xfId="1" applyFont="1" applyBorder="1" applyAlignment="1" applyProtection="1">
      <alignment horizontal="left" vertical="top" wrapText="1"/>
      <protection locked="0"/>
    </xf>
    <xf numFmtId="0" fontId="12" fillId="0" borderId="1" xfId="1" applyFont="1" applyBorder="1" applyAlignment="1" applyProtection="1">
      <alignment horizontal="left"/>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0" fontId="13" fillId="0" borderId="1" xfId="1" applyFont="1" applyBorder="1" applyAlignment="1" applyProtection="1">
      <alignment horizontal="left" vertical="top"/>
      <protection locked="0"/>
    </xf>
    <xf numFmtId="14" fontId="12" fillId="0" borderId="1" xfId="1" applyNumberFormat="1" applyFont="1" applyBorder="1" applyAlignment="1" applyProtection="1">
      <alignment horizontal="left" vertical="top"/>
      <protection locked="0"/>
    </xf>
    <xf numFmtId="9" fontId="7" fillId="0" borderId="18"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1" fontId="4" fillId="0" borderId="1" xfId="1" applyNumberFormat="1" applyFont="1" applyBorder="1" applyAlignment="1" applyProtection="1">
      <alignment horizontal="center" vertical="top" wrapText="1"/>
      <protection locked="0"/>
    </xf>
    <xf numFmtId="0" fontId="8" fillId="0" borderId="1" xfId="1" applyFont="1" applyBorder="1" applyAlignment="1" applyProtection="1">
      <alignment horizontal="left" vertical="top" wrapText="1"/>
      <protection locked="0"/>
    </xf>
    <xf numFmtId="168" fontId="12" fillId="0" borderId="1" xfId="9" applyNumberFormat="1" applyFont="1" applyFill="1" applyBorder="1" applyAlignment="1" applyProtection="1">
      <alignment horizontal="left" vertical="top"/>
      <protection locked="0"/>
    </xf>
    <xf numFmtId="1" fontId="13" fillId="0" borderId="1" xfId="1" applyNumberFormat="1" applyFont="1" applyBorder="1" applyAlignment="1" applyProtection="1">
      <alignment horizontal="center" vertical="top" wrapText="1"/>
      <protection locked="0"/>
    </xf>
    <xf numFmtId="0" fontId="8" fillId="0" borderId="16" xfId="1" applyFont="1" applyBorder="1" applyAlignment="1" applyProtection="1">
      <alignment horizontal="left" vertical="top"/>
      <protection locked="0"/>
    </xf>
    <xf numFmtId="0" fontId="13" fillId="0" borderId="4" xfId="1" applyFont="1" applyBorder="1" applyAlignment="1" applyProtection="1">
      <alignment horizontal="left" vertical="top"/>
      <protection locked="0"/>
    </xf>
    <xf numFmtId="0" fontId="8" fillId="0" borderId="16" xfId="1" applyFont="1" applyBorder="1" applyAlignment="1" applyProtection="1">
      <alignment horizontal="center" vertical="top"/>
      <protection locked="0"/>
    </xf>
    <xf numFmtId="1" fontId="17" fillId="0" borderId="8" xfId="0" applyNumberFormat="1" applyFont="1" applyBorder="1" applyAlignment="1" applyProtection="1">
      <alignment vertical="top" wrapText="1"/>
      <protection locked="0"/>
    </xf>
    <xf numFmtId="1" fontId="17" fillId="0" borderId="21"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0" fontId="7" fillId="0" borderId="5" xfId="1" applyFont="1" applyBorder="1" applyAlignment="1" applyProtection="1">
      <alignment horizontal="center" vertical="top" wrapText="1"/>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1" fontId="6" fillId="0" borderId="21" xfId="1"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1" fontId="8" fillId="0" borderId="1" xfId="1" applyNumberFormat="1" applyFont="1" applyBorder="1" applyAlignment="1" applyProtection="1">
      <alignment horizontal="center" vertical="center" wrapText="1"/>
      <protection locked="0"/>
    </xf>
    <xf numFmtId="0" fontId="6" fillId="0" borderId="1" xfId="1" applyFont="1" applyBorder="1" applyAlignment="1" applyProtection="1">
      <alignment vertical="top"/>
      <protection locked="0"/>
    </xf>
    <xf numFmtId="0" fontId="7" fillId="0" borderId="25" xfId="1" applyFont="1" applyBorder="1" applyAlignment="1">
      <alignment horizontal="center"/>
    </xf>
    <xf numFmtId="0" fontId="7" fillId="0" borderId="0" xfId="1" applyFont="1" applyAlignment="1">
      <alignment horizontal="center"/>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0" fontId="8" fillId="0" borderId="8" xfId="1" applyFont="1" applyBorder="1" applyAlignment="1" applyProtection="1">
      <alignment horizontal="left" vertical="top"/>
      <protection locked="0"/>
    </xf>
    <xf numFmtId="0" fontId="8" fillId="0" borderId="9" xfId="1" applyFont="1" applyBorder="1" applyAlignment="1" applyProtection="1">
      <alignment horizontal="left" vertical="top"/>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23"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1" fontId="8" fillId="0" borderId="1" xfId="0" applyNumberFormat="1" applyFont="1" applyBorder="1" applyAlignment="1" applyProtection="1">
      <alignment horizontal="left" vertical="top" wrapText="1"/>
      <protection locked="0"/>
    </xf>
    <xf numFmtId="0" fontId="9" fillId="0" borderId="1" xfId="5" applyFont="1" applyBorder="1" applyAlignment="1">
      <alignment horizontal="left"/>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3" Type="http://schemas.openxmlformats.org/officeDocument/2006/relationships/image" Target="../media/image3.jpe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0.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twoCellAnchor editAs="oneCell">
    <xdr:from>
      <xdr:col>8</xdr:col>
      <xdr:colOff>248479</xdr:colOff>
      <xdr:row>48</xdr:row>
      <xdr:rowOff>33130</xdr:rowOff>
    </xdr:from>
    <xdr:to>
      <xdr:col>10</xdr:col>
      <xdr:colOff>486913</xdr:colOff>
      <xdr:row>52</xdr:row>
      <xdr:rowOff>189589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6568109" y="10833652"/>
          <a:ext cx="2160000" cy="1821263"/>
        </a:xfrm>
        <a:prstGeom prst="rect">
          <a:avLst/>
        </a:prstGeom>
      </xdr:spPr>
    </xdr:pic>
    <xdr:clientData/>
  </xdr:twoCellAnchor>
  <xdr:twoCellAnchor>
    <xdr:from>
      <xdr:col>0</xdr:col>
      <xdr:colOff>757692</xdr:colOff>
      <xdr:row>248</xdr:row>
      <xdr:rowOff>55327</xdr:rowOff>
    </xdr:from>
    <xdr:to>
      <xdr:col>6</xdr:col>
      <xdr:colOff>635441</xdr:colOff>
      <xdr:row>287</xdr:row>
      <xdr:rowOff>170180</xdr:rowOff>
    </xdr:to>
    <xdr:grpSp>
      <xdr:nvGrpSpPr>
        <xdr:cNvPr id="12" name="Group 11">
          <a:extLst>
            <a:ext uri="{FF2B5EF4-FFF2-40B4-BE49-F238E27FC236}">
              <a16:creationId xmlns:a16="http://schemas.microsoft.com/office/drawing/2014/main" id="{00000000-0008-0000-0000-00000C000000}"/>
            </a:ext>
          </a:extLst>
        </xdr:cNvPr>
        <xdr:cNvGrpSpPr/>
      </xdr:nvGrpSpPr>
      <xdr:grpSpPr>
        <a:xfrm>
          <a:off x="757692" y="51048367"/>
          <a:ext cx="4884089" cy="7841533"/>
          <a:chOff x="1179106" y="173037"/>
          <a:chExt cx="4320000" cy="7657530"/>
        </a:xfrm>
      </xdr:grpSpPr>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2"/>
          <a:stretch>
            <a:fillRect/>
          </a:stretch>
        </xdr:blipFill>
        <xdr:spPr>
          <a:xfrm>
            <a:off x="1857968" y="4849242"/>
            <a:ext cx="2962275" cy="2981325"/>
          </a:xfrm>
          <a:prstGeom prst="rect">
            <a:avLst/>
          </a:prstGeom>
          <a:ln>
            <a:solidFill>
              <a:schemeClr val="tx1"/>
            </a:solidFill>
          </a:ln>
        </xdr:spPr>
      </xdr:pic>
      <xdr:grpSp>
        <xdr:nvGrpSpPr>
          <xdr:cNvPr id="14" name="Group 13">
            <a:extLst>
              <a:ext uri="{FF2B5EF4-FFF2-40B4-BE49-F238E27FC236}">
                <a16:creationId xmlns:a16="http://schemas.microsoft.com/office/drawing/2014/main" id="{00000000-0008-0000-0000-00000E000000}"/>
              </a:ext>
            </a:extLst>
          </xdr:cNvPr>
          <xdr:cNvGrpSpPr/>
        </xdr:nvGrpSpPr>
        <xdr:grpSpPr>
          <a:xfrm>
            <a:off x="1179106" y="173037"/>
            <a:ext cx="4320000" cy="4545956"/>
            <a:chOff x="1179106" y="173037"/>
            <a:chExt cx="4320000" cy="4545956"/>
          </a:xfrm>
        </xdr:grpSpPr>
        <xdr:pic>
          <xdr:nvPicPr>
            <xdr:cNvPr id="15" name="Picture 14">
              <a:extLst>
                <a:ext uri="{FF2B5EF4-FFF2-40B4-BE49-F238E27FC236}">
                  <a16:creationId xmlns:a16="http://schemas.microsoft.com/office/drawing/2014/main" id="{00000000-0008-0000-0000-00000F000000}"/>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1179106" y="173037"/>
              <a:ext cx="4320000" cy="4545956"/>
            </a:xfrm>
            <a:prstGeom prst="rect">
              <a:avLst/>
            </a:prstGeom>
            <a:ln>
              <a:solidFill>
                <a:schemeClr val="tx1"/>
              </a:solidFill>
            </a:ln>
          </xdr:spPr>
        </xdr:pic>
        <xdr:sp macro="" textlink="">
          <xdr:nvSpPr>
            <xdr:cNvPr id="16" name="Rectangle 15">
              <a:extLst>
                <a:ext uri="{FF2B5EF4-FFF2-40B4-BE49-F238E27FC236}">
                  <a16:creationId xmlns:a16="http://schemas.microsoft.com/office/drawing/2014/main" id="{00000000-0008-0000-0000-000010000000}"/>
                </a:ext>
              </a:extLst>
            </xdr:cNvPr>
            <xdr:cNvSpPr/>
          </xdr:nvSpPr>
          <xdr:spPr>
            <a:xfrm rot="20319401">
              <a:off x="2326442" y="860543"/>
              <a:ext cx="1043066" cy="214606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7" name="Rectangle 16">
              <a:extLst>
                <a:ext uri="{FF2B5EF4-FFF2-40B4-BE49-F238E27FC236}">
                  <a16:creationId xmlns:a16="http://schemas.microsoft.com/office/drawing/2014/main" id="{00000000-0008-0000-0000-000011000000}"/>
                </a:ext>
              </a:extLst>
            </xdr:cNvPr>
            <xdr:cNvSpPr/>
          </xdr:nvSpPr>
          <xdr:spPr>
            <a:xfrm rot="20319401">
              <a:off x="3526591" y="730293"/>
              <a:ext cx="1043066" cy="214606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8" name="TextBox 6">
              <a:extLst>
                <a:ext uri="{FF2B5EF4-FFF2-40B4-BE49-F238E27FC236}">
                  <a16:creationId xmlns:a16="http://schemas.microsoft.com/office/drawing/2014/main" id="{00000000-0008-0000-0000-000012000000}"/>
                </a:ext>
              </a:extLst>
            </xdr:cNvPr>
            <xdr:cNvSpPr txBox="1"/>
          </xdr:nvSpPr>
          <xdr:spPr>
            <a:xfrm rot="20416697">
              <a:off x="3759233" y="2838694"/>
              <a:ext cx="1228221"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FF0000"/>
                  </a:solidFill>
                </a:rPr>
                <a:t>Building No. 2</a:t>
              </a:r>
            </a:p>
          </xdr:txBody>
        </xdr:sp>
        <xdr:sp macro="" textlink="">
          <xdr:nvSpPr>
            <xdr:cNvPr id="19" name="TextBox 7">
              <a:extLst>
                <a:ext uri="{FF2B5EF4-FFF2-40B4-BE49-F238E27FC236}">
                  <a16:creationId xmlns:a16="http://schemas.microsoft.com/office/drawing/2014/main" id="{00000000-0008-0000-0000-000013000000}"/>
                </a:ext>
              </a:extLst>
            </xdr:cNvPr>
            <xdr:cNvSpPr txBox="1"/>
          </xdr:nvSpPr>
          <xdr:spPr>
            <a:xfrm rot="20352020">
              <a:off x="1450980" y="744320"/>
              <a:ext cx="1228221"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FF0000"/>
                  </a:solidFill>
                </a:rPr>
                <a:t>Building No. 1</a:t>
              </a:r>
            </a:p>
          </xdr:txBody>
        </xdr:sp>
      </xdr:grpSp>
    </xdr:grpSp>
    <xdr:clientData/>
  </xdr:twoCellAnchor>
  <xdr:twoCellAnchor>
    <xdr:from>
      <xdr:col>0</xdr:col>
      <xdr:colOff>470122</xdr:colOff>
      <xdr:row>291</xdr:row>
      <xdr:rowOff>24849</xdr:rowOff>
    </xdr:from>
    <xdr:to>
      <xdr:col>7</xdr:col>
      <xdr:colOff>289560</xdr:colOff>
      <xdr:row>330</xdr:row>
      <xdr:rowOff>60961</xdr:rowOff>
    </xdr:to>
    <xdr:grpSp>
      <xdr:nvGrpSpPr>
        <xdr:cNvPr id="20" name="Group 19">
          <a:extLst>
            <a:ext uri="{FF2B5EF4-FFF2-40B4-BE49-F238E27FC236}">
              <a16:creationId xmlns:a16="http://schemas.microsoft.com/office/drawing/2014/main" id="{00000000-0008-0000-0000-000014000000}"/>
            </a:ext>
          </a:extLst>
        </xdr:cNvPr>
        <xdr:cNvGrpSpPr/>
      </xdr:nvGrpSpPr>
      <xdr:grpSpPr>
        <a:xfrm>
          <a:off x="470122" y="59537049"/>
          <a:ext cx="5580158" cy="7762792"/>
          <a:chOff x="845387" y="172528"/>
          <a:chExt cx="5658927" cy="8212348"/>
        </a:xfrm>
      </xdr:grpSpPr>
      <xdr:pic>
        <xdr:nvPicPr>
          <xdr:cNvPr id="21" name="Picture 20">
            <a:extLst>
              <a:ext uri="{FF2B5EF4-FFF2-40B4-BE49-F238E27FC236}">
                <a16:creationId xmlns:a16="http://schemas.microsoft.com/office/drawing/2014/main" id="{00000000-0008-0000-0000-000015000000}"/>
              </a:ext>
            </a:extLst>
          </xdr:cNvPr>
          <xdr:cNvPicPr>
            <a:picLocks noChangeAspect="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a:stretch/>
        </xdr:blipFill>
        <xdr:spPr>
          <a:xfrm>
            <a:off x="1233576" y="172528"/>
            <a:ext cx="4882551" cy="3692106"/>
          </a:xfrm>
          <a:prstGeom prst="rect">
            <a:avLst/>
          </a:prstGeom>
          <a:ln>
            <a:solidFill>
              <a:schemeClr val="tx1"/>
            </a:solidFill>
          </a:ln>
        </xdr:spPr>
      </xdr:pic>
      <xdr:grpSp>
        <xdr:nvGrpSpPr>
          <xdr:cNvPr id="22" name="Group 21">
            <a:extLst>
              <a:ext uri="{FF2B5EF4-FFF2-40B4-BE49-F238E27FC236}">
                <a16:creationId xmlns:a16="http://schemas.microsoft.com/office/drawing/2014/main" id="{00000000-0008-0000-0000-000016000000}"/>
              </a:ext>
            </a:extLst>
          </xdr:cNvPr>
          <xdr:cNvGrpSpPr/>
        </xdr:nvGrpSpPr>
        <xdr:grpSpPr>
          <a:xfrm>
            <a:off x="845387" y="4019909"/>
            <a:ext cx="5658927" cy="4364967"/>
            <a:chOff x="845387" y="4019909"/>
            <a:chExt cx="5658927" cy="4364967"/>
          </a:xfrm>
        </xdr:grpSpPr>
        <xdr:pic>
          <xdr:nvPicPr>
            <xdr:cNvPr id="23" name="Picture 22">
              <a:extLst>
                <a:ext uri="{FF2B5EF4-FFF2-40B4-BE49-F238E27FC236}">
                  <a16:creationId xmlns:a16="http://schemas.microsoft.com/office/drawing/2014/main" id="{00000000-0008-0000-0000-000017000000}"/>
                </a:ext>
              </a:extLst>
            </xdr:cNvPr>
            <xdr:cNvPicPr>
              <a:picLocks noChangeAspect="1"/>
            </xdr:cNvPicPr>
          </xdr:nvPicPr>
          <xdr:blipFill rotWithShape="1">
            <a:blip xmlns:r="http://schemas.openxmlformats.org/officeDocument/2006/relationships" r:embed="rId5" cstate="screen">
              <a:extLst>
                <a:ext uri="{28A0092B-C50C-407E-A947-70E740481C1C}">
                  <a14:useLocalDpi xmlns:a14="http://schemas.microsoft.com/office/drawing/2010/main"/>
                </a:ext>
              </a:extLst>
            </a:blip>
            <a:srcRect/>
            <a:stretch/>
          </xdr:blipFill>
          <xdr:spPr>
            <a:xfrm>
              <a:off x="845387" y="4019909"/>
              <a:ext cx="5658927" cy="4364967"/>
            </a:xfrm>
            <a:prstGeom prst="rect">
              <a:avLst/>
            </a:prstGeom>
            <a:ln>
              <a:solidFill>
                <a:schemeClr val="tx1"/>
              </a:solidFill>
            </a:ln>
          </xdr:spPr>
        </xdr:pic>
        <xdr:sp macro="" textlink="">
          <xdr:nvSpPr>
            <xdr:cNvPr id="24" name="Rectangle 23">
              <a:extLst>
                <a:ext uri="{FF2B5EF4-FFF2-40B4-BE49-F238E27FC236}">
                  <a16:creationId xmlns:a16="http://schemas.microsoft.com/office/drawing/2014/main" id="{00000000-0008-0000-0000-000018000000}"/>
                </a:ext>
              </a:extLst>
            </xdr:cNvPr>
            <xdr:cNvSpPr/>
          </xdr:nvSpPr>
          <xdr:spPr>
            <a:xfrm rot="20680973">
              <a:off x="2907099" y="4399472"/>
              <a:ext cx="1535502" cy="1846052"/>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grpSp>
    <xdr:clientData/>
  </xdr:twoCellAnchor>
  <xdr:twoCellAnchor editAs="oneCell">
    <xdr:from>
      <xdr:col>8</xdr:col>
      <xdr:colOff>171450</xdr:colOff>
      <xdr:row>63</xdr:row>
      <xdr:rowOff>200025</xdr:rowOff>
    </xdr:from>
    <xdr:to>
      <xdr:col>12</xdr:col>
      <xdr:colOff>542429</xdr:colOff>
      <xdr:row>67</xdr:row>
      <xdr:rowOff>76110</xdr:rowOff>
    </xdr:to>
    <xdr:pic>
      <xdr:nvPicPr>
        <xdr:cNvPr id="25" name="Picture 24">
          <a:extLst>
            <a:ext uri="{FF2B5EF4-FFF2-40B4-BE49-F238E27FC236}">
              <a16:creationId xmlns:a16="http://schemas.microsoft.com/office/drawing/2014/main" id="{AF569155-23E3-4DA6-A72F-C8AC54F67BE1}"/>
            </a:ext>
          </a:extLst>
        </xdr:cNvPr>
        <xdr:cNvPicPr>
          <a:picLocks noChangeAspect="1"/>
        </xdr:cNvPicPr>
      </xdr:nvPicPr>
      <xdr:blipFill>
        <a:blip xmlns:r="http://schemas.openxmlformats.org/officeDocument/2006/relationships" r:embed="rId6"/>
        <a:stretch>
          <a:fillRect/>
        </a:stretch>
      </xdr:blipFill>
      <xdr:spPr>
        <a:xfrm>
          <a:off x="6486525" y="13916025"/>
          <a:ext cx="3971429" cy="723810"/>
        </a:xfrm>
        <a:prstGeom prst="rect">
          <a:avLst/>
        </a:prstGeom>
        <a:ln>
          <a:solidFill>
            <a:schemeClr val="tx1"/>
          </a:solidFill>
        </a:ln>
      </xdr:spPr>
    </xdr:pic>
    <xdr:clientData/>
  </xdr:twoCellAnchor>
  <xdr:twoCellAnchor>
    <xdr:from>
      <xdr:col>8</xdr:col>
      <xdr:colOff>434340</xdr:colOff>
      <xdr:row>206</xdr:row>
      <xdr:rowOff>59690</xdr:rowOff>
    </xdr:from>
    <xdr:to>
      <xdr:col>15</xdr:col>
      <xdr:colOff>221514</xdr:colOff>
      <xdr:row>238</xdr:row>
      <xdr:rowOff>14499</xdr:rowOff>
    </xdr:to>
    <xdr:grpSp>
      <xdr:nvGrpSpPr>
        <xdr:cNvPr id="3" name="Group 2">
          <a:extLst>
            <a:ext uri="{FF2B5EF4-FFF2-40B4-BE49-F238E27FC236}">
              <a16:creationId xmlns:a16="http://schemas.microsoft.com/office/drawing/2014/main" id="{00000000-0008-0000-0000-000003000000}"/>
            </a:ext>
          </a:extLst>
        </xdr:cNvPr>
        <xdr:cNvGrpSpPr/>
      </xdr:nvGrpSpPr>
      <xdr:grpSpPr>
        <a:xfrm>
          <a:off x="6949440" y="42739310"/>
          <a:ext cx="5989854" cy="6287029"/>
          <a:chOff x="228600" y="42202100"/>
          <a:chExt cx="6083834" cy="6247659"/>
        </a:xfrm>
      </xdr:grpSpPr>
      <xdr:pic>
        <xdr:nvPicPr>
          <xdr:cNvPr id="26" name="Picture 25">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4161034" y="46289759"/>
            <a:ext cx="1618313" cy="2160000"/>
          </a:xfrm>
          <a:prstGeom prst="rect">
            <a:avLst/>
          </a:prstGeom>
          <a:ln>
            <a:solidFill>
              <a:schemeClr val="tx1"/>
            </a:solidFill>
          </a:ln>
        </xdr:spPr>
      </xdr:pic>
      <xdr:pic>
        <xdr:nvPicPr>
          <xdr:cNvPr id="27" name="Picture 26">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228600" y="42202100"/>
            <a:ext cx="2966907" cy="3960000"/>
          </a:xfrm>
          <a:prstGeom prst="rect">
            <a:avLst/>
          </a:prstGeom>
          <a:ln>
            <a:solidFill>
              <a:schemeClr val="tx1"/>
            </a:solidFill>
          </a:ln>
        </xdr:spPr>
      </xdr:pic>
      <xdr:pic>
        <xdr:nvPicPr>
          <xdr:cNvPr id="28" name="Picture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3345527" y="42202100"/>
            <a:ext cx="2966907" cy="3960000"/>
          </a:xfrm>
          <a:prstGeom prst="rect">
            <a:avLst/>
          </a:prstGeom>
          <a:ln>
            <a:solidFill>
              <a:schemeClr val="tx1"/>
            </a:solidFill>
          </a:ln>
        </xdr:spPr>
      </xdr:pic>
      <xdr:pic>
        <xdr:nvPicPr>
          <xdr:cNvPr id="29" name="Picture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2376444" y="46289759"/>
            <a:ext cx="1618313" cy="2160000"/>
          </a:xfrm>
          <a:prstGeom prst="rect">
            <a:avLst/>
          </a:prstGeom>
          <a:ln>
            <a:solidFill>
              <a:schemeClr val="tx1"/>
            </a:solidFill>
          </a:ln>
        </xdr:spPr>
      </xdr:pic>
      <xdr:pic>
        <xdr:nvPicPr>
          <xdr:cNvPr id="30" name="Picture 29">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591854" y="46289759"/>
            <a:ext cx="1618313" cy="2160000"/>
          </a:xfrm>
          <a:prstGeom prst="rect">
            <a:avLst/>
          </a:prstGeom>
          <a:ln>
            <a:solidFill>
              <a:schemeClr val="tx1"/>
            </a:solidFill>
          </a:ln>
        </xdr:spPr>
      </xdr:pic>
    </xdr:grpSp>
    <xdr:clientData/>
  </xdr:twoCellAnchor>
  <xdr:twoCellAnchor>
    <xdr:from>
      <xdr:col>0</xdr:col>
      <xdr:colOff>91441</xdr:colOff>
      <xdr:row>206</xdr:row>
      <xdr:rowOff>144780</xdr:rowOff>
    </xdr:from>
    <xdr:to>
      <xdr:col>7</xdr:col>
      <xdr:colOff>510541</xdr:colOff>
      <xdr:row>244</xdr:row>
      <xdr:rowOff>167640</xdr:rowOff>
    </xdr:to>
    <xdr:grpSp>
      <xdr:nvGrpSpPr>
        <xdr:cNvPr id="4" name="Group 3">
          <a:extLst>
            <a:ext uri="{FF2B5EF4-FFF2-40B4-BE49-F238E27FC236}">
              <a16:creationId xmlns:a16="http://schemas.microsoft.com/office/drawing/2014/main" id="{FCEFF171-7D6C-1BD7-3C1F-7DCF6A578A90}"/>
            </a:ext>
          </a:extLst>
        </xdr:cNvPr>
        <xdr:cNvGrpSpPr/>
      </xdr:nvGrpSpPr>
      <xdr:grpSpPr>
        <a:xfrm>
          <a:off x="91441" y="42824400"/>
          <a:ext cx="6179820" cy="7543800"/>
          <a:chOff x="149363" y="189095"/>
          <a:chExt cx="6414619" cy="7439237"/>
        </a:xfrm>
      </xdr:grpSpPr>
      <xdr:pic>
        <xdr:nvPicPr>
          <xdr:cNvPr id="5" name="Picture 4">
            <a:extLst>
              <a:ext uri="{FF2B5EF4-FFF2-40B4-BE49-F238E27FC236}">
                <a16:creationId xmlns:a16="http://schemas.microsoft.com/office/drawing/2014/main" id="{C7AB9FD2-418A-C1B5-9831-398E5991F93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4945481" y="5468332"/>
            <a:ext cx="161850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 name="Picture 5">
            <a:extLst>
              <a:ext uri="{FF2B5EF4-FFF2-40B4-BE49-F238E27FC236}">
                <a16:creationId xmlns:a16="http://schemas.microsoft.com/office/drawing/2014/main" id="{002A140E-912A-A480-4EA8-D836107B3B2E}"/>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237385" y="189095"/>
            <a:ext cx="3811616" cy="508686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 name="Picture 6">
            <a:extLst>
              <a:ext uri="{FF2B5EF4-FFF2-40B4-BE49-F238E27FC236}">
                <a16:creationId xmlns:a16="http://schemas.microsoft.com/office/drawing/2014/main" id="{24A879A4-C194-5667-F3F0-A1C3753E0732}"/>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4228346" y="213173"/>
            <a:ext cx="2335636" cy="311706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8" name="Picture 7">
            <a:extLst>
              <a:ext uri="{FF2B5EF4-FFF2-40B4-BE49-F238E27FC236}">
                <a16:creationId xmlns:a16="http://schemas.microsoft.com/office/drawing/2014/main" id="{211025AB-5C3D-22AC-C0EA-2ECE196543CC}"/>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149363" y="5468332"/>
            <a:ext cx="2877336"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9" name="Picture 8">
            <a:extLst>
              <a:ext uri="{FF2B5EF4-FFF2-40B4-BE49-F238E27FC236}">
                <a16:creationId xmlns:a16="http://schemas.microsoft.com/office/drawing/2014/main" id="{1617B20E-746B-E3AF-02C1-F1B97E767FA6}"/>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4228345" y="3522611"/>
            <a:ext cx="2335636" cy="175334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0" name="Picture 9">
            <a:extLst>
              <a:ext uri="{FF2B5EF4-FFF2-40B4-BE49-F238E27FC236}">
                <a16:creationId xmlns:a16="http://schemas.microsoft.com/office/drawing/2014/main" id="{EECB7795-D97B-2A8C-3FC0-739F618BDE09}"/>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3172351" y="5468332"/>
            <a:ext cx="161850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bzsftGEjA7tC9t176"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290"/>
  <sheetViews>
    <sheetView tabSelected="1" view="pageBreakPreview" topLeftCell="A171" zoomScaleNormal="100" zoomScaleSheetLayoutView="100" zoomScalePageLayoutView="85" workbookViewId="0">
      <selection activeCell="I183" sqref="I183"/>
    </sheetView>
  </sheetViews>
  <sheetFormatPr defaultColWidth="9.21875" defaultRowHeight="15.6" x14ac:dyDescent="0.3"/>
  <cols>
    <col min="1" max="1" width="11.44140625" style="39" customWidth="1"/>
    <col min="2" max="2" width="12" style="39" customWidth="1"/>
    <col min="3" max="3" width="12.77734375" style="39" customWidth="1"/>
    <col min="4" max="4" width="13.77734375" style="39" customWidth="1"/>
    <col min="5" max="5" width="11.77734375" style="39" customWidth="1"/>
    <col min="6" max="6" width="11.21875" style="39" customWidth="1"/>
    <col min="7" max="8" width="11" style="39" customWidth="1"/>
    <col min="9" max="9" width="17.44140625" style="20" customWidth="1"/>
    <col min="10" max="10" width="11.44140625" style="20" customWidth="1"/>
    <col min="11" max="11" width="11.21875" style="20" bestFit="1" customWidth="1"/>
    <col min="12" max="12" width="13.77734375" style="20" bestFit="1" customWidth="1"/>
    <col min="13" max="13" width="11.77734375" style="20" customWidth="1"/>
    <col min="14" max="14" width="12.5546875" style="20" customWidth="1"/>
    <col min="15" max="15" width="12.21875" style="20" customWidth="1"/>
    <col min="16" max="16" width="11.77734375" style="20" customWidth="1"/>
    <col min="17" max="18" width="9.21875" style="20"/>
    <col min="19" max="19" width="23.21875" style="20" customWidth="1"/>
    <col min="20" max="20" width="10.77734375" style="20" customWidth="1"/>
    <col min="21" max="247" width="9.21875" style="20"/>
    <col min="248" max="248" width="8.77734375" style="20" customWidth="1"/>
    <col min="249" max="249" width="9.77734375" style="20" customWidth="1"/>
    <col min="250" max="250" width="14.44140625" style="20" customWidth="1"/>
    <col min="251" max="251" width="7.21875" style="20" customWidth="1"/>
    <col min="252" max="252" width="5.5546875" style="20" customWidth="1"/>
    <col min="253" max="253" width="9" style="20" customWidth="1"/>
    <col min="254" max="255" width="9.77734375" style="20" customWidth="1"/>
    <col min="256" max="256" width="11.21875" style="20" customWidth="1"/>
    <col min="257" max="257" width="2.77734375" style="20" customWidth="1"/>
    <col min="258" max="258" width="3.5546875" style="20" customWidth="1"/>
    <col min="259" max="503" width="9.21875" style="20"/>
    <col min="504" max="504" width="8.77734375" style="20" customWidth="1"/>
    <col min="505" max="505" width="9.77734375" style="20" customWidth="1"/>
    <col min="506" max="506" width="14.44140625" style="20" customWidth="1"/>
    <col min="507" max="507" width="7.21875" style="20" customWidth="1"/>
    <col min="508" max="508" width="5.5546875" style="20" customWidth="1"/>
    <col min="509" max="509" width="9" style="20" customWidth="1"/>
    <col min="510" max="511" width="9.77734375" style="20" customWidth="1"/>
    <col min="512" max="512" width="11.21875" style="20" customWidth="1"/>
    <col min="513" max="513" width="2.77734375" style="20" customWidth="1"/>
    <col min="514" max="514" width="3.5546875" style="20" customWidth="1"/>
    <col min="515" max="759" width="9.21875" style="20"/>
    <col min="760" max="760" width="8.77734375" style="20" customWidth="1"/>
    <col min="761" max="761" width="9.77734375" style="20" customWidth="1"/>
    <col min="762" max="762" width="14.44140625" style="20" customWidth="1"/>
    <col min="763" max="763" width="7.21875" style="20" customWidth="1"/>
    <col min="764" max="764" width="5.5546875" style="20" customWidth="1"/>
    <col min="765" max="765" width="9" style="20" customWidth="1"/>
    <col min="766" max="767" width="9.77734375" style="20" customWidth="1"/>
    <col min="768" max="768" width="11.21875" style="20" customWidth="1"/>
    <col min="769" max="769" width="2.77734375" style="20" customWidth="1"/>
    <col min="770" max="770" width="3.5546875" style="20" customWidth="1"/>
    <col min="771" max="1015" width="9.21875" style="20"/>
    <col min="1016" max="1016" width="8.77734375" style="20" customWidth="1"/>
    <col min="1017" max="1017" width="9.77734375" style="20" customWidth="1"/>
    <col min="1018" max="1018" width="14.44140625" style="20" customWidth="1"/>
    <col min="1019" max="1019" width="7.21875" style="20" customWidth="1"/>
    <col min="1020" max="1020" width="5.5546875" style="20" customWidth="1"/>
    <col min="1021" max="1021" width="9" style="20" customWidth="1"/>
    <col min="1022" max="1023" width="9.77734375" style="20" customWidth="1"/>
    <col min="1024" max="1024" width="11.21875" style="20" customWidth="1"/>
    <col min="1025" max="1025" width="2.77734375" style="20" customWidth="1"/>
    <col min="1026" max="1026" width="3.5546875" style="20" customWidth="1"/>
    <col min="1027" max="1271" width="9.21875" style="20"/>
    <col min="1272" max="1272" width="8.77734375" style="20" customWidth="1"/>
    <col min="1273" max="1273" width="9.77734375" style="20" customWidth="1"/>
    <col min="1274" max="1274" width="14.44140625" style="20" customWidth="1"/>
    <col min="1275" max="1275" width="7.21875" style="20" customWidth="1"/>
    <col min="1276" max="1276" width="5.5546875" style="20" customWidth="1"/>
    <col min="1277" max="1277" width="9" style="20" customWidth="1"/>
    <col min="1278" max="1279" width="9.77734375" style="20" customWidth="1"/>
    <col min="1280" max="1280" width="11.21875" style="20" customWidth="1"/>
    <col min="1281" max="1281" width="2.77734375" style="20" customWidth="1"/>
    <col min="1282" max="1282" width="3.5546875" style="20" customWidth="1"/>
    <col min="1283" max="1527" width="9.21875" style="20"/>
    <col min="1528" max="1528" width="8.77734375" style="20" customWidth="1"/>
    <col min="1529" max="1529" width="9.77734375" style="20" customWidth="1"/>
    <col min="1530" max="1530" width="14.44140625" style="20" customWidth="1"/>
    <col min="1531" max="1531" width="7.21875" style="20" customWidth="1"/>
    <col min="1532" max="1532" width="5.5546875" style="20" customWidth="1"/>
    <col min="1533" max="1533" width="9" style="20" customWidth="1"/>
    <col min="1534" max="1535" width="9.77734375" style="20" customWidth="1"/>
    <col min="1536" max="1536" width="11.21875" style="20" customWidth="1"/>
    <col min="1537" max="1537" width="2.77734375" style="20" customWidth="1"/>
    <col min="1538" max="1538" width="3.5546875" style="20" customWidth="1"/>
    <col min="1539" max="1783" width="9.21875" style="20"/>
    <col min="1784" max="1784" width="8.77734375" style="20" customWidth="1"/>
    <col min="1785" max="1785" width="9.77734375" style="20" customWidth="1"/>
    <col min="1786" max="1786" width="14.44140625" style="20" customWidth="1"/>
    <col min="1787" max="1787" width="7.21875" style="20" customWidth="1"/>
    <col min="1788" max="1788" width="5.5546875" style="20" customWidth="1"/>
    <col min="1789" max="1789" width="9" style="20" customWidth="1"/>
    <col min="1790" max="1791" width="9.77734375" style="20" customWidth="1"/>
    <col min="1792" max="1792" width="11.21875" style="20" customWidth="1"/>
    <col min="1793" max="1793" width="2.77734375" style="20" customWidth="1"/>
    <col min="1794" max="1794" width="3.5546875" style="20" customWidth="1"/>
    <col min="1795" max="2039" width="9.21875" style="20"/>
    <col min="2040" max="2040" width="8.77734375" style="20" customWidth="1"/>
    <col min="2041" max="2041" width="9.77734375" style="20" customWidth="1"/>
    <col min="2042" max="2042" width="14.44140625" style="20" customWidth="1"/>
    <col min="2043" max="2043" width="7.21875" style="20" customWidth="1"/>
    <col min="2044" max="2044" width="5.5546875" style="20" customWidth="1"/>
    <col min="2045" max="2045" width="9" style="20" customWidth="1"/>
    <col min="2046" max="2047" width="9.77734375" style="20" customWidth="1"/>
    <col min="2048" max="2048" width="11.21875" style="20" customWidth="1"/>
    <col min="2049" max="2049" width="2.77734375" style="20" customWidth="1"/>
    <col min="2050" max="2050" width="3.5546875" style="20" customWidth="1"/>
    <col min="2051" max="2295" width="9.21875" style="20"/>
    <col min="2296" max="2296" width="8.77734375" style="20" customWidth="1"/>
    <col min="2297" max="2297" width="9.77734375" style="20" customWidth="1"/>
    <col min="2298" max="2298" width="14.44140625" style="20" customWidth="1"/>
    <col min="2299" max="2299" width="7.21875" style="20" customWidth="1"/>
    <col min="2300" max="2300" width="5.5546875" style="20" customWidth="1"/>
    <col min="2301" max="2301" width="9" style="20" customWidth="1"/>
    <col min="2302" max="2303" width="9.77734375" style="20" customWidth="1"/>
    <col min="2304" max="2304" width="11.21875" style="20" customWidth="1"/>
    <col min="2305" max="2305" width="2.77734375" style="20" customWidth="1"/>
    <col min="2306" max="2306" width="3.5546875" style="20" customWidth="1"/>
    <col min="2307" max="2551" width="9.21875" style="20"/>
    <col min="2552" max="2552" width="8.77734375" style="20" customWidth="1"/>
    <col min="2553" max="2553" width="9.77734375" style="20" customWidth="1"/>
    <col min="2554" max="2554" width="14.44140625" style="20" customWidth="1"/>
    <col min="2555" max="2555" width="7.21875" style="20" customWidth="1"/>
    <col min="2556" max="2556" width="5.5546875" style="20" customWidth="1"/>
    <col min="2557" max="2557" width="9" style="20" customWidth="1"/>
    <col min="2558" max="2559" width="9.77734375" style="20" customWidth="1"/>
    <col min="2560" max="2560" width="11.21875" style="20" customWidth="1"/>
    <col min="2561" max="2561" width="2.77734375" style="20" customWidth="1"/>
    <col min="2562" max="2562" width="3.5546875" style="20" customWidth="1"/>
    <col min="2563" max="2807" width="9.21875" style="20"/>
    <col min="2808" max="2808" width="8.77734375" style="20" customWidth="1"/>
    <col min="2809" max="2809" width="9.77734375" style="20" customWidth="1"/>
    <col min="2810" max="2810" width="14.44140625" style="20" customWidth="1"/>
    <col min="2811" max="2811" width="7.21875" style="20" customWidth="1"/>
    <col min="2812" max="2812" width="5.5546875" style="20" customWidth="1"/>
    <col min="2813" max="2813" width="9" style="20" customWidth="1"/>
    <col min="2814" max="2815" width="9.77734375" style="20" customWidth="1"/>
    <col min="2816" max="2816" width="11.21875" style="20" customWidth="1"/>
    <col min="2817" max="2817" width="2.77734375" style="20" customWidth="1"/>
    <col min="2818" max="2818" width="3.5546875" style="20" customWidth="1"/>
    <col min="2819" max="3063" width="9.21875" style="20"/>
    <col min="3064" max="3064" width="8.77734375" style="20" customWidth="1"/>
    <col min="3065" max="3065" width="9.77734375" style="20" customWidth="1"/>
    <col min="3066" max="3066" width="14.44140625" style="20" customWidth="1"/>
    <col min="3067" max="3067" width="7.21875" style="20" customWidth="1"/>
    <col min="3068" max="3068" width="5.5546875" style="20" customWidth="1"/>
    <col min="3069" max="3069" width="9" style="20" customWidth="1"/>
    <col min="3070" max="3071" width="9.77734375" style="20" customWidth="1"/>
    <col min="3072" max="3072" width="11.21875" style="20" customWidth="1"/>
    <col min="3073" max="3073" width="2.77734375" style="20" customWidth="1"/>
    <col min="3074" max="3074" width="3.5546875" style="20" customWidth="1"/>
    <col min="3075" max="3319" width="9.21875" style="20"/>
    <col min="3320" max="3320" width="8.77734375" style="20" customWidth="1"/>
    <col min="3321" max="3321" width="9.77734375" style="20" customWidth="1"/>
    <col min="3322" max="3322" width="14.44140625" style="20" customWidth="1"/>
    <col min="3323" max="3323" width="7.21875" style="20" customWidth="1"/>
    <col min="3324" max="3324" width="5.5546875" style="20" customWidth="1"/>
    <col min="3325" max="3325" width="9" style="20" customWidth="1"/>
    <col min="3326" max="3327" width="9.77734375" style="20" customWidth="1"/>
    <col min="3328" max="3328" width="11.21875" style="20" customWidth="1"/>
    <col min="3329" max="3329" width="2.77734375" style="20" customWidth="1"/>
    <col min="3330" max="3330" width="3.5546875" style="20" customWidth="1"/>
    <col min="3331" max="3575" width="9.21875" style="20"/>
    <col min="3576" max="3576" width="8.77734375" style="20" customWidth="1"/>
    <col min="3577" max="3577" width="9.77734375" style="20" customWidth="1"/>
    <col min="3578" max="3578" width="14.44140625" style="20" customWidth="1"/>
    <col min="3579" max="3579" width="7.21875" style="20" customWidth="1"/>
    <col min="3580" max="3580" width="5.5546875" style="20" customWidth="1"/>
    <col min="3581" max="3581" width="9" style="20" customWidth="1"/>
    <col min="3582" max="3583" width="9.77734375" style="20" customWidth="1"/>
    <col min="3584" max="3584" width="11.21875" style="20" customWidth="1"/>
    <col min="3585" max="3585" width="2.77734375" style="20" customWidth="1"/>
    <col min="3586" max="3586" width="3.5546875" style="20" customWidth="1"/>
    <col min="3587" max="3831" width="9.21875" style="20"/>
    <col min="3832" max="3832" width="8.77734375" style="20" customWidth="1"/>
    <col min="3833" max="3833" width="9.77734375" style="20" customWidth="1"/>
    <col min="3834" max="3834" width="14.44140625" style="20" customWidth="1"/>
    <col min="3835" max="3835" width="7.21875" style="20" customWidth="1"/>
    <col min="3836" max="3836" width="5.5546875" style="20" customWidth="1"/>
    <col min="3837" max="3837" width="9" style="20" customWidth="1"/>
    <col min="3838" max="3839" width="9.77734375" style="20" customWidth="1"/>
    <col min="3840" max="3840" width="11.21875" style="20" customWidth="1"/>
    <col min="3841" max="3841" width="2.77734375" style="20" customWidth="1"/>
    <col min="3842" max="3842" width="3.5546875" style="20" customWidth="1"/>
    <col min="3843" max="4087" width="9.21875" style="20"/>
    <col min="4088" max="4088" width="8.77734375" style="20" customWidth="1"/>
    <col min="4089" max="4089" width="9.77734375" style="20" customWidth="1"/>
    <col min="4090" max="4090" width="14.44140625" style="20" customWidth="1"/>
    <col min="4091" max="4091" width="7.21875" style="20" customWidth="1"/>
    <col min="4092" max="4092" width="5.5546875" style="20" customWidth="1"/>
    <col min="4093" max="4093" width="9" style="20" customWidth="1"/>
    <col min="4094" max="4095" width="9.77734375" style="20" customWidth="1"/>
    <col min="4096" max="4096" width="11.21875" style="20" customWidth="1"/>
    <col min="4097" max="4097" width="2.77734375" style="20" customWidth="1"/>
    <col min="4098" max="4098" width="3.5546875" style="20" customWidth="1"/>
    <col min="4099" max="4343" width="9.21875" style="20"/>
    <col min="4344" max="4344" width="8.77734375" style="20" customWidth="1"/>
    <col min="4345" max="4345" width="9.77734375" style="20" customWidth="1"/>
    <col min="4346" max="4346" width="14.44140625" style="20" customWidth="1"/>
    <col min="4347" max="4347" width="7.21875" style="20" customWidth="1"/>
    <col min="4348" max="4348" width="5.5546875" style="20" customWidth="1"/>
    <col min="4349" max="4349" width="9" style="20" customWidth="1"/>
    <col min="4350" max="4351" width="9.77734375" style="20" customWidth="1"/>
    <col min="4352" max="4352" width="11.21875" style="20" customWidth="1"/>
    <col min="4353" max="4353" width="2.77734375" style="20" customWidth="1"/>
    <col min="4354" max="4354" width="3.5546875" style="20" customWidth="1"/>
    <col min="4355" max="4599" width="9.21875" style="20"/>
    <col min="4600" max="4600" width="8.77734375" style="20" customWidth="1"/>
    <col min="4601" max="4601" width="9.77734375" style="20" customWidth="1"/>
    <col min="4602" max="4602" width="14.44140625" style="20" customWidth="1"/>
    <col min="4603" max="4603" width="7.21875" style="20" customWidth="1"/>
    <col min="4604" max="4604" width="5.5546875" style="20" customWidth="1"/>
    <col min="4605" max="4605" width="9" style="20" customWidth="1"/>
    <col min="4606" max="4607" width="9.77734375" style="20" customWidth="1"/>
    <col min="4608" max="4608" width="11.21875" style="20" customWidth="1"/>
    <col min="4609" max="4609" width="2.77734375" style="20" customWidth="1"/>
    <col min="4610" max="4610" width="3.5546875" style="20" customWidth="1"/>
    <col min="4611" max="4855" width="9.21875" style="20"/>
    <col min="4856" max="4856" width="8.77734375" style="20" customWidth="1"/>
    <col min="4857" max="4857" width="9.77734375" style="20" customWidth="1"/>
    <col min="4858" max="4858" width="14.44140625" style="20" customWidth="1"/>
    <col min="4859" max="4859" width="7.21875" style="20" customWidth="1"/>
    <col min="4860" max="4860" width="5.5546875" style="20" customWidth="1"/>
    <col min="4861" max="4861" width="9" style="20" customWidth="1"/>
    <col min="4862" max="4863" width="9.77734375" style="20" customWidth="1"/>
    <col min="4864" max="4864" width="11.21875" style="20" customWidth="1"/>
    <col min="4865" max="4865" width="2.77734375" style="20" customWidth="1"/>
    <col min="4866" max="4866" width="3.5546875" style="20" customWidth="1"/>
    <col min="4867" max="5111" width="9.21875" style="20"/>
    <col min="5112" max="5112" width="8.77734375" style="20" customWidth="1"/>
    <col min="5113" max="5113" width="9.77734375" style="20" customWidth="1"/>
    <col min="5114" max="5114" width="14.44140625" style="20" customWidth="1"/>
    <col min="5115" max="5115" width="7.21875" style="20" customWidth="1"/>
    <col min="5116" max="5116" width="5.5546875" style="20" customWidth="1"/>
    <col min="5117" max="5117" width="9" style="20" customWidth="1"/>
    <col min="5118" max="5119" width="9.77734375" style="20" customWidth="1"/>
    <col min="5120" max="5120" width="11.21875" style="20" customWidth="1"/>
    <col min="5121" max="5121" width="2.77734375" style="20" customWidth="1"/>
    <col min="5122" max="5122" width="3.5546875" style="20" customWidth="1"/>
    <col min="5123" max="5367" width="9.21875" style="20"/>
    <col min="5368" max="5368" width="8.77734375" style="20" customWidth="1"/>
    <col min="5369" max="5369" width="9.77734375" style="20" customWidth="1"/>
    <col min="5370" max="5370" width="14.44140625" style="20" customWidth="1"/>
    <col min="5371" max="5371" width="7.21875" style="20" customWidth="1"/>
    <col min="5372" max="5372" width="5.5546875" style="20" customWidth="1"/>
    <col min="5373" max="5373" width="9" style="20" customWidth="1"/>
    <col min="5374" max="5375" width="9.77734375" style="20" customWidth="1"/>
    <col min="5376" max="5376" width="11.21875" style="20" customWidth="1"/>
    <col min="5377" max="5377" width="2.77734375" style="20" customWidth="1"/>
    <col min="5378" max="5378" width="3.5546875" style="20" customWidth="1"/>
    <col min="5379" max="5623" width="9.21875" style="20"/>
    <col min="5624" max="5624" width="8.77734375" style="20" customWidth="1"/>
    <col min="5625" max="5625" width="9.77734375" style="20" customWidth="1"/>
    <col min="5626" max="5626" width="14.44140625" style="20" customWidth="1"/>
    <col min="5627" max="5627" width="7.21875" style="20" customWidth="1"/>
    <col min="5628" max="5628" width="5.5546875" style="20" customWidth="1"/>
    <col min="5629" max="5629" width="9" style="20" customWidth="1"/>
    <col min="5630" max="5631" width="9.77734375" style="20" customWidth="1"/>
    <col min="5632" max="5632" width="11.21875" style="20" customWidth="1"/>
    <col min="5633" max="5633" width="2.77734375" style="20" customWidth="1"/>
    <col min="5634" max="5634" width="3.5546875" style="20" customWidth="1"/>
    <col min="5635" max="5879" width="9.21875" style="20"/>
    <col min="5880" max="5880" width="8.77734375" style="20" customWidth="1"/>
    <col min="5881" max="5881" width="9.77734375" style="20" customWidth="1"/>
    <col min="5882" max="5882" width="14.44140625" style="20" customWidth="1"/>
    <col min="5883" max="5883" width="7.21875" style="20" customWidth="1"/>
    <col min="5884" max="5884" width="5.5546875" style="20" customWidth="1"/>
    <col min="5885" max="5885" width="9" style="20" customWidth="1"/>
    <col min="5886" max="5887" width="9.77734375" style="20" customWidth="1"/>
    <col min="5888" max="5888" width="11.21875" style="20" customWidth="1"/>
    <col min="5889" max="5889" width="2.77734375" style="20" customWidth="1"/>
    <col min="5890" max="5890" width="3.5546875" style="20" customWidth="1"/>
    <col min="5891" max="6135" width="9.21875" style="20"/>
    <col min="6136" max="6136" width="8.77734375" style="20" customWidth="1"/>
    <col min="6137" max="6137" width="9.77734375" style="20" customWidth="1"/>
    <col min="6138" max="6138" width="14.44140625" style="20" customWidth="1"/>
    <col min="6139" max="6139" width="7.21875" style="20" customWidth="1"/>
    <col min="6140" max="6140" width="5.5546875" style="20" customWidth="1"/>
    <col min="6141" max="6141" width="9" style="20" customWidth="1"/>
    <col min="6142" max="6143" width="9.77734375" style="20" customWidth="1"/>
    <col min="6144" max="6144" width="11.21875" style="20" customWidth="1"/>
    <col min="6145" max="6145" width="2.77734375" style="20" customWidth="1"/>
    <col min="6146" max="6146" width="3.5546875" style="20" customWidth="1"/>
    <col min="6147" max="6391" width="9.21875" style="20"/>
    <col min="6392" max="6392" width="8.77734375" style="20" customWidth="1"/>
    <col min="6393" max="6393" width="9.77734375" style="20" customWidth="1"/>
    <col min="6394" max="6394" width="14.44140625" style="20" customWidth="1"/>
    <col min="6395" max="6395" width="7.21875" style="20" customWidth="1"/>
    <col min="6396" max="6396" width="5.5546875" style="20" customWidth="1"/>
    <col min="6397" max="6397" width="9" style="20" customWidth="1"/>
    <col min="6398" max="6399" width="9.77734375" style="20" customWidth="1"/>
    <col min="6400" max="6400" width="11.21875" style="20" customWidth="1"/>
    <col min="6401" max="6401" width="2.77734375" style="20" customWidth="1"/>
    <col min="6402" max="6402" width="3.5546875" style="20" customWidth="1"/>
    <col min="6403" max="6647" width="9.21875" style="20"/>
    <col min="6648" max="6648" width="8.77734375" style="20" customWidth="1"/>
    <col min="6649" max="6649" width="9.77734375" style="20" customWidth="1"/>
    <col min="6650" max="6650" width="14.44140625" style="20" customWidth="1"/>
    <col min="6651" max="6651" width="7.21875" style="20" customWidth="1"/>
    <col min="6652" max="6652" width="5.5546875" style="20" customWidth="1"/>
    <col min="6653" max="6653" width="9" style="20" customWidth="1"/>
    <col min="6654" max="6655" width="9.77734375" style="20" customWidth="1"/>
    <col min="6656" max="6656" width="11.21875" style="20" customWidth="1"/>
    <col min="6657" max="6657" width="2.77734375" style="20" customWidth="1"/>
    <col min="6658" max="6658" width="3.5546875" style="20" customWidth="1"/>
    <col min="6659" max="6903" width="9.21875" style="20"/>
    <col min="6904" max="6904" width="8.77734375" style="20" customWidth="1"/>
    <col min="6905" max="6905" width="9.77734375" style="20" customWidth="1"/>
    <col min="6906" max="6906" width="14.44140625" style="20" customWidth="1"/>
    <col min="6907" max="6907" width="7.21875" style="20" customWidth="1"/>
    <col min="6908" max="6908" width="5.5546875" style="20" customWidth="1"/>
    <col min="6909" max="6909" width="9" style="20" customWidth="1"/>
    <col min="6910" max="6911" width="9.77734375" style="20" customWidth="1"/>
    <col min="6912" max="6912" width="11.21875" style="20" customWidth="1"/>
    <col min="6913" max="6913" width="2.77734375" style="20" customWidth="1"/>
    <col min="6914" max="6914" width="3.5546875" style="20" customWidth="1"/>
    <col min="6915" max="7159" width="9.21875" style="20"/>
    <col min="7160" max="7160" width="8.77734375" style="20" customWidth="1"/>
    <col min="7161" max="7161" width="9.77734375" style="20" customWidth="1"/>
    <col min="7162" max="7162" width="14.44140625" style="20" customWidth="1"/>
    <col min="7163" max="7163" width="7.21875" style="20" customWidth="1"/>
    <col min="7164" max="7164" width="5.5546875" style="20" customWidth="1"/>
    <col min="7165" max="7165" width="9" style="20" customWidth="1"/>
    <col min="7166" max="7167" width="9.77734375" style="20" customWidth="1"/>
    <col min="7168" max="7168" width="11.21875" style="20" customWidth="1"/>
    <col min="7169" max="7169" width="2.77734375" style="20" customWidth="1"/>
    <col min="7170" max="7170" width="3.5546875" style="20" customWidth="1"/>
    <col min="7171" max="7415" width="9.21875" style="20"/>
    <col min="7416" max="7416" width="8.77734375" style="20" customWidth="1"/>
    <col min="7417" max="7417" width="9.77734375" style="20" customWidth="1"/>
    <col min="7418" max="7418" width="14.44140625" style="20" customWidth="1"/>
    <col min="7419" max="7419" width="7.21875" style="20" customWidth="1"/>
    <col min="7420" max="7420" width="5.5546875" style="20" customWidth="1"/>
    <col min="7421" max="7421" width="9" style="20" customWidth="1"/>
    <col min="7422" max="7423" width="9.77734375" style="20" customWidth="1"/>
    <col min="7424" max="7424" width="11.21875" style="20" customWidth="1"/>
    <col min="7425" max="7425" width="2.77734375" style="20" customWidth="1"/>
    <col min="7426" max="7426" width="3.5546875" style="20" customWidth="1"/>
    <col min="7427" max="7671" width="9.21875" style="20"/>
    <col min="7672" max="7672" width="8.77734375" style="20" customWidth="1"/>
    <col min="7673" max="7673" width="9.77734375" style="20" customWidth="1"/>
    <col min="7674" max="7674" width="14.44140625" style="20" customWidth="1"/>
    <col min="7675" max="7675" width="7.21875" style="20" customWidth="1"/>
    <col min="7676" max="7676" width="5.5546875" style="20" customWidth="1"/>
    <col min="7677" max="7677" width="9" style="20" customWidth="1"/>
    <col min="7678" max="7679" width="9.77734375" style="20" customWidth="1"/>
    <col min="7680" max="7680" width="11.21875" style="20" customWidth="1"/>
    <col min="7681" max="7681" width="2.77734375" style="20" customWidth="1"/>
    <col min="7682" max="7682" width="3.5546875" style="20" customWidth="1"/>
    <col min="7683" max="7927" width="9.21875" style="20"/>
    <col min="7928" max="7928" width="8.77734375" style="20" customWidth="1"/>
    <col min="7929" max="7929" width="9.77734375" style="20" customWidth="1"/>
    <col min="7930" max="7930" width="14.44140625" style="20" customWidth="1"/>
    <col min="7931" max="7931" width="7.21875" style="20" customWidth="1"/>
    <col min="7932" max="7932" width="5.5546875" style="20" customWidth="1"/>
    <col min="7933" max="7933" width="9" style="20" customWidth="1"/>
    <col min="7934" max="7935" width="9.77734375" style="20" customWidth="1"/>
    <col min="7936" max="7936" width="11.21875" style="20" customWidth="1"/>
    <col min="7937" max="7937" width="2.77734375" style="20" customWidth="1"/>
    <col min="7938" max="7938" width="3.5546875" style="20" customWidth="1"/>
    <col min="7939" max="8183" width="9.21875" style="20"/>
    <col min="8184" max="8184" width="8.77734375" style="20" customWidth="1"/>
    <col min="8185" max="8185" width="9.77734375" style="20" customWidth="1"/>
    <col min="8186" max="8186" width="14.44140625" style="20" customWidth="1"/>
    <col min="8187" max="8187" width="7.21875" style="20" customWidth="1"/>
    <col min="8188" max="8188" width="5.5546875" style="20" customWidth="1"/>
    <col min="8189" max="8189" width="9" style="20" customWidth="1"/>
    <col min="8190" max="8191" width="9.77734375" style="20" customWidth="1"/>
    <col min="8192" max="8192" width="11.21875" style="20" customWidth="1"/>
    <col min="8193" max="8193" width="2.77734375" style="20" customWidth="1"/>
    <col min="8194" max="8194" width="3.5546875" style="20" customWidth="1"/>
    <col min="8195" max="8439" width="9.21875" style="20"/>
    <col min="8440" max="8440" width="8.77734375" style="20" customWidth="1"/>
    <col min="8441" max="8441" width="9.77734375" style="20" customWidth="1"/>
    <col min="8442" max="8442" width="14.44140625" style="20" customWidth="1"/>
    <col min="8443" max="8443" width="7.21875" style="20" customWidth="1"/>
    <col min="8444" max="8444" width="5.5546875" style="20" customWidth="1"/>
    <col min="8445" max="8445" width="9" style="20" customWidth="1"/>
    <col min="8446" max="8447" width="9.77734375" style="20" customWidth="1"/>
    <col min="8448" max="8448" width="11.21875" style="20" customWidth="1"/>
    <col min="8449" max="8449" width="2.77734375" style="20" customWidth="1"/>
    <col min="8450" max="8450" width="3.5546875" style="20" customWidth="1"/>
    <col min="8451" max="8695" width="9.21875" style="20"/>
    <col min="8696" max="8696" width="8.77734375" style="20" customWidth="1"/>
    <col min="8697" max="8697" width="9.77734375" style="20" customWidth="1"/>
    <col min="8698" max="8698" width="14.44140625" style="20" customWidth="1"/>
    <col min="8699" max="8699" width="7.21875" style="20" customWidth="1"/>
    <col min="8700" max="8700" width="5.5546875" style="20" customWidth="1"/>
    <col min="8701" max="8701" width="9" style="20" customWidth="1"/>
    <col min="8702" max="8703" width="9.77734375" style="20" customWidth="1"/>
    <col min="8704" max="8704" width="11.21875" style="20" customWidth="1"/>
    <col min="8705" max="8705" width="2.77734375" style="20" customWidth="1"/>
    <col min="8706" max="8706" width="3.5546875" style="20" customWidth="1"/>
    <col min="8707" max="8951" width="9.21875" style="20"/>
    <col min="8952" max="8952" width="8.77734375" style="20" customWidth="1"/>
    <col min="8953" max="8953" width="9.77734375" style="20" customWidth="1"/>
    <col min="8954" max="8954" width="14.44140625" style="20" customWidth="1"/>
    <col min="8955" max="8955" width="7.21875" style="20" customWidth="1"/>
    <col min="8956" max="8956" width="5.5546875" style="20" customWidth="1"/>
    <col min="8957" max="8957" width="9" style="20" customWidth="1"/>
    <col min="8958" max="8959" width="9.77734375" style="20" customWidth="1"/>
    <col min="8960" max="8960" width="11.21875" style="20" customWidth="1"/>
    <col min="8961" max="8961" width="2.77734375" style="20" customWidth="1"/>
    <col min="8962" max="8962" width="3.5546875" style="20" customWidth="1"/>
    <col min="8963" max="9207" width="9.21875" style="20"/>
    <col min="9208" max="9208" width="8.77734375" style="20" customWidth="1"/>
    <col min="9209" max="9209" width="9.77734375" style="20" customWidth="1"/>
    <col min="9210" max="9210" width="14.44140625" style="20" customWidth="1"/>
    <col min="9211" max="9211" width="7.21875" style="20" customWidth="1"/>
    <col min="9212" max="9212" width="5.5546875" style="20" customWidth="1"/>
    <col min="9213" max="9213" width="9" style="20" customWidth="1"/>
    <col min="9214" max="9215" width="9.77734375" style="20" customWidth="1"/>
    <col min="9216" max="9216" width="11.21875" style="20" customWidth="1"/>
    <col min="9217" max="9217" width="2.77734375" style="20" customWidth="1"/>
    <col min="9218" max="9218" width="3.5546875" style="20" customWidth="1"/>
    <col min="9219" max="9463" width="9.21875" style="20"/>
    <col min="9464" max="9464" width="8.77734375" style="20" customWidth="1"/>
    <col min="9465" max="9465" width="9.77734375" style="20" customWidth="1"/>
    <col min="9466" max="9466" width="14.44140625" style="20" customWidth="1"/>
    <col min="9467" max="9467" width="7.21875" style="20" customWidth="1"/>
    <col min="9468" max="9468" width="5.5546875" style="20" customWidth="1"/>
    <col min="9469" max="9469" width="9" style="20" customWidth="1"/>
    <col min="9470" max="9471" width="9.77734375" style="20" customWidth="1"/>
    <col min="9472" max="9472" width="11.21875" style="20" customWidth="1"/>
    <col min="9473" max="9473" width="2.77734375" style="20" customWidth="1"/>
    <col min="9474" max="9474" width="3.5546875" style="20" customWidth="1"/>
    <col min="9475" max="9719" width="9.21875" style="20"/>
    <col min="9720" max="9720" width="8.77734375" style="20" customWidth="1"/>
    <col min="9721" max="9721" width="9.77734375" style="20" customWidth="1"/>
    <col min="9722" max="9722" width="14.44140625" style="20" customWidth="1"/>
    <col min="9723" max="9723" width="7.21875" style="20" customWidth="1"/>
    <col min="9724" max="9724" width="5.5546875" style="20" customWidth="1"/>
    <col min="9725" max="9725" width="9" style="20" customWidth="1"/>
    <col min="9726" max="9727" width="9.77734375" style="20" customWidth="1"/>
    <col min="9728" max="9728" width="11.21875" style="20" customWidth="1"/>
    <col min="9729" max="9729" width="2.77734375" style="20" customWidth="1"/>
    <col min="9730" max="9730" width="3.5546875" style="20" customWidth="1"/>
    <col min="9731" max="9975" width="9.21875" style="20"/>
    <col min="9976" max="9976" width="8.77734375" style="20" customWidth="1"/>
    <col min="9977" max="9977" width="9.77734375" style="20" customWidth="1"/>
    <col min="9978" max="9978" width="14.44140625" style="20" customWidth="1"/>
    <col min="9979" max="9979" width="7.21875" style="20" customWidth="1"/>
    <col min="9980" max="9980" width="5.5546875" style="20" customWidth="1"/>
    <col min="9981" max="9981" width="9" style="20" customWidth="1"/>
    <col min="9982" max="9983" width="9.77734375" style="20" customWidth="1"/>
    <col min="9984" max="9984" width="11.21875" style="20" customWidth="1"/>
    <col min="9985" max="9985" width="2.77734375" style="20" customWidth="1"/>
    <col min="9986" max="9986" width="3.5546875" style="20" customWidth="1"/>
    <col min="9987" max="10231" width="9.21875" style="20"/>
    <col min="10232" max="10232" width="8.77734375" style="20" customWidth="1"/>
    <col min="10233" max="10233" width="9.77734375" style="20" customWidth="1"/>
    <col min="10234" max="10234" width="14.44140625" style="20" customWidth="1"/>
    <col min="10235" max="10235" width="7.21875" style="20" customWidth="1"/>
    <col min="10236" max="10236" width="5.5546875" style="20" customWidth="1"/>
    <col min="10237" max="10237" width="9" style="20" customWidth="1"/>
    <col min="10238" max="10239" width="9.77734375" style="20" customWidth="1"/>
    <col min="10240" max="10240" width="11.21875" style="20" customWidth="1"/>
    <col min="10241" max="10241" width="2.77734375" style="20" customWidth="1"/>
    <col min="10242" max="10242" width="3.5546875" style="20" customWidth="1"/>
    <col min="10243" max="10487" width="9.21875" style="20"/>
    <col min="10488" max="10488" width="8.77734375" style="20" customWidth="1"/>
    <col min="10489" max="10489" width="9.77734375" style="20" customWidth="1"/>
    <col min="10490" max="10490" width="14.44140625" style="20" customWidth="1"/>
    <col min="10491" max="10491" width="7.21875" style="20" customWidth="1"/>
    <col min="10492" max="10492" width="5.5546875" style="20" customWidth="1"/>
    <col min="10493" max="10493" width="9" style="20" customWidth="1"/>
    <col min="10494" max="10495" width="9.77734375" style="20" customWidth="1"/>
    <col min="10496" max="10496" width="11.21875" style="20" customWidth="1"/>
    <col min="10497" max="10497" width="2.77734375" style="20" customWidth="1"/>
    <col min="10498" max="10498" width="3.5546875" style="20" customWidth="1"/>
    <col min="10499" max="10743" width="9.21875" style="20"/>
    <col min="10744" max="10744" width="8.77734375" style="20" customWidth="1"/>
    <col min="10745" max="10745" width="9.77734375" style="20" customWidth="1"/>
    <col min="10746" max="10746" width="14.44140625" style="20" customWidth="1"/>
    <col min="10747" max="10747" width="7.21875" style="20" customWidth="1"/>
    <col min="10748" max="10748" width="5.5546875" style="20" customWidth="1"/>
    <col min="10749" max="10749" width="9" style="20" customWidth="1"/>
    <col min="10750" max="10751" width="9.77734375" style="20" customWidth="1"/>
    <col min="10752" max="10752" width="11.21875" style="20" customWidth="1"/>
    <col min="10753" max="10753" width="2.77734375" style="20" customWidth="1"/>
    <col min="10754" max="10754" width="3.5546875" style="20" customWidth="1"/>
    <col min="10755" max="10999" width="9.21875" style="20"/>
    <col min="11000" max="11000" width="8.77734375" style="20" customWidth="1"/>
    <col min="11001" max="11001" width="9.77734375" style="20" customWidth="1"/>
    <col min="11002" max="11002" width="14.44140625" style="20" customWidth="1"/>
    <col min="11003" max="11003" width="7.21875" style="20" customWidth="1"/>
    <col min="11004" max="11004" width="5.5546875" style="20" customWidth="1"/>
    <col min="11005" max="11005" width="9" style="20" customWidth="1"/>
    <col min="11006" max="11007" width="9.77734375" style="20" customWidth="1"/>
    <col min="11008" max="11008" width="11.21875" style="20" customWidth="1"/>
    <col min="11009" max="11009" width="2.77734375" style="20" customWidth="1"/>
    <col min="11010" max="11010" width="3.5546875" style="20" customWidth="1"/>
    <col min="11011" max="11255" width="9.21875" style="20"/>
    <col min="11256" max="11256" width="8.77734375" style="20" customWidth="1"/>
    <col min="11257" max="11257" width="9.77734375" style="20" customWidth="1"/>
    <col min="11258" max="11258" width="14.44140625" style="20" customWidth="1"/>
    <col min="11259" max="11259" width="7.21875" style="20" customWidth="1"/>
    <col min="11260" max="11260" width="5.5546875" style="20" customWidth="1"/>
    <col min="11261" max="11261" width="9" style="20" customWidth="1"/>
    <col min="11262" max="11263" width="9.77734375" style="20" customWidth="1"/>
    <col min="11264" max="11264" width="11.21875" style="20" customWidth="1"/>
    <col min="11265" max="11265" width="2.77734375" style="20" customWidth="1"/>
    <col min="11266" max="11266" width="3.5546875" style="20" customWidth="1"/>
    <col min="11267" max="11511" width="9.21875" style="20"/>
    <col min="11512" max="11512" width="8.77734375" style="20" customWidth="1"/>
    <col min="11513" max="11513" width="9.77734375" style="20" customWidth="1"/>
    <col min="11514" max="11514" width="14.44140625" style="20" customWidth="1"/>
    <col min="11515" max="11515" width="7.21875" style="20" customWidth="1"/>
    <col min="11516" max="11516" width="5.5546875" style="20" customWidth="1"/>
    <col min="11517" max="11517" width="9" style="20" customWidth="1"/>
    <col min="11518" max="11519" width="9.77734375" style="20" customWidth="1"/>
    <col min="11520" max="11520" width="11.21875" style="20" customWidth="1"/>
    <col min="11521" max="11521" width="2.77734375" style="20" customWidth="1"/>
    <col min="11522" max="11522" width="3.5546875" style="20" customWidth="1"/>
    <col min="11523" max="11767" width="9.21875" style="20"/>
    <col min="11768" max="11768" width="8.77734375" style="20" customWidth="1"/>
    <col min="11769" max="11769" width="9.77734375" style="20" customWidth="1"/>
    <col min="11770" max="11770" width="14.44140625" style="20" customWidth="1"/>
    <col min="11771" max="11771" width="7.21875" style="20" customWidth="1"/>
    <col min="11772" max="11772" width="5.5546875" style="20" customWidth="1"/>
    <col min="11773" max="11773" width="9" style="20" customWidth="1"/>
    <col min="11774" max="11775" width="9.77734375" style="20" customWidth="1"/>
    <col min="11776" max="11776" width="11.21875" style="20" customWidth="1"/>
    <col min="11777" max="11777" width="2.77734375" style="20" customWidth="1"/>
    <col min="11778" max="11778" width="3.5546875" style="20" customWidth="1"/>
    <col min="11779" max="12023" width="9.21875" style="20"/>
    <col min="12024" max="12024" width="8.77734375" style="20" customWidth="1"/>
    <col min="12025" max="12025" width="9.77734375" style="20" customWidth="1"/>
    <col min="12026" max="12026" width="14.44140625" style="20" customWidth="1"/>
    <col min="12027" max="12027" width="7.21875" style="20" customWidth="1"/>
    <col min="12028" max="12028" width="5.5546875" style="20" customWidth="1"/>
    <col min="12029" max="12029" width="9" style="20" customWidth="1"/>
    <col min="12030" max="12031" width="9.77734375" style="20" customWidth="1"/>
    <col min="12032" max="12032" width="11.21875" style="20" customWidth="1"/>
    <col min="12033" max="12033" width="2.77734375" style="20" customWidth="1"/>
    <col min="12034" max="12034" width="3.5546875" style="20" customWidth="1"/>
    <col min="12035" max="12279" width="9.21875" style="20"/>
    <col min="12280" max="12280" width="8.77734375" style="20" customWidth="1"/>
    <col min="12281" max="12281" width="9.77734375" style="20" customWidth="1"/>
    <col min="12282" max="12282" width="14.44140625" style="20" customWidth="1"/>
    <col min="12283" max="12283" width="7.21875" style="20" customWidth="1"/>
    <col min="12284" max="12284" width="5.5546875" style="20" customWidth="1"/>
    <col min="12285" max="12285" width="9" style="20" customWidth="1"/>
    <col min="12286" max="12287" width="9.77734375" style="20" customWidth="1"/>
    <col min="12288" max="12288" width="11.21875" style="20" customWidth="1"/>
    <col min="12289" max="12289" width="2.77734375" style="20" customWidth="1"/>
    <col min="12290" max="12290" width="3.5546875" style="20" customWidth="1"/>
    <col min="12291" max="12535" width="9.21875" style="20"/>
    <col min="12536" max="12536" width="8.77734375" style="20" customWidth="1"/>
    <col min="12537" max="12537" width="9.77734375" style="20" customWidth="1"/>
    <col min="12538" max="12538" width="14.44140625" style="20" customWidth="1"/>
    <col min="12539" max="12539" width="7.21875" style="20" customWidth="1"/>
    <col min="12540" max="12540" width="5.5546875" style="20" customWidth="1"/>
    <col min="12541" max="12541" width="9" style="20" customWidth="1"/>
    <col min="12542" max="12543" width="9.77734375" style="20" customWidth="1"/>
    <col min="12544" max="12544" width="11.21875" style="20" customWidth="1"/>
    <col min="12545" max="12545" width="2.77734375" style="20" customWidth="1"/>
    <col min="12546" max="12546" width="3.5546875" style="20" customWidth="1"/>
    <col min="12547" max="12791" width="9.21875" style="20"/>
    <col min="12792" max="12792" width="8.77734375" style="20" customWidth="1"/>
    <col min="12793" max="12793" width="9.77734375" style="20" customWidth="1"/>
    <col min="12794" max="12794" width="14.44140625" style="20" customWidth="1"/>
    <col min="12795" max="12795" width="7.21875" style="20" customWidth="1"/>
    <col min="12796" max="12796" width="5.5546875" style="20" customWidth="1"/>
    <col min="12797" max="12797" width="9" style="20" customWidth="1"/>
    <col min="12798" max="12799" width="9.77734375" style="20" customWidth="1"/>
    <col min="12800" max="12800" width="11.21875" style="20" customWidth="1"/>
    <col min="12801" max="12801" width="2.77734375" style="20" customWidth="1"/>
    <col min="12802" max="12802" width="3.5546875" style="20" customWidth="1"/>
    <col min="12803" max="13047" width="9.21875" style="20"/>
    <col min="13048" max="13048" width="8.77734375" style="20" customWidth="1"/>
    <col min="13049" max="13049" width="9.77734375" style="20" customWidth="1"/>
    <col min="13050" max="13050" width="14.44140625" style="20" customWidth="1"/>
    <col min="13051" max="13051" width="7.21875" style="20" customWidth="1"/>
    <col min="13052" max="13052" width="5.5546875" style="20" customWidth="1"/>
    <col min="13053" max="13053" width="9" style="20" customWidth="1"/>
    <col min="13054" max="13055" width="9.77734375" style="20" customWidth="1"/>
    <col min="13056" max="13056" width="11.21875" style="20" customWidth="1"/>
    <col min="13057" max="13057" width="2.77734375" style="20" customWidth="1"/>
    <col min="13058" max="13058" width="3.5546875" style="20" customWidth="1"/>
    <col min="13059" max="13303" width="9.21875" style="20"/>
    <col min="13304" max="13304" width="8.77734375" style="20" customWidth="1"/>
    <col min="13305" max="13305" width="9.77734375" style="20" customWidth="1"/>
    <col min="13306" max="13306" width="14.44140625" style="20" customWidth="1"/>
    <col min="13307" max="13307" width="7.21875" style="20" customWidth="1"/>
    <col min="13308" max="13308" width="5.5546875" style="20" customWidth="1"/>
    <col min="13309" max="13309" width="9" style="20" customWidth="1"/>
    <col min="13310" max="13311" width="9.77734375" style="20" customWidth="1"/>
    <col min="13312" max="13312" width="11.21875" style="20" customWidth="1"/>
    <col min="13313" max="13313" width="2.77734375" style="20" customWidth="1"/>
    <col min="13314" max="13314" width="3.5546875" style="20" customWidth="1"/>
    <col min="13315" max="13559" width="9.21875" style="20"/>
    <col min="13560" max="13560" width="8.77734375" style="20" customWidth="1"/>
    <col min="13561" max="13561" width="9.77734375" style="20" customWidth="1"/>
    <col min="13562" max="13562" width="14.44140625" style="20" customWidth="1"/>
    <col min="13563" max="13563" width="7.21875" style="20" customWidth="1"/>
    <col min="13564" max="13564" width="5.5546875" style="20" customWidth="1"/>
    <col min="13565" max="13565" width="9" style="20" customWidth="1"/>
    <col min="13566" max="13567" width="9.77734375" style="20" customWidth="1"/>
    <col min="13568" max="13568" width="11.21875" style="20" customWidth="1"/>
    <col min="13569" max="13569" width="2.77734375" style="20" customWidth="1"/>
    <col min="13570" max="13570" width="3.5546875" style="20" customWidth="1"/>
    <col min="13571" max="13815" width="9.21875" style="20"/>
    <col min="13816" max="13816" width="8.77734375" style="20" customWidth="1"/>
    <col min="13817" max="13817" width="9.77734375" style="20" customWidth="1"/>
    <col min="13818" max="13818" width="14.44140625" style="20" customWidth="1"/>
    <col min="13819" max="13819" width="7.21875" style="20" customWidth="1"/>
    <col min="13820" max="13820" width="5.5546875" style="20" customWidth="1"/>
    <col min="13821" max="13821" width="9" style="20" customWidth="1"/>
    <col min="13822" max="13823" width="9.77734375" style="20" customWidth="1"/>
    <col min="13824" max="13824" width="11.21875" style="20" customWidth="1"/>
    <col min="13825" max="13825" width="2.77734375" style="20" customWidth="1"/>
    <col min="13826" max="13826" width="3.5546875" style="20" customWidth="1"/>
    <col min="13827" max="14071" width="9.21875" style="20"/>
    <col min="14072" max="14072" width="8.77734375" style="20" customWidth="1"/>
    <col min="14073" max="14073" width="9.77734375" style="20" customWidth="1"/>
    <col min="14074" max="14074" width="14.44140625" style="20" customWidth="1"/>
    <col min="14075" max="14075" width="7.21875" style="20" customWidth="1"/>
    <col min="14076" max="14076" width="5.5546875" style="20" customWidth="1"/>
    <col min="14077" max="14077" width="9" style="20" customWidth="1"/>
    <col min="14078" max="14079" width="9.77734375" style="20" customWidth="1"/>
    <col min="14080" max="14080" width="11.21875" style="20" customWidth="1"/>
    <col min="14081" max="14081" width="2.77734375" style="20" customWidth="1"/>
    <col min="14082" max="14082" width="3.5546875" style="20" customWidth="1"/>
    <col min="14083" max="14327" width="9.21875" style="20"/>
    <col min="14328" max="14328" width="8.77734375" style="20" customWidth="1"/>
    <col min="14329" max="14329" width="9.77734375" style="20" customWidth="1"/>
    <col min="14330" max="14330" width="14.44140625" style="20" customWidth="1"/>
    <col min="14331" max="14331" width="7.21875" style="20" customWidth="1"/>
    <col min="14332" max="14332" width="5.5546875" style="20" customWidth="1"/>
    <col min="14333" max="14333" width="9" style="20" customWidth="1"/>
    <col min="14334" max="14335" width="9.77734375" style="20" customWidth="1"/>
    <col min="14336" max="14336" width="11.21875" style="20" customWidth="1"/>
    <col min="14337" max="14337" width="2.77734375" style="20" customWidth="1"/>
    <col min="14338" max="14338" width="3.5546875" style="20" customWidth="1"/>
    <col min="14339" max="14583" width="9.21875" style="20"/>
    <col min="14584" max="14584" width="8.77734375" style="20" customWidth="1"/>
    <col min="14585" max="14585" width="9.77734375" style="20" customWidth="1"/>
    <col min="14586" max="14586" width="14.44140625" style="20" customWidth="1"/>
    <col min="14587" max="14587" width="7.21875" style="20" customWidth="1"/>
    <col min="14588" max="14588" width="5.5546875" style="20" customWidth="1"/>
    <col min="14589" max="14589" width="9" style="20" customWidth="1"/>
    <col min="14590" max="14591" width="9.77734375" style="20" customWidth="1"/>
    <col min="14592" max="14592" width="11.21875" style="20" customWidth="1"/>
    <col min="14593" max="14593" width="2.77734375" style="20" customWidth="1"/>
    <col min="14594" max="14594" width="3.5546875" style="20" customWidth="1"/>
    <col min="14595" max="14839" width="9.21875" style="20"/>
    <col min="14840" max="14840" width="8.77734375" style="20" customWidth="1"/>
    <col min="14841" max="14841" width="9.77734375" style="20" customWidth="1"/>
    <col min="14842" max="14842" width="14.44140625" style="20" customWidth="1"/>
    <col min="14843" max="14843" width="7.21875" style="20" customWidth="1"/>
    <col min="14844" max="14844" width="5.5546875" style="20" customWidth="1"/>
    <col min="14845" max="14845" width="9" style="20" customWidth="1"/>
    <col min="14846" max="14847" width="9.77734375" style="20" customWidth="1"/>
    <col min="14848" max="14848" width="11.21875" style="20" customWidth="1"/>
    <col min="14849" max="14849" width="2.77734375" style="20" customWidth="1"/>
    <col min="14850" max="14850" width="3.5546875" style="20" customWidth="1"/>
    <col min="14851" max="15095" width="9.21875" style="20"/>
    <col min="15096" max="15096" width="8.77734375" style="20" customWidth="1"/>
    <col min="15097" max="15097" width="9.77734375" style="20" customWidth="1"/>
    <col min="15098" max="15098" width="14.44140625" style="20" customWidth="1"/>
    <col min="15099" max="15099" width="7.21875" style="20" customWidth="1"/>
    <col min="15100" max="15100" width="5.5546875" style="20" customWidth="1"/>
    <col min="15101" max="15101" width="9" style="20" customWidth="1"/>
    <col min="15102" max="15103" width="9.77734375" style="20" customWidth="1"/>
    <col min="15104" max="15104" width="11.21875" style="20" customWidth="1"/>
    <col min="15105" max="15105" width="2.77734375" style="20" customWidth="1"/>
    <col min="15106" max="15106" width="3.5546875" style="20" customWidth="1"/>
    <col min="15107" max="15351" width="9.21875" style="20"/>
    <col min="15352" max="15352" width="8.77734375" style="20" customWidth="1"/>
    <col min="15353" max="15353" width="9.77734375" style="20" customWidth="1"/>
    <col min="15354" max="15354" width="14.44140625" style="20" customWidth="1"/>
    <col min="15355" max="15355" width="7.21875" style="20" customWidth="1"/>
    <col min="15356" max="15356" width="5.5546875" style="20" customWidth="1"/>
    <col min="15357" max="15357" width="9" style="20" customWidth="1"/>
    <col min="15358" max="15359" width="9.77734375" style="20" customWidth="1"/>
    <col min="15360" max="15360" width="11.21875" style="20" customWidth="1"/>
    <col min="15361" max="15361" width="2.77734375" style="20" customWidth="1"/>
    <col min="15362" max="15362" width="3.5546875" style="20" customWidth="1"/>
    <col min="15363" max="15607" width="9.21875" style="20"/>
    <col min="15608" max="15608" width="8.77734375" style="20" customWidth="1"/>
    <col min="15609" max="15609" width="9.77734375" style="20" customWidth="1"/>
    <col min="15610" max="15610" width="14.44140625" style="20" customWidth="1"/>
    <col min="15611" max="15611" width="7.21875" style="20" customWidth="1"/>
    <col min="15612" max="15612" width="5.5546875" style="20" customWidth="1"/>
    <col min="15613" max="15613" width="9" style="20" customWidth="1"/>
    <col min="15614" max="15615" width="9.77734375" style="20" customWidth="1"/>
    <col min="15616" max="15616" width="11.21875" style="20" customWidth="1"/>
    <col min="15617" max="15617" width="2.77734375" style="20" customWidth="1"/>
    <col min="15618" max="15618" width="3.5546875" style="20" customWidth="1"/>
    <col min="15619" max="15863" width="9.21875" style="20"/>
    <col min="15864" max="15864" width="8.77734375" style="20" customWidth="1"/>
    <col min="15865" max="15865" width="9.77734375" style="20" customWidth="1"/>
    <col min="15866" max="15866" width="14.44140625" style="20" customWidth="1"/>
    <col min="15867" max="15867" width="7.21875" style="20" customWidth="1"/>
    <col min="15868" max="15868" width="5.5546875" style="20" customWidth="1"/>
    <col min="15869" max="15869" width="9" style="20" customWidth="1"/>
    <col min="15870" max="15871" width="9.77734375" style="20" customWidth="1"/>
    <col min="15872" max="15872" width="11.21875" style="20" customWidth="1"/>
    <col min="15873" max="15873" width="2.77734375" style="20" customWidth="1"/>
    <col min="15874" max="15874" width="3.5546875" style="20" customWidth="1"/>
    <col min="15875" max="16119" width="9.21875" style="20"/>
    <col min="16120" max="16120" width="8.77734375" style="20" customWidth="1"/>
    <col min="16121" max="16121" width="9.77734375" style="20" customWidth="1"/>
    <col min="16122" max="16122" width="14.44140625" style="20" customWidth="1"/>
    <col min="16123" max="16123" width="7.21875" style="20" customWidth="1"/>
    <col min="16124" max="16124" width="5.5546875" style="20" customWidth="1"/>
    <col min="16125" max="16125" width="9" style="20" customWidth="1"/>
    <col min="16126" max="16127" width="9.77734375" style="20" customWidth="1"/>
    <col min="16128" max="16128" width="11.21875" style="20" customWidth="1"/>
    <col min="16129" max="16129" width="2.77734375" style="20" customWidth="1"/>
    <col min="16130" max="16130" width="3.5546875" style="20" customWidth="1"/>
    <col min="16131" max="16384" width="9.21875" style="20"/>
  </cols>
  <sheetData>
    <row r="1" spans="1:26" ht="46.5" customHeight="1" x14ac:dyDescent="0.3">
      <c r="A1" s="149" t="s">
        <v>161</v>
      </c>
      <c r="B1" s="149"/>
      <c r="C1" s="149"/>
      <c r="D1" s="149"/>
      <c r="E1" s="149"/>
      <c r="F1" s="149"/>
      <c r="G1" s="149"/>
      <c r="H1" s="149"/>
    </row>
    <row r="2" spans="1:26" ht="16.5" customHeight="1" x14ac:dyDescent="0.3">
      <c r="A2" s="150" t="s">
        <v>0</v>
      </c>
      <c r="B2" s="150"/>
      <c r="C2" s="150"/>
      <c r="D2" s="150"/>
      <c r="E2" s="150"/>
      <c r="F2" s="150"/>
      <c r="G2" s="150"/>
      <c r="H2" s="150"/>
    </row>
    <row r="3" spans="1:26" x14ac:dyDescent="0.3">
      <c r="A3" s="112" t="s">
        <v>1</v>
      </c>
      <c r="B3" s="112"/>
      <c r="C3" s="112"/>
      <c r="D3" s="112"/>
      <c r="E3" s="112" t="str">
        <f ca="1">TEXT(TODAY(),"DD/MM/YYYY")</f>
        <v>13/08/2025</v>
      </c>
      <c r="F3" s="112"/>
      <c r="G3" s="112"/>
      <c r="H3" s="112"/>
      <c r="K3" s="54" t="s">
        <v>235</v>
      </c>
      <c r="L3" s="53" t="s">
        <v>233</v>
      </c>
      <c r="M3" s="53" t="s">
        <v>238</v>
      </c>
      <c r="N3" s="53" t="s">
        <v>236</v>
      </c>
      <c r="O3" s="53" t="s">
        <v>237</v>
      </c>
      <c r="P3" s="53" t="s">
        <v>239</v>
      </c>
    </row>
    <row r="4" spans="1:26" ht="15" customHeight="1" x14ac:dyDescent="0.3">
      <c r="A4" s="112" t="s">
        <v>232</v>
      </c>
      <c r="B4" s="112"/>
      <c r="C4" s="112"/>
      <c r="D4" s="112"/>
      <c r="E4" s="112" t="s">
        <v>233</v>
      </c>
      <c r="F4" s="112"/>
      <c r="G4" s="112"/>
      <c r="H4" s="112"/>
      <c r="K4" s="52" t="s">
        <v>234</v>
      </c>
      <c r="L4" s="53" t="s">
        <v>168</v>
      </c>
      <c r="M4" s="53" t="s">
        <v>243</v>
      </c>
      <c r="N4" s="53" t="s">
        <v>245</v>
      </c>
      <c r="O4" s="53" t="s">
        <v>247</v>
      </c>
      <c r="P4" s="53"/>
    </row>
    <row r="5" spans="1:26" ht="15" customHeight="1" x14ac:dyDescent="0.3">
      <c r="A5" s="112" t="s">
        <v>2</v>
      </c>
      <c r="B5" s="112"/>
      <c r="C5" s="112"/>
      <c r="D5" s="112"/>
      <c r="E5" s="112" t="s">
        <v>240</v>
      </c>
      <c r="F5" s="112"/>
      <c r="G5" s="112"/>
      <c r="H5" s="112"/>
      <c r="K5" s="52"/>
      <c r="L5" s="53" t="s">
        <v>240</v>
      </c>
      <c r="M5" s="53" t="s">
        <v>244</v>
      </c>
      <c r="N5" s="53" t="s">
        <v>246</v>
      </c>
      <c r="O5" s="53" t="s">
        <v>248</v>
      </c>
      <c r="P5" s="53"/>
    </row>
    <row r="6" spans="1:26" x14ac:dyDescent="0.3">
      <c r="A6" s="112" t="s">
        <v>3</v>
      </c>
      <c r="B6" s="112"/>
      <c r="C6" s="112"/>
      <c r="D6" s="112"/>
      <c r="E6" s="152">
        <v>45881</v>
      </c>
      <c r="F6" s="112"/>
      <c r="G6" s="112"/>
      <c r="H6" s="112"/>
      <c r="K6" s="52"/>
      <c r="L6" s="53" t="s">
        <v>241</v>
      </c>
      <c r="M6" s="53"/>
      <c r="N6" s="53"/>
      <c r="O6" s="53" t="s">
        <v>249</v>
      </c>
      <c r="P6" s="53"/>
    </row>
    <row r="7" spans="1:26" ht="16.5" customHeight="1" x14ac:dyDescent="0.3">
      <c r="A7" s="112" t="s">
        <v>4</v>
      </c>
      <c r="B7" s="112"/>
      <c r="C7" s="112"/>
      <c r="D7" s="112"/>
      <c r="E7" s="112" t="s">
        <v>303</v>
      </c>
      <c r="F7" s="112"/>
      <c r="G7" s="112"/>
      <c r="H7" s="112"/>
      <c r="K7" s="52"/>
      <c r="L7" s="53" t="s">
        <v>242</v>
      </c>
      <c r="M7" s="53"/>
      <c r="N7" s="53"/>
      <c r="O7" s="53" t="s">
        <v>249</v>
      </c>
      <c r="P7" s="53"/>
    </row>
    <row r="8" spans="1:26" ht="15" customHeight="1" x14ac:dyDescent="0.3">
      <c r="A8" s="112" t="s">
        <v>5</v>
      </c>
      <c r="B8" s="112"/>
      <c r="C8" s="112"/>
      <c r="D8" s="112"/>
      <c r="E8" s="112" t="str">
        <f>E7</f>
        <v xml:space="preserve">Buildtech Ventures Realty </v>
      </c>
      <c r="F8" s="112"/>
      <c r="G8" s="112"/>
      <c r="H8" s="112"/>
      <c r="K8" s="52"/>
      <c r="L8" s="53"/>
      <c r="M8" s="53"/>
      <c r="N8" s="53"/>
      <c r="O8" s="53" t="s">
        <v>250</v>
      </c>
      <c r="P8" s="53"/>
    </row>
    <row r="9" spans="1:26" x14ac:dyDescent="0.3">
      <c r="A9" s="112" t="s">
        <v>6</v>
      </c>
      <c r="B9" s="112"/>
      <c r="C9" s="112"/>
      <c r="D9" s="112"/>
      <c r="E9" s="151" t="s">
        <v>302</v>
      </c>
      <c r="F9" s="151"/>
      <c r="G9" s="151"/>
      <c r="H9" s="151"/>
      <c r="K9" s="52"/>
      <c r="L9" s="53"/>
      <c r="M9" s="53"/>
      <c r="N9" s="53"/>
      <c r="O9" s="53" t="s">
        <v>251</v>
      </c>
      <c r="P9" s="53"/>
    </row>
    <row r="10" spans="1:26" x14ac:dyDescent="0.3">
      <c r="A10" s="112" t="s">
        <v>164</v>
      </c>
      <c r="B10" s="112"/>
      <c r="C10" s="112"/>
      <c r="D10" s="112"/>
      <c r="E10" s="143" t="s">
        <v>301</v>
      </c>
      <c r="F10" s="112"/>
      <c r="G10" s="112"/>
      <c r="H10" s="112"/>
      <c r="K10" s="52"/>
      <c r="L10" s="53"/>
      <c r="M10" s="53"/>
      <c r="N10" s="53"/>
      <c r="O10" s="53"/>
      <c r="P10" s="53"/>
    </row>
    <row r="11" spans="1:26" x14ac:dyDescent="0.3">
      <c r="A11" s="112" t="s">
        <v>165</v>
      </c>
      <c r="B11" s="112"/>
      <c r="C11" s="112"/>
      <c r="D11" s="112"/>
      <c r="E11" s="112" t="s">
        <v>304</v>
      </c>
      <c r="F11" s="112"/>
      <c r="G11" s="112"/>
      <c r="H11" s="112"/>
    </row>
    <row r="12" spans="1:26" x14ac:dyDescent="0.3">
      <c r="A12" s="112" t="s">
        <v>7</v>
      </c>
      <c r="B12" s="112"/>
      <c r="C12" s="112"/>
      <c r="D12" s="112"/>
      <c r="E12" s="112" t="s">
        <v>321</v>
      </c>
      <c r="F12" s="112"/>
      <c r="G12" s="112"/>
      <c r="H12" s="112"/>
    </row>
    <row r="13" spans="1:26" x14ac:dyDescent="0.3">
      <c r="A13" s="112" t="s">
        <v>169</v>
      </c>
      <c r="B13" s="112"/>
      <c r="C13" s="112"/>
      <c r="D13" s="112"/>
      <c r="E13" s="112" t="s">
        <v>28</v>
      </c>
      <c r="F13" s="112"/>
      <c r="G13" s="112"/>
      <c r="H13" s="112"/>
      <c r="S13" s="53" t="s">
        <v>177</v>
      </c>
      <c r="T13" s="53" t="s">
        <v>187</v>
      </c>
      <c r="U13" s="53" t="s">
        <v>170</v>
      </c>
      <c r="V13" s="53" t="s">
        <v>192</v>
      </c>
      <c r="W13" s="53" t="s">
        <v>210</v>
      </c>
      <c r="X13"/>
      <c r="Y13" t="s">
        <v>192</v>
      </c>
      <c r="Z13" t="e">
        <f ca="1">OFFSET($S$13,1,MATCH($G20,$S$13:$W$13,0)-1,15,1)</f>
        <v>#VALUE!</v>
      </c>
    </row>
    <row r="14" spans="1:26" ht="30.75" customHeight="1" x14ac:dyDescent="0.3">
      <c r="A14" s="106" t="s">
        <v>278</v>
      </c>
      <c r="B14" s="106"/>
      <c r="C14" s="106"/>
      <c r="D14" s="106"/>
      <c r="E14" s="143" t="s">
        <v>350</v>
      </c>
      <c r="F14" s="143"/>
      <c r="G14" s="143"/>
      <c r="H14" s="143"/>
      <c r="S14" s="53" t="s">
        <v>178</v>
      </c>
      <c r="T14" s="53" t="s">
        <v>185</v>
      </c>
      <c r="U14" s="53" t="s">
        <v>207</v>
      </c>
      <c r="V14" s="53" t="s">
        <v>193</v>
      </c>
      <c r="W14" s="53" t="s">
        <v>211</v>
      </c>
      <c r="X14"/>
      <c r="Y14"/>
      <c r="Z14"/>
    </row>
    <row r="15" spans="1:26" x14ac:dyDescent="0.3">
      <c r="A15" s="106" t="s">
        <v>8</v>
      </c>
      <c r="B15" s="106"/>
      <c r="C15" s="106"/>
      <c r="D15" s="106"/>
      <c r="E15" s="143" t="s">
        <v>305</v>
      </c>
      <c r="F15" s="112"/>
      <c r="G15" s="112"/>
      <c r="H15" s="112"/>
      <c r="I15" s="184" t="e">
        <f ca="1">OFFSET($D$5,1,MATCH($J13,$D$5:$H$5,0)-1,15,1)</f>
        <v>#N/A</v>
      </c>
      <c r="J15" s="185"/>
      <c r="K15" s="185"/>
      <c r="L15" s="185"/>
      <c r="M15" s="185"/>
      <c r="N15" s="185"/>
      <c r="O15" s="185"/>
      <c r="P15" s="185"/>
      <c r="S15" s="53" t="s">
        <v>179</v>
      </c>
      <c r="T15" s="53" t="s">
        <v>186</v>
      </c>
      <c r="U15" s="53" t="s">
        <v>208</v>
      </c>
      <c r="V15" s="53" t="s">
        <v>194</v>
      </c>
      <c r="W15" s="53" t="s">
        <v>224</v>
      </c>
      <c r="X15"/>
      <c r="Y15"/>
      <c r="Z15"/>
    </row>
    <row r="16" spans="1:26" ht="33.75" customHeight="1" x14ac:dyDescent="0.3">
      <c r="A16" s="147" t="s">
        <v>9</v>
      </c>
      <c r="B16" s="147"/>
      <c r="C16" s="147" t="str">
        <f>CONCATENATE((IF(OR(E9="",E9="NA"),"",E9)),", ",(IF(OR(A17="",A17="NA"),"",A17)),".",(IF(OR(C17="",C17="NA"),"",C17)),", near ",(IF(OR(C22="",C22="NA"),"",C22)),", ",(IF(OR(C19="",C19="NA"),"",C19)),", ",(IF(OR(C18="",C18="NA"),"",C18)),", ",(IF(OR(G19="",G19="NA"),"",G19)),", ",(IF(OR(C20="",C20="NA"),"",C20)),", ",(IF(OR(C21="",C21="NA"),"",C21)),", ",(IF(OR(G20="",G20="NA"),"",G20))," - ",(IF(OR(G21="",G21="NA"),"",G21)),".")</f>
        <v>Om Square , Survey No.40, Hissa No. 3, near Om Sai Heritage, Gali No. 2 Road, Kasheli, Kalher, Bhiwandi, Bhiwandi, Thane  - 421302.</v>
      </c>
      <c r="D16" s="147"/>
      <c r="E16" s="147"/>
      <c r="F16" s="147"/>
      <c r="G16" s="147"/>
      <c r="H16" s="147"/>
      <c r="S16" s="53" t="s">
        <v>180</v>
      </c>
      <c r="T16" s="53" t="s">
        <v>188</v>
      </c>
      <c r="U16" s="53" t="s">
        <v>209</v>
      </c>
      <c r="V16" s="53" t="s">
        <v>195</v>
      </c>
      <c r="W16" s="53" t="s">
        <v>212</v>
      </c>
      <c r="X16"/>
      <c r="Y16"/>
      <c r="Z16"/>
    </row>
    <row r="17" spans="1:26" x14ac:dyDescent="0.3">
      <c r="A17" s="143" t="s">
        <v>306</v>
      </c>
      <c r="B17" s="143"/>
      <c r="C17" s="143" t="s">
        <v>342</v>
      </c>
      <c r="D17" s="143"/>
      <c r="E17" s="143"/>
      <c r="F17" s="143"/>
      <c r="G17" s="143"/>
      <c r="H17" s="143"/>
      <c r="S17" s="53" t="s">
        <v>181</v>
      </c>
      <c r="T17" s="53" t="s">
        <v>189</v>
      </c>
      <c r="U17" s="53" t="s">
        <v>170</v>
      </c>
      <c r="V17" s="53" t="s">
        <v>196</v>
      </c>
      <c r="W17" s="53" t="s">
        <v>213</v>
      </c>
      <c r="X17"/>
      <c r="Y17"/>
      <c r="Z17"/>
    </row>
    <row r="18" spans="1:26" ht="15.75" customHeight="1" x14ac:dyDescent="0.3">
      <c r="A18" s="143" t="s">
        <v>159</v>
      </c>
      <c r="B18" s="143"/>
      <c r="C18" s="143" t="s">
        <v>310</v>
      </c>
      <c r="D18" s="143"/>
      <c r="E18" s="143"/>
      <c r="F18" s="143"/>
      <c r="G18" s="143"/>
      <c r="H18" s="143"/>
      <c r="S18" s="53" t="s">
        <v>182</v>
      </c>
      <c r="T18" s="53" t="s">
        <v>187</v>
      </c>
      <c r="U18" s="53"/>
      <c r="V18" s="53" t="s">
        <v>197</v>
      </c>
      <c r="W18" s="53" t="s">
        <v>214</v>
      </c>
      <c r="X18"/>
      <c r="Y18"/>
      <c r="Z18"/>
    </row>
    <row r="19" spans="1:26" ht="15.75" customHeight="1" x14ac:dyDescent="0.3">
      <c r="A19" s="147" t="s">
        <v>10</v>
      </c>
      <c r="B19" s="147"/>
      <c r="C19" s="112" t="s">
        <v>311</v>
      </c>
      <c r="D19" s="112"/>
      <c r="E19" s="147" t="s">
        <v>70</v>
      </c>
      <c r="F19" s="147"/>
      <c r="G19" s="143" t="s">
        <v>307</v>
      </c>
      <c r="H19" s="143"/>
      <c r="S19" s="53" t="s">
        <v>183</v>
      </c>
      <c r="T19" s="53" t="s">
        <v>190</v>
      </c>
      <c r="U19" s="53"/>
      <c r="V19" s="53" t="s">
        <v>198</v>
      </c>
      <c r="W19" s="53" t="s">
        <v>215</v>
      </c>
      <c r="X19"/>
      <c r="Y19"/>
      <c r="Z19"/>
    </row>
    <row r="20" spans="1:26" x14ac:dyDescent="0.3">
      <c r="A20" s="106" t="s">
        <v>12</v>
      </c>
      <c r="B20" s="106"/>
      <c r="C20" s="143" t="s">
        <v>181</v>
      </c>
      <c r="D20" s="143"/>
      <c r="E20" s="143" t="s">
        <v>11</v>
      </c>
      <c r="F20" s="143"/>
      <c r="G20" s="148" t="s">
        <v>177</v>
      </c>
      <c r="H20" s="148"/>
      <c r="S20" s="53" t="s">
        <v>184</v>
      </c>
      <c r="T20" s="53" t="s">
        <v>191</v>
      </c>
      <c r="U20" s="53"/>
      <c r="V20" s="53" t="s">
        <v>199</v>
      </c>
      <c r="W20" s="53" t="s">
        <v>216</v>
      </c>
      <c r="X20"/>
      <c r="Y20"/>
      <c r="Z20"/>
    </row>
    <row r="21" spans="1:26" x14ac:dyDescent="0.3">
      <c r="A21" s="106" t="s">
        <v>71</v>
      </c>
      <c r="B21" s="106"/>
      <c r="C21" s="143" t="s">
        <v>181</v>
      </c>
      <c r="D21" s="143"/>
      <c r="E21" s="143" t="s">
        <v>13</v>
      </c>
      <c r="F21" s="143"/>
      <c r="G21" s="143">
        <v>421302</v>
      </c>
      <c r="H21" s="143"/>
      <c r="S21" s="53"/>
      <c r="T21" s="53"/>
      <c r="U21" s="53"/>
      <c r="V21" s="53" t="s">
        <v>200</v>
      </c>
      <c r="W21" s="53" t="s">
        <v>217</v>
      </c>
      <c r="X21"/>
      <c r="Y21"/>
      <c r="Z21"/>
    </row>
    <row r="22" spans="1:26" ht="49.5" customHeight="1" x14ac:dyDescent="0.3">
      <c r="A22" s="106" t="s">
        <v>118</v>
      </c>
      <c r="B22" s="106"/>
      <c r="C22" s="143" t="s">
        <v>312</v>
      </c>
      <c r="D22" s="143"/>
      <c r="E22" s="143" t="s">
        <v>14</v>
      </c>
      <c r="F22" s="143"/>
      <c r="G22" s="143" t="s">
        <v>313</v>
      </c>
      <c r="H22" s="143"/>
      <c r="S22" s="53"/>
      <c r="T22" s="53"/>
      <c r="U22" s="53"/>
      <c r="V22" s="53" t="s">
        <v>201</v>
      </c>
      <c r="W22" s="53" t="s">
        <v>218</v>
      </c>
      <c r="X22"/>
      <c r="Y22"/>
      <c r="Z22"/>
    </row>
    <row r="23" spans="1:26" ht="15" customHeight="1" x14ac:dyDescent="0.3">
      <c r="A23" s="147" t="s">
        <v>73</v>
      </c>
      <c r="B23" s="147"/>
      <c r="C23" s="147"/>
      <c r="D23" s="147"/>
      <c r="E23" s="112" t="s">
        <v>15</v>
      </c>
      <c r="F23" s="112"/>
      <c r="G23" s="112"/>
      <c r="H23" s="112"/>
      <c r="S23" s="53"/>
      <c r="T23" s="53"/>
      <c r="U23" s="53"/>
      <c r="V23" s="53" t="s">
        <v>202</v>
      </c>
      <c r="W23" s="53" t="s">
        <v>219</v>
      </c>
      <c r="X23"/>
      <c r="Y23"/>
      <c r="Z23"/>
    </row>
    <row r="24" spans="1:26" ht="18.75" customHeight="1" x14ac:dyDescent="0.3">
      <c r="A24" s="147"/>
      <c r="B24" s="147"/>
      <c r="C24" s="147"/>
      <c r="D24" s="147"/>
      <c r="E24" s="112"/>
      <c r="F24" s="112"/>
      <c r="G24" s="112"/>
      <c r="H24" s="112"/>
      <c r="S24" s="53"/>
      <c r="T24" s="53"/>
      <c r="U24" s="53"/>
      <c r="V24" s="53" t="s">
        <v>203</v>
      </c>
      <c r="W24" s="53" t="s">
        <v>220</v>
      </c>
      <c r="X24"/>
      <c r="Y24"/>
      <c r="Z24"/>
    </row>
    <row r="25" spans="1:26" ht="15" customHeight="1" x14ac:dyDescent="0.3">
      <c r="A25" s="147" t="s">
        <v>16</v>
      </c>
      <c r="B25" s="147"/>
      <c r="C25" s="147"/>
      <c r="D25" s="147"/>
      <c r="E25" s="143" t="s">
        <v>17</v>
      </c>
      <c r="F25" s="143"/>
      <c r="G25" s="143"/>
      <c r="H25" s="143"/>
      <c r="S25" s="53"/>
      <c r="T25" s="53"/>
      <c r="U25" s="53"/>
      <c r="V25" s="53" t="s">
        <v>204</v>
      </c>
      <c r="W25" s="53" t="s">
        <v>221</v>
      </c>
      <c r="X25"/>
      <c r="Y25"/>
      <c r="Z25"/>
    </row>
    <row r="26" spans="1:26" ht="15" customHeight="1" x14ac:dyDescent="0.3">
      <c r="A26" s="106" t="s">
        <v>18</v>
      </c>
      <c r="B26" s="106"/>
      <c r="C26" s="106"/>
      <c r="D26" s="106"/>
      <c r="E26" s="143" t="str">
        <f>IF(AND(G20="Mumbai"),"Upper Class","Middle Class")</f>
        <v>Middle Class</v>
      </c>
      <c r="F26" s="143"/>
      <c r="G26" s="143"/>
      <c r="H26" s="143"/>
      <c r="S26" s="53"/>
      <c r="T26" s="53"/>
      <c r="U26" s="53"/>
      <c r="V26" s="53" t="s">
        <v>205</v>
      </c>
      <c r="W26" s="53" t="s">
        <v>222</v>
      </c>
      <c r="X26"/>
      <c r="Y26"/>
      <c r="Z26"/>
    </row>
    <row r="27" spans="1:26" x14ac:dyDescent="0.3">
      <c r="A27" s="106" t="s">
        <v>19</v>
      </c>
      <c r="B27" s="106"/>
      <c r="C27" s="106"/>
      <c r="D27" s="106"/>
      <c r="E27" s="143" t="s">
        <v>20</v>
      </c>
      <c r="F27" s="143"/>
      <c r="G27" s="143"/>
      <c r="H27" s="143"/>
      <c r="S27" s="53"/>
      <c r="T27" s="53"/>
      <c r="U27" s="53"/>
      <c r="V27" s="53" t="s">
        <v>206</v>
      </c>
      <c r="W27" s="53" t="s">
        <v>223</v>
      </c>
      <c r="X27"/>
      <c r="Y27"/>
      <c r="Z27"/>
    </row>
    <row r="28" spans="1:26" ht="15.75" customHeight="1" x14ac:dyDescent="0.3">
      <c r="A28" s="106" t="s">
        <v>21</v>
      </c>
      <c r="B28" s="106"/>
      <c r="C28" s="106"/>
      <c r="D28" s="106"/>
      <c r="E28" s="143" t="str">
        <f>IF(AND(G20="Mumbai"),"Developed","Developing")</f>
        <v>Developing</v>
      </c>
      <c r="F28" s="143"/>
      <c r="G28" s="143"/>
      <c r="H28" s="143"/>
    </row>
    <row r="29" spans="1:26" x14ac:dyDescent="0.3">
      <c r="A29" s="106" t="s">
        <v>22</v>
      </c>
      <c r="B29" s="106"/>
      <c r="C29" s="106"/>
      <c r="D29" s="106"/>
      <c r="E29" s="143" t="s">
        <v>23</v>
      </c>
      <c r="F29" s="143"/>
      <c r="G29" s="143"/>
      <c r="H29" s="143"/>
    </row>
    <row r="30" spans="1:26" ht="15.75" customHeight="1" x14ac:dyDescent="0.3">
      <c r="A30" s="106" t="s">
        <v>78</v>
      </c>
      <c r="B30" s="106"/>
      <c r="C30" s="106"/>
      <c r="D30" s="106"/>
      <c r="E30" s="143" t="s">
        <v>79</v>
      </c>
      <c r="F30" s="143"/>
      <c r="G30" s="143"/>
      <c r="H30" s="143"/>
    </row>
    <row r="31" spans="1:26" ht="15" customHeight="1" x14ac:dyDescent="0.3">
      <c r="A31" s="106" t="s">
        <v>30</v>
      </c>
      <c r="B31" s="106"/>
      <c r="C31" s="106"/>
      <c r="D31" s="106"/>
      <c r="E31" s="143"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143"/>
      <c r="G31" s="143"/>
      <c r="H31" s="143"/>
    </row>
    <row r="32" spans="1:26" ht="15.75" customHeight="1" x14ac:dyDescent="0.3">
      <c r="A32" s="106" t="s">
        <v>90</v>
      </c>
      <c r="B32" s="106"/>
      <c r="C32" s="106"/>
      <c r="D32" s="106"/>
      <c r="E32" s="143" t="s">
        <v>31</v>
      </c>
      <c r="F32" s="143"/>
      <c r="G32" s="143"/>
      <c r="H32" s="143"/>
    </row>
    <row r="33" spans="1:19" s="21" customFormat="1" x14ac:dyDescent="0.3">
      <c r="A33" s="146" t="s">
        <v>91</v>
      </c>
      <c r="B33" s="146"/>
      <c r="C33" s="145" t="s">
        <v>171</v>
      </c>
      <c r="D33" s="145"/>
      <c r="E33" s="145"/>
      <c r="F33" s="145" t="s">
        <v>29</v>
      </c>
      <c r="G33" s="145"/>
      <c r="H33" s="145"/>
      <c r="S33" s="21" t="e">
        <f ca="1">OFFSET($S$13,1,MATCH($G20,$S$13:$W$13,0)-1,15,1)</f>
        <v>#VALUE!</v>
      </c>
    </row>
    <row r="34" spans="1:19" s="21" customFormat="1" x14ac:dyDescent="0.3">
      <c r="A34" s="140" t="s">
        <v>24</v>
      </c>
      <c r="B34" s="140" t="s">
        <v>28</v>
      </c>
      <c r="C34" s="139" t="s">
        <v>315</v>
      </c>
      <c r="D34" s="139"/>
      <c r="E34" s="139"/>
      <c r="F34" s="139" t="s">
        <v>319</v>
      </c>
      <c r="G34" s="139"/>
      <c r="H34" s="139"/>
    </row>
    <row r="35" spans="1:19" x14ac:dyDescent="0.3">
      <c r="A35" s="140" t="s">
        <v>25</v>
      </c>
      <c r="B35" s="140" t="s">
        <v>28</v>
      </c>
      <c r="C35" s="139" t="s">
        <v>316</v>
      </c>
      <c r="D35" s="139"/>
      <c r="E35" s="139"/>
      <c r="F35" s="139" t="s">
        <v>319</v>
      </c>
      <c r="G35" s="139"/>
      <c r="H35" s="139"/>
    </row>
    <row r="36" spans="1:19" s="21" customFormat="1" x14ac:dyDescent="0.3">
      <c r="A36" s="140" t="s">
        <v>27</v>
      </c>
      <c r="B36" s="140" t="s">
        <v>28</v>
      </c>
      <c r="C36" s="139" t="s">
        <v>314</v>
      </c>
      <c r="D36" s="139"/>
      <c r="E36" s="139"/>
      <c r="F36" s="139" t="s">
        <v>319</v>
      </c>
      <c r="G36" s="139"/>
      <c r="H36" s="139"/>
    </row>
    <row r="37" spans="1:19" x14ac:dyDescent="0.3">
      <c r="A37" s="140" t="s">
        <v>26</v>
      </c>
      <c r="B37" s="140" t="s">
        <v>28</v>
      </c>
      <c r="C37" s="139" t="s">
        <v>317</v>
      </c>
      <c r="D37" s="139"/>
      <c r="E37" s="139"/>
      <c r="F37" s="139" t="s">
        <v>318</v>
      </c>
      <c r="G37" s="139"/>
      <c r="H37" s="139"/>
    </row>
    <row r="38" spans="1:19" x14ac:dyDescent="0.3">
      <c r="A38" s="106" t="s">
        <v>279</v>
      </c>
      <c r="B38" s="106"/>
      <c r="C38" s="106"/>
      <c r="D38" s="106"/>
      <c r="E38" s="106"/>
      <c r="F38" s="106"/>
      <c r="G38" s="106"/>
      <c r="H38" s="106"/>
    </row>
    <row r="39" spans="1:19" ht="15.75" customHeight="1" x14ac:dyDescent="0.3">
      <c r="A39" s="106" t="s">
        <v>162</v>
      </c>
      <c r="B39" s="106"/>
      <c r="C39" s="113" t="s">
        <v>308</v>
      </c>
      <c r="D39" s="113"/>
      <c r="E39" s="113"/>
      <c r="F39" s="113"/>
      <c r="G39" s="113"/>
      <c r="H39" s="113"/>
    </row>
    <row r="40" spans="1:19" x14ac:dyDescent="0.3">
      <c r="A40" s="106" t="s">
        <v>158</v>
      </c>
      <c r="B40" s="106"/>
      <c r="C40" s="142" t="s">
        <v>309</v>
      </c>
      <c r="D40" s="143"/>
      <c r="E40" s="143"/>
      <c r="F40" s="143"/>
      <c r="G40" s="143"/>
      <c r="H40" s="143"/>
    </row>
    <row r="41" spans="1:19" x14ac:dyDescent="0.3">
      <c r="A41" s="113" t="s">
        <v>32</v>
      </c>
      <c r="B41" s="113"/>
      <c r="C41" s="113"/>
      <c r="D41" s="113"/>
      <c r="E41" s="113"/>
      <c r="F41" s="113"/>
      <c r="G41" s="113"/>
      <c r="H41" s="113"/>
    </row>
    <row r="42" spans="1:19" x14ac:dyDescent="0.3">
      <c r="A42" s="106" t="s">
        <v>33</v>
      </c>
      <c r="B42" s="106"/>
      <c r="C42" s="106"/>
      <c r="D42" s="106"/>
      <c r="E42" s="141">
        <v>3705</v>
      </c>
      <c r="F42" s="141"/>
      <c r="G42" s="141"/>
      <c r="H42" s="141"/>
    </row>
    <row r="43" spans="1:19" x14ac:dyDescent="0.3">
      <c r="A43" s="106" t="s">
        <v>34</v>
      </c>
      <c r="B43" s="106"/>
      <c r="C43" s="106"/>
      <c r="D43" s="106"/>
      <c r="E43" s="123">
        <f>4075.5/E42</f>
        <v>1.1000000000000001</v>
      </c>
      <c r="F43" s="123"/>
      <c r="G43" s="123"/>
      <c r="H43" s="123"/>
    </row>
    <row r="44" spans="1:19" x14ac:dyDescent="0.3">
      <c r="A44" s="106" t="s">
        <v>35</v>
      </c>
      <c r="B44" s="106"/>
      <c r="C44" s="106"/>
      <c r="D44" s="106"/>
      <c r="E44" s="123">
        <f>E46/E42-E43</f>
        <v>1.1052928475033736</v>
      </c>
      <c r="F44" s="123"/>
      <c r="G44" s="123"/>
      <c r="H44" s="123"/>
    </row>
    <row r="45" spans="1:19" x14ac:dyDescent="0.3">
      <c r="A45" s="106" t="s">
        <v>36</v>
      </c>
      <c r="B45" s="106"/>
      <c r="C45" s="106"/>
      <c r="D45" s="106"/>
      <c r="E45" s="123">
        <f>E43+E44</f>
        <v>2.2052928475033737</v>
      </c>
      <c r="F45" s="123"/>
      <c r="G45" s="123"/>
      <c r="H45" s="123"/>
      <c r="I45" s="62">
        <f>E46/E42</f>
        <v>2.2052928475033737</v>
      </c>
    </row>
    <row r="46" spans="1:19" x14ac:dyDescent="0.3">
      <c r="A46" s="106" t="s">
        <v>89</v>
      </c>
      <c r="B46" s="106"/>
      <c r="C46" s="106"/>
      <c r="D46" s="106"/>
      <c r="E46" s="124">
        <v>8170.61</v>
      </c>
      <c r="F46" s="124"/>
      <c r="G46" s="124"/>
      <c r="H46" s="124"/>
    </row>
    <row r="47" spans="1:19" x14ac:dyDescent="0.3">
      <c r="A47" s="112" t="s">
        <v>37</v>
      </c>
      <c r="B47" s="112"/>
      <c r="C47" s="112"/>
      <c r="D47" s="112"/>
      <c r="E47" s="112" t="s">
        <v>320</v>
      </c>
      <c r="F47" s="112"/>
      <c r="G47" s="112"/>
      <c r="H47" s="112"/>
    </row>
    <row r="48" spans="1:19" x14ac:dyDescent="0.3">
      <c r="A48" s="113" t="s">
        <v>38</v>
      </c>
      <c r="B48" s="113"/>
      <c r="C48" s="113"/>
      <c r="D48" s="113"/>
      <c r="E48" s="113"/>
      <c r="F48" s="113"/>
      <c r="G48" s="113"/>
      <c r="H48" s="113"/>
    </row>
    <row r="49" spans="1:24" ht="33.75" customHeight="1" x14ac:dyDescent="0.3">
      <c r="A49" s="86" t="s">
        <v>147</v>
      </c>
      <c r="B49" s="87"/>
      <c r="C49" s="126" t="s">
        <v>256</v>
      </c>
      <c r="D49" s="127"/>
      <c r="E49" s="127"/>
      <c r="F49" s="127"/>
      <c r="G49" s="127"/>
      <c r="H49" s="128"/>
      <c r="R49" t="s">
        <v>252</v>
      </c>
      <c r="S49" t="s">
        <v>170</v>
      </c>
      <c r="T49" t="s">
        <v>177</v>
      </c>
      <c r="U49" t="s">
        <v>192</v>
      </c>
      <c r="V49" t="s">
        <v>187</v>
      </c>
    </row>
    <row r="50" spans="1:24" ht="33" customHeight="1" x14ac:dyDescent="0.3">
      <c r="A50" s="86" t="s">
        <v>39</v>
      </c>
      <c r="B50" s="87"/>
      <c r="C50" s="86" t="s">
        <v>322</v>
      </c>
      <c r="D50" s="125"/>
      <c r="E50" s="87"/>
      <c r="F50" s="17" t="s">
        <v>40</v>
      </c>
      <c r="G50" s="144">
        <v>45044</v>
      </c>
      <c r="H50" s="87"/>
      <c r="R50"/>
      <c r="S50" t="s">
        <v>253</v>
      </c>
      <c r="T50" t="s">
        <v>258</v>
      </c>
      <c r="U50" t="s">
        <v>269</v>
      </c>
      <c r="V50" t="s">
        <v>274</v>
      </c>
    </row>
    <row r="51" spans="1:24" ht="30.75" customHeight="1" x14ac:dyDescent="0.3">
      <c r="A51" s="86" t="s">
        <v>41</v>
      </c>
      <c r="B51" s="87"/>
      <c r="C51" s="86" t="str">
        <f>C50</f>
        <v>SROT/BSNA/2501/BP/Kalher-118/
634/CC/2023</v>
      </c>
      <c r="D51" s="125"/>
      <c r="E51" s="87"/>
      <c r="F51" s="17" t="s">
        <v>40</v>
      </c>
      <c r="G51" s="144">
        <f>G50</f>
        <v>45044</v>
      </c>
      <c r="H51" s="87"/>
      <c r="R51"/>
      <c r="S51" t="s">
        <v>254</v>
      </c>
      <c r="T51" t="s">
        <v>259</v>
      </c>
      <c r="U51" t="s">
        <v>267</v>
      </c>
      <c r="V51" t="s">
        <v>275</v>
      </c>
    </row>
    <row r="52" spans="1:24" s="22" customFormat="1" ht="33" customHeight="1" x14ac:dyDescent="0.3">
      <c r="A52" s="200" t="s">
        <v>151</v>
      </c>
      <c r="B52" s="201"/>
      <c r="C52" s="86" t="str">
        <f>C51</f>
        <v>SROT/BSNA/2501/BP/Kalher-118/
634/CC/2023</v>
      </c>
      <c r="D52" s="125"/>
      <c r="E52" s="87"/>
      <c r="F52" s="17" t="s">
        <v>40</v>
      </c>
      <c r="G52" s="144">
        <f>G51</f>
        <v>45044</v>
      </c>
      <c r="H52" s="87"/>
      <c r="R52"/>
      <c r="S52" t="s">
        <v>255</v>
      </c>
      <c r="T52" t="s">
        <v>260</v>
      </c>
      <c r="U52" t="s">
        <v>257</v>
      </c>
      <c r="V52" t="s">
        <v>276</v>
      </c>
    </row>
    <row r="53" spans="1:24" s="22" customFormat="1" ht="33.75" customHeight="1" x14ac:dyDescent="0.3">
      <c r="A53" s="202"/>
      <c r="B53" s="203"/>
      <c r="C53" s="86" t="s">
        <v>344</v>
      </c>
      <c r="D53" s="125"/>
      <c r="E53" s="125"/>
      <c r="F53" s="125"/>
      <c r="G53" s="125"/>
      <c r="H53" s="87"/>
      <c r="R53"/>
      <c r="S53" t="s">
        <v>256</v>
      </c>
      <c r="T53" t="s">
        <v>263</v>
      </c>
      <c r="U53" t="s">
        <v>270</v>
      </c>
    </row>
    <row r="54" spans="1:24" s="22" customFormat="1" hidden="1" x14ac:dyDescent="0.3">
      <c r="A54" s="191" t="s">
        <v>280</v>
      </c>
      <c r="B54" s="192"/>
      <c r="C54" s="86" t="str">
        <f>C53</f>
        <v>Building No.1 = Gr/Stilt + 12th Floors
Building No. 2 = Stilt + 5th Floors</v>
      </c>
      <c r="D54" s="125"/>
      <c r="E54" s="87"/>
      <c r="F54" s="17" t="s">
        <v>40</v>
      </c>
      <c r="G54" s="86"/>
      <c r="H54" s="87"/>
      <c r="R54"/>
      <c r="S54" t="s">
        <v>255</v>
      </c>
      <c r="T54" t="s">
        <v>260</v>
      </c>
      <c r="U54" t="s">
        <v>257</v>
      </c>
      <c r="V54" t="s">
        <v>276</v>
      </c>
    </row>
    <row r="55" spans="1:24" s="22" customFormat="1" ht="32.25" hidden="1" customHeight="1" x14ac:dyDescent="0.3">
      <c r="A55" s="193"/>
      <c r="B55" s="194"/>
      <c r="C55" s="82"/>
      <c r="D55" s="83"/>
      <c r="E55" s="83"/>
      <c r="F55" s="83"/>
      <c r="G55" s="83"/>
      <c r="H55" s="84"/>
      <c r="R55"/>
      <c r="S55" t="s">
        <v>257</v>
      </c>
      <c r="T55" t="s">
        <v>261</v>
      </c>
      <c r="U55" t="s">
        <v>271</v>
      </c>
      <c r="V55" s="20"/>
      <c r="W55" s="20"/>
      <c r="X55" s="20"/>
    </row>
    <row r="56" spans="1:24" s="22" customFormat="1" ht="34.5" hidden="1" customHeight="1" x14ac:dyDescent="0.3">
      <c r="A56" s="191" t="s">
        <v>281</v>
      </c>
      <c r="B56" s="192"/>
      <c r="C56" s="86">
        <f>C55</f>
        <v>0</v>
      </c>
      <c r="D56" s="125"/>
      <c r="E56" s="87"/>
      <c r="F56" s="17" t="s">
        <v>40</v>
      </c>
      <c r="G56" s="86">
        <f>G55</f>
        <v>0</v>
      </c>
      <c r="H56" s="87"/>
      <c r="R56"/>
      <c r="S56" s="20"/>
      <c r="T56" t="s">
        <v>262</v>
      </c>
      <c r="U56" t="s">
        <v>272</v>
      </c>
      <c r="V56" s="20"/>
      <c r="W56" s="20"/>
      <c r="X56" s="20"/>
    </row>
    <row r="57" spans="1:24" s="22" customFormat="1" ht="41.25" hidden="1" customHeight="1" x14ac:dyDescent="0.3">
      <c r="A57" s="193"/>
      <c r="B57" s="194"/>
      <c r="C57" s="86"/>
      <c r="D57" s="125"/>
      <c r="E57" s="125"/>
      <c r="F57" s="125"/>
      <c r="G57" s="125"/>
      <c r="H57" s="87"/>
      <c r="R57"/>
      <c r="S57" s="20"/>
      <c r="T57" t="s">
        <v>264</v>
      </c>
      <c r="U57" t="s">
        <v>273</v>
      </c>
      <c r="V57" s="20"/>
      <c r="W57" s="20"/>
      <c r="X57" s="20"/>
    </row>
    <row r="58" spans="1:24" s="22" customFormat="1" ht="15.75" hidden="1" customHeight="1" x14ac:dyDescent="0.3">
      <c r="A58" s="191" t="s">
        <v>282</v>
      </c>
      <c r="B58" s="192"/>
      <c r="C58" s="86">
        <f>C57</f>
        <v>0</v>
      </c>
      <c r="D58" s="125"/>
      <c r="E58" s="87"/>
      <c r="F58" s="17" t="s">
        <v>40</v>
      </c>
      <c r="G58" s="86">
        <f>G57</f>
        <v>0</v>
      </c>
      <c r="H58" s="87"/>
      <c r="R58"/>
      <c r="S58" s="20"/>
      <c r="T58" t="s">
        <v>265</v>
      </c>
      <c r="U58" s="20" t="s">
        <v>296</v>
      </c>
      <c r="V58" s="20"/>
      <c r="W58" s="20"/>
      <c r="X58" s="20"/>
    </row>
    <row r="59" spans="1:24" s="22" customFormat="1" ht="33.75" hidden="1" customHeight="1" x14ac:dyDescent="0.3">
      <c r="A59" s="193"/>
      <c r="B59" s="194"/>
      <c r="C59" s="86"/>
      <c r="D59" s="125"/>
      <c r="E59" s="125"/>
      <c r="F59" s="125"/>
      <c r="G59" s="125"/>
      <c r="H59" s="87"/>
      <c r="R59"/>
      <c r="S59" s="20"/>
      <c r="T59" t="s">
        <v>266</v>
      </c>
      <c r="U59" s="20"/>
      <c r="V59" s="20"/>
      <c r="W59" s="20"/>
      <c r="X59" s="20"/>
    </row>
    <row r="60" spans="1:24" x14ac:dyDescent="0.3">
      <c r="A60" s="186" t="s">
        <v>42</v>
      </c>
      <c r="B60" s="187"/>
      <c r="C60" s="186" t="s">
        <v>102</v>
      </c>
      <c r="D60" s="188"/>
      <c r="E60" s="187"/>
      <c r="F60" s="44" t="s">
        <v>40</v>
      </c>
      <c r="G60" s="189" t="s">
        <v>28</v>
      </c>
      <c r="H60" s="190"/>
      <c r="R60"/>
      <c r="T60" t="s">
        <v>268</v>
      </c>
    </row>
    <row r="61" spans="1:24" x14ac:dyDescent="0.3">
      <c r="A61" s="173" t="s">
        <v>44</v>
      </c>
      <c r="B61" s="173"/>
      <c r="C61" s="173"/>
      <c r="D61" s="173"/>
      <c r="E61" s="173"/>
      <c r="F61" s="173"/>
      <c r="G61" s="173"/>
      <c r="H61" s="173"/>
      <c r="T61" t="s">
        <v>277</v>
      </c>
    </row>
    <row r="62" spans="1:24" x14ac:dyDescent="0.3">
      <c r="A62" s="147" t="s">
        <v>88</v>
      </c>
      <c r="B62" s="147"/>
      <c r="C62" s="147"/>
      <c r="D62" s="106">
        <f>E46</f>
        <v>8170.61</v>
      </c>
      <c r="E62" s="106"/>
      <c r="F62" s="106"/>
      <c r="G62" s="106"/>
      <c r="H62" s="106"/>
      <c r="R62"/>
      <c r="T62" s="20" t="s">
        <v>256</v>
      </c>
    </row>
    <row r="63" spans="1:24" x14ac:dyDescent="0.3">
      <c r="A63" s="143" t="s">
        <v>45</v>
      </c>
      <c r="B63" s="112"/>
      <c r="C63" s="112"/>
      <c r="D63" s="112" t="s">
        <v>340</v>
      </c>
      <c r="E63" s="112"/>
      <c r="F63" s="112"/>
      <c r="G63" s="112"/>
      <c r="H63" s="112"/>
      <c r="I63" s="23"/>
      <c r="R63"/>
    </row>
    <row r="64" spans="1:24" ht="35.25" customHeight="1" x14ac:dyDescent="0.3">
      <c r="A64" s="116" t="s">
        <v>46</v>
      </c>
      <c r="B64" s="117"/>
      <c r="C64" s="118"/>
      <c r="D64" s="114" t="s">
        <v>343</v>
      </c>
      <c r="E64" s="115"/>
      <c r="F64" s="115"/>
      <c r="G64" s="115"/>
      <c r="H64" s="115"/>
      <c r="R64"/>
    </row>
    <row r="65" spans="1:19" ht="15.75" customHeight="1" x14ac:dyDescent="0.3">
      <c r="A65" s="116" t="s">
        <v>86</v>
      </c>
      <c r="B65" s="117"/>
      <c r="C65" s="117"/>
      <c r="D65" s="136" t="s">
        <v>356</v>
      </c>
      <c r="E65" s="137"/>
      <c r="F65" s="137"/>
      <c r="G65" s="137"/>
      <c r="H65" s="138"/>
      <c r="R65"/>
    </row>
    <row r="66" spans="1:19" ht="15.75" customHeight="1" x14ac:dyDescent="0.3">
      <c r="A66" s="132"/>
      <c r="B66" s="133"/>
      <c r="C66" s="133"/>
      <c r="D66" s="88" t="s">
        <v>357</v>
      </c>
      <c r="E66" s="89"/>
      <c r="F66" s="89"/>
      <c r="G66" s="89"/>
      <c r="H66" s="90"/>
      <c r="R66"/>
    </row>
    <row r="67" spans="1:19" ht="15.75" hidden="1" customHeight="1" x14ac:dyDescent="0.3">
      <c r="A67" s="134"/>
      <c r="B67" s="135"/>
      <c r="C67" s="135"/>
      <c r="D67" s="129" t="s">
        <v>166</v>
      </c>
      <c r="E67" s="130"/>
      <c r="F67" s="130"/>
      <c r="G67" s="130"/>
      <c r="H67" s="131"/>
      <c r="S67"/>
    </row>
    <row r="68" spans="1:19" ht="15.75" customHeight="1" x14ac:dyDescent="0.3">
      <c r="A68" s="106" t="s">
        <v>43</v>
      </c>
      <c r="B68" s="106"/>
      <c r="C68" s="106"/>
      <c r="D68" s="121" t="s">
        <v>323</v>
      </c>
      <c r="E68" s="121"/>
      <c r="F68" s="121"/>
      <c r="G68" s="121"/>
      <c r="H68" s="121"/>
      <c r="J68" s="24"/>
      <c r="K68" s="23"/>
      <c r="N68" s="23"/>
      <c r="S68"/>
    </row>
    <row r="69" spans="1:19" ht="15.75" customHeight="1" x14ac:dyDescent="0.3">
      <c r="A69" s="106" t="s">
        <v>84</v>
      </c>
      <c r="B69" s="106"/>
      <c r="C69" s="106"/>
      <c r="D69" s="122" t="str">
        <f>(IF(G60="NA","60 Years After Completion",IF(G60&lt;&gt;"NA",""&amp;60-ROUNDDOWN((E3-G60)/360,0)&amp;" Years"," ")))</f>
        <v>60 Years After Completion</v>
      </c>
      <c r="E69" s="122"/>
      <c r="F69" s="122"/>
      <c r="G69" s="122"/>
      <c r="H69" s="122"/>
      <c r="N69" s="23"/>
      <c r="S69"/>
    </row>
    <row r="70" spans="1:19" ht="15.75" customHeight="1" x14ac:dyDescent="0.3">
      <c r="A70" s="106" t="s">
        <v>85</v>
      </c>
      <c r="B70" s="106"/>
      <c r="C70" s="106"/>
      <c r="D70" s="147" t="s">
        <v>23</v>
      </c>
      <c r="E70" s="147"/>
      <c r="F70" s="147"/>
      <c r="G70" s="147"/>
      <c r="H70" s="147"/>
      <c r="J70" s="25"/>
      <c r="K70" s="25"/>
      <c r="S70"/>
    </row>
    <row r="71" spans="1:19" ht="30.75" customHeight="1" x14ac:dyDescent="0.3">
      <c r="A71" s="112" t="s">
        <v>324</v>
      </c>
      <c r="B71" s="112"/>
      <c r="C71" s="112"/>
      <c r="D71" s="143" t="s">
        <v>325</v>
      </c>
      <c r="E71" s="147"/>
      <c r="F71" s="147"/>
      <c r="G71" s="147"/>
      <c r="H71" s="147"/>
      <c r="S71"/>
    </row>
    <row r="72" spans="1:19" x14ac:dyDescent="0.3">
      <c r="A72" s="147" t="s">
        <v>144</v>
      </c>
      <c r="B72" s="147"/>
      <c r="C72" s="147"/>
      <c r="D72" s="147" t="s">
        <v>28</v>
      </c>
      <c r="E72" s="147"/>
      <c r="F72" s="147"/>
      <c r="G72" s="147"/>
      <c r="H72" s="147"/>
      <c r="I72" s="26"/>
      <c r="J72" s="26"/>
      <c r="K72" s="26"/>
      <c r="L72" s="26"/>
      <c r="M72" s="26"/>
      <c r="N72" s="26"/>
    </row>
    <row r="73" spans="1:19" ht="15.75" customHeight="1" x14ac:dyDescent="0.3">
      <c r="A73" s="106" t="s">
        <v>83</v>
      </c>
      <c r="B73" s="106"/>
      <c r="C73" s="106"/>
      <c r="D73" s="143" t="str">
        <f ca="1">(IF(G79&gt;95%,"Nothing",IF(G79&gt;0%,"Cement, Aggregate, Steel, etc",IF(G79=0%,"Work not yet Started"))))</f>
        <v>Cement, Aggregate, Steel, etc</v>
      </c>
      <c r="E73" s="143"/>
      <c r="F73" s="143"/>
      <c r="G73" s="143"/>
      <c r="H73" s="143"/>
      <c r="J73" s="25"/>
      <c r="S73"/>
    </row>
    <row r="74" spans="1:19" ht="33.75" customHeight="1" thickBot="1" x14ac:dyDescent="0.35">
      <c r="A74" s="147" t="s">
        <v>115</v>
      </c>
      <c r="B74" s="147"/>
      <c r="C74" s="147"/>
      <c r="D74" s="143" t="str">
        <f ca="1">(IF(D73="Nothing","Yes",IF(D73="Cement, Aggregate, Steel, etc","Under Construction",IF(D73="Work not yet Started","Work not yet Started"))))</f>
        <v>Under Construction</v>
      </c>
      <c r="E74" s="143"/>
      <c r="F74" s="143" t="str">
        <f ca="1">(IF(D73="Nothing","Yes",IF(D73="Cement, Aggregate, Steel, etc","Under Construction",IF(D73="Work not yet Started","Work not yet Started"))))</f>
        <v>Under Construction</v>
      </c>
      <c r="G74" s="143"/>
      <c r="H74" s="143"/>
      <c r="S74"/>
    </row>
    <row r="75" spans="1:19" ht="15.75" customHeight="1" x14ac:dyDescent="0.3">
      <c r="A75" s="162" t="s">
        <v>136</v>
      </c>
      <c r="B75" s="162"/>
      <c r="C75" s="162" t="str">
        <f>D65</f>
        <v>Building No. 1 = Gr/Stilt + 1st to 13th Floor</v>
      </c>
      <c r="D75" s="162"/>
      <c r="E75" s="162"/>
      <c r="F75" s="162"/>
      <c r="G75" s="162"/>
      <c r="H75" s="162"/>
      <c r="I75" s="76" t="str">
        <f ca="1">IF(D88=100%,"All work Completed. Possession granted to the Building.",IF(D87=100%,"All work Completed, Waiting for OC",I76&amp;""&amp;I77&amp;""&amp;J76&amp;""&amp;J75&amp;" "&amp;J77))</f>
        <v>Excavation, Plinth, RCC Slab, Brickwork Completed, Internal Plaster upto 9 Floor, External Plaster upto 6 Floor Completed</v>
      </c>
      <c r="J75" s="49" t="str">
        <f ca="1">(IF(C81=(D76+F76+H76),"",IF(C81&gt;0,", RCC upto "&amp;C81&amp;" Slab","")))&amp;(IF(C82=H76,"",IF(C82&gt;0,", Brickwork upto "&amp;C82&amp;" Floor","")))&amp;(IF(C83=H76,"",IF(C83&gt;0,", Internal Plaster upto "&amp;C83&amp;" Floor","")))&amp;(IF(C84=H76,"",IF(C84&gt;0,", External Plaster upto "&amp;C84&amp;" Floor","")))&amp;(IF(C85=H76,"",IF(C85&gt;0,", Flooring upto "&amp;C85&amp;" Floor","")))&amp;(IF(C86=H76,"",IF(C86&gt;0,", Painting upto "&amp;C86&amp;" Floor","")))&amp;(IF(C87=H76,"",IF(C87&gt;0,", Finishing upto "&amp;C87&amp;" Floor","")))&amp;(IF(C88=H76,"",IF(C88&gt;0,", Possession upto "&amp;C88&amp;" Floor","")))</f>
        <v>, Internal Plaster upto 9 Floor, External Plaster upto 6 Floor</v>
      </c>
      <c r="S75"/>
    </row>
    <row r="76" spans="1:19" x14ac:dyDescent="0.3">
      <c r="A76" s="46" t="s">
        <v>138</v>
      </c>
      <c r="B76" s="46">
        <f>IF(AND(ISNUMBER(SEARCH("1B",C75))),1,IF(AND(ISNUMBER(SEARCH("2B",C75))),2,IF(AND(ISNUMBER(SEARCH("3B",C75))),3,IF(AND(ISNUMBER(SEARCH("4B",C75))),4,IF(ISNUMBER(SEARCH("5B",C75)),5,0)))))</f>
        <v>0</v>
      </c>
      <c r="C76" s="46" t="s">
        <v>69</v>
      </c>
      <c r="D76" s="46">
        <v>1</v>
      </c>
      <c r="E76" s="46" t="s">
        <v>68</v>
      </c>
      <c r="F76" s="46">
        <v>0</v>
      </c>
      <c r="G76" s="47" t="s">
        <v>77</v>
      </c>
      <c r="H76" s="46">
        <f ca="1">--TRIM(RIGHT(SUBSTITUTE(LEFT(C75,_xlfn.AGGREGATE(16,6,FIND({0,1,2,3,4,5,6,7,8,9},C75,ROW(INDIRECT("1:"&amp;LEN(C75)))),1))," ",REPT(" ",LEN(C75))),LEN(C75)))</f>
        <v>13</v>
      </c>
      <c r="I76" s="77" t="str">
        <f ca="1">IF(D79=100%,"Excavation","")&amp;IF(D80=100%,", Plinth","")&amp;IF(D81=100%,", RCC Slab","")&amp;IF(D82=100%,", Brickwork","")&amp;IF(D83=100%,", Internal Plaster","")&amp;IF(D84=100%,", External Plaster","")&amp;IF(D85=100%,", Flooring","")&amp;IF(D86=100%,", Painting","")&amp;IF(D87=100%,", Building common Amenities","")</f>
        <v>Excavation, Plinth, RCC Slab, Brickwork</v>
      </c>
      <c r="J76" s="51" t="str">
        <f ca="1">(IF(C79=0,"Work not yet Started.",IF(D79=25%,"Piling work in process",IF(D79=50%,"Excavation work in process",IF(D79=100%,"","0")))))&amp;(IF(C80=0%,"",IF(C80=J81,", Footing work is process",IF(C80=J82,", Footing work Completed",IF(C80=J83,", 1st Basement Completed",IF(C80=J84,", 1st &amp; 2nd Basement Completed",IF(C80=J85,", 1st to 3rd Basement Completed",IF(C80=J86,", 1st to 4th Basement Completed",IF(C80=J87,", Plinth work is process",IF(C80=J88,"","0"))))))))))</f>
        <v/>
      </c>
      <c r="S76"/>
    </row>
    <row r="77" spans="1:19" ht="31.05" customHeight="1" x14ac:dyDescent="0.3">
      <c r="A77" s="151" t="s">
        <v>87</v>
      </c>
      <c r="B77" s="151"/>
      <c r="C77" s="119" t="str">
        <f ca="1">I75</f>
        <v>Excavation, Plinth, RCC Slab, Brickwork Completed, Internal Plaster upto 9 Floor, External Plaster upto 6 Floor Completed</v>
      </c>
      <c r="D77" s="119"/>
      <c r="E77" s="119"/>
      <c r="F77" s="119"/>
      <c r="G77" s="119"/>
      <c r="H77" s="119"/>
      <c r="I77" s="77" t="str">
        <f ca="1">IF(I76&lt;&gt;""," Completed","")</f>
        <v xml:space="preserve"> Completed</v>
      </c>
      <c r="J77" s="51" t="str">
        <f ca="1">IF(J75&lt;&gt;"","Completed","")</f>
        <v>Completed</v>
      </c>
      <c r="S77"/>
    </row>
    <row r="78" spans="1:19" ht="15.75" customHeight="1" x14ac:dyDescent="0.3">
      <c r="A78" s="85" t="s">
        <v>47</v>
      </c>
      <c r="B78" s="85"/>
      <c r="C78" s="42" t="s">
        <v>135</v>
      </c>
      <c r="D78" s="42" t="s">
        <v>80</v>
      </c>
      <c r="E78" s="85" t="s">
        <v>82</v>
      </c>
      <c r="F78" s="85"/>
      <c r="G78" s="85" t="s">
        <v>81</v>
      </c>
      <c r="H78" s="85"/>
      <c r="I78" s="13" t="s">
        <v>137</v>
      </c>
      <c r="J78" s="27">
        <f ca="1">H76*25%</f>
        <v>3.25</v>
      </c>
      <c r="S78"/>
    </row>
    <row r="79" spans="1:19" x14ac:dyDescent="0.3">
      <c r="A79" s="103" t="s">
        <v>124</v>
      </c>
      <c r="B79" s="85"/>
      <c r="C79" s="63">
        <f ca="1">J80</f>
        <v>13</v>
      </c>
      <c r="D79" s="18">
        <f ca="1">((100/H76)*C79)/100</f>
        <v>1</v>
      </c>
      <c r="E79" s="97">
        <f ca="1">(((C80/H76*10)+(40/(D76+F76+H76)*C81)+(7.5/(H76)*C82)+(7.5/(H76)*C83)+(10/H76*C84)+(10/H76*C85)+(5/H76*C86)+(5/H76*C87)+(5/H76*C88))/100)</f>
        <v>0.67307692307692302</v>
      </c>
      <c r="F79" s="153"/>
      <c r="G79" s="97">
        <f ca="1">((((C79/H76)*20)+((C80/H76)*25)+(30/(H76+F76+D76)*C81)+(5/H76*C82)+(5/H76*C83)+(5/H76*C84)+(5/H76*C85)+(0/H76*C86)+(0/H76*C87)+(5/H76*C88))/100)</f>
        <v>0.85769230769230775</v>
      </c>
      <c r="H79" s="98"/>
      <c r="I79" s="13" t="s">
        <v>97</v>
      </c>
      <c r="J79" s="28">
        <f ca="1">H76*50%</f>
        <v>6.5</v>
      </c>
    </row>
    <row r="80" spans="1:19" x14ac:dyDescent="0.3">
      <c r="A80" s="103" t="s">
        <v>48</v>
      </c>
      <c r="B80" s="85"/>
      <c r="C80" s="42">
        <f ca="1">J88</f>
        <v>13</v>
      </c>
      <c r="D80" s="18">
        <f ca="1">((100/H76)*C80)/100</f>
        <v>1</v>
      </c>
      <c r="E80" s="99"/>
      <c r="F80" s="154"/>
      <c r="G80" s="99"/>
      <c r="H80" s="100"/>
      <c r="I80" s="13" t="s">
        <v>98</v>
      </c>
      <c r="J80" s="28">
        <f ca="1">H76</f>
        <v>13</v>
      </c>
      <c r="S80"/>
    </row>
    <row r="81" spans="1:19" ht="15.75" customHeight="1" x14ac:dyDescent="0.3">
      <c r="A81" s="103" t="s">
        <v>125</v>
      </c>
      <c r="B81" s="85"/>
      <c r="C81" s="42">
        <v>14</v>
      </c>
      <c r="D81" s="18">
        <f ca="1">((100/(D76+F76+H76))*C81)/100</f>
        <v>1</v>
      </c>
      <c r="E81" s="99"/>
      <c r="F81" s="154"/>
      <c r="G81" s="99"/>
      <c r="H81" s="100"/>
      <c r="I81" s="13" t="s">
        <v>99</v>
      </c>
      <c r="J81" s="29">
        <f ca="1">(IF(B76&gt;1,(H76/(B76+2)),H76/4))</f>
        <v>3.25</v>
      </c>
      <c r="S81"/>
    </row>
    <row r="82" spans="1:19" ht="15.75" customHeight="1" x14ac:dyDescent="0.3">
      <c r="A82" s="103" t="s">
        <v>132</v>
      </c>
      <c r="B82" s="85" t="s">
        <v>126</v>
      </c>
      <c r="C82" s="42">
        <v>13</v>
      </c>
      <c r="D82" s="18">
        <f ca="1">((100/H76)*C82)/100</f>
        <v>1</v>
      </c>
      <c r="E82" s="99"/>
      <c r="F82" s="154"/>
      <c r="G82" s="99"/>
      <c r="H82" s="100"/>
      <c r="I82" s="13" t="s">
        <v>100</v>
      </c>
      <c r="J82" s="29">
        <f ca="1">(IF(B76&gt;1,(H76/(B76+2)+J81),H76/4+J81))</f>
        <v>6.5</v>
      </c>
    </row>
    <row r="83" spans="1:19" ht="15.75" customHeight="1" x14ac:dyDescent="0.3">
      <c r="A83" s="103" t="s">
        <v>133</v>
      </c>
      <c r="B83" s="85" t="s">
        <v>126</v>
      </c>
      <c r="C83" s="42">
        <v>9</v>
      </c>
      <c r="D83" s="18">
        <f ca="1">((100/H76)*C83)/100</f>
        <v>0.69230769230769229</v>
      </c>
      <c r="E83" s="99"/>
      <c r="F83" s="154"/>
      <c r="G83" s="99"/>
      <c r="H83" s="100"/>
      <c r="I83" s="13" t="s">
        <v>142</v>
      </c>
      <c r="J83" s="29">
        <f>(IF(B76&gt;1,(H76/(B76+2)+J82),0))</f>
        <v>0</v>
      </c>
    </row>
    <row r="84" spans="1:19" ht="15" customHeight="1" x14ac:dyDescent="0.3">
      <c r="A84" s="103" t="s">
        <v>131</v>
      </c>
      <c r="B84" s="85" t="s">
        <v>128</v>
      </c>
      <c r="C84" s="42">
        <v>6</v>
      </c>
      <c r="D84" s="18">
        <f ca="1">((100/(H76))*C84)/100</f>
        <v>0.46153846153846151</v>
      </c>
      <c r="E84" s="99"/>
      <c r="F84" s="154"/>
      <c r="G84" s="99"/>
      <c r="H84" s="100"/>
      <c r="I84" s="13" t="s">
        <v>139</v>
      </c>
      <c r="J84" s="29">
        <f>(IF(B76&gt;2,(H76/(B76+2)+J83),0))</f>
        <v>0</v>
      </c>
    </row>
    <row r="85" spans="1:19" ht="15.75" customHeight="1" x14ac:dyDescent="0.3">
      <c r="A85" s="103" t="s">
        <v>127</v>
      </c>
      <c r="B85" s="85" t="s">
        <v>127</v>
      </c>
      <c r="C85" s="42">
        <v>0</v>
      </c>
      <c r="D85" s="18">
        <f ca="1">((100/H76)*C85)/100</f>
        <v>0</v>
      </c>
      <c r="E85" s="99"/>
      <c r="F85" s="154"/>
      <c r="G85" s="99"/>
      <c r="H85" s="100"/>
      <c r="I85" s="13" t="s">
        <v>140</v>
      </c>
      <c r="J85" s="30">
        <f>(IF(B76&gt;3,(H76/(B76+2)+J84),0))</f>
        <v>0</v>
      </c>
    </row>
    <row r="86" spans="1:19" ht="15.75" customHeight="1" x14ac:dyDescent="0.3">
      <c r="A86" s="103" t="s">
        <v>134</v>
      </c>
      <c r="B86" s="85"/>
      <c r="C86" s="42">
        <v>0</v>
      </c>
      <c r="D86" s="18">
        <f ca="1">((100/H76)*C86)/100</f>
        <v>0</v>
      </c>
      <c r="E86" s="99"/>
      <c r="F86" s="154"/>
      <c r="G86" s="99"/>
      <c r="H86" s="100"/>
      <c r="I86" s="13" t="s">
        <v>141</v>
      </c>
      <c r="J86" s="29">
        <f>(IF(B76&gt;4,(H76/(B76+2)+J85),0))</f>
        <v>0</v>
      </c>
    </row>
    <row r="87" spans="1:19" ht="15.75" customHeight="1" x14ac:dyDescent="0.3">
      <c r="A87" s="103" t="s">
        <v>129</v>
      </c>
      <c r="B87" s="85" t="s">
        <v>129</v>
      </c>
      <c r="C87" s="42">
        <v>0</v>
      </c>
      <c r="D87" s="18">
        <f ca="1">((100/(H76))*C87)/100</f>
        <v>0</v>
      </c>
      <c r="E87" s="99"/>
      <c r="F87" s="154"/>
      <c r="G87" s="99"/>
      <c r="H87" s="100"/>
      <c r="I87" s="13" t="s">
        <v>143</v>
      </c>
      <c r="J87" s="29">
        <f ca="1">(IF(B76=1,(H76/(B76+3)+J82),IF(B76=0,(H76/4+J82),IF(B76&gt;1,0))))</f>
        <v>9.75</v>
      </c>
    </row>
    <row r="88" spans="1:19" ht="16.2" thickBot="1" x14ac:dyDescent="0.35">
      <c r="A88" s="156" t="s">
        <v>130</v>
      </c>
      <c r="B88" s="157"/>
      <c r="C88" s="43">
        <v>0</v>
      </c>
      <c r="D88" s="19">
        <f ca="1">((100/(H76))*C88)/100</f>
        <v>0</v>
      </c>
      <c r="E88" s="101"/>
      <c r="F88" s="155"/>
      <c r="G88" s="101"/>
      <c r="H88" s="102"/>
      <c r="I88" s="14" t="s">
        <v>101</v>
      </c>
      <c r="J88" s="31">
        <f ca="1">(IF(B76&gt;1.5,(H76/(B76+2)+J82+MAX(0,J83-J82)+MAX(0,J84-J83)+MAX(0,J85-J84)+MAX(0,J86-J85)+MAX(0,J87-J86)),IF(B76=1,(H76/(B76+3)+J87),IF(B76=0,H76/4+J87))))</f>
        <v>13</v>
      </c>
    </row>
    <row r="89" spans="1:19" ht="15.75" customHeight="1" x14ac:dyDescent="0.3">
      <c r="A89" s="195" t="s">
        <v>136</v>
      </c>
      <c r="B89" s="196"/>
      <c r="C89" s="197" t="str">
        <f>D66</f>
        <v>Building No. 2 = Gr/Stilt + 1st to 13th Floor</v>
      </c>
      <c r="D89" s="198"/>
      <c r="E89" s="198"/>
      <c r="F89" s="198"/>
      <c r="G89" s="198"/>
      <c r="H89" s="199"/>
      <c r="I89" s="48" t="str">
        <f ca="1">IF(D102=100%,"All work Completed. Possession granted to the Building.",IF(D101=100%,"All work Completed, Waiting for OC",I90&amp;""&amp;I91&amp;""&amp;J90&amp;""&amp;J89&amp;" "&amp;J91))</f>
        <v xml:space="preserve">Work not yet Started. </v>
      </c>
      <c r="J89" s="49" t="str">
        <f ca="1">(IF(C95=(D90+F90+H90),"",IF(C95&gt;0,", RCC upto "&amp;C95&amp;" Slab","")))&amp;(IF(C96=H90,"",IF(C96&gt;0,", Brickwork upto "&amp;C96&amp;" Floor","")))&amp;(IF(C97=H90,"",IF(C97&gt;0,", Internal Plaster upto "&amp;C97&amp;" Floor","")))&amp;(IF(C98=H90,"",IF(C98&gt;0,", External Plaster upto "&amp;C98&amp;" Floor","")))&amp;(IF(C99=H90,"",IF(C99&gt;0,", Flooring upto "&amp;C99&amp;" Floor","")))&amp;(IF(C100=H90,"",IF(C100&gt;0,", Painting upto "&amp;C100&amp;" Floor","")))&amp;(IF(C101=H90,"",IF(C101&gt;0,", Finishing upto "&amp;C101&amp;" Floor","")))&amp;(IF(C102=H90,"",IF(C102&gt;0,", Possession upto "&amp;C102&amp;" Floor","")))</f>
        <v/>
      </c>
    </row>
    <row r="90" spans="1:19" x14ac:dyDescent="0.3">
      <c r="A90" s="15" t="s">
        <v>138</v>
      </c>
      <c r="B90" s="46">
        <f>IF(AND(ISNUMBER(SEARCH("1B",C89))),1,IF(AND(ISNUMBER(SEARCH("2B",C89))),2,IF(AND(ISNUMBER(SEARCH("3B",C89))),3,IF(AND(ISNUMBER(SEARCH("4B",C89))),4,IF(ISNUMBER(SEARCH("5B",C89)),5,0)))))</f>
        <v>0</v>
      </c>
      <c r="C90" s="46" t="s">
        <v>69</v>
      </c>
      <c r="D90" s="46">
        <v>1</v>
      </c>
      <c r="E90" s="46" t="s">
        <v>68</v>
      </c>
      <c r="F90" s="46">
        <v>0</v>
      </c>
      <c r="G90" s="47" t="s">
        <v>77</v>
      </c>
      <c r="H90" s="16">
        <f ca="1">--TRIM(RIGHT(SUBSTITUTE(LEFT(C89,_xlfn.AGGREGATE(16,6,FIND({0,1,2,3,4,5,6,7,8,9},C89,ROW(INDIRECT("1:"&amp;LEN(C89)))),1))," ",REPT(" ",LEN(C89))),LEN(C89)))</f>
        <v>13</v>
      </c>
      <c r="I90" s="50" t="str">
        <f ca="1">IF(D93=100%,"Excavation","")&amp;IF(D94=100%,", Plinth","")&amp;IF(D95=100%,", RCC Slab","")&amp;IF(D96=100%,", Brickwork","")&amp;IF(D97=100%,", Internal Plaster","")&amp;IF(D98=100%,", External Plaster","")&amp;IF(D99=100%,", Flooring","")&amp;IF(D100=100%,", Painting","")&amp;IF(D101=100%,", Building common Amenities","")</f>
        <v/>
      </c>
      <c r="J90" s="51" t="str">
        <f>(IF(C93=0,"Work not yet Started.",IF(D93=25%,"Piling work in process",IF(D93=50%,"Excavation work in process",IF(D93=100%,"","0")))))&amp;(IF(C94=0%,"",IF(C94=J95,", Footing work is process",IF(C94=J96,", Footing work Completed",IF(C94=J97,", 1st Basement Completed",IF(C94=J98,", 1st &amp; 2nd Basement Completed",IF(C94=J99,", 1st to 3rd Basement Completed",IF(C94=J100,", 1st to 4th Basement Completed",IF(C94=J101,", Plinth work is process",IF(C94=J102,"","0"))))))))))</f>
        <v>Work not yet Started.</v>
      </c>
    </row>
    <row r="91" spans="1:19" x14ac:dyDescent="0.3">
      <c r="A91" s="166" t="s">
        <v>87</v>
      </c>
      <c r="B91" s="151"/>
      <c r="C91" s="119" t="str">
        <f ca="1">(IF($G$60="NA",I89,"All work Completed. OC Received."))</f>
        <v xml:space="preserve">Work not yet Started. </v>
      </c>
      <c r="D91" s="119"/>
      <c r="E91" s="119"/>
      <c r="F91" s="119"/>
      <c r="G91" s="119"/>
      <c r="H91" s="120"/>
      <c r="I91" s="50" t="str">
        <f ca="1">IF(I90&lt;&gt;""," Completed","")</f>
        <v/>
      </c>
      <c r="J91" s="51" t="str">
        <f ca="1">IF(J89&lt;&gt;"","Completed","")</f>
        <v/>
      </c>
    </row>
    <row r="92" spans="1:19" ht="15.75" customHeight="1" x14ac:dyDescent="0.3">
      <c r="A92" s="103" t="s">
        <v>47</v>
      </c>
      <c r="B92" s="85"/>
      <c r="C92" s="42" t="s">
        <v>135</v>
      </c>
      <c r="D92" s="42" t="s">
        <v>80</v>
      </c>
      <c r="E92" s="85" t="s">
        <v>82</v>
      </c>
      <c r="F92" s="85"/>
      <c r="G92" s="85" t="s">
        <v>81</v>
      </c>
      <c r="H92" s="174"/>
      <c r="I92" s="13" t="s">
        <v>137</v>
      </c>
      <c r="J92" s="27">
        <f ca="1">H90*25%</f>
        <v>3.25</v>
      </c>
    </row>
    <row r="93" spans="1:19" x14ac:dyDescent="0.3">
      <c r="A93" s="103" t="s">
        <v>124</v>
      </c>
      <c r="B93" s="85"/>
      <c r="C93" s="63">
        <v>0</v>
      </c>
      <c r="D93" s="18">
        <f ca="1">((100/H90)*C93)/100</f>
        <v>0</v>
      </c>
      <c r="E93" s="97">
        <f ca="1">(((C94/H90*10)+(40/(D90+F90+H90)*C95)+(7.5/(H90)*C96)+(7.5/(H90)*C97)+(10/H90*C98)+(10/H90*C99)+(5/H90*C100)+(5/H90*C101)+(5/H90*C102))/100)</f>
        <v>0</v>
      </c>
      <c r="F93" s="153"/>
      <c r="G93" s="97">
        <f ca="1">((((C93/H90)*20)+((C94/H90)*25)+(30/(H90+F90+D90)*C95)+(5/H90*C96)+(5/H90*C97)+(5/H90*C98)+(5/H90*C99)+(0/H90*C100)+(0/H90*C101)+(5/H90*C102))/100)</f>
        <v>0</v>
      </c>
      <c r="H93" s="98"/>
      <c r="I93" s="13" t="s">
        <v>97</v>
      </c>
      <c r="J93" s="28">
        <f ca="1">H90*50%</f>
        <v>6.5</v>
      </c>
    </row>
    <row r="94" spans="1:19" x14ac:dyDescent="0.3">
      <c r="A94" s="103" t="s">
        <v>48</v>
      </c>
      <c r="B94" s="85"/>
      <c r="C94" s="64">
        <v>0</v>
      </c>
      <c r="D94" s="18">
        <f ca="1">((100/H90)*C94)/100</f>
        <v>0</v>
      </c>
      <c r="E94" s="99"/>
      <c r="F94" s="154"/>
      <c r="G94" s="99"/>
      <c r="H94" s="100"/>
      <c r="I94" s="13" t="s">
        <v>98</v>
      </c>
      <c r="J94" s="28">
        <f ca="1">H90</f>
        <v>13</v>
      </c>
    </row>
    <row r="95" spans="1:19" ht="15.75" customHeight="1" x14ac:dyDescent="0.3">
      <c r="A95" s="103" t="s">
        <v>125</v>
      </c>
      <c r="B95" s="85"/>
      <c r="C95" s="42">
        <v>0</v>
      </c>
      <c r="D95" s="18">
        <f ca="1">((100/(D90+F90+H90))*C95)/100</f>
        <v>0</v>
      </c>
      <c r="E95" s="99"/>
      <c r="F95" s="154"/>
      <c r="G95" s="99"/>
      <c r="H95" s="100"/>
      <c r="I95" s="13" t="s">
        <v>99</v>
      </c>
      <c r="J95" s="29">
        <f ca="1">(IF(B90&gt;1,(H90/(B90+2)),H90/4))</f>
        <v>3.25</v>
      </c>
    </row>
    <row r="96" spans="1:19" ht="15.75" customHeight="1" x14ac:dyDescent="0.3">
      <c r="A96" s="103" t="s">
        <v>132</v>
      </c>
      <c r="B96" s="85" t="s">
        <v>126</v>
      </c>
      <c r="C96" s="42">
        <v>0</v>
      </c>
      <c r="D96" s="18">
        <f ca="1">((100/H90)*C96)/100</f>
        <v>0</v>
      </c>
      <c r="E96" s="99"/>
      <c r="F96" s="154"/>
      <c r="G96" s="99"/>
      <c r="H96" s="100"/>
      <c r="I96" s="13" t="s">
        <v>100</v>
      </c>
      <c r="J96" s="29">
        <f ca="1">(IF(B90&gt;1,(H90/(B90+2)+J95),H90/4+J95))</f>
        <v>6.5</v>
      </c>
    </row>
    <row r="97" spans="1:22" ht="15.75" customHeight="1" x14ac:dyDescent="0.3">
      <c r="A97" s="103" t="s">
        <v>133</v>
      </c>
      <c r="B97" s="85" t="s">
        <v>126</v>
      </c>
      <c r="C97" s="42">
        <v>0</v>
      </c>
      <c r="D97" s="18">
        <f ca="1">((100/H90)*C97)/100</f>
        <v>0</v>
      </c>
      <c r="E97" s="99"/>
      <c r="F97" s="154"/>
      <c r="G97" s="99"/>
      <c r="H97" s="100"/>
      <c r="I97" s="13" t="s">
        <v>142</v>
      </c>
      <c r="J97" s="29">
        <f>(IF(B90&gt;1,(H90/(B90+2)+J96),0))</f>
        <v>0</v>
      </c>
    </row>
    <row r="98" spans="1:22" ht="15" customHeight="1" x14ac:dyDescent="0.3">
      <c r="A98" s="103" t="s">
        <v>131</v>
      </c>
      <c r="B98" s="85" t="s">
        <v>128</v>
      </c>
      <c r="C98" s="42">
        <v>0</v>
      </c>
      <c r="D98" s="18">
        <f ca="1">((100/(H90))*C98)/100</f>
        <v>0</v>
      </c>
      <c r="E98" s="99"/>
      <c r="F98" s="154"/>
      <c r="G98" s="99"/>
      <c r="H98" s="100"/>
      <c r="I98" s="13" t="s">
        <v>139</v>
      </c>
      <c r="J98" s="29">
        <f>(IF(B90&gt;2,(H90/(B90+2)+J97),0))</f>
        <v>0</v>
      </c>
    </row>
    <row r="99" spans="1:22" ht="15.75" customHeight="1" x14ac:dyDescent="0.3">
      <c r="A99" s="103" t="s">
        <v>127</v>
      </c>
      <c r="B99" s="85" t="s">
        <v>127</v>
      </c>
      <c r="C99" s="42">
        <v>0</v>
      </c>
      <c r="D99" s="18">
        <f ca="1">((100/H90)*C99)/100</f>
        <v>0</v>
      </c>
      <c r="E99" s="99"/>
      <c r="F99" s="154"/>
      <c r="G99" s="99"/>
      <c r="H99" s="100"/>
      <c r="I99" s="13" t="s">
        <v>140</v>
      </c>
      <c r="J99" s="30">
        <f>(IF(B90&gt;3,(H90/(B90+2)+J98),0))</f>
        <v>0</v>
      </c>
    </row>
    <row r="100" spans="1:22" ht="15.75" customHeight="1" x14ac:dyDescent="0.3">
      <c r="A100" s="103" t="s">
        <v>134</v>
      </c>
      <c r="B100" s="85"/>
      <c r="C100" s="42">
        <v>0</v>
      </c>
      <c r="D100" s="18">
        <f ca="1">((100/H90)*C100)/100</f>
        <v>0</v>
      </c>
      <c r="E100" s="99"/>
      <c r="F100" s="154"/>
      <c r="G100" s="99"/>
      <c r="H100" s="100"/>
      <c r="I100" s="13" t="s">
        <v>141</v>
      </c>
      <c r="J100" s="29">
        <f>(IF(B90&gt;4,(H90/(B90+2)+J99),0))</f>
        <v>0</v>
      </c>
    </row>
    <row r="101" spans="1:22" ht="15.75" customHeight="1" x14ac:dyDescent="0.3">
      <c r="A101" s="103" t="s">
        <v>129</v>
      </c>
      <c r="B101" s="85" t="s">
        <v>129</v>
      </c>
      <c r="C101" s="42">
        <v>0</v>
      </c>
      <c r="D101" s="18">
        <f ca="1">((100/(H90))*C101)/100</f>
        <v>0</v>
      </c>
      <c r="E101" s="99"/>
      <c r="F101" s="154"/>
      <c r="G101" s="99"/>
      <c r="H101" s="100"/>
      <c r="I101" s="13" t="s">
        <v>143</v>
      </c>
      <c r="J101" s="29">
        <f ca="1">(IF(B90=1,(H90/(B90+3)+J96),IF(B90=0,(H90/4+J96),IF(B90&gt;1,0))))</f>
        <v>9.75</v>
      </c>
    </row>
    <row r="102" spans="1:22" ht="16.2" thickBot="1" x14ac:dyDescent="0.35">
      <c r="A102" s="156" t="s">
        <v>130</v>
      </c>
      <c r="B102" s="157"/>
      <c r="C102" s="43">
        <v>0</v>
      </c>
      <c r="D102" s="19">
        <f ca="1">((100/(H90))*C102)/100</f>
        <v>0</v>
      </c>
      <c r="E102" s="101"/>
      <c r="F102" s="155"/>
      <c r="G102" s="101"/>
      <c r="H102" s="102"/>
      <c r="I102" s="14" t="s">
        <v>101</v>
      </c>
      <c r="J102" s="31">
        <f ca="1">(IF(B90&gt;1.5,(H90/(B90+2)+J96+MAX(0,J97-J96)+MAX(0,J98-J97)+MAX(0,J99-J98)+MAX(0,J100-J99)+MAX(0,J101-J100)),IF(B90=1,(H90/(B90+3)+J101),IF(B90=0,H90/4+J101))))</f>
        <v>13</v>
      </c>
    </row>
    <row r="103" spans="1:22" x14ac:dyDescent="0.3">
      <c r="A103" s="165" t="s">
        <v>153</v>
      </c>
      <c r="B103" s="165"/>
      <c r="C103" s="165"/>
      <c r="D103" s="165"/>
      <c r="E103" s="165"/>
      <c r="F103" s="167" t="s">
        <v>157</v>
      </c>
      <c r="G103" s="167"/>
      <c r="H103" s="167"/>
      <c r="R103" t="s">
        <v>252</v>
      </c>
      <c r="S103" t="s">
        <v>170</v>
      </c>
      <c r="T103" t="s">
        <v>177</v>
      </c>
      <c r="U103" t="s">
        <v>192</v>
      </c>
      <c r="V103" t="s">
        <v>187</v>
      </c>
    </row>
    <row r="104" spans="1:22" x14ac:dyDescent="0.3">
      <c r="A104" s="106" t="s">
        <v>155</v>
      </c>
      <c r="B104" s="106"/>
      <c r="C104" s="106"/>
      <c r="D104" s="106"/>
      <c r="E104" s="106"/>
      <c r="F104" s="163">
        <v>6000</v>
      </c>
      <c r="G104" s="163"/>
      <c r="H104" s="163"/>
      <c r="J104" s="20" t="s">
        <v>354</v>
      </c>
      <c r="R104"/>
      <c r="S104">
        <v>800000</v>
      </c>
      <c r="T104">
        <v>150000</v>
      </c>
      <c r="U104">
        <v>100000</v>
      </c>
      <c r="V104">
        <v>100000</v>
      </c>
    </row>
    <row r="105" spans="1:22" x14ac:dyDescent="0.3">
      <c r="A105" s="106" t="s">
        <v>154</v>
      </c>
      <c r="B105" s="106"/>
      <c r="C105" s="106"/>
      <c r="D105" s="106"/>
      <c r="E105" s="106"/>
      <c r="F105" s="163">
        <v>16000</v>
      </c>
      <c r="G105" s="163"/>
      <c r="H105" s="163"/>
      <c r="J105" s="20" t="s">
        <v>351</v>
      </c>
      <c r="K105" s="24">
        <v>45479</v>
      </c>
      <c r="L105" s="20" t="s">
        <v>352</v>
      </c>
      <c r="M105" s="20" t="s">
        <v>353</v>
      </c>
      <c r="R105"/>
      <c r="S105">
        <v>900000</v>
      </c>
      <c r="T105">
        <v>200000</v>
      </c>
      <c r="U105">
        <v>150000</v>
      </c>
      <c r="V105">
        <v>150000</v>
      </c>
    </row>
    <row r="106" spans="1:22" hidden="1" x14ac:dyDescent="0.3">
      <c r="A106" s="106" t="s">
        <v>156</v>
      </c>
      <c r="B106" s="106"/>
      <c r="C106" s="106"/>
      <c r="D106" s="106"/>
      <c r="E106" s="106"/>
      <c r="F106" s="163"/>
      <c r="G106" s="163"/>
      <c r="H106" s="163"/>
      <c r="R106"/>
      <c r="S106">
        <v>1000000</v>
      </c>
      <c r="T106">
        <v>250000</v>
      </c>
      <c r="U106">
        <v>200000</v>
      </c>
      <c r="V106">
        <v>200000</v>
      </c>
    </row>
    <row r="107" spans="1:22" s="32" customFormat="1" hidden="1" x14ac:dyDescent="0.3">
      <c r="A107" s="106" t="s">
        <v>173</v>
      </c>
      <c r="B107" s="106"/>
      <c r="C107" s="106"/>
      <c r="D107" s="106"/>
      <c r="E107" s="106"/>
      <c r="F107" s="163"/>
      <c r="G107" s="163"/>
      <c r="H107" s="163"/>
      <c r="R107"/>
      <c r="S107">
        <v>1100000</v>
      </c>
      <c r="T107">
        <v>300000</v>
      </c>
      <c r="U107">
        <v>250000</v>
      </c>
      <c r="V107" s="22">
        <v>250000</v>
      </c>
    </row>
    <row r="108" spans="1:22" s="32" customFormat="1" x14ac:dyDescent="0.3">
      <c r="A108" s="106" t="s">
        <v>92</v>
      </c>
      <c r="B108" s="106"/>
      <c r="C108" s="106"/>
      <c r="D108" s="106"/>
      <c r="E108" s="106"/>
      <c r="F108" s="163">
        <v>150000</v>
      </c>
      <c r="G108" s="163"/>
      <c r="H108" s="163"/>
      <c r="R108"/>
      <c r="S108">
        <v>1200000</v>
      </c>
      <c r="T108">
        <v>350000</v>
      </c>
      <c r="U108">
        <v>300000</v>
      </c>
      <c r="V108">
        <v>300000</v>
      </c>
    </row>
    <row r="109" spans="1:22" s="32" customFormat="1" x14ac:dyDescent="0.3">
      <c r="A109" s="106" t="s">
        <v>349</v>
      </c>
      <c r="B109" s="106"/>
      <c r="C109" s="106"/>
      <c r="D109" s="106"/>
      <c r="E109" s="106"/>
      <c r="F109" s="163">
        <v>15000</v>
      </c>
      <c r="G109" s="163"/>
      <c r="H109" s="163"/>
      <c r="R109"/>
      <c r="S109">
        <v>1300000</v>
      </c>
      <c r="T109">
        <v>400000</v>
      </c>
      <c r="U109">
        <v>350000</v>
      </c>
      <c r="V109" s="22">
        <v>400000</v>
      </c>
    </row>
    <row r="110" spans="1:22" s="32" customFormat="1" hidden="1" x14ac:dyDescent="0.3">
      <c r="A110" s="106" t="s">
        <v>93</v>
      </c>
      <c r="B110" s="106"/>
      <c r="C110" s="106"/>
      <c r="D110" s="106"/>
      <c r="E110" s="106"/>
      <c r="F110" s="163"/>
      <c r="G110" s="163"/>
      <c r="H110" s="163"/>
      <c r="R110"/>
      <c r="S110">
        <v>1400000</v>
      </c>
      <c r="T110">
        <v>500000</v>
      </c>
      <c r="U110">
        <v>400000</v>
      </c>
      <c r="V110"/>
    </row>
    <row r="111" spans="1:22" s="32" customFormat="1" hidden="1" x14ac:dyDescent="0.3">
      <c r="A111" s="106" t="s">
        <v>94</v>
      </c>
      <c r="B111" s="106"/>
      <c r="C111" s="106"/>
      <c r="D111" s="106"/>
      <c r="E111" s="106"/>
      <c r="F111" s="163"/>
      <c r="G111" s="163"/>
      <c r="H111" s="163"/>
      <c r="R111"/>
      <c r="S111">
        <v>1500000</v>
      </c>
      <c r="T111">
        <v>600000</v>
      </c>
      <c r="U111">
        <v>500000</v>
      </c>
      <c r="V111" s="22"/>
    </row>
    <row r="112" spans="1:22" s="32" customFormat="1" hidden="1" x14ac:dyDescent="0.3">
      <c r="A112" s="106" t="s">
        <v>95</v>
      </c>
      <c r="B112" s="106"/>
      <c r="C112" s="106"/>
      <c r="D112" s="106"/>
      <c r="E112" s="106"/>
      <c r="F112" s="163"/>
      <c r="G112" s="163"/>
      <c r="H112" s="163"/>
      <c r="R112"/>
      <c r="S112">
        <v>1600000</v>
      </c>
      <c r="T112">
        <v>700000</v>
      </c>
      <c r="U112">
        <v>600000</v>
      </c>
      <c r="V112"/>
    </row>
    <row r="113" spans="1:22" s="32" customFormat="1" hidden="1" x14ac:dyDescent="0.3">
      <c r="A113" s="106" t="s">
        <v>96</v>
      </c>
      <c r="B113" s="106"/>
      <c r="C113" s="106"/>
      <c r="D113" s="106"/>
      <c r="E113" s="106"/>
      <c r="F113" s="163"/>
      <c r="G113" s="163"/>
      <c r="H113" s="163"/>
      <c r="R113"/>
      <c r="S113">
        <v>1700000</v>
      </c>
      <c r="T113">
        <v>800000</v>
      </c>
      <c r="U113"/>
      <c r="V113" s="22"/>
    </row>
    <row r="114" spans="1:22" x14ac:dyDescent="0.3">
      <c r="A114" s="106" t="s">
        <v>49</v>
      </c>
      <c r="B114" s="106"/>
      <c r="C114" s="106"/>
      <c r="D114" s="106"/>
      <c r="E114" s="106"/>
      <c r="F114" s="163">
        <v>300000</v>
      </c>
      <c r="G114" s="163"/>
      <c r="H114" s="163"/>
      <c r="R114"/>
      <c r="S114">
        <v>1800000</v>
      </c>
      <c r="T114">
        <v>900000</v>
      </c>
      <c r="U114"/>
    </row>
    <row r="115" spans="1:22" s="33" customFormat="1" x14ac:dyDescent="0.3">
      <c r="A115" s="113" t="s">
        <v>50</v>
      </c>
      <c r="B115" s="113"/>
      <c r="C115" s="113"/>
      <c r="D115" s="113"/>
      <c r="E115" s="113"/>
      <c r="F115" s="163">
        <f>F104*0.8</f>
        <v>4800</v>
      </c>
      <c r="G115" s="163"/>
      <c r="H115" s="163"/>
      <c r="R115" s="20"/>
      <c r="S115" s="20"/>
      <c r="T115">
        <v>1000000</v>
      </c>
      <c r="U115"/>
      <c r="V115" s="20"/>
    </row>
    <row r="116" spans="1:22" s="34" customFormat="1" ht="15.75" customHeight="1" x14ac:dyDescent="0.3">
      <c r="A116" s="104" t="s">
        <v>72</v>
      </c>
      <c r="B116" s="104"/>
      <c r="C116" s="104"/>
      <c r="D116" s="104"/>
      <c r="E116" s="104"/>
      <c r="F116" s="104"/>
      <c r="G116" s="104"/>
      <c r="H116" s="104"/>
      <c r="R116"/>
      <c r="S116" s="20"/>
      <c r="T116"/>
      <c r="U116"/>
      <c r="V116" s="20"/>
    </row>
    <row r="117" spans="1:22" s="34" customFormat="1" ht="15.75" customHeight="1" x14ac:dyDescent="0.3">
      <c r="A117" s="80" t="s">
        <v>51</v>
      </c>
      <c r="B117" s="80"/>
      <c r="C117" s="109" t="s">
        <v>75</v>
      </c>
      <c r="D117" s="109"/>
      <c r="E117" s="110" t="s">
        <v>52</v>
      </c>
      <c r="F117" s="110"/>
      <c r="G117" s="80" t="s">
        <v>53</v>
      </c>
      <c r="H117" s="80"/>
      <c r="R117"/>
      <c r="S117" s="20"/>
      <c r="T117"/>
      <c r="U117" s="20"/>
      <c r="V117" s="20"/>
    </row>
    <row r="118" spans="1:22" s="34" customFormat="1" x14ac:dyDescent="0.3">
      <c r="A118" s="111" t="s">
        <v>345</v>
      </c>
      <c r="B118" s="111"/>
      <c r="C118" s="79">
        <f>COUNT(D133:D145)</f>
        <v>13</v>
      </c>
      <c r="D118" s="78"/>
      <c r="E118" s="79">
        <f>SUM(F133:F145)</f>
        <v>1963.5688799999998</v>
      </c>
      <c r="F118" s="78"/>
      <c r="G118" s="79">
        <f t="shared" ref="G118" si="0">SUM(H133:H145)</f>
        <v>3043.5317639999994</v>
      </c>
      <c r="H118" s="78"/>
      <c r="R118"/>
      <c r="S118" s="20"/>
      <c r="T118"/>
      <c r="U118" s="20"/>
      <c r="V118" s="20"/>
    </row>
    <row r="119" spans="1:22" s="34" customFormat="1" hidden="1" x14ac:dyDescent="0.3">
      <c r="A119" s="111"/>
      <c r="B119" s="111"/>
      <c r="C119" s="78"/>
      <c r="D119" s="78"/>
      <c r="E119" s="107"/>
      <c r="F119" s="107"/>
      <c r="G119" s="108"/>
      <c r="H119" s="108"/>
      <c r="R119"/>
      <c r="S119" s="20"/>
      <c r="T119"/>
      <c r="U119" s="20"/>
      <c r="V119" s="20"/>
    </row>
    <row r="120" spans="1:22" s="34" customFormat="1" hidden="1" x14ac:dyDescent="0.3">
      <c r="A120" s="104" t="s">
        <v>146</v>
      </c>
      <c r="B120" s="104"/>
      <c r="C120" s="109"/>
      <c r="D120" s="109"/>
      <c r="E120" s="110"/>
      <c r="F120" s="110"/>
      <c r="G120" s="80"/>
      <c r="H120" s="80"/>
      <c r="R120"/>
      <c r="S120" s="20"/>
      <c r="T120"/>
      <c r="U120" s="20"/>
      <c r="V120" s="20"/>
    </row>
    <row r="121" spans="1:22" s="34" customFormat="1" x14ac:dyDescent="0.3">
      <c r="A121" s="104" t="s">
        <v>67</v>
      </c>
      <c r="B121" s="104"/>
      <c r="C121" s="104"/>
      <c r="D121" s="104"/>
      <c r="E121" s="104"/>
      <c r="F121" s="104"/>
      <c r="G121" s="104"/>
      <c r="H121" s="104"/>
      <c r="T121"/>
    </row>
    <row r="122" spans="1:22" s="34" customFormat="1" ht="15.75" customHeight="1" x14ac:dyDescent="0.3">
      <c r="A122" s="80" t="s">
        <v>51</v>
      </c>
      <c r="B122" s="80"/>
      <c r="C122" s="109" t="s">
        <v>75</v>
      </c>
      <c r="D122" s="109"/>
      <c r="E122" s="110" t="s">
        <v>52</v>
      </c>
      <c r="F122" s="110"/>
      <c r="G122" s="80" t="s">
        <v>53</v>
      </c>
      <c r="H122" s="80"/>
      <c r="T122"/>
    </row>
    <row r="123" spans="1:22" s="34" customFormat="1" x14ac:dyDescent="0.3">
      <c r="A123" s="111" t="s">
        <v>346</v>
      </c>
      <c r="B123" s="111"/>
      <c r="C123" s="78">
        <f>COUNT(D150:D157)*11+COUNT(D159:D163,D165:D166)</f>
        <v>95</v>
      </c>
      <c r="D123" s="78"/>
      <c r="E123" s="79">
        <f>SUM(F150:F157)*11+SUM(F159:F163,F165:F166)</f>
        <v>44953.531740000006</v>
      </c>
      <c r="F123" s="79"/>
      <c r="G123" s="79">
        <f t="shared" ref="G123" si="1">SUM(H150:H157)*11+SUM(H159:H163,H165:H166)</f>
        <v>68531.828207999992</v>
      </c>
      <c r="H123" s="79"/>
      <c r="T123"/>
    </row>
    <row r="124" spans="1:22" s="34" customFormat="1" x14ac:dyDescent="0.3">
      <c r="A124" s="111" t="s">
        <v>347</v>
      </c>
      <c r="B124" s="111"/>
      <c r="C124" s="78">
        <f>COUNT(D170:D177)*5</f>
        <v>40</v>
      </c>
      <c r="D124" s="78"/>
      <c r="E124" s="79">
        <f t="shared" ref="E124" si="2">SUM(F170:F177)*5</f>
        <v>18901.799279999999</v>
      </c>
      <c r="F124" s="79"/>
      <c r="G124" s="79">
        <f t="shared" ref="G124" si="3">SUM(H170:H177)*5</f>
        <v>28826.178419999997</v>
      </c>
      <c r="H124" s="79"/>
      <c r="T124"/>
    </row>
    <row r="125" spans="1:22" s="34" customFormat="1" x14ac:dyDescent="0.3">
      <c r="A125" s="104" t="s">
        <v>146</v>
      </c>
      <c r="B125" s="104"/>
      <c r="C125" s="105">
        <f>SUM(C123:D124)</f>
        <v>135</v>
      </c>
      <c r="D125" s="105"/>
      <c r="E125" s="105">
        <f t="shared" ref="E125" si="4">SUM(E123:F124)</f>
        <v>63855.331020000005</v>
      </c>
      <c r="F125" s="105"/>
      <c r="G125" s="105">
        <f t="shared" ref="G125" si="5">SUM(G123:H124)</f>
        <v>97358.006627999988</v>
      </c>
      <c r="H125" s="105"/>
      <c r="T125"/>
    </row>
    <row r="126" spans="1:22" s="34" customFormat="1" x14ac:dyDescent="0.3">
      <c r="A126" s="104" t="s">
        <v>163</v>
      </c>
      <c r="B126" s="104"/>
      <c r="C126" s="105">
        <f>C118+C125</f>
        <v>148</v>
      </c>
      <c r="D126" s="109"/>
      <c r="E126" s="105">
        <f>E118+E125</f>
        <v>65818.899900000004</v>
      </c>
      <c r="F126" s="109"/>
      <c r="G126" s="105">
        <f>G118+G125</f>
        <v>100401.53839199999</v>
      </c>
      <c r="H126" s="109"/>
      <c r="T126"/>
    </row>
    <row r="127" spans="1:22" s="33" customFormat="1" x14ac:dyDescent="0.3">
      <c r="A127" s="150" t="s">
        <v>54</v>
      </c>
      <c r="B127" s="150"/>
      <c r="C127" s="150"/>
      <c r="D127" s="150"/>
      <c r="E127" s="150"/>
      <c r="F127" s="150"/>
      <c r="G127" s="150"/>
      <c r="H127" s="150"/>
      <c r="T127" s="34"/>
    </row>
    <row r="128" spans="1:22" x14ac:dyDescent="0.3">
      <c r="A128" s="145" t="s">
        <v>172</v>
      </c>
      <c r="B128" s="145"/>
      <c r="C128" s="145"/>
      <c r="D128" s="145"/>
      <c r="E128" s="145"/>
      <c r="F128" s="145"/>
      <c r="G128" s="145"/>
      <c r="H128" s="145"/>
      <c r="T128" s="34"/>
    </row>
    <row r="129" spans="1:20" ht="47.25" customHeight="1" x14ac:dyDescent="0.3">
      <c r="A129" s="81" t="s">
        <v>116</v>
      </c>
      <c r="B129" s="81" t="s">
        <v>174</v>
      </c>
      <c r="C129" s="81" t="s">
        <v>55</v>
      </c>
      <c r="D129" s="164" t="s">
        <v>329</v>
      </c>
      <c r="E129" s="161" t="s">
        <v>152</v>
      </c>
      <c r="F129" s="81" t="s">
        <v>56</v>
      </c>
      <c r="G129" s="161" t="s">
        <v>57</v>
      </c>
      <c r="H129" s="74" t="s">
        <v>145</v>
      </c>
      <c r="T129" s="34"/>
    </row>
    <row r="130" spans="1:20" s="36" customFormat="1" x14ac:dyDescent="0.3">
      <c r="A130" s="81"/>
      <c r="B130" s="81"/>
      <c r="C130" s="81"/>
      <c r="D130" s="164"/>
      <c r="E130" s="161"/>
      <c r="F130" s="81"/>
      <c r="G130" s="161"/>
      <c r="H130" s="75">
        <v>0.55000000000000004</v>
      </c>
      <c r="T130" s="34"/>
    </row>
    <row r="131" spans="1:20" s="36" customFormat="1" x14ac:dyDescent="0.3">
      <c r="A131" s="158" t="s">
        <v>326</v>
      </c>
      <c r="B131" s="159"/>
      <c r="C131" s="159"/>
      <c r="D131" s="159"/>
      <c r="E131" s="159"/>
      <c r="F131" s="159"/>
      <c r="G131" s="159"/>
      <c r="H131" s="160"/>
      <c r="J131" s="35"/>
      <c r="T131" s="34"/>
    </row>
    <row r="132" spans="1:20" s="36" customFormat="1" x14ac:dyDescent="0.3">
      <c r="A132" s="158" t="s">
        <v>327</v>
      </c>
      <c r="B132" s="159"/>
      <c r="C132" s="159"/>
      <c r="D132" s="159"/>
      <c r="E132" s="159"/>
      <c r="F132" s="159"/>
      <c r="G132" s="159"/>
      <c r="H132" s="160"/>
      <c r="J132" s="35"/>
      <c r="T132" s="34"/>
    </row>
    <row r="133" spans="1:20" s="36" customFormat="1" ht="15.75" customHeight="1" x14ac:dyDescent="0.3">
      <c r="A133" s="178">
        <v>1</v>
      </c>
      <c r="B133" s="179"/>
      <c r="C133" s="41" t="s">
        <v>328</v>
      </c>
      <c r="D133" s="41">
        <f>(12.55)*10.764</f>
        <v>135.0882</v>
      </c>
      <c r="E133" s="41">
        <v>0</v>
      </c>
      <c r="F133" s="41">
        <f>D133+(IF(E133&lt;201,E133,IF(E133&lt;301,E133/2,E133/3)))</f>
        <v>135.0882</v>
      </c>
      <c r="G133" s="41">
        <v>0</v>
      </c>
      <c r="H133" s="41">
        <f>(F133+(IF(G133&lt;101,G133,IF(G133&lt;201,G133/2,IF(G133&lt;=301,G133/3,G133/4)))))*(($H$130)+1)</f>
        <v>209.38670999999999</v>
      </c>
      <c r="I133" s="35">
        <f>2.7*4.65</f>
        <v>12.555000000000001</v>
      </c>
      <c r="L133" s="41">
        <v>10.763999999999999</v>
      </c>
      <c r="M133" s="65"/>
      <c r="N133" s="65"/>
      <c r="O133" s="65"/>
      <c r="P133" s="65"/>
      <c r="T133" s="34"/>
    </row>
    <row r="134" spans="1:20" s="36" customFormat="1" ht="15.75" customHeight="1" x14ac:dyDescent="0.3">
      <c r="A134" s="178">
        <f>A133+1</f>
        <v>2</v>
      </c>
      <c r="B134" s="179"/>
      <c r="C134" s="41" t="s">
        <v>328</v>
      </c>
      <c r="D134" s="41">
        <f>(16.04)*10.764</f>
        <v>172.65455999999998</v>
      </c>
      <c r="E134" s="41">
        <v>0</v>
      </c>
      <c r="F134" s="41">
        <f t="shared" ref="F134:F136" si="6">D134+(IF(E134&lt;201,E134,IF(E134&lt;301,E134/2,E134/3)))</f>
        <v>172.65455999999998</v>
      </c>
      <c r="G134" s="41">
        <v>0</v>
      </c>
      <c r="H134" s="41">
        <f t="shared" ref="H134:H136" si="7">(F134+(IF(G134&lt;101,G134,IF(G134&lt;201,G134/2,IF(G134&lt;=301,G134/3,G134/4)))))*(($H$130)+1)</f>
        <v>267.61456799999996</v>
      </c>
      <c r="I134" s="35"/>
      <c r="L134" s="65"/>
      <c r="M134" s="65"/>
      <c r="N134" s="65"/>
      <c r="O134" s="65"/>
      <c r="P134" s="65"/>
      <c r="T134" s="33"/>
    </row>
    <row r="135" spans="1:20" s="36" customFormat="1" ht="15.75" customHeight="1" x14ac:dyDescent="0.3">
      <c r="A135" s="178">
        <f>A134+1</f>
        <v>3</v>
      </c>
      <c r="B135" s="179"/>
      <c r="C135" s="41" t="s">
        <v>328</v>
      </c>
      <c r="D135" s="41">
        <f>(13.49)*10.764</f>
        <v>145.20635999999999</v>
      </c>
      <c r="E135" s="41">
        <v>0</v>
      </c>
      <c r="F135" s="41">
        <f t="shared" si="6"/>
        <v>145.20635999999999</v>
      </c>
      <c r="G135" s="41">
        <v>0</v>
      </c>
      <c r="H135" s="41">
        <f t="shared" si="7"/>
        <v>225.06985799999998</v>
      </c>
      <c r="I135" s="35"/>
      <c r="L135" s="65"/>
      <c r="M135" s="65"/>
      <c r="N135" s="65"/>
      <c r="O135" s="65"/>
      <c r="P135" s="65"/>
      <c r="T135" s="20"/>
    </row>
    <row r="136" spans="1:20" s="36" customFormat="1" ht="15.75" customHeight="1" x14ac:dyDescent="0.3">
      <c r="A136" s="178">
        <f>A135+1</f>
        <v>4</v>
      </c>
      <c r="B136" s="179"/>
      <c r="C136" s="41" t="s">
        <v>328</v>
      </c>
      <c r="D136" s="41">
        <f>(11.74)*10.764</f>
        <v>126.36936</v>
      </c>
      <c r="E136" s="41">
        <v>0</v>
      </c>
      <c r="F136" s="41">
        <f t="shared" si="6"/>
        <v>126.36936</v>
      </c>
      <c r="G136" s="41">
        <v>0</v>
      </c>
      <c r="H136" s="41">
        <f t="shared" si="7"/>
        <v>195.87250800000001</v>
      </c>
      <c r="I136" s="35"/>
      <c r="L136" s="65"/>
      <c r="M136" s="65"/>
      <c r="N136" s="65"/>
      <c r="O136" s="65"/>
      <c r="P136" s="65"/>
      <c r="T136" s="20"/>
    </row>
    <row r="137" spans="1:20" s="36" customFormat="1" ht="15.75" customHeight="1" x14ac:dyDescent="0.3">
      <c r="A137" s="178">
        <f t="shared" ref="A137:A145" si="8">A136+1</f>
        <v>5</v>
      </c>
      <c r="B137" s="179"/>
      <c r="C137" s="41" t="s">
        <v>328</v>
      </c>
      <c r="D137" s="41">
        <f>(9.13)*10.764</f>
        <v>98.275320000000008</v>
      </c>
      <c r="E137" s="41">
        <v>0</v>
      </c>
      <c r="F137" s="41">
        <f t="shared" ref="F137:F145" si="9">D137+(IF(E137&lt;201,E137,IF(E137&lt;301,E137/2,E137/3)))</f>
        <v>98.275320000000008</v>
      </c>
      <c r="G137" s="41">
        <v>0</v>
      </c>
      <c r="H137" s="41">
        <f t="shared" ref="H137:H145" si="10">(F137+(IF(G137&lt;101,G137,IF(G137&lt;201,G137/2,IF(G137&lt;=301,G137/3,G137/4)))))*(($H$130)+1)</f>
        <v>152.32674600000001</v>
      </c>
      <c r="I137" s="35"/>
      <c r="L137" s="65"/>
      <c r="M137" s="65"/>
      <c r="N137" s="65"/>
      <c r="O137" s="65"/>
      <c r="P137" s="65"/>
      <c r="T137" s="20"/>
    </row>
    <row r="138" spans="1:20" s="36" customFormat="1" ht="15.75" customHeight="1" x14ac:dyDescent="0.3">
      <c r="A138" s="178">
        <f t="shared" si="8"/>
        <v>6</v>
      </c>
      <c r="B138" s="179"/>
      <c r="C138" s="41" t="s">
        <v>328</v>
      </c>
      <c r="D138" s="41">
        <f>(17.82)*10.764</f>
        <v>191.81448</v>
      </c>
      <c r="E138" s="41">
        <v>0</v>
      </c>
      <c r="F138" s="41">
        <f t="shared" si="9"/>
        <v>191.81448</v>
      </c>
      <c r="G138" s="41">
        <v>0</v>
      </c>
      <c r="H138" s="41">
        <f t="shared" si="10"/>
        <v>297.31244400000003</v>
      </c>
      <c r="I138" s="35">
        <f>2.7*6.59</f>
        <v>17.792999999999999</v>
      </c>
      <c r="L138" s="65"/>
      <c r="M138" s="65"/>
      <c r="N138" s="65"/>
      <c r="O138" s="65"/>
      <c r="P138" s="65"/>
      <c r="T138" s="20"/>
    </row>
    <row r="139" spans="1:20" s="36" customFormat="1" ht="15.75" customHeight="1" x14ac:dyDescent="0.3">
      <c r="A139" s="178">
        <f t="shared" si="8"/>
        <v>7</v>
      </c>
      <c r="B139" s="179"/>
      <c r="C139" s="41" t="s">
        <v>328</v>
      </c>
      <c r="D139" s="41">
        <f>(17.82)*10.764</f>
        <v>191.81448</v>
      </c>
      <c r="E139" s="41">
        <v>0</v>
      </c>
      <c r="F139" s="41">
        <f t="shared" si="9"/>
        <v>191.81448</v>
      </c>
      <c r="G139" s="41">
        <v>0</v>
      </c>
      <c r="H139" s="41">
        <f t="shared" si="10"/>
        <v>297.31244400000003</v>
      </c>
      <c r="I139" s="35"/>
      <c r="L139" s="65"/>
      <c r="M139" s="65"/>
      <c r="N139" s="65"/>
      <c r="O139" s="65"/>
      <c r="P139" s="65"/>
      <c r="T139" s="20"/>
    </row>
    <row r="140" spans="1:20" s="36" customFormat="1" ht="15.75" customHeight="1" x14ac:dyDescent="0.3">
      <c r="A140" s="178">
        <f t="shared" si="8"/>
        <v>8</v>
      </c>
      <c r="B140" s="179"/>
      <c r="C140" s="41" t="s">
        <v>328</v>
      </c>
      <c r="D140" s="41">
        <f>(9.13)*10.764</f>
        <v>98.275320000000008</v>
      </c>
      <c r="E140" s="41">
        <v>0</v>
      </c>
      <c r="F140" s="41">
        <f t="shared" si="9"/>
        <v>98.275320000000008</v>
      </c>
      <c r="G140" s="41">
        <v>0</v>
      </c>
      <c r="H140" s="41">
        <f t="shared" si="10"/>
        <v>152.32674600000001</v>
      </c>
      <c r="I140" s="35"/>
      <c r="L140" s="65"/>
      <c r="M140" s="65"/>
      <c r="N140" s="65"/>
      <c r="O140" s="65"/>
      <c r="P140" s="65"/>
      <c r="T140" s="20"/>
    </row>
    <row r="141" spans="1:20" s="36" customFormat="1" ht="15.75" customHeight="1" x14ac:dyDescent="0.3">
      <c r="A141" s="178">
        <f t="shared" si="8"/>
        <v>9</v>
      </c>
      <c r="B141" s="179"/>
      <c r="C141" s="41" t="s">
        <v>328</v>
      </c>
      <c r="D141" s="41">
        <f>(11.74)*10.764</f>
        <v>126.36936</v>
      </c>
      <c r="E141" s="41">
        <v>0</v>
      </c>
      <c r="F141" s="41">
        <f t="shared" si="9"/>
        <v>126.36936</v>
      </c>
      <c r="G141" s="41">
        <v>0</v>
      </c>
      <c r="H141" s="41">
        <f t="shared" si="10"/>
        <v>195.87250800000001</v>
      </c>
      <c r="I141" s="35"/>
      <c r="L141" s="65"/>
      <c r="M141" s="65"/>
      <c r="N141" s="65"/>
      <c r="O141" s="65"/>
      <c r="P141" s="65"/>
      <c r="T141" s="20"/>
    </row>
    <row r="142" spans="1:20" s="36" customFormat="1" ht="15.75" customHeight="1" x14ac:dyDescent="0.3">
      <c r="A142" s="178">
        <f t="shared" si="8"/>
        <v>10</v>
      </c>
      <c r="B142" s="179"/>
      <c r="C142" s="41" t="s">
        <v>328</v>
      </c>
      <c r="D142" s="41">
        <f>(13.49)*10.764</f>
        <v>145.20635999999999</v>
      </c>
      <c r="E142" s="41">
        <v>0</v>
      </c>
      <c r="F142" s="41">
        <f t="shared" si="9"/>
        <v>145.20635999999999</v>
      </c>
      <c r="G142" s="41">
        <v>0</v>
      </c>
      <c r="H142" s="41">
        <f t="shared" si="10"/>
        <v>225.06985799999998</v>
      </c>
      <c r="I142" s="35"/>
      <c r="L142" s="65"/>
      <c r="M142" s="65"/>
      <c r="N142" s="65"/>
      <c r="O142" s="65"/>
      <c r="P142" s="65"/>
      <c r="T142" s="20"/>
    </row>
    <row r="143" spans="1:20" s="36" customFormat="1" ht="15.75" customHeight="1" x14ac:dyDescent="0.3">
      <c r="A143" s="178">
        <f t="shared" si="8"/>
        <v>11</v>
      </c>
      <c r="B143" s="179"/>
      <c r="C143" s="41" t="s">
        <v>328</v>
      </c>
      <c r="D143" s="41">
        <f>(20.88)*10.764</f>
        <v>224.75231999999997</v>
      </c>
      <c r="E143" s="41">
        <v>0</v>
      </c>
      <c r="F143" s="41">
        <f t="shared" si="9"/>
        <v>224.75231999999997</v>
      </c>
      <c r="G143" s="41">
        <v>0</v>
      </c>
      <c r="H143" s="41">
        <f t="shared" si="10"/>
        <v>348.36609599999997</v>
      </c>
      <c r="I143" s="35"/>
      <c r="L143" s="65"/>
      <c r="M143" s="65"/>
      <c r="N143" s="65"/>
      <c r="O143" s="65"/>
      <c r="P143" s="65"/>
      <c r="T143" s="20"/>
    </row>
    <row r="144" spans="1:20" s="36" customFormat="1" ht="15.75" customHeight="1" x14ac:dyDescent="0.3">
      <c r="A144" s="178">
        <f t="shared" si="8"/>
        <v>12</v>
      </c>
      <c r="B144" s="179"/>
      <c r="C144" s="41" t="s">
        <v>328</v>
      </c>
      <c r="D144" s="41">
        <f>(16.04)*10.764</f>
        <v>172.65455999999998</v>
      </c>
      <c r="E144" s="41">
        <v>0</v>
      </c>
      <c r="F144" s="41">
        <f t="shared" si="9"/>
        <v>172.65455999999998</v>
      </c>
      <c r="G144" s="41">
        <v>0</v>
      </c>
      <c r="H144" s="41">
        <f t="shared" si="10"/>
        <v>267.61456799999996</v>
      </c>
      <c r="I144" s="35"/>
      <c r="L144" s="65"/>
      <c r="M144" s="65"/>
      <c r="N144" s="65"/>
      <c r="O144" s="65"/>
      <c r="P144" s="65"/>
      <c r="T144" s="20"/>
    </row>
    <row r="145" spans="1:20" s="36" customFormat="1" ht="15.75" customHeight="1" x14ac:dyDescent="0.3">
      <c r="A145" s="178">
        <f t="shared" si="8"/>
        <v>13</v>
      </c>
      <c r="B145" s="179"/>
      <c r="C145" s="41" t="s">
        <v>328</v>
      </c>
      <c r="D145" s="41">
        <f>(12.55)*10.764</f>
        <v>135.0882</v>
      </c>
      <c r="E145" s="41">
        <v>0</v>
      </c>
      <c r="F145" s="41">
        <f t="shared" si="9"/>
        <v>135.0882</v>
      </c>
      <c r="G145" s="41">
        <v>0</v>
      </c>
      <c r="H145" s="41">
        <f t="shared" si="10"/>
        <v>209.38670999999999</v>
      </c>
      <c r="I145" s="35"/>
      <c r="L145" s="65"/>
      <c r="M145" s="65"/>
      <c r="N145" s="65"/>
      <c r="O145" s="65"/>
      <c r="P145" s="65"/>
      <c r="T145" s="20"/>
    </row>
    <row r="146" spans="1:20" s="36" customFormat="1" x14ac:dyDescent="0.3">
      <c r="A146" s="178"/>
      <c r="B146" s="180"/>
      <c r="C146" s="180"/>
      <c r="D146" s="180"/>
      <c r="E146" s="180"/>
      <c r="F146" s="180"/>
      <c r="G146" s="180"/>
      <c r="H146" s="179"/>
      <c r="I146" s="35"/>
      <c r="L146" s="36">
        <v>10.763999999999999</v>
      </c>
      <c r="M146" s="65"/>
      <c r="N146" s="65"/>
      <c r="O146" s="65"/>
      <c r="P146" s="65"/>
    </row>
    <row r="147" spans="1:20" ht="64.5" customHeight="1" x14ac:dyDescent="0.3">
      <c r="A147" s="69" t="s">
        <v>117</v>
      </c>
      <c r="B147" s="61" t="s">
        <v>175</v>
      </c>
      <c r="C147" s="61" t="s">
        <v>55</v>
      </c>
      <c r="D147" s="68" t="s">
        <v>230</v>
      </c>
      <c r="E147" s="61" t="s">
        <v>333</v>
      </c>
      <c r="F147" s="61" t="s">
        <v>56</v>
      </c>
      <c r="G147" s="70" t="s">
        <v>57</v>
      </c>
      <c r="H147" s="61" t="s">
        <v>348</v>
      </c>
      <c r="I147" s="35"/>
      <c r="L147" s="65"/>
      <c r="M147" s="65"/>
      <c r="N147" s="65"/>
      <c r="O147" s="65"/>
      <c r="P147" s="65"/>
      <c r="T147" s="36"/>
    </row>
    <row r="148" spans="1:20" s="36" customFormat="1" ht="15.75" customHeight="1" x14ac:dyDescent="0.3">
      <c r="A148" s="158" t="s">
        <v>326</v>
      </c>
      <c r="B148" s="159"/>
      <c r="C148" s="159"/>
      <c r="D148" s="159"/>
      <c r="E148" s="159"/>
      <c r="F148" s="159"/>
      <c r="G148" s="159"/>
      <c r="H148" s="160"/>
      <c r="J148" s="35"/>
      <c r="L148" s="65"/>
      <c r="M148" s="65"/>
      <c r="N148" s="65"/>
      <c r="O148" s="65"/>
      <c r="P148" s="65"/>
    </row>
    <row r="149" spans="1:20" s="36" customFormat="1" x14ac:dyDescent="0.3">
      <c r="A149" s="158" t="s">
        <v>330</v>
      </c>
      <c r="B149" s="159"/>
      <c r="C149" s="159"/>
      <c r="D149" s="159"/>
      <c r="E149" s="159"/>
      <c r="F149" s="159"/>
      <c r="G149" s="159"/>
      <c r="H149" s="160"/>
      <c r="J149" s="35"/>
      <c r="L149" s="67"/>
      <c r="M149" s="65"/>
      <c r="N149" s="65"/>
      <c r="O149" s="65"/>
      <c r="P149" s="65"/>
    </row>
    <row r="150" spans="1:20" s="36" customFormat="1" ht="15.75" customHeight="1" x14ac:dyDescent="0.3">
      <c r="A150" s="178">
        <v>1</v>
      </c>
      <c r="B150" s="179"/>
      <c r="C150" s="41" t="s">
        <v>331</v>
      </c>
      <c r="D150" s="41">
        <f>(2.7*4.5+2.1*2.1+2.7*3+1.2*1.8+1.8*1.2+0.9*2.3+0.2*1.2+2.7*0.6)*10.764</f>
        <v>354.24324000000001</v>
      </c>
      <c r="E150" s="41">
        <f>(2.7+0.6*2.1+0.75*2.7)*10.764</f>
        <v>64.422539999999998</v>
      </c>
      <c r="F150" s="41">
        <f>D150+E150</f>
        <v>418.66578000000004</v>
      </c>
      <c r="G150" s="41">
        <v>0</v>
      </c>
      <c r="H150" s="41">
        <v>648</v>
      </c>
      <c r="I150" s="35">
        <f>2.7*4.5+2.1*2.1+2.7*3+1.2*1.8+1.8*1.2+0.9*2.2+0.2*1.2+2.7*0.6</f>
        <v>32.82</v>
      </c>
      <c r="J150" s="72">
        <f>H150/F150</f>
        <v>1.5477739785659099</v>
      </c>
      <c r="K150" s="36">
        <v>648</v>
      </c>
      <c r="L150" s="73">
        <f>K150/F150</f>
        <v>1.5477739785659099</v>
      </c>
      <c r="M150" s="71"/>
      <c r="N150" s="65"/>
      <c r="O150" s="65"/>
      <c r="P150" s="65"/>
    </row>
    <row r="151" spans="1:20" s="36" customFormat="1" ht="15.75" customHeight="1" x14ac:dyDescent="0.3">
      <c r="A151" s="178">
        <f>A150+1</f>
        <v>2</v>
      </c>
      <c r="B151" s="179"/>
      <c r="C151" s="41" t="s">
        <v>331</v>
      </c>
      <c r="D151" s="41">
        <f>(2.7*4.5+2.1*2.1+2.7*3+1.2*1.8+1.8*1.2+0.9*2.3+0.2*1.2+2.7*0.6)*10.764</f>
        <v>354.24324000000001</v>
      </c>
      <c r="E151" s="41">
        <f>(2.7+0.6*2.1+0.75*2.7)*10.764</f>
        <v>64.422539999999998</v>
      </c>
      <c r="F151" s="41">
        <f>D151+E151</f>
        <v>418.66578000000004</v>
      </c>
      <c r="G151" s="41">
        <v>0</v>
      </c>
      <c r="H151" s="41">
        <v>648</v>
      </c>
      <c r="I151" s="35"/>
      <c r="J151" s="72">
        <f t="shared" ref="J151:J157" si="11">H151/F151</f>
        <v>1.5477739785659099</v>
      </c>
      <c r="K151" s="36">
        <v>648</v>
      </c>
      <c r="L151" s="73">
        <f t="shared" ref="L151:L157" si="12">K151/F151</f>
        <v>1.5477739785659099</v>
      </c>
      <c r="M151" s="71"/>
      <c r="N151" s="65"/>
      <c r="O151" s="65"/>
      <c r="P151" s="65"/>
    </row>
    <row r="152" spans="1:20" s="36" customFormat="1" ht="15.75" customHeight="1" x14ac:dyDescent="0.3">
      <c r="A152" s="178">
        <f>A151+1</f>
        <v>3</v>
      </c>
      <c r="B152" s="179"/>
      <c r="C152" s="41" t="s">
        <v>331</v>
      </c>
      <c r="D152" s="41">
        <f>(4.5*2.7+2.1*2.1+2.85*3+1.2*1.8+1.2*1.2+0.9*1.4+1.8*0.6)*10.764</f>
        <v>334.22220000000004</v>
      </c>
      <c r="E152" s="41">
        <f>(2.25+0.75*2.1+0.6*2.85)*10.764</f>
        <v>59.578739999999996</v>
      </c>
      <c r="F152" s="41">
        <f>D152+E152</f>
        <v>393.80094000000003</v>
      </c>
      <c r="G152" s="41">
        <v>0</v>
      </c>
      <c r="H152" s="41">
        <v>612</v>
      </c>
      <c r="I152" s="35"/>
      <c r="J152" s="72">
        <f t="shared" si="11"/>
        <v>1.5540846601331118</v>
      </c>
      <c r="K152" s="36">
        <v>612</v>
      </c>
      <c r="L152" s="73">
        <f t="shared" si="12"/>
        <v>1.5540846601331118</v>
      </c>
      <c r="M152" s="71"/>
      <c r="N152" s="65"/>
      <c r="O152" s="65"/>
      <c r="P152" s="65"/>
    </row>
    <row r="153" spans="1:20" s="36" customFormat="1" ht="15.75" customHeight="1" x14ac:dyDescent="0.3">
      <c r="A153" s="178">
        <f>A152+1</f>
        <v>4</v>
      </c>
      <c r="B153" s="179"/>
      <c r="C153" s="41" t="s">
        <v>332</v>
      </c>
      <c r="D153" s="41">
        <f>(3*4.8+2.55*1.95+2.1*2.1+2.7*3.35+3.35*2.77+1.8*1.2+1.2*2.1+0.9*3.1+1.8*0.6)*10.764</f>
        <v>545.27194799999995</v>
      </c>
      <c r="E153" s="41">
        <f>(1.05*3+1*2.77+0.75*(2.1+2.7))*10.764</f>
        <v>102.47327999999999</v>
      </c>
      <c r="F153" s="41">
        <f>D153+E153</f>
        <v>647.745228</v>
      </c>
      <c r="G153" s="41">
        <v>0</v>
      </c>
      <c r="H153" s="41">
        <f>F153*1.5</f>
        <v>971.617842</v>
      </c>
      <c r="I153" s="35"/>
      <c r="J153" s="72">
        <f t="shared" si="11"/>
        <v>1.5</v>
      </c>
      <c r="K153" s="36">
        <v>932</v>
      </c>
      <c r="L153" s="73">
        <f t="shared" si="12"/>
        <v>1.4388373078064576</v>
      </c>
      <c r="M153" s="71"/>
      <c r="N153" s="65"/>
      <c r="O153" s="65"/>
      <c r="P153" s="65"/>
      <c r="T153" s="20"/>
    </row>
    <row r="154" spans="1:20" s="36" customFormat="1" ht="15.75" customHeight="1" x14ac:dyDescent="0.3">
      <c r="A154" s="178">
        <f t="shared" ref="A154:A157" si="13">A153+1</f>
        <v>5</v>
      </c>
      <c r="B154" s="179"/>
      <c r="C154" s="41" t="s">
        <v>331</v>
      </c>
      <c r="D154" s="41">
        <f>(2.85*4.5+2.1*2.1+2.7*3.06+1.2*1.8+1.8*1.2+0.9*2.2+0.2*1.2+2.7*0.6)*10.764</f>
        <v>362.28394799999995</v>
      </c>
      <c r="E154" s="41">
        <f>(1*2.85+0.75*(2.1+2.7))*10.764</f>
        <v>69.427800000000005</v>
      </c>
      <c r="F154" s="41">
        <f t="shared" ref="F154:F157" si="14">D154+E154</f>
        <v>431.71174799999994</v>
      </c>
      <c r="G154" s="41">
        <v>0</v>
      </c>
      <c r="H154" s="41">
        <v>651</v>
      </c>
      <c r="I154" s="35"/>
      <c r="J154" s="72">
        <f t="shared" si="11"/>
        <v>1.5079506244986414</v>
      </c>
      <c r="K154" s="36">
        <v>651</v>
      </c>
      <c r="L154" s="73">
        <f t="shared" si="12"/>
        <v>1.5079506244986414</v>
      </c>
      <c r="M154" s="71"/>
      <c r="N154" s="65"/>
      <c r="O154" s="65"/>
      <c r="P154" s="65"/>
      <c r="T154" s="20"/>
    </row>
    <row r="155" spans="1:20" s="36" customFormat="1" ht="15.75" customHeight="1" x14ac:dyDescent="0.3">
      <c r="A155" s="178">
        <f t="shared" si="13"/>
        <v>6</v>
      </c>
      <c r="B155" s="179"/>
      <c r="C155" s="41" t="s">
        <v>331</v>
      </c>
      <c r="D155" s="41">
        <f>(2.85*4.5+2.1*2.1+2.7*3+1.2*1.8+1.8*1.2+0.9*2.2+0.2*1.2+2.7*0.6)*10.764</f>
        <v>360.54017999999996</v>
      </c>
      <c r="E155" s="41">
        <f>(1*2.85+0.75*(2.1+2.7))*10.764</f>
        <v>69.427800000000005</v>
      </c>
      <c r="F155" s="41">
        <f t="shared" si="14"/>
        <v>429.96797999999995</v>
      </c>
      <c r="G155" s="41">
        <v>0</v>
      </c>
      <c r="H155" s="41">
        <v>651</v>
      </c>
      <c r="I155" s="35"/>
      <c r="J155" s="72">
        <f t="shared" si="11"/>
        <v>1.5140662334902242</v>
      </c>
      <c r="K155" s="36">
        <v>651</v>
      </c>
      <c r="L155" s="73">
        <f t="shared" si="12"/>
        <v>1.5140662334902242</v>
      </c>
      <c r="M155" s="71"/>
      <c r="N155" s="65"/>
      <c r="O155" s="65"/>
      <c r="P155" s="65"/>
      <c r="T155" s="20"/>
    </row>
    <row r="156" spans="1:20" s="36" customFormat="1" ht="15.75" customHeight="1" x14ac:dyDescent="0.3">
      <c r="A156" s="178">
        <f t="shared" si="13"/>
        <v>7</v>
      </c>
      <c r="B156" s="179"/>
      <c r="C156" s="41" t="s">
        <v>332</v>
      </c>
      <c r="D156" s="41">
        <f>(3*4.8+2.55*1.95+2.1*2.1+2.7*3.35+3.35*2.77+1.8*1.2+1.2*2.1+0.9*3.1+1.8*0.6)*10.764</f>
        <v>545.27194799999995</v>
      </c>
      <c r="E156" s="41">
        <f>(1.05*3+1*2.77+0.75*(2.1+2.7))*10.764</f>
        <v>102.47327999999999</v>
      </c>
      <c r="F156" s="41">
        <f t="shared" si="14"/>
        <v>647.745228</v>
      </c>
      <c r="G156" s="41">
        <v>0</v>
      </c>
      <c r="H156" s="41">
        <f>F156*1.5</f>
        <v>971.617842</v>
      </c>
      <c r="I156" s="35">
        <f>3*4.8+2.55*1.95+2.1*2.1+2.7*3.15+3.35*2.77+1.8*1.2+1.2*2.1+1.8*0.6+0.9*3.3+2.77+1.05*3</f>
        <v>56.217000000000006</v>
      </c>
      <c r="J156" s="72">
        <f t="shared" si="11"/>
        <v>1.5</v>
      </c>
      <c r="K156" s="36">
        <v>932</v>
      </c>
      <c r="L156" s="73">
        <f>K156/F156</f>
        <v>1.4388373078064576</v>
      </c>
      <c r="M156" s="71"/>
      <c r="N156" s="65"/>
      <c r="O156" s="65"/>
      <c r="P156" s="65"/>
      <c r="T156" s="20"/>
    </row>
    <row r="157" spans="1:20" s="36" customFormat="1" ht="15.75" customHeight="1" x14ac:dyDescent="0.3">
      <c r="A157" s="178">
        <f t="shared" si="13"/>
        <v>8</v>
      </c>
      <c r="B157" s="179"/>
      <c r="C157" s="41" t="s">
        <v>331</v>
      </c>
      <c r="D157" s="41">
        <f>(4.5*2.7+2.1*2.1+2.85*3+1.2*1.8+1.2*1.2+0.9*1.4+1.8*0.6)*10.764</f>
        <v>334.22220000000004</v>
      </c>
      <c r="E157" s="41">
        <f>(2.25+0.75*2.1+0.6*2.85)*10.764</f>
        <v>59.578739999999996</v>
      </c>
      <c r="F157" s="41">
        <f t="shared" si="14"/>
        <v>393.80094000000003</v>
      </c>
      <c r="G157" s="41">
        <v>0</v>
      </c>
      <c r="H157" s="41">
        <v>612</v>
      </c>
      <c r="I157" s="35"/>
      <c r="J157" s="72">
        <f t="shared" si="11"/>
        <v>1.5540846601331118</v>
      </c>
      <c r="K157" s="36">
        <v>612</v>
      </c>
      <c r="L157" s="73">
        <f t="shared" si="12"/>
        <v>1.5540846601331118</v>
      </c>
      <c r="M157" s="71"/>
      <c r="N157" s="65"/>
      <c r="O157" s="65"/>
      <c r="P157" s="65"/>
      <c r="T157" s="20"/>
    </row>
    <row r="158" spans="1:20" s="36" customFormat="1" x14ac:dyDescent="0.3">
      <c r="A158" s="182" t="s">
        <v>335</v>
      </c>
      <c r="B158" s="182"/>
      <c r="C158" s="182"/>
      <c r="D158" s="182"/>
      <c r="E158" s="182"/>
      <c r="F158" s="182"/>
      <c r="G158" s="182"/>
      <c r="H158" s="182"/>
      <c r="J158" s="35"/>
      <c r="L158" s="67"/>
      <c r="M158" s="65"/>
      <c r="N158" s="65"/>
      <c r="O158" s="65"/>
      <c r="P158" s="65"/>
    </row>
    <row r="159" spans="1:20" s="36" customFormat="1" ht="15.75" customHeight="1" x14ac:dyDescent="0.3">
      <c r="A159" s="181">
        <v>1</v>
      </c>
      <c r="B159" s="181"/>
      <c r="C159" s="41" t="s">
        <v>331</v>
      </c>
      <c r="D159" s="41">
        <f>(2.7*4.5+2.1*2.1+2.7*3+1.2*1.8+1.8*1.2+0.9*2.3+0.2*1.2+2.7*0.6)*10.764</f>
        <v>354.24324000000001</v>
      </c>
      <c r="E159" s="41">
        <f>(2.7+0.6*2.1+0.75*2.7)*10.764</f>
        <v>64.422539999999998</v>
      </c>
      <c r="F159" s="41">
        <f>D159+E159</f>
        <v>418.66578000000004</v>
      </c>
      <c r="G159" s="41">
        <v>0</v>
      </c>
      <c r="H159" s="41">
        <v>648</v>
      </c>
      <c r="I159" s="35"/>
      <c r="L159" s="65"/>
      <c r="M159" s="65"/>
      <c r="N159" s="65"/>
      <c r="O159" s="65"/>
      <c r="P159" s="65"/>
    </row>
    <row r="160" spans="1:20" s="36" customFormat="1" ht="15.75" customHeight="1" x14ac:dyDescent="0.3">
      <c r="A160" s="181">
        <f>A159+1</f>
        <v>2</v>
      </c>
      <c r="B160" s="181"/>
      <c r="C160" s="41" t="s">
        <v>331</v>
      </c>
      <c r="D160" s="41">
        <f>(2.7*4.5+2.1*2.1+2.7*3+1.2*1.8+1.8*1.2+0.9*2.3+0.2*1.2+2.7*0.6)*10.764</f>
        <v>354.24324000000001</v>
      </c>
      <c r="E160" s="41">
        <f>(2.7+0.6*2.1+0.75*2.7)*10.764</f>
        <v>64.422539999999998</v>
      </c>
      <c r="F160" s="41">
        <f>D160+E160</f>
        <v>418.66578000000004</v>
      </c>
      <c r="G160" s="41">
        <v>0</v>
      </c>
      <c r="H160" s="41">
        <v>648</v>
      </c>
      <c r="I160" s="35"/>
      <c r="L160" s="65"/>
      <c r="M160" s="65"/>
      <c r="N160" s="65"/>
      <c r="O160" s="65"/>
      <c r="P160" s="65"/>
    </row>
    <row r="161" spans="1:20" s="36" customFormat="1" ht="15.75" customHeight="1" x14ac:dyDescent="0.3">
      <c r="A161" s="181">
        <f>A160+1</f>
        <v>3</v>
      </c>
      <c r="B161" s="181"/>
      <c r="C161" s="41" t="s">
        <v>331</v>
      </c>
      <c r="D161" s="41">
        <f>(4.5*2.7+2.1*2.1+2.85*3+1.2*1.8+1.2*1.2+0.9*1.4+1.8*0.6)*10.764</f>
        <v>334.22220000000004</v>
      </c>
      <c r="E161" s="41">
        <f>(2.25+0.75*2.1+0.6*2.85)*10.764</f>
        <v>59.578739999999996</v>
      </c>
      <c r="F161" s="41">
        <f>D161+E161</f>
        <v>393.80094000000003</v>
      </c>
      <c r="G161" s="41">
        <v>0</v>
      </c>
      <c r="H161" s="41">
        <v>612</v>
      </c>
      <c r="I161" s="35"/>
      <c r="L161" s="65"/>
      <c r="M161" s="65"/>
      <c r="N161" s="65"/>
      <c r="O161" s="65"/>
      <c r="P161" s="65"/>
    </row>
    <row r="162" spans="1:20" s="36" customFormat="1" ht="15.75" customHeight="1" x14ac:dyDescent="0.3">
      <c r="A162" s="181">
        <f>A161+1</f>
        <v>4</v>
      </c>
      <c r="B162" s="181"/>
      <c r="C162" s="41" t="s">
        <v>332</v>
      </c>
      <c r="D162" s="41">
        <f>(3*4.8+2.55*1.95+2.1*2.1+2.7*3.35+3.35*2.77+1.8*1.2+1.2*2.1+0.9*3.1+1.8*0.6)*10.764</f>
        <v>545.27194799999995</v>
      </c>
      <c r="E162" s="41">
        <f>(1.05*3+1*2.77+0.75*(2.1+2.7))*10.764</f>
        <v>102.47327999999999</v>
      </c>
      <c r="F162" s="41">
        <f>D162+E162</f>
        <v>647.745228</v>
      </c>
      <c r="G162" s="41">
        <v>0</v>
      </c>
      <c r="H162" s="41">
        <f>F162*1.5</f>
        <v>971.617842</v>
      </c>
      <c r="I162" s="35"/>
      <c r="L162" s="65"/>
      <c r="M162" s="65"/>
      <c r="N162" s="65"/>
      <c r="O162" s="65"/>
      <c r="P162" s="65"/>
      <c r="T162" s="20"/>
    </row>
    <row r="163" spans="1:20" s="36" customFormat="1" ht="15.75" customHeight="1" x14ac:dyDescent="0.3">
      <c r="A163" s="181">
        <f t="shared" ref="A163:A166" si="15">A162+1</f>
        <v>5</v>
      </c>
      <c r="B163" s="181"/>
      <c r="C163" s="41" t="s">
        <v>331</v>
      </c>
      <c r="D163" s="41">
        <f>(2.85*4.5+2.1*2.1+2.7*3+1.2*1.8+1.8*1.2+0.9*2.2+0.2*1.2+2.7*0.6)*10.764</f>
        <v>360.54017999999996</v>
      </c>
      <c r="E163" s="41">
        <f>(1*2.85+0.75*(2.1+2.7))*10.764</f>
        <v>69.427800000000005</v>
      </c>
      <c r="F163" s="41">
        <f t="shared" ref="F163:F166" si="16">D163+E163</f>
        <v>429.96797999999995</v>
      </c>
      <c r="G163" s="41">
        <v>0</v>
      </c>
      <c r="H163" s="41">
        <v>651</v>
      </c>
      <c r="I163" s="35"/>
      <c r="L163" s="65"/>
      <c r="M163" s="65"/>
      <c r="N163" s="65"/>
      <c r="O163" s="65"/>
      <c r="P163" s="65"/>
      <c r="T163" s="20"/>
    </row>
    <row r="164" spans="1:20" s="36" customFormat="1" ht="15.75" customHeight="1" x14ac:dyDescent="0.3">
      <c r="A164" s="178">
        <f t="shared" si="15"/>
        <v>6</v>
      </c>
      <c r="B164" s="179"/>
      <c r="C164" s="178" t="s">
        <v>334</v>
      </c>
      <c r="D164" s="180"/>
      <c r="E164" s="180"/>
      <c r="F164" s="180"/>
      <c r="G164" s="180"/>
      <c r="H164" s="179"/>
      <c r="I164" s="35"/>
      <c r="L164" s="65"/>
      <c r="M164" s="65"/>
      <c r="N164" s="65"/>
      <c r="O164" s="65"/>
      <c r="P164" s="65"/>
      <c r="T164" s="20"/>
    </row>
    <row r="165" spans="1:20" s="36" customFormat="1" ht="15.75" customHeight="1" x14ac:dyDescent="0.3">
      <c r="A165" s="178">
        <f t="shared" si="15"/>
        <v>7</v>
      </c>
      <c r="B165" s="179"/>
      <c r="C165" s="41" t="s">
        <v>332</v>
      </c>
      <c r="D165" s="41">
        <f>(3*4.8+2.55*1.95+2.1*2.1+2.7*3.35+3.35*2.77+1.8*1.2+1.2*2.1+0.9*3.1+1.8*0.6)*10.764</f>
        <v>545.27194799999995</v>
      </c>
      <c r="E165" s="41">
        <f>(1.05*3+1*2.77+0.75*(2.1+2.7))*10.764</f>
        <v>102.47327999999999</v>
      </c>
      <c r="F165" s="41">
        <f t="shared" si="16"/>
        <v>647.745228</v>
      </c>
      <c r="G165" s="41">
        <v>0</v>
      </c>
      <c r="H165" s="41">
        <f>F165*1.5</f>
        <v>971.617842</v>
      </c>
      <c r="I165" s="35"/>
      <c r="L165" s="65"/>
      <c r="M165" s="65"/>
      <c r="N165" s="65"/>
      <c r="O165" s="65"/>
      <c r="P165" s="65"/>
      <c r="T165" s="20"/>
    </row>
    <row r="166" spans="1:20" s="36" customFormat="1" ht="15.75" customHeight="1" x14ac:dyDescent="0.3">
      <c r="A166" s="178">
        <f t="shared" si="15"/>
        <v>8</v>
      </c>
      <c r="B166" s="179"/>
      <c r="C166" s="41" t="s">
        <v>331</v>
      </c>
      <c r="D166" s="41">
        <f>(4.5*2.7+2.1*2.1+2.85*3+1.2*1.8+1.2*1.2+0.9*1.4+1.8*0.6)*10.764</f>
        <v>334.22220000000004</v>
      </c>
      <c r="E166" s="41">
        <f>(2.25+0.75*2.1+0.6*2.85)*10.764</f>
        <v>59.578739999999996</v>
      </c>
      <c r="F166" s="41">
        <f t="shared" si="16"/>
        <v>393.80094000000003</v>
      </c>
      <c r="G166" s="41">
        <v>0</v>
      </c>
      <c r="H166" s="41">
        <v>612</v>
      </c>
      <c r="I166" s="35"/>
      <c r="L166" s="65"/>
      <c r="M166" s="65"/>
      <c r="N166" s="65"/>
      <c r="O166" s="65"/>
      <c r="P166" s="65"/>
      <c r="T166" s="20"/>
    </row>
    <row r="167" spans="1:20" s="36" customFormat="1" ht="15.75" customHeight="1" x14ac:dyDescent="0.3">
      <c r="A167" s="158" t="s">
        <v>336</v>
      </c>
      <c r="B167" s="159"/>
      <c r="C167" s="159"/>
      <c r="D167" s="159"/>
      <c r="E167" s="159"/>
      <c r="F167" s="159"/>
      <c r="G167" s="159"/>
      <c r="H167" s="160"/>
      <c r="J167" s="35"/>
      <c r="L167" s="65"/>
      <c r="M167" s="65"/>
      <c r="N167" s="65"/>
      <c r="O167" s="65"/>
      <c r="P167" s="65"/>
    </row>
    <row r="168" spans="1:20" s="36" customFormat="1" x14ac:dyDescent="0.3">
      <c r="A168" s="158" t="s">
        <v>338</v>
      </c>
      <c r="B168" s="159"/>
      <c r="C168" s="159"/>
      <c r="D168" s="159"/>
      <c r="E168" s="159"/>
      <c r="F168" s="159"/>
      <c r="G168" s="159"/>
      <c r="H168" s="160"/>
      <c r="I168" s="66"/>
      <c r="J168" s="65"/>
      <c r="K168" s="65"/>
      <c r="L168" s="65"/>
      <c r="M168" s="65"/>
      <c r="N168" s="65"/>
      <c r="O168" s="65"/>
      <c r="P168" s="65"/>
    </row>
    <row r="169" spans="1:20" s="36" customFormat="1" x14ac:dyDescent="0.3">
      <c r="A169" s="158" t="s">
        <v>337</v>
      </c>
      <c r="B169" s="159"/>
      <c r="C169" s="159"/>
      <c r="D169" s="159"/>
      <c r="E169" s="159"/>
      <c r="F169" s="159"/>
      <c r="G169" s="159"/>
      <c r="H169" s="160"/>
      <c r="I169" s="66"/>
      <c r="J169" s="65"/>
      <c r="K169" s="65"/>
      <c r="L169" s="65"/>
      <c r="M169" s="65"/>
      <c r="N169" s="65"/>
      <c r="O169" s="65"/>
      <c r="P169" s="65"/>
    </row>
    <row r="170" spans="1:20" s="36" customFormat="1" ht="15.75" customHeight="1" x14ac:dyDescent="0.3">
      <c r="A170" s="178">
        <v>1</v>
      </c>
      <c r="B170" s="179"/>
      <c r="C170" s="41" t="s">
        <v>331</v>
      </c>
      <c r="D170" s="41">
        <f>(2.7*4.5+2.1*2.1+2.7*3+1.2*1.8+1.8*1.2+0.9*2.3+0.2*1.2+2.7*0.6)*10.764</f>
        <v>354.24324000000001</v>
      </c>
      <c r="E170" s="41">
        <f>(2.7+0.6*2.1+0.75*2.7)*10.764</f>
        <v>64.422539999999998</v>
      </c>
      <c r="F170" s="41">
        <f>D170+E170</f>
        <v>418.66578000000004</v>
      </c>
      <c r="G170" s="41">
        <v>0</v>
      </c>
      <c r="H170" s="41">
        <v>648</v>
      </c>
      <c r="I170" s="65"/>
      <c r="J170" s="65"/>
      <c r="K170" s="65"/>
      <c r="L170" s="65"/>
      <c r="M170" s="65"/>
      <c r="N170" s="65"/>
      <c r="O170" s="65"/>
      <c r="P170" s="65"/>
    </row>
    <row r="171" spans="1:20" s="36" customFormat="1" ht="15.75" customHeight="1" x14ac:dyDescent="0.3">
      <c r="A171" s="178">
        <f>A170+1</f>
        <v>2</v>
      </c>
      <c r="B171" s="179"/>
      <c r="C171" s="41" t="s">
        <v>331</v>
      </c>
      <c r="D171" s="41">
        <f>(2.7*4.5+2.1*2.1+2.7*3+1.2*1.8+1.8*1.2+0.9*2.3+0.2*1.2+2.7*0.6)*10.764</f>
        <v>354.24324000000001</v>
      </c>
      <c r="E171" s="41">
        <f>(2.7+0.6*2.1+0.75*2.7)*10.764</f>
        <v>64.422539999999998</v>
      </c>
      <c r="F171" s="41">
        <f>D171+E171</f>
        <v>418.66578000000004</v>
      </c>
      <c r="G171" s="41">
        <v>0</v>
      </c>
      <c r="H171" s="41">
        <v>648</v>
      </c>
      <c r="I171" s="65"/>
      <c r="J171" s="65"/>
      <c r="K171" s="65"/>
      <c r="L171" s="65"/>
      <c r="M171" s="65"/>
      <c r="N171" s="65"/>
      <c r="O171" s="65"/>
      <c r="P171" s="65"/>
    </row>
    <row r="172" spans="1:20" s="36" customFormat="1" ht="15.75" customHeight="1" x14ac:dyDescent="0.3">
      <c r="A172" s="178">
        <f>A171+1</f>
        <v>3</v>
      </c>
      <c r="B172" s="179"/>
      <c r="C172" s="41" t="s">
        <v>331</v>
      </c>
      <c r="D172" s="41">
        <f>(4.5*2.7+2.1*2.1+2.85*3+1.2*1.8+1.2*1.2+0.9*1.4+1.8*0.6)*10.764</f>
        <v>334.22220000000004</v>
      </c>
      <c r="E172" s="41">
        <f>(2.25+0.75*2.1+0.6*2.85)*10.764</f>
        <v>59.578739999999996</v>
      </c>
      <c r="F172" s="41">
        <f>D172+E172</f>
        <v>393.80094000000003</v>
      </c>
      <c r="G172" s="41">
        <v>0</v>
      </c>
      <c r="H172" s="41">
        <v>612</v>
      </c>
      <c r="I172" s="65"/>
      <c r="J172" s="65">
        <f>4437000/H172</f>
        <v>7250</v>
      </c>
      <c r="K172" s="65">
        <f>36000000/H172</f>
        <v>58823.529411764706</v>
      </c>
      <c r="L172" s="65"/>
      <c r="M172" s="65"/>
      <c r="N172" s="65"/>
      <c r="O172" s="65"/>
      <c r="P172" s="65"/>
    </row>
    <row r="173" spans="1:20" s="36" customFormat="1" ht="15.75" customHeight="1" x14ac:dyDescent="0.3">
      <c r="A173" s="178">
        <f>A172+1</f>
        <v>4</v>
      </c>
      <c r="B173" s="179"/>
      <c r="C173" s="41" t="s">
        <v>332</v>
      </c>
      <c r="D173" s="41">
        <f>(3*4.8+2.55*1.95+2.1*2.1+2.7*3.35+3.35*2.77+1.8*1.2+1.2*2.1+0.9*3.1+1.8*0.6)*10.764</f>
        <v>545.27194799999995</v>
      </c>
      <c r="E173" s="41">
        <f>(1.05*3+1*2.77+0.75*(2.1+2.7))*10.764</f>
        <v>102.47327999999999</v>
      </c>
      <c r="F173" s="41">
        <f>D173+E173</f>
        <v>647.745228</v>
      </c>
      <c r="G173" s="41">
        <v>0</v>
      </c>
      <c r="H173" s="41">
        <f>F173*1.5</f>
        <v>971.617842</v>
      </c>
      <c r="I173" s="65"/>
      <c r="J173" s="65"/>
      <c r="K173" s="65">
        <f>500300000/H173</f>
        <v>514914.38132730377</v>
      </c>
      <c r="L173" s="65"/>
      <c r="M173" s="65"/>
      <c r="N173" s="65"/>
      <c r="O173" s="65"/>
      <c r="P173" s="65"/>
      <c r="T173" s="20"/>
    </row>
    <row r="174" spans="1:20" s="36" customFormat="1" ht="15.75" customHeight="1" x14ac:dyDescent="0.3">
      <c r="A174" s="178">
        <f t="shared" ref="A174:A177" si="17">A173+1</f>
        <v>5</v>
      </c>
      <c r="B174" s="179"/>
      <c r="C174" s="41" t="s">
        <v>331</v>
      </c>
      <c r="D174" s="41">
        <f>(2.85*4.5+2.1*2.1+2.7*3+1.2*1.8+1.8*1.2+0.9*2.2+0.2*1.2+2.7*0.6)*10.764</f>
        <v>360.54017999999996</v>
      </c>
      <c r="E174" s="41">
        <f>(1*2.85+0.75*(2.1+2.7))*10.764</f>
        <v>69.427800000000005</v>
      </c>
      <c r="F174" s="41">
        <f t="shared" ref="F174:F177" si="18">D174+E174</f>
        <v>429.96797999999995</v>
      </c>
      <c r="G174" s="41">
        <v>0</v>
      </c>
      <c r="H174" s="41">
        <v>651</v>
      </c>
      <c r="I174" s="65"/>
      <c r="J174" s="65"/>
      <c r="K174" s="65"/>
      <c r="L174" s="65"/>
      <c r="M174" s="65"/>
      <c r="N174" s="65"/>
      <c r="O174" s="65"/>
      <c r="P174" s="65"/>
      <c r="T174" s="20"/>
    </row>
    <row r="175" spans="1:20" s="36" customFormat="1" ht="15.75" customHeight="1" x14ac:dyDescent="0.3">
      <c r="A175" s="178">
        <f t="shared" si="17"/>
        <v>6</v>
      </c>
      <c r="B175" s="179"/>
      <c r="C175" s="41" t="s">
        <v>331</v>
      </c>
      <c r="D175" s="41">
        <f>(2.85*4.5+2.1*2.1+2.7*3+1.2*1.8+1.8*1.2+0.9*2.2+0.2*1.2+2.7*0.6)*10.764</f>
        <v>360.54017999999996</v>
      </c>
      <c r="E175" s="41">
        <f>(1*2.85+0.75*(2.1+2.7))*10.764</f>
        <v>69.427800000000005</v>
      </c>
      <c r="F175" s="41">
        <f t="shared" si="18"/>
        <v>429.96797999999995</v>
      </c>
      <c r="G175" s="41">
        <v>0</v>
      </c>
      <c r="H175" s="41">
        <v>651</v>
      </c>
      <c r="I175" s="65"/>
      <c r="J175" s="65"/>
      <c r="K175" s="65"/>
      <c r="L175" s="65"/>
      <c r="M175" s="65"/>
      <c r="N175" s="65"/>
      <c r="O175" s="65"/>
      <c r="P175" s="65"/>
      <c r="T175" s="20"/>
    </row>
    <row r="176" spans="1:20" s="36" customFormat="1" ht="15.75" customHeight="1" x14ac:dyDescent="0.3">
      <c r="A176" s="178">
        <f t="shared" si="17"/>
        <v>7</v>
      </c>
      <c r="B176" s="179"/>
      <c r="C176" s="41" t="s">
        <v>332</v>
      </c>
      <c r="D176" s="41">
        <f>(3*4.8+2.55*1.95+2.1*2.1+2.7*3.35+3.35*2.77+1.8*1.2+1.2*2.1+0.9*3.1+1.8*0.6)*10.764</f>
        <v>545.27194799999995</v>
      </c>
      <c r="E176" s="41">
        <f>(1.05*3+1*2.77+0.75*(2.1+2.7))*10.764</f>
        <v>102.47327999999999</v>
      </c>
      <c r="F176" s="41">
        <f t="shared" si="18"/>
        <v>647.745228</v>
      </c>
      <c r="G176" s="41">
        <v>0</v>
      </c>
      <c r="H176" s="41">
        <f>F176*1.5</f>
        <v>971.617842</v>
      </c>
      <c r="I176" s="65"/>
      <c r="J176" s="65"/>
      <c r="K176" s="65">
        <f>5600000/H176</f>
        <v>5763.5829211131349</v>
      </c>
      <c r="L176" s="65"/>
      <c r="M176" s="65"/>
      <c r="N176" s="65"/>
      <c r="O176" s="65"/>
      <c r="P176" s="65"/>
      <c r="T176" s="20"/>
    </row>
    <row r="177" spans="1:20" s="36" customFormat="1" ht="15.75" customHeight="1" x14ac:dyDescent="0.3">
      <c r="A177" s="178">
        <f t="shared" si="17"/>
        <v>8</v>
      </c>
      <c r="B177" s="179"/>
      <c r="C177" s="41" t="s">
        <v>331</v>
      </c>
      <c r="D177" s="41">
        <f>(4.5*2.7+2.1*2.1+2.85*3+1.2*1.8+1.2*1.2+0.9*1.4+1.8*0.6)*10.764</f>
        <v>334.22220000000004</v>
      </c>
      <c r="E177" s="41">
        <f>(2.25+0.75*2.1+0.6*2.85)*10.764</f>
        <v>59.578739999999996</v>
      </c>
      <c r="F177" s="41">
        <f t="shared" si="18"/>
        <v>393.80094000000003</v>
      </c>
      <c r="G177" s="41">
        <v>0</v>
      </c>
      <c r="H177" s="41">
        <v>612</v>
      </c>
      <c r="I177" s="65"/>
      <c r="J177" s="65"/>
      <c r="K177" s="65"/>
      <c r="L177" s="65"/>
      <c r="M177" s="65"/>
      <c r="N177" s="65"/>
      <c r="O177" s="65"/>
      <c r="P177" s="65"/>
      <c r="T177" s="20"/>
    </row>
    <row r="178" spans="1:20" s="34" customFormat="1" x14ac:dyDescent="0.3">
      <c r="A178" s="204" t="s">
        <v>65</v>
      </c>
      <c r="B178" s="204"/>
      <c r="C178" s="204"/>
      <c r="D178" s="204"/>
      <c r="E178" s="204"/>
      <c r="F178" s="204"/>
      <c r="G178" s="204"/>
      <c r="H178" s="204"/>
      <c r="L178" s="65"/>
      <c r="M178" s="65"/>
      <c r="N178" s="65"/>
      <c r="O178" s="65"/>
      <c r="P178" s="65"/>
      <c r="T178" s="36"/>
    </row>
    <row r="179" spans="1:20" s="34" customFormat="1" ht="31.5" customHeight="1" x14ac:dyDescent="0.3">
      <c r="A179" s="45" t="s">
        <v>149</v>
      </c>
      <c r="B179" s="175" t="s">
        <v>362</v>
      </c>
      <c r="C179" s="176"/>
      <c r="D179" s="176"/>
      <c r="E179" s="176"/>
      <c r="F179" s="176"/>
      <c r="G179" s="176"/>
      <c r="H179" s="177"/>
      <c r="L179" s="65"/>
      <c r="M179" s="65"/>
      <c r="N179" s="65"/>
      <c r="O179" s="65"/>
      <c r="P179" s="65"/>
      <c r="T179" s="36"/>
    </row>
    <row r="180" spans="1:20" s="34" customFormat="1" x14ac:dyDescent="0.3">
      <c r="A180" s="45" t="s">
        <v>149</v>
      </c>
      <c r="B180" s="175" t="str">
        <f>(IF(H147="Saleable area Loading :","We have considered Saleable area of Flats as per our Calculation.","We considered Saleable area of Flat as per Builder area Sheet."))</f>
        <v>We considered Saleable area of Flat as per Builder area Sheet.</v>
      </c>
      <c r="C180" s="176"/>
      <c r="D180" s="176"/>
      <c r="E180" s="176"/>
      <c r="F180" s="176"/>
      <c r="G180" s="176"/>
      <c r="H180" s="177"/>
      <c r="L180" s="65"/>
      <c r="M180" s="65"/>
      <c r="N180" s="65"/>
      <c r="O180" s="65"/>
      <c r="P180" s="65"/>
      <c r="T180" s="36"/>
    </row>
    <row r="181" spans="1:20" s="34" customFormat="1" x14ac:dyDescent="0.3">
      <c r="A181" s="45" t="s">
        <v>149</v>
      </c>
      <c r="B181" s="175" t="str">
        <f>(IF(H129="Saleable area Loading :","We have considered Saleable area of Commercial as per our Calculation.","We considered Saleable area of Commercial as per Builder area Sheet."))</f>
        <v>We have considered Saleable area of Commercial as per our Calculation.</v>
      </c>
      <c r="C181" s="176"/>
      <c r="D181" s="176"/>
      <c r="E181" s="176"/>
      <c r="F181" s="176"/>
      <c r="G181" s="176"/>
      <c r="H181" s="177"/>
      <c r="L181" s="65"/>
      <c r="M181" s="65"/>
      <c r="N181" s="65"/>
      <c r="O181" s="65"/>
      <c r="P181" s="65"/>
      <c r="T181" s="36"/>
    </row>
    <row r="182" spans="1:20" s="34" customFormat="1" x14ac:dyDescent="0.3">
      <c r="A182" s="45" t="s">
        <v>149</v>
      </c>
      <c r="B182" s="94" t="s">
        <v>119</v>
      </c>
      <c r="C182" s="95"/>
      <c r="D182" s="95"/>
      <c r="E182" s="95"/>
      <c r="F182" s="95"/>
      <c r="G182" s="95"/>
      <c r="H182" s="96"/>
      <c r="L182" s="65"/>
      <c r="M182" s="65"/>
      <c r="N182" s="65"/>
      <c r="O182" s="65"/>
      <c r="P182" s="65"/>
      <c r="T182" s="36"/>
    </row>
    <row r="183" spans="1:20" s="34" customFormat="1" x14ac:dyDescent="0.3">
      <c r="A183" s="45" t="s">
        <v>149</v>
      </c>
      <c r="B183" s="94" t="s">
        <v>339</v>
      </c>
      <c r="C183" s="95"/>
      <c r="D183" s="95"/>
      <c r="E183" s="95"/>
      <c r="F183" s="95"/>
      <c r="G183" s="95"/>
      <c r="H183" s="96"/>
      <c r="L183" s="65"/>
      <c r="M183" s="65"/>
      <c r="N183" s="65"/>
      <c r="O183" s="65"/>
      <c r="P183" s="65"/>
      <c r="T183" s="36"/>
    </row>
    <row r="184" spans="1:20" s="34" customFormat="1" x14ac:dyDescent="0.3">
      <c r="A184" s="45" t="s">
        <v>149</v>
      </c>
      <c r="B184" s="94" t="s">
        <v>148</v>
      </c>
      <c r="C184" s="95"/>
      <c r="D184" s="95"/>
      <c r="E184" s="95"/>
      <c r="F184" s="95"/>
      <c r="G184" s="95"/>
      <c r="H184" s="96"/>
      <c r="L184" s="65"/>
      <c r="M184" s="65"/>
      <c r="N184" s="65"/>
      <c r="O184" s="65"/>
      <c r="P184" s="65"/>
    </row>
    <row r="185" spans="1:20" s="34" customFormat="1" x14ac:dyDescent="0.3">
      <c r="A185" s="45" t="s">
        <v>149</v>
      </c>
      <c r="B185" s="94" t="s">
        <v>120</v>
      </c>
      <c r="C185" s="95"/>
      <c r="D185" s="95"/>
      <c r="E185" s="95"/>
      <c r="F185" s="95"/>
      <c r="G185" s="95"/>
      <c r="H185" s="96"/>
      <c r="L185" s="65"/>
      <c r="M185" s="65"/>
      <c r="N185" s="65"/>
      <c r="O185" s="65"/>
      <c r="P185" s="65"/>
    </row>
    <row r="186" spans="1:20" s="34" customFormat="1" ht="34.5" customHeight="1" x14ac:dyDescent="0.3">
      <c r="A186" s="45" t="s">
        <v>149</v>
      </c>
      <c r="B186" s="94" t="s">
        <v>150</v>
      </c>
      <c r="C186" s="95"/>
      <c r="D186" s="95"/>
      <c r="E186" s="95"/>
      <c r="F186" s="95"/>
      <c r="G186" s="95"/>
      <c r="H186" s="96"/>
      <c r="L186" s="65"/>
      <c r="M186" s="65"/>
      <c r="N186" s="65"/>
      <c r="O186" s="65"/>
      <c r="P186" s="65"/>
    </row>
    <row r="187" spans="1:20" s="34" customFormat="1" x14ac:dyDescent="0.3">
      <c r="A187" s="45" t="s">
        <v>149</v>
      </c>
      <c r="B187" s="94" t="s">
        <v>121</v>
      </c>
      <c r="C187" s="95"/>
      <c r="D187" s="95"/>
      <c r="E187" s="95"/>
      <c r="F187" s="95"/>
      <c r="G187" s="95"/>
      <c r="H187" s="96"/>
      <c r="L187" s="65"/>
      <c r="M187" s="65"/>
      <c r="N187" s="65"/>
      <c r="O187" s="65"/>
      <c r="P187" s="65"/>
    </row>
    <row r="188" spans="1:20" s="34" customFormat="1" ht="32.25" hidden="1" customHeight="1" x14ac:dyDescent="0.3">
      <c r="A188" s="45" t="s">
        <v>149</v>
      </c>
      <c r="B188" s="168" t="s">
        <v>176</v>
      </c>
      <c r="C188" s="169"/>
      <c r="D188" s="169"/>
      <c r="E188" s="169"/>
      <c r="F188" s="169"/>
      <c r="G188" s="169"/>
      <c r="H188" s="170"/>
      <c r="L188" s="65"/>
      <c r="M188" s="65"/>
      <c r="N188" s="65"/>
      <c r="O188" s="65"/>
      <c r="P188" s="65"/>
    </row>
    <row r="189" spans="1:20" s="34" customFormat="1" hidden="1" x14ac:dyDescent="0.3">
      <c r="A189" s="45" t="s">
        <v>149</v>
      </c>
      <c r="B189" s="168" t="s">
        <v>231</v>
      </c>
      <c r="C189" s="169"/>
      <c r="D189" s="169"/>
      <c r="E189" s="169"/>
      <c r="F189" s="169"/>
      <c r="G189" s="169"/>
      <c r="H189" s="170"/>
      <c r="L189" s="65"/>
      <c r="M189" s="65"/>
      <c r="N189" s="65"/>
      <c r="O189" s="65"/>
      <c r="P189" s="65"/>
    </row>
    <row r="190" spans="1:20" s="34" customFormat="1" x14ac:dyDescent="0.3">
      <c r="A190" s="45" t="s">
        <v>149</v>
      </c>
      <c r="B190" s="94" t="s">
        <v>341</v>
      </c>
      <c r="C190" s="95"/>
      <c r="D190" s="95"/>
      <c r="E190" s="95"/>
      <c r="F190" s="95"/>
      <c r="G190" s="95"/>
      <c r="H190" s="96"/>
      <c r="L190" s="65"/>
      <c r="M190" s="65"/>
      <c r="N190" s="65"/>
      <c r="O190" s="65"/>
      <c r="P190" s="65"/>
    </row>
    <row r="191" spans="1:20" s="34" customFormat="1" x14ac:dyDescent="0.3">
      <c r="A191" s="45" t="s">
        <v>149</v>
      </c>
      <c r="B191" s="94" t="s">
        <v>355</v>
      </c>
      <c r="C191" s="95"/>
      <c r="D191" s="95"/>
      <c r="E191" s="95"/>
      <c r="F191" s="95"/>
      <c r="G191" s="95"/>
      <c r="H191" s="96"/>
      <c r="L191" s="65"/>
      <c r="M191" s="65"/>
      <c r="N191" s="65"/>
      <c r="O191" s="65"/>
      <c r="P191" s="65"/>
    </row>
    <row r="192" spans="1:20" s="34" customFormat="1" ht="30.75" customHeight="1" x14ac:dyDescent="0.3">
      <c r="A192" s="45" t="s">
        <v>149</v>
      </c>
      <c r="B192" s="91" t="s">
        <v>358</v>
      </c>
      <c r="C192" s="92"/>
      <c r="D192" s="92"/>
      <c r="E192" s="92"/>
      <c r="F192" s="92"/>
      <c r="G192" s="92"/>
      <c r="H192" s="93"/>
      <c r="L192" s="65"/>
      <c r="M192" s="65"/>
      <c r="N192" s="65"/>
      <c r="O192" s="65"/>
      <c r="P192" s="65"/>
    </row>
    <row r="193" spans="1:20" s="34" customFormat="1" ht="30.75" customHeight="1" x14ac:dyDescent="0.3">
      <c r="A193" s="45" t="s">
        <v>149</v>
      </c>
      <c r="B193" s="91" t="s">
        <v>359</v>
      </c>
      <c r="C193" s="92"/>
      <c r="D193" s="92"/>
      <c r="E193" s="92"/>
      <c r="F193" s="92"/>
      <c r="G193" s="92"/>
      <c r="H193" s="93"/>
      <c r="L193" s="65"/>
      <c r="M193" s="65"/>
      <c r="N193" s="65"/>
      <c r="O193" s="65"/>
      <c r="P193" s="65"/>
    </row>
    <row r="194" spans="1:20" x14ac:dyDescent="0.3">
      <c r="A194" s="173" t="s">
        <v>58</v>
      </c>
      <c r="B194" s="173"/>
      <c r="C194" s="173"/>
      <c r="D194" s="173"/>
      <c r="E194" s="173"/>
      <c r="F194" s="173"/>
      <c r="G194" s="173"/>
      <c r="H194" s="173"/>
      <c r="L194" s="65"/>
      <c r="M194" s="65"/>
      <c r="N194" s="65"/>
      <c r="O194" s="65"/>
      <c r="P194" s="65"/>
      <c r="T194" s="34"/>
    </row>
    <row r="195" spans="1:20" x14ac:dyDescent="0.3">
      <c r="A195" s="106" t="s">
        <v>59</v>
      </c>
      <c r="B195" s="106"/>
      <c r="C195" s="106"/>
      <c r="D195" s="106"/>
      <c r="E195" s="106"/>
      <c r="F195" s="106"/>
      <c r="G195" s="106"/>
      <c r="H195" s="106"/>
      <c r="L195" s="65"/>
      <c r="M195" s="65"/>
      <c r="N195" s="65"/>
      <c r="O195" s="65"/>
      <c r="P195" s="65"/>
      <c r="T195" s="34"/>
    </row>
    <row r="196" spans="1:20" ht="15.75" customHeight="1" x14ac:dyDescent="0.3">
      <c r="A196" s="183" t="s">
        <v>60</v>
      </c>
      <c r="B196" s="183"/>
      <c r="C196" s="183"/>
      <c r="D196" s="183"/>
      <c r="E196" s="183"/>
      <c r="F196" s="183"/>
      <c r="G196" s="183"/>
      <c r="H196" s="183"/>
      <c r="L196" s="65"/>
      <c r="M196" s="65"/>
      <c r="N196" s="65"/>
      <c r="O196" s="65"/>
      <c r="P196" s="65"/>
      <c r="T196" s="34"/>
    </row>
    <row r="197" spans="1:20" x14ac:dyDescent="0.3">
      <c r="A197" s="106" t="s">
        <v>61</v>
      </c>
      <c r="B197" s="106"/>
      <c r="C197" s="106"/>
      <c r="D197" s="106"/>
      <c r="E197" s="106"/>
      <c r="F197" s="106"/>
      <c r="G197" s="106"/>
      <c r="H197" s="106"/>
      <c r="L197" s="65"/>
      <c r="M197" s="65"/>
      <c r="N197" s="65"/>
      <c r="O197" s="65"/>
      <c r="P197" s="65"/>
      <c r="T197" s="34"/>
    </row>
    <row r="198" spans="1:20" x14ac:dyDescent="0.3">
      <c r="A198" s="106" t="s">
        <v>62</v>
      </c>
      <c r="B198" s="106"/>
      <c r="C198" s="106"/>
      <c r="D198" s="106"/>
      <c r="E198" s="106"/>
      <c r="F198" s="106"/>
      <c r="G198" s="106"/>
      <c r="H198" s="106"/>
      <c r="L198" s="65"/>
      <c r="M198" s="65"/>
      <c r="N198" s="65"/>
      <c r="O198" s="65"/>
      <c r="P198" s="65"/>
      <c r="T198" s="34"/>
    </row>
    <row r="199" spans="1:20" x14ac:dyDescent="0.3">
      <c r="A199" s="106" t="s">
        <v>122</v>
      </c>
      <c r="B199" s="106"/>
      <c r="C199" s="106"/>
      <c r="D199" s="106"/>
      <c r="E199" s="106"/>
      <c r="F199" s="106"/>
      <c r="G199" s="106"/>
      <c r="H199" s="106"/>
      <c r="L199" s="65"/>
      <c r="M199" s="65"/>
      <c r="N199" s="65"/>
      <c r="O199" s="65"/>
      <c r="P199" s="65"/>
      <c r="T199" s="34"/>
    </row>
    <row r="200" spans="1:20" ht="34.049999999999997" customHeight="1" x14ac:dyDescent="0.3">
      <c r="A200" s="147" t="s">
        <v>123</v>
      </c>
      <c r="B200" s="147"/>
      <c r="C200" s="147"/>
      <c r="D200" s="147"/>
      <c r="E200" s="147"/>
      <c r="F200" s="147"/>
      <c r="G200" s="147"/>
      <c r="H200" s="147"/>
      <c r="L200" s="65"/>
      <c r="M200" s="65"/>
      <c r="N200" s="65"/>
      <c r="O200" s="65"/>
      <c r="P200" s="65"/>
    </row>
    <row r="201" spans="1:20" x14ac:dyDescent="0.3">
      <c r="A201" s="172" t="s">
        <v>74</v>
      </c>
      <c r="B201" s="172"/>
      <c r="C201" s="172" t="s">
        <v>361</v>
      </c>
      <c r="D201" s="172"/>
      <c r="E201" s="172" t="s">
        <v>103</v>
      </c>
      <c r="F201" s="172"/>
      <c r="G201" s="172" t="s">
        <v>360</v>
      </c>
      <c r="H201" s="172"/>
      <c r="L201" s="65"/>
      <c r="M201" s="65"/>
      <c r="N201" s="65"/>
      <c r="O201" s="65"/>
      <c r="P201" s="65"/>
    </row>
    <row r="202" spans="1:20" x14ac:dyDescent="0.3">
      <c r="A202" s="171" t="s">
        <v>76</v>
      </c>
      <c r="B202" s="171"/>
      <c r="C202" s="171"/>
      <c r="D202" s="171"/>
      <c r="E202" s="171"/>
      <c r="F202" s="171"/>
      <c r="G202" s="171"/>
      <c r="H202" s="171"/>
      <c r="L202" s="65"/>
      <c r="M202" s="65"/>
      <c r="N202" s="65"/>
      <c r="O202" s="65"/>
      <c r="P202" s="65"/>
    </row>
    <row r="203" spans="1:20" x14ac:dyDescent="0.3">
      <c r="A203" s="171"/>
      <c r="B203" s="171"/>
      <c r="C203" s="171"/>
      <c r="D203" s="171"/>
      <c r="E203" s="171"/>
      <c r="F203" s="171"/>
      <c r="G203" s="171"/>
      <c r="H203" s="171"/>
      <c r="L203" s="65"/>
      <c r="M203" s="65"/>
      <c r="N203" s="65"/>
      <c r="O203" s="65"/>
      <c r="P203" s="65"/>
    </row>
    <row r="204" spans="1:20" x14ac:dyDescent="0.3">
      <c r="A204" s="171"/>
      <c r="B204" s="171"/>
      <c r="C204" s="171"/>
      <c r="D204" s="171"/>
      <c r="E204" s="171"/>
      <c r="F204" s="171"/>
      <c r="G204" s="171"/>
      <c r="H204" s="171"/>
      <c r="L204" s="65"/>
      <c r="M204" s="65"/>
      <c r="N204" s="65"/>
      <c r="O204" s="65"/>
      <c r="P204" s="65"/>
    </row>
    <row r="205" spans="1:20" x14ac:dyDescent="0.3">
      <c r="A205" s="171"/>
      <c r="B205" s="171"/>
      <c r="C205" s="171"/>
      <c r="D205" s="171"/>
      <c r="E205" s="171"/>
      <c r="F205" s="171"/>
      <c r="G205" s="171"/>
      <c r="H205" s="171"/>
      <c r="L205" s="65"/>
      <c r="M205" s="65"/>
      <c r="N205" s="65"/>
      <c r="O205" s="65"/>
      <c r="P205" s="65"/>
    </row>
    <row r="206" spans="1:20" x14ac:dyDescent="0.3">
      <c r="A206" s="37" t="s">
        <v>63</v>
      </c>
      <c r="B206" s="38"/>
      <c r="C206" s="38"/>
      <c r="D206" s="37" t="str">
        <f>E9</f>
        <v xml:space="preserve">Om Square </v>
      </c>
      <c r="F206" s="38"/>
      <c r="G206" s="38"/>
      <c r="H206" s="38"/>
      <c r="L206" s="65"/>
      <c r="M206" s="65"/>
      <c r="N206" s="65"/>
      <c r="O206" s="65"/>
      <c r="P206" s="65"/>
    </row>
    <row r="207" spans="1:20" x14ac:dyDescent="0.3">
      <c r="A207" s="38"/>
      <c r="B207" s="38"/>
      <c r="C207" s="38"/>
      <c r="D207" s="38"/>
      <c r="E207" s="38"/>
      <c r="F207" s="38"/>
      <c r="G207" s="38"/>
      <c r="H207" s="38"/>
      <c r="L207" s="65"/>
      <c r="M207" s="65"/>
      <c r="N207" s="65"/>
      <c r="O207" s="65"/>
      <c r="P207" s="65"/>
    </row>
    <row r="208" spans="1:20" x14ac:dyDescent="0.3">
      <c r="A208" s="38"/>
      <c r="B208" s="38"/>
      <c r="C208" s="38"/>
      <c r="D208" s="38"/>
      <c r="E208" s="38"/>
      <c r="F208" s="38"/>
      <c r="G208" s="38"/>
      <c r="H208" s="38"/>
      <c r="L208" s="65"/>
      <c r="M208" s="65"/>
      <c r="N208" s="65"/>
      <c r="O208" s="65"/>
      <c r="P208" s="65"/>
    </row>
    <row r="209" spans="12:16" ht="15" customHeight="1" x14ac:dyDescent="0.3">
      <c r="L209" s="65"/>
      <c r="M209" s="65"/>
      <c r="N209" s="65"/>
      <c r="O209" s="65"/>
      <c r="P209" s="65"/>
    </row>
    <row r="210" spans="12:16" x14ac:dyDescent="0.3">
      <c r="L210" s="65"/>
      <c r="M210" s="65"/>
      <c r="N210" s="65"/>
      <c r="O210" s="65"/>
      <c r="P210" s="65"/>
    </row>
    <row r="211" spans="12:16" x14ac:dyDescent="0.3">
      <c r="L211" s="65"/>
      <c r="M211" s="65"/>
      <c r="N211" s="65"/>
      <c r="O211" s="65"/>
      <c r="P211" s="65"/>
    </row>
    <row r="212" spans="12:16" x14ac:dyDescent="0.3">
      <c r="L212" s="65"/>
      <c r="M212" s="65"/>
      <c r="N212" s="65"/>
      <c r="O212" s="65"/>
      <c r="P212" s="65"/>
    </row>
    <row r="213" spans="12:16" x14ac:dyDescent="0.3">
      <c r="L213" s="65"/>
      <c r="M213" s="65"/>
      <c r="N213" s="65"/>
      <c r="O213" s="65"/>
      <c r="P213" s="65"/>
    </row>
    <row r="214" spans="12:16" x14ac:dyDescent="0.3">
      <c r="L214" s="65"/>
      <c r="M214" s="65"/>
      <c r="N214" s="65"/>
      <c r="O214" s="65"/>
      <c r="P214" s="65"/>
    </row>
    <row r="215" spans="12:16" x14ac:dyDescent="0.3">
      <c r="L215" s="65"/>
      <c r="M215" s="65"/>
      <c r="N215" s="65"/>
      <c r="O215" s="65"/>
      <c r="P215" s="65"/>
    </row>
    <row r="216" spans="12:16" x14ac:dyDescent="0.3">
      <c r="L216" s="65"/>
      <c r="M216" s="65"/>
      <c r="N216" s="65"/>
      <c r="O216" s="65"/>
      <c r="P216" s="65"/>
    </row>
    <row r="217" spans="12:16" x14ac:dyDescent="0.3">
      <c r="L217" s="65"/>
      <c r="M217" s="65"/>
      <c r="N217" s="65"/>
      <c r="O217" s="65"/>
      <c r="P217" s="65"/>
    </row>
    <row r="218" spans="12:16" x14ac:dyDescent="0.3">
      <c r="L218" s="65"/>
      <c r="M218" s="65"/>
      <c r="N218" s="65"/>
      <c r="O218" s="65"/>
      <c r="P218" s="65"/>
    </row>
    <row r="219" spans="12:16" x14ac:dyDescent="0.3">
      <c r="L219" s="65"/>
      <c r="M219" s="65"/>
      <c r="N219" s="65"/>
      <c r="O219" s="65"/>
      <c r="P219" s="65"/>
    </row>
    <row r="220" spans="12:16" x14ac:dyDescent="0.3">
      <c r="L220" s="65"/>
      <c r="M220" s="65"/>
      <c r="N220" s="65"/>
      <c r="O220" s="65"/>
      <c r="P220" s="65"/>
    </row>
    <row r="221" spans="12:16" x14ac:dyDescent="0.3">
      <c r="L221" s="65"/>
      <c r="M221" s="65"/>
      <c r="N221" s="65"/>
      <c r="O221" s="65"/>
      <c r="P221" s="65"/>
    </row>
    <row r="222" spans="12:16" x14ac:dyDescent="0.3">
      <c r="L222" s="65"/>
      <c r="M222" s="65"/>
      <c r="N222" s="65"/>
      <c r="O222" s="65"/>
      <c r="P222" s="65"/>
    </row>
    <row r="223" spans="12:16" x14ac:dyDescent="0.3">
      <c r="L223" s="65"/>
      <c r="M223" s="65"/>
      <c r="N223" s="65"/>
      <c r="O223" s="65"/>
      <c r="P223" s="65"/>
    </row>
    <row r="224" spans="12:16" x14ac:dyDescent="0.3">
      <c r="L224" s="65"/>
      <c r="M224" s="65"/>
      <c r="N224" s="65"/>
      <c r="O224" s="65"/>
      <c r="P224" s="65"/>
    </row>
    <row r="225" spans="12:16" x14ac:dyDescent="0.3">
      <c r="L225" s="65"/>
      <c r="M225" s="65"/>
      <c r="N225" s="65"/>
      <c r="O225" s="65"/>
      <c r="P225" s="65"/>
    </row>
    <row r="226" spans="12:16" x14ac:dyDescent="0.3">
      <c r="L226" s="65"/>
      <c r="M226" s="65"/>
      <c r="N226" s="65"/>
      <c r="O226" s="65"/>
      <c r="P226" s="65"/>
    </row>
    <row r="227" spans="12:16" x14ac:dyDescent="0.3">
      <c r="L227" s="65"/>
      <c r="M227" s="65"/>
      <c r="N227" s="65"/>
      <c r="O227" s="65"/>
      <c r="P227" s="65"/>
    </row>
    <row r="228" spans="12:16" x14ac:dyDescent="0.3">
      <c r="L228" s="65"/>
      <c r="M228" s="65"/>
      <c r="N228" s="65"/>
      <c r="O228" s="65"/>
      <c r="P228" s="65"/>
    </row>
    <row r="229" spans="12:16" x14ac:dyDescent="0.3">
      <c r="L229" s="65"/>
      <c r="M229" s="65"/>
      <c r="N229" s="65"/>
      <c r="O229" s="65"/>
      <c r="P229" s="65"/>
    </row>
    <row r="230" spans="12:16" x14ac:dyDescent="0.3">
      <c r="L230" s="65"/>
      <c r="M230" s="65"/>
      <c r="N230" s="65"/>
      <c r="O230" s="65"/>
      <c r="P230" s="65"/>
    </row>
    <row r="231" spans="12:16" x14ac:dyDescent="0.3">
      <c r="L231" s="65"/>
      <c r="M231" s="65"/>
      <c r="N231" s="65"/>
      <c r="O231" s="65"/>
      <c r="P231" s="65"/>
    </row>
    <row r="232" spans="12:16" x14ac:dyDescent="0.3">
      <c r="L232" s="65"/>
      <c r="M232" s="65"/>
      <c r="N232" s="65"/>
      <c r="O232" s="65"/>
      <c r="P232" s="65"/>
    </row>
    <row r="233" spans="12:16" x14ac:dyDescent="0.3">
      <c r="L233" s="65"/>
      <c r="M233" s="65"/>
      <c r="N233" s="65"/>
      <c r="O233" s="65"/>
      <c r="P233" s="65"/>
    </row>
    <row r="234" spans="12:16" x14ac:dyDescent="0.3">
      <c r="L234" s="65"/>
      <c r="M234" s="65"/>
      <c r="N234" s="65"/>
      <c r="O234" s="65"/>
      <c r="P234" s="65"/>
    </row>
    <row r="235" spans="12:16" x14ac:dyDescent="0.3">
      <c r="L235" s="65"/>
      <c r="M235" s="65"/>
      <c r="N235" s="65"/>
      <c r="O235" s="65"/>
      <c r="P235" s="65"/>
    </row>
    <row r="236" spans="12:16" x14ac:dyDescent="0.3">
      <c r="L236" s="65"/>
      <c r="M236" s="65"/>
      <c r="N236" s="65"/>
      <c r="O236" s="65"/>
      <c r="P236" s="65"/>
    </row>
    <row r="237" spans="12:16" x14ac:dyDescent="0.3">
      <c r="L237" s="65"/>
      <c r="M237" s="65"/>
      <c r="N237" s="65"/>
      <c r="O237" s="65"/>
      <c r="P237" s="65"/>
    </row>
    <row r="238" spans="12:16" x14ac:dyDescent="0.3">
      <c r="L238" s="65"/>
      <c r="M238" s="65"/>
      <c r="N238" s="65"/>
      <c r="O238" s="65"/>
      <c r="P238" s="65"/>
    </row>
    <row r="239" spans="12:16" x14ac:dyDescent="0.3">
      <c r="L239" s="65"/>
      <c r="M239" s="65"/>
      <c r="N239" s="65"/>
      <c r="O239" s="65"/>
      <c r="P239" s="65"/>
    </row>
    <row r="240" spans="12:16" x14ac:dyDescent="0.3">
      <c r="L240" s="65"/>
      <c r="M240" s="65"/>
      <c r="N240" s="65"/>
      <c r="O240" s="65"/>
      <c r="P240" s="65"/>
    </row>
    <row r="241" spans="1:16" x14ac:dyDescent="0.3">
      <c r="L241" s="65"/>
      <c r="M241" s="65"/>
      <c r="N241" s="65"/>
      <c r="O241" s="65"/>
      <c r="P241" s="65"/>
    </row>
    <row r="242" spans="1:16" x14ac:dyDescent="0.3">
      <c r="L242" s="65"/>
      <c r="M242" s="65"/>
      <c r="N242" s="65"/>
      <c r="O242" s="65"/>
      <c r="P242" s="65"/>
    </row>
    <row r="243" spans="1:16" x14ac:dyDescent="0.3">
      <c r="L243" s="65"/>
      <c r="M243" s="65"/>
      <c r="N243" s="65"/>
      <c r="O243" s="65"/>
      <c r="P243" s="65"/>
    </row>
    <row r="244" spans="1:16" x14ac:dyDescent="0.3">
      <c r="L244" s="65"/>
      <c r="M244" s="65"/>
      <c r="N244" s="65"/>
      <c r="O244" s="65"/>
      <c r="P244" s="65"/>
    </row>
    <row r="245" spans="1:16" x14ac:dyDescent="0.3">
      <c r="L245" s="65"/>
      <c r="M245" s="65"/>
      <c r="N245" s="65"/>
      <c r="O245" s="65"/>
      <c r="P245" s="65"/>
    </row>
    <row r="246" spans="1:16" x14ac:dyDescent="0.3">
      <c r="L246" s="65"/>
      <c r="M246" s="65"/>
      <c r="N246" s="65"/>
      <c r="O246" s="65"/>
      <c r="P246" s="65"/>
    </row>
    <row r="247" spans="1:16" x14ac:dyDescent="0.3">
      <c r="L247" s="65"/>
      <c r="M247" s="65"/>
      <c r="N247" s="65"/>
      <c r="O247" s="65"/>
      <c r="P247" s="65"/>
    </row>
    <row r="248" spans="1:16" x14ac:dyDescent="0.3">
      <c r="A248" s="40" t="s">
        <v>160</v>
      </c>
      <c r="L248" s="65"/>
      <c r="M248" s="65"/>
      <c r="N248" s="65"/>
      <c r="O248" s="65"/>
      <c r="P248" s="65"/>
    </row>
    <row r="249" spans="1:16" x14ac:dyDescent="0.3">
      <c r="L249" s="65"/>
      <c r="M249" s="65"/>
      <c r="N249" s="65"/>
      <c r="O249" s="65"/>
      <c r="P249" s="65"/>
    </row>
    <row r="250" spans="1:16" x14ac:dyDescent="0.3">
      <c r="L250" s="65"/>
      <c r="M250" s="65"/>
      <c r="N250" s="65"/>
      <c r="O250" s="65"/>
      <c r="P250" s="65"/>
    </row>
    <row r="251" spans="1:16" x14ac:dyDescent="0.3">
      <c r="L251" s="65"/>
      <c r="M251" s="65"/>
      <c r="N251" s="65"/>
      <c r="O251" s="65"/>
      <c r="P251" s="65"/>
    </row>
    <row r="252" spans="1:16" x14ac:dyDescent="0.3">
      <c r="L252" s="65"/>
      <c r="M252" s="65"/>
      <c r="N252" s="65"/>
      <c r="O252" s="65"/>
      <c r="P252" s="65"/>
    </row>
    <row r="253" spans="1:16" x14ac:dyDescent="0.3">
      <c r="L253" s="65"/>
      <c r="M253" s="65"/>
      <c r="N253" s="65"/>
      <c r="O253" s="65"/>
      <c r="P253" s="65"/>
    </row>
    <row r="254" spans="1:16" x14ac:dyDescent="0.3">
      <c r="L254" s="65"/>
      <c r="M254" s="65"/>
      <c r="N254" s="65"/>
      <c r="O254" s="65"/>
      <c r="P254" s="65"/>
    </row>
    <row r="255" spans="1:16" x14ac:dyDescent="0.3">
      <c r="L255" s="65"/>
      <c r="M255" s="65"/>
      <c r="N255" s="65"/>
      <c r="O255" s="65"/>
      <c r="P255" s="65"/>
    </row>
    <row r="256" spans="1:16" x14ac:dyDescent="0.3">
      <c r="L256" s="65"/>
      <c r="M256" s="65"/>
      <c r="N256" s="65"/>
      <c r="O256" s="65"/>
      <c r="P256" s="65"/>
    </row>
    <row r="257" spans="12:16" x14ac:dyDescent="0.3">
      <c r="L257" s="65"/>
      <c r="M257" s="65"/>
      <c r="N257" s="65"/>
      <c r="O257" s="65"/>
      <c r="P257" s="65"/>
    </row>
    <row r="258" spans="12:16" x14ac:dyDescent="0.3">
      <c r="L258" s="65"/>
      <c r="M258" s="65"/>
      <c r="N258" s="65"/>
      <c r="O258" s="65"/>
      <c r="P258" s="65"/>
    </row>
    <row r="259" spans="12:16" x14ac:dyDescent="0.3">
      <c r="L259" s="65"/>
      <c r="M259" s="65"/>
      <c r="N259" s="65"/>
      <c r="O259" s="65"/>
      <c r="P259" s="65"/>
    </row>
    <row r="260" spans="12:16" x14ac:dyDescent="0.3">
      <c r="L260" s="65"/>
      <c r="M260" s="65"/>
      <c r="N260" s="65"/>
      <c r="O260" s="65"/>
      <c r="P260" s="65"/>
    </row>
    <row r="261" spans="12:16" x14ac:dyDescent="0.3">
      <c r="L261" s="65"/>
      <c r="M261" s="65"/>
      <c r="N261" s="65"/>
      <c r="O261" s="65"/>
      <c r="P261" s="65"/>
    </row>
    <row r="262" spans="12:16" x14ac:dyDescent="0.3">
      <c r="L262" s="65"/>
      <c r="M262" s="65"/>
      <c r="N262" s="65"/>
      <c r="O262" s="65"/>
      <c r="P262" s="65"/>
    </row>
    <row r="263" spans="12:16" x14ac:dyDescent="0.3">
      <c r="L263" s="65"/>
      <c r="M263" s="65"/>
      <c r="N263" s="65"/>
      <c r="O263" s="65"/>
      <c r="P263" s="65"/>
    </row>
    <row r="264" spans="12:16" x14ac:dyDescent="0.3">
      <c r="L264" s="65"/>
      <c r="M264" s="65"/>
      <c r="N264" s="65"/>
      <c r="O264" s="65"/>
      <c r="P264" s="65"/>
    </row>
    <row r="265" spans="12:16" x14ac:dyDescent="0.3">
      <c r="L265" s="65"/>
      <c r="M265" s="65"/>
      <c r="N265" s="65"/>
      <c r="O265" s="65"/>
      <c r="P265" s="65"/>
    </row>
    <row r="266" spans="12:16" x14ac:dyDescent="0.3">
      <c r="L266" s="65"/>
      <c r="M266" s="65"/>
      <c r="N266" s="65"/>
      <c r="O266" s="65"/>
      <c r="P266" s="65"/>
    </row>
    <row r="267" spans="12:16" x14ac:dyDescent="0.3">
      <c r="L267" s="65"/>
      <c r="M267" s="65"/>
      <c r="N267" s="65"/>
      <c r="O267" s="65"/>
      <c r="P267" s="65"/>
    </row>
    <row r="268" spans="12:16" x14ac:dyDescent="0.3">
      <c r="L268" s="65"/>
      <c r="M268" s="65"/>
      <c r="N268" s="65"/>
      <c r="O268" s="65"/>
      <c r="P268" s="65"/>
    </row>
    <row r="269" spans="12:16" x14ac:dyDescent="0.3">
      <c r="L269" s="65"/>
      <c r="M269" s="65"/>
      <c r="N269" s="65"/>
      <c r="O269" s="65"/>
      <c r="P269" s="65"/>
    </row>
    <row r="270" spans="12:16" x14ac:dyDescent="0.3">
      <c r="L270" s="65"/>
      <c r="M270" s="65"/>
      <c r="N270" s="65"/>
      <c r="O270" s="65"/>
      <c r="P270" s="65"/>
    </row>
    <row r="271" spans="12:16" x14ac:dyDescent="0.3">
      <c r="L271" s="65"/>
      <c r="M271" s="65"/>
      <c r="N271" s="65"/>
      <c r="O271" s="65"/>
      <c r="P271" s="65"/>
    </row>
    <row r="272" spans="12:16" x14ac:dyDescent="0.3">
      <c r="L272" s="65"/>
      <c r="M272" s="65"/>
      <c r="N272" s="65"/>
      <c r="O272" s="65"/>
      <c r="P272" s="65"/>
    </row>
    <row r="273" spans="12:16" x14ac:dyDescent="0.3">
      <c r="L273" s="65"/>
      <c r="M273" s="65"/>
      <c r="N273" s="65"/>
      <c r="O273" s="65"/>
      <c r="P273" s="65"/>
    </row>
    <row r="274" spans="12:16" x14ac:dyDescent="0.3">
      <c r="L274" s="65"/>
      <c r="M274" s="65"/>
      <c r="N274" s="65"/>
      <c r="O274" s="65"/>
      <c r="P274" s="65"/>
    </row>
    <row r="275" spans="12:16" x14ac:dyDescent="0.3">
      <c r="L275" s="65"/>
      <c r="M275" s="65"/>
      <c r="N275" s="65"/>
      <c r="O275" s="65"/>
      <c r="P275" s="65"/>
    </row>
    <row r="276" spans="12:16" x14ac:dyDescent="0.3">
      <c r="L276" s="65"/>
      <c r="M276" s="65"/>
      <c r="N276" s="65"/>
      <c r="O276" s="65"/>
      <c r="P276" s="65"/>
    </row>
    <row r="277" spans="12:16" x14ac:dyDescent="0.3">
      <c r="L277" s="65"/>
      <c r="M277" s="65"/>
      <c r="N277" s="65"/>
      <c r="O277" s="65"/>
      <c r="P277" s="65"/>
    </row>
    <row r="278" spans="12:16" x14ac:dyDescent="0.3">
      <c r="L278" s="65"/>
      <c r="M278" s="65"/>
      <c r="N278" s="65"/>
      <c r="O278" s="65"/>
      <c r="P278" s="65"/>
    </row>
    <row r="279" spans="12:16" x14ac:dyDescent="0.3">
      <c r="L279" s="65"/>
      <c r="M279" s="65"/>
      <c r="N279" s="65"/>
      <c r="O279" s="65"/>
      <c r="P279" s="65"/>
    </row>
    <row r="280" spans="12:16" x14ac:dyDescent="0.3">
      <c r="L280" s="65"/>
      <c r="M280" s="65"/>
      <c r="N280" s="65"/>
      <c r="O280" s="65"/>
      <c r="P280" s="65"/>
    </row>
    <row r="281" spans="12:16" x14ac:dyDescent="0.3">
      <c r="L281" s="65"/>
      <c r="M281" s="65"/>
      <c r="N281" s="65"/>
      <c r="O281" s="65"/>
      <c r="P281" s="65"/>
    </row>
    <row r="282" spans="12:16" x14ac:dyDescent="0.3">
      <c r="L282" s="65"/>
      <c r="M282" s="65"/>
      <c r="N282" s="65"/>
      <c r="O282" s="65"/>
      <c r="P282" s="65"/>
    </row>
    <row r="283" spans="12:16" x14ac:dyDescent="0.3">
      <c r="L283" s="65"/>
      <c r="M283" s="65"/>
      <c r="N283" s="65"/>
      <c r="O283" s="65"/>
      <c r="P283" s="65"/>
    </row>
    <row r="284" spans="12:16" x14ac:dyDescent="0.3">
      <c r="L284" s="65"/>
      <c r="M284" s="65"/>
      <c r="N284" s="65"/>
      <c r="O284" s="65"/>
      <c r="P284" s="65"/>
    </row>
    <row r="290" spans="1:1" x14ac:dyDescent="0.3">
      <c r="A290" s="40" t="s">
        <v>64</v>
      </c>
    </row>
  </sheetData>
  <mergeCells count="341">
    <mergeCell ref="A89:B89"/>
    <mergeCell ref="C89:H89"/>
    <mergeCell ref="A84:B84"/>
    <mergeCell ref="B192:H192"/>
    <mergeCell ref="G51:H51"/>
    <mergeCell ref="A52:B53"/>
    <mergeCell ref="C53:H53"/>
    <mergeCell ref="C51:E51"/>
    <mergeCell ref="A169:H169"/>
    <mergeCell ref="A170:B170"/>
    <mergeCell ref="C54:E54"/>
    <mergeCell ref="G54:H54"/>
    <mergeCell ref="A56:B57"/>
    <mergeCell ref="C56:E56"/>
    <mergeCell ref="G56:H56"/>
    <mergeCell ref="A58:B59"/>
    <mergeCell ref="C58:E58"/>
    <mergeCell ref="G58:H58"/>
    <mergeCell ref="B183:H183"/>
    <mergeCell ref="A178:H178"/>
    <mergeCell ref="A151:B151"/>
    <mergeCell ref="A152:B152"/>
    <mergeCell ref="A153:B153"/>
    <mergeCell ref="A156:B156"/>
    <mergeCell ref="I15:P15"/>
    <mergeCell ref="F113:H113"/>
    <mergeCell ref="F111:H111"/>
    <mergeCell ref="A128:H128"/>
    <mergeCell ref="G117:H117"/>
    <mergeCell ref="A112:E112"/>
    <mergeCell ref="A134:B134"/>
    <mergeCell ref="A60:B60"/>
    <mergeCell ref="C60:E60"/>
    <mergeCell ref="D62:H62"/>
    <mergeCell ref="F112:H112"/>
    <mergeCell ref="E117:F117"/>
    <mergeCell ref="A117:B117"/>
    <mergeCell ref="A119:B119"/>
    <mergeCell ref="C122:D122"/>
    <mergeCell ref="D72:H72"/>
    <mergeCell ref="A73:C73"/>
    <mergeCell ref="E43:H43"/>
    <mergeCell ref="A61:H61"/>
    <mergeCell ref="A62:C62"/>
    <mergeCell ref="A63:C63"/>
    <mergeCell ref="D63:H63"/>
    <mergeCell ref="G60:H60"/>
    <mergeCell ref="A54:B55"/>
    <mergeCell ref="A97:B97"/>
    <mergeCell ref="A98:B98"/>
    <mergeCell ref="A99:B99"/>
    <mergeCell ref="F104:H104"/>
    <mergeCell ref="G118:H118"/>
    <mergeCell ref="F110:H110"/>
    <mergeCell ref="C117:D117"/>
    <mergeCell ref="C125:D125"/>
    <mergeCell ref="A149:H149"/>
    <mergeCell ref="A133:B133"/>
    <mergeCell ref="A126:B126"/>
    <mergeCell ref="C126:D126"/>
    <mergeCell ref="A141:B141"/>
    <mergeCell ref="A142:B142"/>
    <mergeCell ref="A143:B143"/>
    <mergeCell ref="A144:B144"/>
    <mergeCell ref="A145:B145"/>
    <mergeCell ref="A111:E111"/>
    <mergeCell ref="F106:H106"/>
    <mergeCell ref="A110:E110"/>
    <mergeCell ref="B184:H184"/>
    <mergeCell ref="A157:B157"/>
    <mergeCell ref="A158:H158"/>
    <mergeCell ref="A159:B159"/>
    <mergeCell ref="A160:B160"/>
    <mergeCell ref="A161:B161"/>
    <mergeCell ref="A171:B171"/>
    <mergeCell ref="A172:B172"/>
    <mergeCell ref="A173:B173"/>
    <mergeCell ref="A174:B174"/>
    <mergeCell ref="A175:B175"/>
    <mergeCell ref="A176:B176"/>
    <mergeCell ref="A109:E109"/>
    <mergeCell ref="C123:D123"/>
    <mergeCell ref="E123:F123"/>
    <mergeCell ref="G123:H123"/>
    <mergeCell ref="C118:D118"/>
    <mergeCell ref="A122:B122"/>
    <mergeCell ref="B181:H181"/>
    <mergeCell ref="A101:B101"/>
    <mergeCell ref="B179:H179"/>
    <mergeCell ref="B180:H180"/>
    <mergeCell ref="B182:H182"/>
    <mergeCell ref="A131:H131"/>
    <mergeCell ref="A137:B137"/>
    <mergeCell ref="A138:B138"/>
    <mergeCell ref="A139:B139"/>
    <mergeCell ref="A140:B140"/>
    <mergeCell ref="A148:H148"/>
    <mergeCell ref="A150:B150"/>
    <mergeCell ref="A136:B136"/>
    <mergeCell ref="A135:B135"/>
    <mergeCell ref="A146:H146"/>
    <mergeCell ref="A164:B164"/>
    <mergeCell ref="A165:B165"/>
    <mergeCell ref="A166:B166"/>
    <mergeCell ref="C164:H164"/>
    <mergeCell ref="A167:H167"/>
    <mergeCell ref="F109:H109"/>
    <mergeCell ref="A154:B154"/>
    <mergeCell ref="A155:B155"/>
    <mergeCell ref="A177:B177"/>
    <mergeCell ref="A168:H168"/>
    <mergeCell ref="A202:H205"/>
    <mergeCell ref="A201:B201"/>
    <mergeCell ref="E201:F201"/>
    <mergeCell ref="C201:D201"/>
    <mergeCell ref="G201:H201"/>
    <mergeCell ref="A116:H116"/>
    <mergeCell ref="A114:E114"/>
    <mergeCell ref="F114:H114"/>
    <mergeCell ref="A115:E115"/>
    <mergeCell ref="F115:H115"/>
    <mergeCell ref="A123:B123"/>
    <mergeCell ref="A118:B118"/>
    <mergeCell ref="A197:H197"/>
    <mergeCell ref="A121:H121"/>
    <mergeCell ref="A200:H200"/>
    <mergeCell ref="A198:H198"/>
    <mergeCell ref="A194:H194"/>
    <mergeCell ref="A162:B162"/>
    <mergeCell ref="A163:B163"/>
    <mergeCell ref="A199:H199"/>
    <mergeCell ref="A196:H196"/>
    <mergeCell ref="B188:H188"/>
    <mergeCell ref="B187:H187"/>
    <mergeCell ref="B185:H185"/>
    <mergeCell ref="A195:H195"/>
    <mergeCell ref="A132:H132"/>
    <mergeCell ref="E129:E130"/>
    <mergeCell ref="F129:F130"/>
    <mergeCell ref="A75:B75"/>
    <mergeCell ref="C75:H75"/>
    <mergeCell ref="A83:B83"/>
    <mergeCell ref="F105:H105"/>
    <mergeCell ref="A105:E105"/>
    <mergeCell ref="D129:D130"/>
    <mergeCell ref="A107:E107"/>
    <mergeCell ref="A106:E106"/>
    <mergeCell ref="A103:E103"/>
    <mergeCell ref="F107:H107"/>
    <mergeCell ref="G129:G130"/>
    <mergeCell ref="A91:B91"/>
    <mergeCell ref="F103:H103"/>
    <mergeCell ref="F108:H108"/>
    <mergeCell ref="B190:H190"/>
    <mergeCell ref="B189:H189"/>
    <mergeCell ref="A108:E108"/>
    <mergeCell ref="A102:B102"/>
    <mergeCell ref="E122:F122"/>
    <mergeCell ref="A127:H127"/>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A25:D25"/>
    <mergeCell ref="E25:H25"/>
    <mergeCell ref="A30:D30"/>
    <mergeCell ref="E30:H30"/>
    <mergeCell ref="A27:D27"/>
    <mergeCell ref="E20:F20"/>
    <mergeCell ref="G20:H20"/>
    <mergeCell ref="A21:B21"/>
    <mergeCell ref="C21:D21"/>
    <mergeCell ref="E21:F21"/>
    <mergeCell ref="G21:H21"/>
    <mergeCell ref="A22:B22"/>
    <mergeCell ref="C22:D22"/>
    <mergeCell ref="E22:F22"/>
    <mergeCell ref="G22:H22"/>
    <mergeCell ref="E27:H27"/>
    <mergeCell ref="A29:D29"/>
    <mergeCell ref="E29:H29"/>
    <mergeCell ref="A26:D26"/>
    <mergeCell ref="E26:H26"/>
    <mergeCell ref="A43:D43"/>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A38:H38"/>
    <mergeCell ref="A37:B37"/>
    <mergeCell ref="C37:E37"/>
    <mergeCell ref="A42:D42"/>
    <mergeCell ref="E42:H42"/>
    <mergeCell ref="A41:H41"/>
    <mergeCell ref="F37:H37"/>
    <mergeCell ref="A39:B39"/>
    <mergeCell ref="C39:H39"/>
    <mergeCell ref="A40:B40"/>
    <mergeCell ref="C40:H40"/>
    <mergeCell ref="A44:D44"/>
    <mergeCell ref="E44:H44"/>
    <mergeCell ref="E45:H45"/>
    <mergeCell ref="E46:H46"/>
    <mergeCell ref="E47:H47"/>
    <mergeCell ref="C57:H57"/>
    <mergeCell ref="C59:H59"/>
    <mergeCell ref="C49:H49"/>
    <mergeCell ref="D67:H67"/>
    <mergeCell ref="C52:E52"/>
    <mergeCell ref="A65:C67"/>
    <mergeCell ref="D65:H65"/>
    <mergeCell ref="A46:D46"/>
    <mergeCell ref="A50:B50"/>
    <mergeCell ref="C50:E50"/>
    <mergeCell ref="G50:H50"/>
    <mergeCell ref="G52:H52"/>
    <mergeCell ref="A51:B51"/>
    <mergeCell ref="A47:D47"/>
    <mergeCell ref="A48:H48"/>
    <mergeCell ref="D64:H64"/>
    <mergeCell ref="A64:C64"/>
    <mergeCell ref="A85:B85"/>
    <mergeCell ref="C91:H91"/>
    <mergeCell ref="A45:D45"/>
    <mergeCell ref="A68:C68"/>
    <mergeCell ref="A69:C69"/>
    <mergeCell ref="D68:H68"/>
    <mergeCell ref="D69:H69"/>
    <mergeCell ref="A70:C70"/>
    <mergeCell ref="D70:H70"/>
    <mergeCell ref="C77:H77"/>
    <mergeCell ref="A80:B80"/>
    <mergeCell ref="A82:B82"/>
    <mergeCell ref="E78:F78"/>
    <mergeCell ref="A71:C71"/>
    <mergeCell ref="D71:H71"/>
    <mergeCell ref="A74:C74"/>
    <mergeCell ref="D74:H74"/>
    <mergeCell ref="A72:C72"/>
    <mergeCell ref="D73:H73"/>
    <mergeCell ref="A79:B79"/>
    <mergeCell ref="B193:H193"/>
    <mergeCell ref="B191:H191"/>
    <mergeCell ref="B186:H186"/>
    <mergeCell ref="G93:H102"/>
    <mergeCell ref="A94:B94"/>
    <mergeCell ref="A95:B95"/>
    <mergeCell ref="A96:B96"/>
    <mergeCell ref="A125:B125"/>
    <mergeCell ref="E125:F125"/>
    <mergeCell ref="A113:E113"/>
    <mergeCell ref="G125:H125"/>
    <mergeCell ref="C119:D119"/>
    <mergeCell ref="E119:F119"/>
    <mergeCell ref="G119:H119"/>
    <mergeCell ref="A120:B120"/>
    <mergeCell ref="C120:D120"/>
    <mergeCell ref="E120:F120"/>
    <mergeCell ref="G120:H120"/>
    <mergeCell ref="A124:B124"/>
    <mergeCell ref="A104:E104"/>
    <mergeCell ref="A93:B93"/>
    <mergeCell ref="B129:B130"/>
    <mergeCell ref="A129:A130"/>
    <mergeCell ref="E126:F126"/>
    <mergeCell ref="C124:D124"/>
    <mergeCell ref="E124:F124"/>
    <mergeCell ref="G124:H124"/>
    <mergeCell ref="G122:H122"/>
    <mergeCell ref="C129:C130"/>
    <mergeCell ref="E118:F118"/>
    <mergeCell ref="C55:H55"/>
    <mergeCell ref="A78:B78"/>
    <mergeCell ref="A49:B49"/>
    <mergeCell ref="D66:H66"/>
    <mergeCell ref="G78:H78"/>
    <mergeCell ref="E79:F88"/>
    <mergeCell ref="G79:H88"/>
    <mergeCell ref="A87:B87"/>
    <mergeCell ref="A88:B88"/>
    <mergeCell ref="A81:B81"/>
    <mergeCell ref="A77:B77"/>
    <mergeCell ref="A86:B86"/>
    <mergeCell ref="A92:B92"/>
    <mergeCell ref="G126:H126"/>
    <mergeCell ref="E92:F92"/>
    <mergeCell ref="G92:H92"/>
    <mergeCell ref="E93:F102"/>
    <mergeCell ref="A100:B100"/>
  </mergeCells>
  <dataValidations count="18">
    <dataValidation type="list" allowBlank="1" showInputMessage="1" showErrorMessage="1" sqref="E5:H5" xr:uid="{00000000-0002-0000-0000-000000000000}">
      <formula1>OFFSET($L$3,1,MATCH($E4,$L$3:$P$3,0)-1,10,1)</formula1>
    </dataValidation>
    <dataValidation type="list" allowBlank="1" showInputMessage="1" showErrorMessage="1" sqref="A17:B17" xr:uid="{00000000-0002-0000-0000-000001000000}">
      <formula1>"CTS No,Survey No,Plot No,Gut No,FP No,"</formula1>
    </dataValidation>
    <dataValidation type="list" allowBlank="1" showInputMessage="1" showErrorMessage="1" sqref="G20:H20" xr:uid="{00000000-0002-0000-0000-000002000000}">
      <formula1>$S$13:$W$13</formula1>
    </dataValidation>
    <dataValidation type="list" allowBlank="1" showInputMessage="1" showErrorMessage="1" sqref="E129:E130" xr:uid="{00000000-0002-0000-0000-000003000000}">
      <formula1>"Attached Loft area,Attached Otla area,Attached Mezzanine area"</formula1>
    </dataValidation>
    <dataValidation type="list" allowBlank="1" showInputMessage="1" showErrorMessage="1" sqref="G201:H201" xr:uid="{00000000-0002-0000-0000-000004000000}">
      <formula1>"Gaurav Panchal,Kunal Kadam,Pranita Mhatre,Shruti Fule,Pooja Kawale,Neha Dhokale,Shruti Tathare, Hitakshi Mhatre, Sachin Sawant"</formula1>
    </dataValidation>
    <dataValidation type="list" allowBlank="1" showInputMessage="1" showErrorMessage="1" sqref="F103:H103" xr:uid="{00000000-0002-0000-0000-000005000000}">
      <formula1>"On Saleable Area,On Builtup Area,On Carpet Area,On Plot Area"</formula1>
    </dataValidation>
    <dataValidation type="list" allowBlank="1" showInputMessage="1" showErrorMessage="1" sqref="F114:H114" xr:uid="{00000000-0002-0000-0000-000006000000}">
      <formula1>OFFSET($S$103,1,MATCH($G20,$S$103:$W$103,0)-1,15,1)</formula1>
    </dataValidation>
    <dataValidation type="list" allowBlank="1" showInputMessage="1" showErrorMessage="1" sqref="B129:B130" xr:uid="{00000000-0002-0000-0000-000007000000}">
      <formula1>"Shop No. (Sale Plan),Sale / Rehab,Sale / Mhada"</formula1>
    </dataValidation>
    <dataValidation type="list" allowBlank="1" showInputMessage="1" showErrorMessage="1" sqref="B147" xr:uid="{00000000-0002-0000-0000-000008000000}">
      <formula1>"Flat No. (Sale Plan),Sale / Rehab,Sale / Mhada"</formula1>
    </dataValidation>
    <dataValidation type="list" allowBlank="1" showInputMessage="1" showErrorMessage="1" sqref="C21:D21" xr:uid="{00000000-0002-0000-0000-000009000000}">
      <formula1>OFFSET($S$13,1,MATCH($G20,$S$13:$W$13,0)-1,15,1)</formula1>
    </dataValidation>
    <dataValidation type="list" allowBlank="1" showInputMessage="1" showErrorMessage="1" sqref="Y13" xr:uid="{00000000-0002-0000-0000-00000A000000}">
      <formula1>$D$5:$H$5</formula1>
    </dataValidation>
    <dataValidation type="list" allowBlank="1" showInputMessage="1" showErrorMessage="1" sqref="E147" xr:uid="{00000000-0002-0000-0000-00000B000000}">
      <formula1>"Fungible area,Balcony Area + Chajja Area,Cornice Area,AP Area,WS Area"</formula1>
    </dataValidation>
    <dataValidation type="list" allowBlank="1" showInputMessage="1" showErrorMessage="1" sqref="H130" xr:uid="{00000000-0002-0000-0000-00000C000000}">
      <formula1>".45,.50,.55,.60"</formula1>
    </dataValidation>
    <dataValidation type="list" allowBlank="1" showInputMessage="1" showErrorMessage="1" sqref="E4:H4" xr:uid="{00000000-0002-0000-0000-00000D000000}">
      <formula1>$L$3:$P$3</formula1>
    </dataValidation>
    <dataValidation type="list" allowBlank="1" showInputMessage="1" showErrorMessage="1" sqref="C49:H49" xr:uid="{00000000-0002-0000-0000-00000E000000}">
      <formula1>OFFSET($S$49,1,MATCH($G20,$S$49:$W$49,0)-1,15,1)</formula1>
    </dataValidation>
    <dataValidation type="whole" allowBlank="1" showInputMessage="1" showErrorMessage="1" sqref="C84" xr:uid="{00000000-0002-0000-0000-00000F000000}">
      <formula1>0</formula1>
      <formula2>H76</formula2>
    </dataValidation>
    <dataValidation type="list" allowBlank="1" showInputMessage="1" showErrorMessage="1" sqref="H129 H147" xr:uid="{00000000-0002-0000-0000-000010000000}">
      <formula1>"Saleable area Loading :,Builder Saleable Area"</formula1>
    </dataValidation>
    <dataValidation type="list" allowBlank="1" showInputMessage="1" showErrorMessage="1" sqref="D129:D130 D147" xr:uid="{00000000-0002-0000-0000-000011000000}">
      <formula1>"Carpet area,RERA Carpet area"</formula1>
    </dataValidation>
  </dataValidations>
  <hyperlinks>
    <hyperlink ref="C40" r:id="rId1" xr:uid="{00000000-0004-0000-0000-000000000000}"/>
  </hyperlinks>
  <printOptions horizontalCentered="1"/>
  <pageMargins left="0.39370078740157483" right="0.39370078740157483" top="0.82677165354330717" bottom="0.78740157480314965" header="0.15748031496062992" footer="0.19685039370078741"/>
  <pageSetup paperSize="2" orientation="portrait" r:id="rId2"/>
  <headerFooter>
    <oddHeader>&amp;C&amp;G</oddHeader>
    <oddFooter>&amp;L&amp;"Times New Roman,Bold"&amp;12Ref No: &amp;F&amp;C&amp;G&amp;R&amp;"Times New Roman,Bold"&amp;12&amp;P</oddFooter>
  </headerFooter>
  <rowBreaks count="5" manualBreakCount="5">
    <brk id="74" max="16383" man="1"/>
    <brk id="193" max="7" man="1"/>
    <brk id="205" max="16383" man="1"/>
    <brk id="247" max="16383" man="1"/>
    <brk id="289"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topLeftCell="A4" zoomScale="85" zoomScaleNormal="85" workbookViewId="0">
      <selection activeCell="K3" sqref="K3"/>
    </sheetView>
  </sheetViews>
  <sheetFormatPr defaultColWidth="8.77734375" defaultRowHeight="14.4" x14ac:dyDescent="0.3"/>
  <cols>
    <col min="1" max="1" width="8.77734375" style="1"/>
    <col min="2" max="2" width="22.21875" style="1" customWidth="1"/>
    <col min="3" max="3" width="37" style="1" customWidth="1"/>
    <col min="4" max="5" width="11.44140625" style="1" customWidth="1"/>
    <col min="6" max="6" width="14" style="1" customWidth="1"/>
    <col min="7" max="7" width="20" style="1" customWidth="1"/>
    <col min="8" max="8" width="16.44140625" style="1" customWidth="1"/>
    <col min="9" max="16384" width="8.77734375" style="1"/>
  </cols>
  <sheetData>
    <row r="1" spans="1:9" ht="15" customHeight="1" x14ac:dyDescent="0.3"/>
    <row r="2" spans="1:9" ht="15" customHeight="1" x14ac:dyDescent="0.3">
      <c r="A2" s="2"/>
      <c r="B2" s="2"/>
      <c r="C2" s="2"/>
      <c r="D2" s="2"/>
      <c r="E2" s="2"/>
      <c r="F2" s="2"/>
      <c r="G2" s="2"/>
      <c r="H2" s="2"/>
    </row>
    <row r="3" spans="1:9" ht="15.75" customHeight="1" x14ac:dyDescent="0.3">
      <c r="A3" s="2"/>
      <c r="B3" s="205" t="s">
        <v>104</v>
      </c>
      <c r="C3" s="205"/>
      <c r="D3" s="205"/>
      <c r="E3" s="205"/>
      <c r="F3" s="205"/>
      <c r="G3" s="205"/>
      <c r="H3" s="205"/>
    </row>
    <row r="4" spans="1:9" x14ac:dyDescent="0.3">
      <c r="A4" s="2"/>
      <c r="B4" s="3" t="s">
        <v>105</v>
      </c>
      <c r="C4" s="3" t="s">
        <v>106</v>
      </c>
      <c r="D4" s="3" t="s">
        <v>66</v>
      </c>
      <c r="E4" s="3" t="s">
        <v>107</v>
      </c>
      <c r="F4" s="3" t="s">
        <v>113</v>
      </c>
      <c r="G4" s="3" t="s">
        <v>114</v>
      </c>
      <c r="H4" s="3" t="s">
        <v>108</v>
      </c>
    </row>
    <row r="5" spans="1:9" ht="15" customHeight="1" x14ac:dyDescent="0.3">
      <c r="A5" s="2"/>
      <c r="B5" s="5" t="s">
        <v>109</v>
      </c>
      <c r="C5" s="6"/>
      <c r="D5" s="5"/>
      <c r="E5" s="5"/>
      <c r="F5" s="7">
        <f>E5*1.6</f>
        <v>0</v>
      </c>
      <c r="G5" s="7" t="e">
        <f>H5/F5</f>
        <v>#DIV/0!</v>
      </c>
      <c r="H5" s="8"/>
    </row>
    <row r="6" spans="1:9" x14ac:dyDescent="0.3">
      <c r="A6" s="2"/>
      <c r="B6" s="5" t="s">
        <v>109</v>
      </c>
      <c r="C6" s="9"/>
      <c r="D6" s="5"/>
      <c r="E6" s="5"/>
      <c r="F6" s="7">
        <f t="shared" ref="F6:F11" si="0">E6*1.6</f>
        <v>0</v>
      </c>
      <c r="G6" s="7" t="e">
        <f t="shared" ref="G6:G11" si="1">H6/F6</f>
        <v>#DIV/0!</v>
      </c>
      <c r="H6" s="8"/>
    </row>
    <row r="7" spans="1:9" ht="15" customHeight="1" x14ac:dyDescent="0.3">
      <c r="A7" s="2"/>
      <c r="B7" s="5" t="s">
        <v>109</v>
      </c>
      <c r="C7" s="6"/>
      <c r="D7" s="5"/>
      <c r="E7" s="5"/>
      <c r="F7" s="7">
        <f t="shared" si="0"/>
        <v>0</v>
      </c>
      <c r="G7" s="7" t="e">
        <f t="shared" si="1"/>
        <v>#DIV/0!</v>
      </c>
      <c r="H7" s="8"/>
    </row>
    <row r="8" spans="1:9" x14ac:dyDescent="0.3">
      <c r="A8" s="2"/>
      <c r="B8" s="5" t="s">
        <v>109</v>
      </c>
      <c r="C8" s="9"/>
      <c r="D8" s="5"/>
      <c r="E8" s="5"/>
      <c r="F8" s="7">
        <f t="shared" si="0"/>
        <v>0</v>
      </c>
      <c r="G8" s="7" t="e">
        <f t="shared" si="1"/>
        <v>#DIV/0!</v>
      </c>
      <c r="H8" s="8"/>
    </row>
    <row r="9" spans="1:9" ht="15" customHeight="1" x14ac:dyDescent="0.3">
      <c r="A9" s="2"/>
      <c r="B9" s="5" t="s">
        <v>109</v>
      </c>
      <c r="C9" s="9"/>
      <c r="D9" s="5"/>
      <c r="E9" s="5"/>
      <c r="F9" s="7">
        <f t="shared" si="0"/>
        <v>0</v>
      </c>
      <c r="G9" s="7" t="e">
        <f t="shared" si="1"/>
        <v>#DIV/0!</v>
      </c>
      <c r="H9" s="8"/>
    </row>
    <row r="10" spans="1:9" ht="15" customHeight="1" x14ac:dyDescent="0.3">
      <c r="A10" s="2"/>
      <c r="B10" s="5" t="s">
        <v>110</v>
      </c>
      <c r="C10" s="6"/>
      <c r="D10" s="5"/>
      <c r="E10" s="5"/>
      <c r="F10" s="7">
        <f t="shared" si="0"/>
        <v>0</v>
      </c>
      <c r="G10" s="7" t="e">
        <f t="shared" si="1"/>
        <v>#DIV/0!</v>
      </c>
      <c r="H10" s="8"/>
    </row>
    <row r="11" spans="1:9" ht="15" customHeight="1" x14ac:dyDescent="0.3">
      <c r="A11" s="2"/>
      <c r="B11" s="5" t="s">
        <v>110</v>
      </c>
      <c r="C11" s="6"/>
      <c r="D11" s="5"/>
      <c r="E11" s="5"/>
      <c r="F11" s="7">
        <f t="shared" si="0"/>
        <v>0</v>
      </c>
      <c r="G11" s="7" t="e">
        <f t="shared" si="1"/>
        <v>#DIV/0!</v>
      </c>
      <c r="H11" s="8"/>
    </row>
    <row r="12" spans="1:9" ht="15" customHeight="1" x14ac:dyDescent="0.3">
      <c r="A12" s="2"/>
      <c r="B12" s="10" t="s">
        <v>111</v>
      </c>
      <c r="C12" s="5"/>
      <c r="D12" s="5"/>
      <c r="E12" s="5"/>
      <c r="F12" s="5"/>
      <c r="G12" s="11" t="e">
        <f>AVERAGE(G5:G11)</f>
        <v>#DIV/0!</v>
      </c>
      <c r="H12" s="5"/>
    </row>
    <row r="13" spans="1:9" ht="15" customHeight="1" x14ac:dyDescent="0.3">
      <c r="B13" s="10" t="s">
        <v>112</v>
      </c>
      <c r="C13" s="5"/>
      <c r="D13" s="5"/>
      <c r="E13" s="5"/>
      <c r="F13" s="12"/>
      <c r="G13" s="10"/>
      <c r="H13" s="10"/>
      <c r="I13" s="4"/>
    </row>
    <row r="14" spans="1:9" ht="15" customHeight="1" x14ac:dyDescent="0.3"/>
    <row r="15" spans="1:9" ht="15" customHeight="1" x14ac:dyDescent="0.3"/>
    <row r="16" spans="1:9" ht="15" customHeight="1" x14ac:dyDescent="0.3"/>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K69"/>
  <sheetViews>
    <sheetView topLeftCell="A55" zoomScale="130" zoomScaleNormal="130" workbookViewId="0">
      <selection activeCell="C43" sqref="C43:D69"/>
    </sheetView>
  </sheetViews>
  <sheetFormatPr defaultRowHeight="14.4" x14ac:dyDescent="0.3"/>
  <cols>
    <col min="4" max="4" width="13.77734375" bestFit="1" customWidth="1"/>
    <col min="5" max="5" width="10.44140625" bestFit="1" customWidth="1"/>
    <col min="6" max="6" width="12.44140625" bestFit="1" customWidth="1"/>
    <col min="7" max="7" width="18.21875" customWidth="1"/>
    <col min="8" max="8" width="10.5546875" bestFit="1" customWidth="1"/>
  </cols>
  <sheetData>
    <row r="3" spans="2:11" x14ac:dyDescent="0.3">
      <c r="J3">
        <v>1</v>
      </c>
      <c r="K3">
        <v>2</v>
      </c>
    </row>
    <row r="4" spans="2:11" x14ac:dyDescent="0.3">
      <c r="B4" s="52"/>
      <c r="C4" s="52" t="s">
        <v>11</v>
      </c>
      <c r="D4" s="53" t="s">
        <v>177</v>
      </c>
      <c r="E4" s="53" t="s">
        <v>187</v>
      </c>
      <c r="F4" s="53" t="s">
        <v>170</v>
      </c>
      <c r="G4" s="53" t="s">
        <v>192</v>
      </c>
      <c r="H4" s="53" t="s">
        <v>210</v>
      </c>
      <c r="J4" t="s">
        <v>192</v>
      </c>
      <c r="K4" t="s">
        <v>208</v>
      </c>
    </row>
    <row r="5" spans="2:11" x14ac:dyDescent="0.3">
      <c r="B5" s="52"/>
      <c r="C5" s="52"/>
      <c r="D5" s="53" t="s">
        <v>178</v>
      </c>
      <c r="E5" s="53" t="s">
        <v>185</v>
      </c>
      <c r="F5" s="53" t="s">
        <v>207</v>
      </c>
      <c r="G5" s="53" t="s">
        <v>193</v>
      </c>
      <c r="H5" s="53" t="s">
        <v>211</v>
      </c>
    </row>
    <row r="6" spans="2:11" x14ac:dyDescent="0.3">
      <c r="B6" s="52"/>
      <c r="C6" s="52"/>
      <c r="D6" s="53" t="s">
        <v>179</v>
      </c>
      <c r="E6" s="53" t="s">
        <v>186</v>
      </c>
      <c r="F6" s="53" t="s">
        <v>208</v>
      </c>
      <c r="G6" s="53" t="s">
        <v>194</v>
      </c>
      <c r="H6" s="53" t="s">
        <v>224</v>
      </c>
    </row>
    <row r="7" spans="2:11" x14ac:dyDescent="0.3">
      <c r="B7" s="52"/>
      <c r="C7" s="52"/>
      <c r="D7" s="53" t="s">
        <v>180</v>
      </c>
      <c r="E7" s="53" t="s">
        <v>188</v>
      </c>
      <c r="F7" s="53" t="s">
        <v>209</v>
      </c>
      <c r="G7" s="53" t="s">
        <v>195</v>
      </c>
      <c r="H7" s="53" t="s">
        <v>212</v>
      </c>
    </row>
    <row r="8" spans="2:11" x14ac:dyDescent="0.3">
      <c r="B8" s="52"/>
      <c r="C8" s="52"/>
      <c r="D8" s="53" t="s">
        <v>181</v>
      </c>
      <c r="E8" s="53" t="s">
        <v>189</v>
      </c>
      <c r="F8" s="53"/>
      <c r="G8" s="53" t="s">
        <v>196</v>
      </c>
      <c r="H8" s="53" t="s">
        <v>213</v>
      </c>
    </row>
    <row r="9" spans="2:11" x14ac:dyDescent="0.3">
      <c r="B9" s="52"/>
      <c r="C9" s="52"/>
      <c r="D9" s="53" t="s">
        <v>182</v>
      </c>
      <c r="E9" s="53" t="s">
        <v>187</v>
      </c>
      <c r="F9" s="53"/>
      <c r="G9" s="53" t="s">
        <v>197</v>
      </c>
      <c r="H9" s="53" t="s">
        <v>214</v>
      </c>
    </row>
    <row r="10" spans="2:11" x14ac:dyDescent="0.3">
      <c r="B10" s="52"/>
      <c r="C10" s="52"/>
      <c r="D10" s="53" t="s">
        <v>183</v>
      </c>
      <c r="E10" s="53" t="s">
        <v>190</v>
      </c>
      <c r="F10" s="53"/>
      <c r="G10" s="53" t="s">
        <v>198</v>
      </c>
      <c r="H10" s="53" t="s">
        <v>215</v>
      </c>
    </row>
    <row r="11" spans="2:11" x14ac:dyDescent="0.3">
      <c r="B11" s="52"/>
      <c r="C11" s="52"/>
      <c r="D11" s="53" t="s">
        <v>184</v>
      </c>
      <c r="E11" s="53" t="s">
        <v>191</v>
      </c>
      <c r="F11" s="53"/>
      <c r="G11" s="53" t="s">
        <v>199</v>
      </c>
      <c r="H11" s="53" t="s">
        <v>216</v>
      </c>
    </row>
    <row r="12" spans="2:11" x14ac:dyDescent="0.3">
      <c r="B12" s="52"/>
      <c r="C12" s="52"/>
      <c r="D12" s="53"/>
      <c r="E12" s="53"/>
      <c r="F12" s="53"/>
      <c r="G12" s="53" t="s">
        <v>200</v>
      </c>
      <c r="H12" s="53" t="s">
        <v>217</v>
      </c>
    </row>
    <row r="13" spans="2:11" x14ac:dyDescent="0.3">
      <c r="B13" s="52"/>
      <c r="C13" s="52"/>
      <c r="D13" s="53"/>
      <c r="E13" s="53"/>
      <c r="F13" s="53"/>
      <c r="G13" s="53" t="s">
        <v>201</v>
      </c>
      <c r="H13" s="53" t="s">
        <v>218</v>
      </c>
    </row>
    <row r="14" spans="2:11" x14ac:dyDescent="0.3">
      <c r="B14" s="52"/>
      <c r="C14" s="52"/>
      <c r="D14" s="53"/>
      <c r="E14" s="53"/>
      <c r="F14" s="53"/>
      <c r="G14" s="53" t="s">
        <v>202</v>
      </c>
      <c r="H14" s="53" t="s">
        <v>219</v>
      </c>
    </row>
    <row r="15" spans="2:11" x14ac:dyDescent="0.3">
      <c r="B15" s="52"/>
      <c r="C15" s="52"/>
      <c r="D15" s="53"/>
      <c r="E15" s="53"/>
      <c r="F15" s="53"/>
      <c r="G15" s="53" t="s">
        <v>203</v>
      </c>
      <c r="H15" s="53" t="s">
        <v>220</v>
      </c>
    </row>
    <row r="16" spans="2:11" x14ac:dyDescent="0.3">
      <c r="B16" s="52"/>
      <c r="C16" s="52"/>
      <c r="D16" s="53"/>
      <c r="E16" s="53"/>
      <c r="F16" s="53"/>
      <c r="G16" s="53" t="s">
        <v>204</v>
      </c>
      <c r="H16" s="53" t="s">
        <v>221</v>
      </c>
    </row>
    <row r="17" spans="2:8" x14ac:dyDescent="0.3">
      <c r="B17" s="52"/>
      <c r="C17" s="52"/>
      <c r="D17" s="53"/>
      <c r="E17" s="53"/>
      <c r="F17" s="53"/>
      <c r="G17" s="53" t="s">
        <v>205</v>
      </c>
      <c r="H17" s="53" t="s">
        <v>222</v>
      </c>
    </row>
    <row r="18" spans="2:8" x14ac:dyDescent="0.3">
      <c r="B18" s="52"/>
      <c r="C18" s="52"/>
      <c r="D18" s="53"/>
      <c r="E18" s="53"/>
      <c r="F18" s="53"/>
      <c r="G18" s="53" t="s">
        <v>206</v>
      </c>
      <c r="H18" s="53" t="s">
        <v>223</v>
      </c>
    </row>
    <row r="24" spans="2:8" x14ac:dyDescent="0.3">
      <c r="C24" t="s">
        <v>167</v>
      </c>
    </row>
    <row r="25" spans="2:8" x14ac:dyDescent="0.3">
      <c r="C25" t="s">
        <v>225</v>
      </c>
    </row>
    <row r="26" spans="2:8" x14ac:dyDescent="0.3">
      <c r="C26" t="s">
        <v>226</v>
      </c>
    </row>
    <row r="27" spans="2:8" x14ac:dyDescent="0.3">
      <c r="C27" t="s">
        <v>227</v>
      </c>
    </row>
    <row r="28" spans="2:8" x14ac:dyDescent="0.3">
      <c r="C28" t="s">
        <v>228</v>
      </c>
    </row>
    <row r="29" spans="2:8" x14ac:dyDescent="0.3">
      <c r="C29" t="s">
        <v>229</v>
      </c>
    </row>
    <row r="30" spans="2:8" x14ac:dyDescent="0.3">
      <c r="C30" t="s">
        <v>167</v>
      </c>
    </row>
    <row r="33" spans="3:11" x14ac:dyDescent="0.3">
      <c r="J33">
        <v>1</v>
      </c>
      <c r="K33">
        <v>2</v>
      </c>
    </row>
    <row r="34" spans="3:11" x14ac:dyDescent="0.3">
      <c r="C34" s="54" t="s">
        <v>235</v>
      </c>
      <c r="D34" s="53" t="s">
        <v>233</v>
      </c>
      <c r="E34" s="53" t="s">
        <v>238</v>
      </c>
      <c r="F34" s="53" t="s">
        <v>236</v>
      </c>
      <c r="G34" s="53" t="s">
        <v>237</v>
      </c>
      <c r="H34" s="53" t="s">
        <v>239</v>
      </c>
      <c r="J34" t="s">
        <v>192</v>
      </c>
      <c r="K34" t="s">
        <v>208</v>
      </c>
    </row>
    <row r="35" spans="3:11" x14ac:dyDescent="0.3">
      <c r="C35" s="52" t="s">
        <v>234</v>
      </c>
      <c r="D35" s="53" t="s">
        <v>168</v>
      </c>
      <c r="E35" s="53" t="s">
        <v>243</v>
      </c>
      <c r="F35" s="53" t="s">
        <v>245</v>
      </c>
      <c r="G35" s="53" t="s">
        <v>247</v>
      </c>
      <c r="H35" s="53"/>
    </row>
    <row r="36" spans="3:11" x14ac:dyDescent="0.3">
      <c r="C36" s="52"/>
      <c r="D36" s="53" t="s">
        <v>240</v>
      </c>
      <c r="E36" s="53" t="s">
        <v>244</v>
      </c>
      <c r="F36" s="53" t="s">
        <v>246</v>
      </c>
      <c r="G36" s="53" t="s">
        <v>248</v>
      </c>
      <c r="H36" s="53"/>
    </row>
    <row r="37" spans="3:11" x14ac:dyDescent="0.3">
      <c r="C37" s="52"/>
      <c r="D37" s="53" t="s">
        <v>241</v>
      </c>
      <c r="E37" s="53"/>
      <c r="F37" s="53"/>
      <c r="G37" s="53" t="s">
        <v>249</v>
      </c>
      <c r="H37" s="53"/>
    </row>
    <row r="38" spans="3:11" x14ac:dyDescent="0.3">
      <c r="C38" s="52"/>
      <c r="D38" s="53" t="s">
        <v>242</v>
      </c>
      <c r="E38" s="53"/>
      <c r="F38" s="53"/>
      <c r="G38" s="53" t="s">
        <v>249</v>
      </c>
      <c r="H38" s="53"/>
    </row>
    <row r="39" spans="3:11" x14ac:dyDescent="0.3">
      <c r="C39" s="52"/>
      <c r="D39" s="53"/>
      <c r="E39" s="53"/>
      <c r="F39" s="53"/>
      <c r="G39" s="53" t="s">
        <v>250</v>
      </c>
      <c r="H39" s="53"/>
    </row>
    <row r="40" spans="3:11" x14ac:dyDescent="0.3">
      <c r="C40" s="52"/>
      <c r="D40" s="53"/>
      <c r="E40" s="53"/>
      <c r="F40" s="53"/>
      <c r="G40" s="53" t="s">
        <v>251</v>
      </c>
      <c r="H40" s="53"/>
    </row>
    <row r="41" spans="3:11" x14ac:dyDescent="0.3">
      <c r="C41" s="52"/>
      <c r="D41" s="53"/>
      <c r="E41" s="53"/>
      <c r="F41" s="53"/>
      <c r="G41" s="53"/>
      <c r="H41" s="53"/>
    </row>
    <row r="43" spans="3:11" x14ac:dyDescent="0.3">
      <c r="C43" t="s">
        <v>252</v>
      </c>
    </row>
    <row r="44" spans="3:11" x14ac:dyDescent="0.3">
      <c r="C44" t="s">
        <v>170</v>
      </c>
      <c r="D44" t="s">
        <v>253</v>
      </c>
    </row>
    <row r="45" spans="3:11" x14ac:dyDescent="0.3">
      <c r="D45" t="s">
        <v>254</v>
      </c>
    </row>
    <row r="46" spans="3:11" x14ac:dyDescent="0.3">
      <c r="D46" t="s">
        <v>255</v>
      </c>
    </row>
    <row r="47" spans="3:11" x14ac:dyDescent="0.3">
      <c r="D47" t="s">
        <v>256</v>
      </c>
    </row>
    <row r="48" spans="3:11" x14ac:dyDescent="0.3">
      <c r="D48" t="s">
        <v>257</v>
      </c>
    </row>
    <row r="49" spans="3:4" x14ac:dyDescent="0.3">
      <c r="C49" t="s">
        <v>177</v>
      </c>
      <c r="D49" t="s">
        <v>258</v>
      </c>
    </row>
    <row r="50" spans="3:4" x14ac:dyDescent="0.3">
      <c r="D50" t="s">
        <v>259</v>
      </c>
    </row>
    <row r="51" spans="3:4" x14ac:dyDescent="0.3">
      <c r="D51" t="s">
        <v>260</v>
      </c>
    </row>
    <row r="52" spans="3:4" x14ac:dyDescent="0.3">
      <c r="D52" t="s">
        <v>263</v>
      </c>
    </row>
    <row r="53" spans="3:4" x14ac:dyDescent="0.3">
      <c r="D53" t="s">
        <v>261</v>
      </c>
    </row>
    <row r="54" spans="3:4" x14ac:dyDescent="0.3">
      <c r="D54" t="s">
        <v>262</v>
      </c>
    </row>
    <row r="55" spans="3:4" x14ac:dyDescent="0.3">
      <c r="D55" t="s">
        <v>264</v>
      </c>
    </row>
    <row r="56" spans="3:4" x14ac:dyDescent="0.3">
      <c r="D56" t="s">
        <v>265</v>
      </c>
    </row>
    <row r="57" spans="3:4" x14ac:dyDescent="0.3">
      <c r="D57" t="s">
        <v>266</v>
      </c>
    </row>
    <row r="58" spans="3:4" x14ac:dyDescent="0.3">
      <c r="D58" t="s">
        <v>268</v>
      </c>
    </row>
    <row r="59" spans="3:4" x14ac:dyDescent="0.3">
      <c r="D59" t="s">
        <v>277</v>
      </c>
    </row>
    <row r="60" spans="3:4" x14ac:dyDescent="0.3">
      <c r="C60" t="s">
        <v>192</v>
      </c>
      <c r="D60" t="s">
        <v>269</v>
      </c>
    </row>
    <row r="61" spans="3:4" x14ac:dyDescent="0.3">
      <c r="D61" t="s">
        <v>267</v>
      </c>
    </row>
    <row r="62" spans="3:4" x14ac:dyDescent="0.3">
      <c r="D62" t="s">
        <v>257</v>
      </c>
    </row>
    <row r="63" spans="3:4" x14ac:dyDescent="0.3">
      <c r="D63" t="s">
        <v>270</v>
      </c>
    </row>
    <row r="64" spans="3:4" x14ac:dyDescent="0.3">
      <c r="D64" t="s">
        <v>271</v>
      </c>
    </row>
    <row r="65" spans="3:4" x14ac:dyDescent="0.3">
      <c r="D65" t="s">
        <v>272</v>
      </c>
    </row>
    <row r="66" spans="3:4" x14ac:dyDescent="0.3">
      <c r="D66" t="s">
        <v>273</v>
      </c>
    </row>
    <row r="67" spans="3:4" x14ac:dyDescent="0.3">
      <c r="C67" t="s">
        <v>187</v>
      </c>
      <c r="D67" t="s">
        <v>274</v>
      </c>
    </row>
    <row r="68" spans="3:4" x14ac:dyDescent="0.3">
      <c r="D68" t="s">
        <v>275</v>
      </c>
    </row>
    <row r="69" spans="3:4" x14ac:dyDescent="0.3">
      <c r="D69" t="s">
        <v>276</v>
      </c>
    </row>
  </sheetData>
  <dataValidations count="2">
    <dataValidation type="list" allowBlank="1" showInputMessage="1" showErrorMessage="1" sqref="J4 J34" xr:uid="{00000000-0002-0000-0200-000000000000}">
      <formula1>$D$4:$H$4</formula1>
    </dataValidation>
    <dataValidation type="list" allowBlank="1" showInputMessage="1" showErrorMessage="1" sqref="K4 K34" xr:uid="{00000000-0002-0000-0200-000001000000}">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26"/>
  <sheetViews>
    <sheetView workbookViewId="0">
      <selection activeCell="C15" sqref="C15"/>
    </sheetView>
  </sheetViews>
  <sheetFormatPr defaultRowHeight="14.4" x14ac:dyDescent="0.3"/>
  <cols>
    <col min="2" max="2" width="3" bestFit="1" customWidth="1"/>
    <col min="3" max="3" width="130" customWidth="1"/>
  </cols>
  <sheetData>
    <row r="2" spans="2:3" ht="15" customHeight="1" x14ac:dyDescent="0.3">
      <c r="B2" s="55">
        <v>1</v>
      </c>
      <c r="C2" s="57" t="s">
        <v>283</v>
      </c>
    </row>
    <row r="3" spans="2:3" x14ac:dyDescent="0.3">
      <c r="B3" s="55">
        <v>2</v>
      </c>
      <c r="C3" s="56" t="s">
        <v>284</v>
      </c>
    </row>
    <row r="4" spans="2:3" x14ac:dyDescent="0.3">
      <c r="B4" s="55">
        <v>3</v>
      </c>
      <c r="C4" s="55" t="s">
        <v>285</v>
      </c>
    </row>
    <row r="5" spans="2:3" x14ac:dyDescent="0.3">
      <c r="B5" s="55">
        <v>4</v>
      </c>
      <c r="C5" s="56" t="s">
        <v>286</v>
      </c>
    </row>
    <row r="6" spans="2:3" x14ac:dyDescent="0.3">
      <c r="B6" s="55">
        <v>5</v>
      </c>
      <c r="C6" s="55" t="s">
        <v>287</v>
      </c>
    </row>
    <row r="7" spans="2:3" ht="28.8" x14ac:dyDescent="0.3">
      <c r="B7" s="55">
        <v>6</v>
      </c>
      <c r="C7" s="56" t="s">
        <v>288</v>
      </c>
    </row>
    <row r="8" spans="2:3" ht="72" x14ac:dyDescent="0.3">
      <c r="B8" s="55">
        <v>7</v>
      </c>
      <c r="C8" s="56" t="s">
        <v>289</v>
      </c>
    </row>
    <row r="9" spans="2:3" x14ac:dyDescent="0.3">
      <c r="B9" s="55">
        <v>8</v>
      </c>
      <c r="C9" s="55" t="s">
        <v>290</v>
      </c>
    </row>
    <row r="10" spans="2:3" x14ac:dyDescent="0.3">
      <c r="B10" s="55">
        <v>9</v>
      </c>
      <c r="C10" s="55" t="s">
        <v>291</v>
      </c>
    </row>
    <row r="11" spans="2:3" x14ac:dyDescent="0.3">
      <c r="B11" s="55">
        <v>10</v>
      </c>
      <c r="C11" s="55" t="s">
        <v>292</v>
      </c>
    </row>
    <row r="12" spans="2:3" x14ac:dyDescent="0.3">
      <c r="B12" s="55">
        <v>11</v>
      </c>
      <c r="C12" s="55" t="s">
        <v>293</v>
      </c>
    </row>
    <row r="13" spans="2:3" x14ac:dyDescent="0.3">
      <c r="B13" s="55">
        <v>12</v>
      </c>
      <c r="C13" s="55" t="s">
        <v>294</v>
      </c>
    </row>
    <row r="14" spans="2:3" x14ac:dyDescent="0.3">
      <c r="B14" s="55">
        <v>13</v>
      </c>
      <c r="C14" s="55" t="s">
        <v>295</v>
      </c>
    </row>
    <row r="15" spans="2:3" x14ac:dyDescent="0.3">
      <c r="B15" s="55">
        <v>14</v>
      </c>
      <c r="C15" s="55" t="s">
        <v>285</v>
      </c>
    </row>
    <row r="16" spans="2:3" x14ac:dyDescent="0.3">
      <c r="B16" s="55">
        <v>15</v>
      </c>
      <c r="C16" s="55" t="s">
        <v>297</v>
      </c>
    </row>
    <row r="17" spans="2:3" ht="31.5" customHeight="1" x14ac:dyDescent="0.3">
      <c r="B17" s="58">
        <v>16</v>
      </c>
      <c r="C17" s="60" t="s">
        <v>298</v>
      </c>
    </row>
    <row r="18" spans="2:3" x14ac:dyDescent="0.3">
      <c r="B18" s="59">
        <v>17</v>
      </c>
      <c r="C18" s="60" t="s">
        <v>299</v>
      </c>
    </row>
    <row r="19" spans="2:3" x14ac:dyDescent="0.3">
      <c r="B19" s="58">
        <v>18</v>
      </c>
      <c r="C19" s="55" t="s">
        <v>300</v>
      </c>
    </row>
    <row r="20" spans="2:3" x14ac:dyDescent="0.3">
      <c r="B20" s="59">
        <v>19</v>
      </c>
      <c r="C20" s="55"/>
    </row>
    <row r="21" spans="2:3" x14ac:dyDescent="0.3">
      <c r="B21" s="55">
        <v>20</v>
      </c>
      <c r="C21" s="55"/>
    </row>
    <row r="22" spans="2:3" x14ac:dyDescent="0.3">
      <c r="B22" s="55"/>
      <c r="C22" s="55"/>
    </row>
    <row r="23" spans="2:3" x14ac:dyDescent="0.3">
      <c r="B23" s="55"/>
      <c r="C23" s="55"/>
    </row>
    <row r="24" spans="2:3" x14ac:dyDescent="0.3">
      <c r="B24" s="55"/>
      <c r="C24" s="55"/>
    </row>
    <row r="25" spans="2:3" x14ac:dyDescent="0.3">
      <c r="B25" s="55"/>
      <c r="C25" s="55"/>
    </row>
    <row r="26" spans="2:3" x14ac:dyDescent="0.3">
      <c r="B26" s="55"/>
      <c r="C26" s="55"/>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pranitam503@gmail.com</cp:lastModifiedBy>
  <cp:lastPrinted>2025-08-13T13:58:20Z</cp:lastPrinted>
  <dcterms:created xsi:type="dcterms:W3CDTF">2019-07-16T09:29:46Z</dcterms:created>
  <dcterms:modified xsi:type="dcterms:W3CDTF">2025-08-13T14:02:26Z</dcterms:modified>
</cp:coreProperties>
</file>